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227"/>
  <workbookPr showInkAnnotation="0" codeName="ThisWorkbook" defaultThemeVersion="124226"/>
  <mc:AlternateContent xmlns:mc="http://schemas.openxmlformats.org/markup-compatibility/2006">
    <mc:Choice Requires="x15">
      <x15ac:absPath xmlns:x15ac="http://schemas.microsoft.com/office/spreadsheetml/2010/11/ac" url="S:\Accepted\2025\01 April 8, 2025\25-424 George McDonald Court\"/>
    </mc:Choice>
  </mc:AlternateContent>
  <xr:revisionPtr revIDLastSave="0" documentId="13_ncr:1_{DFBC3141-6C35-4A1B-A8EB-91DA595314E7}" xr6:coauthVersionLast="47" xr6:coauthVersionMax="47" xr10:uidLastSave="{00000000-0000-0000-0000-000000000000}"/>
  <bookViews>
    <workbookView xWindow="-110" yWindow="-110" windowWidth="19420" windowHeight="10420" firstSheet="7" activeTab="8"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3" state="hidden"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externalReferences>
    <externalReference r:id="rId15"/>
  </externalReferences>
  <definedNames>
    <definedName name="_xlnm._FilterDatabase" localSheetId="3" hidden="1">Application!$J$957:$S$957</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Application!$BN$512:$BN$537</definedName>
    <definedName name="_xlnm.Print_Area" localSheetId="11">'15 Year Pro Forma'!$A$1:$AH$77</definedName>
    <definedName name="_xlnm.Print_Area" localSheetId="3">Application!$A:$AT</definedName>
    <definedName name="_xlnm.Print_Area" localSheetId="2">'Application Checklist'!$A$1:$I$1130</definedName>
    <definedName name="_xlnm.Print_Area" localSheetId="7">'Basis &amp; Credits'!$A$1:$AN$92</definedName>
    <definedName name="_xlnm.Print_Area" localSheetId="0">'Instructions-App Completion '!$A$1:$BP$392</definedName>
    <definedName name="_xlnm.Print_Area" localSheetId="1">'Instructions-Electronic Submit'!$A$1:$J$90</definedName>
    <definedName name="_xlnm.Print_Area" localSheetId="8">'Points System'!$A$1:$AM$823</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Breaker'!$A$1:$I$132</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Application!$AZ$702:$AZ$707</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System'!$A$1:$AM$823</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System'!$824:$63551,'Points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Application!$842:$965</definedName>
    <definedName name="Z_ACB87C9A_02C3_4C83_BBE4_E2C44A4D81CD_.wvu.PrintArea" localSheetId="11" hidden="1">'15 Year Pro Forma'!$A$1:$AH$77</definedName>
    <definedName name="Z_ACB87C9A_02C3_4C83_BBE4_E2C44A4D81CD_.wvu.PrintArea" localSheetId="3" hidden="1">Application!$A$1:$AL$1128</definedName>
    <definedName name="Z_ACB87C9A_02C3_4C83_BBE4_E2C44A4D81CD_.wvu.PrintArea" localSheetId="2" hidden="1">'Application Checklist'!$A$1:$G$825</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Checklist'!$1380:$65425,'Application Checklist'!$826:$1174,'Application Checklist'!$1379:$1379</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O23" i="20" l="1"/>
  <c r="AO18" i="20"/>
  <c r="AZ719" i="3"/>
  <c r="AZ720" i="3"/>
  <c r="AZ721" i="3"/>
  <c r="AZ722" i="3"/>
  <c r="AZ723" i="3"/>
  <c r="AZ724" i="3"/>
  <c r="AZ725" i="3"/>
  <c r="AZ726"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18" i="3"/>
  <c r="O20" i="21"/>
  <c r="O21" i="21"/>
  <c r="O22" i="21"/>
  <c r="O23" i="21"/>
  <c r="O24" i="21"/>
  <c r="O25" i="21"/>
  <c r="O26" i="21"/>
  <c r="O27" i="21"/>
  <c r="O28" i="21"/>
  <c r="O29" i="21"/>
  <c r="O30" i="21"/>
  <c r="O31" i="21"/>
  <c r="O32" i="21"/>
  <c r="O33" i="21"/>
  <c r="O34" i="21"/>
  <c r="O35" i="21"/>
  <c r="O36" i="21"/>
  <c r="O37" i="21"/>
  <c r="O38" i="21"/>
  <c r="O39" i="21"/>
  <c r="O40" i="21"/>
  <c r="O41" i="21"/>
  <c r="O42" i="21"/>
  <c r="O43" i="21"/>
  <c r="O44" i="21"/>
  <c r="G76" i="21"/>
  <c r="I18" i="21"/>
  <c r="I17" i="21"/>
  <c r="AC886" i="3"/>
  <c r="E25" i="4"/>
  <c r="E23" i="4"/>
  <c r="E21" i="4"/>
  <c r="E20" i="4"/>
  <c r="E19" i="4"/>
  <c r="C18" i="4"/>
  <c r="E18" i="4" s="1"/>
  <c r="O719" i="3"/>
  <c r="O718" i="3"/>
  <c r="G597" i="3"/>
  <c r="Z597" i="3" s="1"/>
  <c r="G596" i="3"/>
  <c r="Z596" i="3" s="1"/>
  <c r="G595" i="3"/>
  <c r="Z595" i="3" s="1"/>
  <c r="G594" i="3"/>
  <c r="Z594" i="3" s="1"/>
  <c r="Q7" i="4" l="1"/>
  <c r="Q6" i="4"/>
  <c r="Q5" i="4"/>
  <c r="G70" i="21" l="1"/>
  <c r="AD67" i="15" l="1" a="1"/>
  <c r="AD67" i="15" s="1"/>
  <c r="Y67" i="15" a="1"/>
  <c r="Y67" i="15" s="1"/>
  <c r="BE63" i="3" l="1"/>
  <c r="BE100" i="3"/>
  <c r="BE99" i="3"/>
  <c r="BE98" i="3"/>
  <c r="BE97" i="3"/>
  <c r="BE96" i="3"/>
  <c r="BE95" i="3"/>
  <c r="BE94" i="3"/>
  <c r="BE93" i="3"/>
  <c r="BE92" i="3"/>
  <c r="BE91" i="3"/>
  <c r="BE90" i="3"/>
  <c r="BE89" i="3"/>
  <c r="BE88" i="3"/>
  <c r="BE87" i="3"/>
  <c r="BE86" i="3"/>
  <c r="BE85" i="3"/>
  <c r="BE84" i="3"/>
  <c r="BE67" i="3"/>
  <c r="BE66" i="3"/>
  <c r="BE64"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R98" i="23" l="1"/>
  <c r="BQ98" i="23"/>
  <c r="BR97" i="23"/>
  <c r="BQ97" i="23"/>
  <c r="BR96" i="23"/>
  <c r="BQ96" i="23"/>
  <c r="AN28" i="23"/>
  <c r="AH28" i="23"/>
  <c r="AB28" i="23"/>
  <c r="V28" i="23"/>
  <c r="P28" i="23"/>
  <c r="S15" i="23"/>
  <c r="AO13" i="23"/>
  <c r="N11" i="23"/>
  <c r="BE18" i="3" s="1"/>
  <c r="N10" i="23"/>
  <c r="AB8" i="23"/>
  <c r="L6" i="23"/>
  <c r="L4" i="23"/>
  <c r="V21" i="23" a="1"/>
  <c r="V21" i="23" s="1"/>
  <c r="AN19" i="23" a="1"/>
  <c r="AN19" i="23" s="1"/>
  <c r="AB20" i="23" a="1"/>
  <c r="AB20" i="23" s="1"/>
  <c r="P21" i="23" a="1"/>
  <c r="P21" i="23" s="1"/>
  <c r="V20" i="23" a="1"/>
  <c r="V20" i="23" s="1"/>
  <c r="P20" i="23" a="1"/>
  <c r="P20" i="23" s="1"/>
  <c r="P19" i="23" a="1"/>
  <c r="P19" i="23" s="1"/>
  <c r="AH19" i="23" a="1"/>
  <c r="AH19" i="23" s="1"/>
  <c r="AB19" i="23" a="1"/>
  <c r="AB19" i="23" s="1"/>
  <c r="V19" i="23" a="1"/>
  <c r="V19" i="23" s="1"/>
  <c r="AB24" i="23" a="1"/>
  <c r="AB24" i="23" s="1"/>
  <c r="AN24" i="23" a="1"/>
  <c r="AN24" i="23" s="1"/>
  <c r="AH24" i="23" a="1"/>
  <c r="AH24" i="23" s="1"/>
  <c r="AB23" i="23" a="1"/>
  <c r="AB23" i="23" s="1"/>
  <c r="AN23" i="23" a="1"/>
  <c r="AN23" i="23" s="1"/>
  <c r="AH23" i="23" a="1"/>
  <c r="AH23" i="23" s="1"/>
  <c r="V24" i="23" a="1"/>
  <c r="V24" i="23" s="1"/>
  <c r="P24" i="23" a="1"/>
  <c r="P24" i="23" s="1"/>
  <c r="V23" i="23" a="1"/>
  <c r="V23" i="23" s="1"/>
  <c r="AN22" i="23" a="1"/>
  <c r="AN22" i="23" s="1"/>
  <c r="AB22" i="23" a="1"/>
  <c r="AB22" i="23" s="1"/>
  <c r="V22" i="23" a="1"/>
  <c r="V22" i="23" s="1"/>
  <c r="AH21" i="23" a="1"/>
  <c r="AH21" i="23" s="1"/>
  <c r="P23" i="23" a="1"/>
  <c r="P23" i="23" s="1"/>
  <c r="AN21" i="23" a="1"/>
  <c r="AN21" i="23" s="1"/>
  <c r="P22" i="23" a="1"/>
  <c r="P22" i="23" s="1"/>
  <c r="AH22" i="23" a="1"/>
  <c r="AH22" i="23" s="1"/>
  <c r="AB21" i="23" a="1"/>
  <c r="AB21" i="23" s="1"/>
  <c r="AN20" i="23" a="1"/>
  <c r="AN20" i="23" s="1"/>
  <c r="AH20" i="23" a="1"/>
  <c r="AH20" i="23" s="1"/>
  <c r="O203" i="23"/>
  <c r="AU192" i="23"/>
  <c r="O75" i="23"/>
  <c r="B64" i="23"/>
  <c r="B63" i="23"/>
  <c r="B62" i="23"/>
  <c r="B61" i="23"/>
  <c r="B60" i="23"/>
  <c r="Z57" i="23"/>
  <c r="R57" i="23"/>
  <c r="AS47" i="23"/>
  <c r="AS46" i="23"/>
  <c r="AS45" i="23"/>
  <c r="AS44" i="23"/>
  <c r="AS43" i="23"/>
  <c r="AS42" i="23"/>
  <c r="AS41" i="23"/>
  <c r="AS40" i="23"/>
  <c r="AS39" i="23"/>
  <c r="AS38" i="23"/>
  <c r="AS37" i="23"/>
  <c r="AS36" i="23"/>
  <c r="BA1041" i="3"/>
  <c r="BA1040" i="3"/>
  <c r="BA1046" i="3" s="1"/>
  <c r="CG718" i="3"/>
  <c r="CI718" i="3" s="1"/>
  <c r="BA1038" i="3"/>
  <c r="AZ1047" i="3"/>
  <c r="AZ1045" i="3"/>
  <c r="AZ1049" i="3" s="1"/>
  <c r="BA1052" i="3"/>
  <c r="BE7" i="3" l="1"/>
  <c r="J28" i="23"/>
  <c r="J23" i="23"/>
  <c r="O105" i="23"/>
  <c r="AN29" i="23"/>
  <c r="J20" i="23"/>
  <c r="AB29" i="23"/>
  <c r="J21" i="23"/>
  <c r="AH29" i="23"/>
  <c r="J22" i="23"/>
  <c r="J19" i="23"/>
  <c r="P29" i="23"/>
  <c r="V29" i="23"/>
  <c r="J24" i="23"/>
  <c r="R93" i="23"/>
  <c r="R80" i="23"/>
  <c r="AZ1052" i="3"/>
  <c r="BE8" i="3" l="1"/>
  <c r="BE9" i="3" s="1"/>
  <c r="J29" i="23"/>
  <c r="AT24" i="23" s="1"/>
  <c r="BH247" i="3"/>
  <c r="T212" i="3"/>
  <c r="I14" i="21"/>
  <c r="G137" i="21"/>
  <c r="G86" i="21"/>
  <c r="B82" i="21"/>
  <c r="B67" i="21"/>
  <c r="B92" i="21"/>
  <c r="B58" i="21"/>
  <c r="B49" i="21"/>
  <c r="BA1042" i="3" l="1"/>
  <c r="BD1051" i="3" s="1" a="1"/>
  <c r="BD1051" i="3" s="1"/>
  <c r="C5" i="7"/>
  <c r="BE10" i="3"/>
  <c r="BE11" i="3" s="1"/>
  <c r="AT19" i="23"/>
  <c r="AT21" i="23"/>
  <c r="AT26" i="23"/>
  <c r="AT29" i="23"/>
  <c r="AT25" i="23"/>
  <c r="AY45" i="23"/>
  <c r="AY41" i="23"/>
  <c r="AY37" i="23"/>
  <c r="AT27" i="23"/>
  <c r="AY46" i="23"/>
  <c r="AT28" i="23"/>
  <c r="AY42" i="23"/>
  <c r="AY43" i="23"/>
  <c r="AY39" i="23"/>
  <c r="AY44" i="23"/>
  <c r="AY40" i="23"/>
  <c r="AY47" i="23"/>
  <c r="AY36" i="23"/>
  <c r="AT23" i="23"/>
  <c r="AT20" i="23"/>
  <c r="AY38" i="23"/>
  <c r="AT22" i="23"/>
  <c r="G37" i="21"/>
  <c r="P18" i="21"/>
  <c r="BE12" i="3" l="1"/>
  <c r="BE13" i="3" s="1"/>
  <c r="BE14" i="3" s="1"/>
  <c r="BE15" i="3" s="1"/>
  <c r="C39" i="21"/>
  <c r="G136" i="21"/>
  <c r="AO22" i="20"/>
  <c r="AO17" i="20"/>
  <c r="AO13" i="20"/>
  <c r="AO25" i="20"/>
  <c r="AY1023" i="3"/>
  <c r="AY1022" i="3"/>
  <c r="AY1021" i="3"/>
  <c r="AY1020" i="3"/>
  <c r="AY1019" i="3"/>
  <c r="AY1018" i="3"/>
  <c r="AY1017" i="3"/>
  <c r="AY1016" i="3"/>
  <c r="AY1015" i="3"/>
  <c r="AY1014" i="3"/>
  <c r="AY1013" i="3"/>
  <c r="AG444" i="3" l="1"/>
  <c r="AG441" i="3"/>
  <c r="BN150" i="3" l="1"/>
  <c r="C178" i="20" l="1"/>
  <c r="U374" i="20"/>
  <c r="AJ711" i="20"/>
  <c r="L100" i="21"/>
  <c r="X752" i="3" l="1"/>
  <c r="AH752" i="3"/>
  <c r="BF751" i="3"/>
  <c r="BS751" i="3"/>
  <c r="BS752" i="3"/>
  <c r="AJ1020" i="3"/>
  <c r="BF740" i="3" l="1"/>
  <c r="AH751" i="3"/>
  <c r="AH742" i="3"/>
  <c r="AY1027" i="3"/>
  <c r="G753" i="3"/>
  <c r="C757" i="3" l="1"/>
  <c r="AX690" i="20"/>
  <c r="AX689" i="20"/>
  <c r="AJ725" i="20"/>
  <c r="AO597" i="20"/>
  <c r="AP583" i="20"/>
  <c r="BS742" i="3" l="1"/>
  <c r="BS743" i="3"/>
  <c r="BS744" i="3"/>
  <c r="BS745" i="3"/>
  <c r="BS746" i="3"/>
  <c r="BS747" i="3"/>
  <c r="BS748" i="3"/>
  <c r="BS749" i="3"/>
  <c r="BS750" i="3"/>
  <c r="BF742" i="3"/>
  <c r="BF743" i="3"/>
  <c r="BF744" i="3"/>
  <c r="BF745" i="3"/>
  <c r="BF746" i="3"/>
  <c r="BF747" i="3"/>
  <c r="BF748" i="3"/>
  <c r="BF749" i="3"/>
  <c r="BF750" i="3"/>
  <c r="BF741" i="3"/>
  <c r="BF752"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6" i="8"/>
  <c r="I6" i="8"/>
  <c r="AH750" i="3"/>
  <c r="AH749" i="3"/>
  <c r="AH748" i="3"/>
  <c r="AH747" i="3"/>
  <c r="AH746" i="3"/>
  <c r="AH745" i="3"/>
  <c r="AH744" i="3"/>
  <c r="AH743" i="3"/>
  <c r="AH741" i="3"/>
  <c r="AH740" i="3"/>
  <c r="AH739" i="3"/>
  <c r="AH738" i="3"/>
  <c r="AH737" i="3"/>
  <c r="AH736" i="3"/>
  <c r="AH735" i="3"/>
  <c r="AH734" i="3"/>
  <c r="AH733" i="3"/>
  <c r="AH732" i="3"/>
  <c r="AH731" i="3"/>
  <c r="AH730" i="3"/>
  <c r="DU751" i="3"/>
  <c r="DZ751" i="3"/>
  <c r="EE751" i="3"/>
  <c r="EJ751" i="3"/>
  <c r="EO751" i="3"/>
  <c r="ET751"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49" i="3"/>
  <c r="DZ749" i="3"/>
  <c r="EE749" i="3"/>
  <c r="EJ749" i="3"/>
  <c r="EO749" i="3"/>
  <c r="ET749" i="3"/>
  <c r="DU750" i="3"/>
  <c r="DZ750" i="3"/>
  <c r="EE750" i="3"/>
  <c r="EJ750" i="3"/>
  <c r="EO750" i="3"/>
  <c r="ET750" i="3"/>
  <c r="CP751" i="3"/>
  <c r="EZ751" i="3" s="1"/>
  <c r="CU751" i="3"/>
  <c r="FE751" i="3" s="1"/>
  <c r="CZ751" i="3"/>
  <c r="FJ751" i="3" s="1"/>
  <c r="DE751" i="3"/>
  <c r="FO751" i="3" s="1"/>
  <c r="DJ751" i="3"/>
  <c r="FT751" i="3" s="1"/>
  <c r="DO751" i="3"/>
  <c r="FY751" i="3" s="1"/>
  <c r="CP741" i="3"/>
  <c r="EZ741" i="3" s="1"/>
  <c r="CU741" i="3"/>
  <c r="FE741" i="3" s="1"/>
  <c r="CZ741" i="3"/>
  <c r="FJ741" i="3" s="1"/>
  <c r="DE741" i="3"/>
  <c r="FO741" i="3" s="1"/>
  <c r="DJ741" i="3"/>
  <c r="FT741" i="3" s="1"/>
  <c r="DO741" i="3"/>
  <c r="FY741" i="3" s="1"/>
  <c r="CP742" i="3"/>
  <c r="EZ742" i="3" s="1"/>
  <c r="CU742" i="3"/>
  <c r="FE742" i="3" s="1"/>
  <c r="CZ742" i="3"/>
  <c r="FJ742" i="3" s="1"/>
  <c r="DE742" i="3"/>
  <c r="FO742" i="3" s="1"/>
  <c r="DJ742" i="3"/>
  <c r="FT742" i="3" s="1"/>
  <c r="DO742" i="3"/>
  <c r="FY742" i="3" s="1"/>
  <c r="CP743" i="3"/>
  <c r="EZ743" i="3" s="1"/>
  <c r="CU743" i="3"/>
  <c r="FE743" i="3" s="1"/>
  <c r="CZ743" i="3"/>
  <c r="FJ743" i="3" s="1"/>
  <c r="DE743" i="3"/>
  <c r="FO743" i="3" s="1"/>
  <c r="DJ743" i="3"/>
  <c r="FT743" i="3" s="1"/>
  <c r="DO743" i="3"/>
  <c r="FY743" i="3" s="1"/>
  <c r="CP744" i="3"/>
  <c r="EZ744" i="3" s="1"/>
  <c r="CU744" i="3"/>
  <c r="FE744" i="3" s="1"/>
  <c r="CZ744" i="3"/>
  <c r="FJ744" i="3" s="1"/>
  <c r="DE744" i="3"/>
  <c r="FO744" i="3" s="1"/>
  <c r="DJ744" i="3"/>
  <c r="FT744" i="3" s="1"/>
  <c r="DO744" i="3"/>
  <c r="FY744" i="3" s="1"/>
  <c r="CP745" i="3"/>
  <c r="EZ745" i="3" s="1"/>
  <c r="CU745" i="3"/>
  <c r="FE745" i="3" s="1"/>
  <c r="CZ745" i="3"/>
  <c r="FJ745" i="3" s="1"/>
  <c r="DE745" i="3"/>
  <c r="FO745" i="3" s="1"/>
  <c r="DJ745" i="3"/>
  <c r="FT745" i="3" s="1"/>
  <c r="DO745" i="3"/>
  <c r="FY745" i="3" s="1"/>
  <c r="CP746" i="3"/>
  <c r="EZ746" i="3" s="1"/>
  <c r="CU746" i="3"/>
  <c r="FE746" i="3" s="1"/>
  <c r="CZ746" i="3"/>
  <c r="FJ746" i="3" s="1"/>
  <c r="DE746" i="3"/>
  <c r="FO746" i="3" s="1"/>
  <c r="DJ746" i="3"/>
  <c r="FT746" i="3" s="1"/>
  <c r="DO746" i="3"/>
  <c r="FY746" i="3" s="1"/>
  <c r="CP747" i="3"/>
  <c r="EZ747" i="3" s="1"/>
  <c r="CU747" i="3"/>
  <c r="FE747" i="3" s="1"/>
  <c r="CZ747" i="3"/>
  <c r="FJ747" i="3" s="1"/>
  <c r="DE747" i="3"/>
  <c r="FO747" i="3" s="1"/>
  <c r="DJ747" i="3"/>
  <c r="FT747" i="3" s="1"/>
  <c r="DO747" i="3"/>
  <c r="FY747" i="3" s="1"/>
  <c r="CP748" i="3"/>
  <c r="EZ748" i="3" s="1"/>
  <c r="CU748" i="3"/>
  <c r="FE748" i="3" s="1"/>
  <c r="CZ748" i="3"/>
  <c r="FJ748" i="3" s="1"/>
  <c r="DE748" i="3"/>
  <c r="FO748" i="3" s="1"/>
  <c r="DJ748" i="3"/>
  <c r="FT748" i="3" s="1"/>
  <c r="DO748" i="3"/>
  <c r="FY748"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G751" i="3"/>
  <c r="CI751" i="3" s="1"/>
  <c r="CK751" i="3"/>
  <c r="CM751" i="3" s="1"/>
  <c r="CG741" i="3"/>
  <c r="CI741" i="3" s="1"/>
  <c r="CK741" i="3"/>
  <c r="CM741" i="3" s="1"/>
  <c r="CG742" i="3"/>
  <c r="CI742" i="3" s="1"/>
  <c r="CK742" i="3"/>
  <c r="CM742" i="3" s="1"/>
  <c r="CG743" i="3"/>
  <c r="CI743" i="3" s="1"/>
  <c r="CK743" i="3"/>
  <c r="CM743" i="3" s="1"/>
  <c r="CG744" i="3"/>
  <c r="CI744" i="3" s="1"/>
  <c r="CK744" i="3"/>
  <c r="CM744" i="3" s="1"/>
  <c r="CG745" i="3"/>
  <c r="CI745" i="3" s="1"/>
  <c r="CK745" i="3"/>
  <c r="CM745" i="3" s="1"/>
  <c r="CG746" i="3"/>
  <c r="CI746" i="3" s="1"/>
  <c r="CK746" i="3"/>
  <c r="CM746" i="3" s="1"/>
  <c r="CG747" i="3"/>
  <c r="CI747" i="3" s="1"/>
  <c r="CK747" i="3"/>
  <c r="CM747" i="3" s="1"/>
  <c r="CG748" i="3"/>
  <c r="CI748" i="3" s="1"/>
  <c r="CK748" i="3"/>
  <c r="CM748" i="3" s="1"/>
  <c r="CG749" i="3"/>
  <c r="CI749" i="3" s="1"/>
  <c r="CK749" i="3"/>
  <c r="CM749" i="3" s="1"/>
  <c r="CG750" i="3"/>
  <c r="CI750" i="3" s="1"/>
  <c r="CK750" i="3"/>
  <c r="CM750" i="3" s="1"/>
  <c r="X742" i="3" l="1"/>
  <c r="X743" i="3"/>
  <c r="X744" i="3"/>
  <c r="X745" i="3"/>
  <c r="X746" i="3"/>
  <c r="X747" i="3"/>
  <c r="X748" i="3"/>
  <c r="X749" i="3"/>
  <c r="X750" i="3"/>
  <c r="X751" i="3"/>
  <c r="AJ180" i="20" l="1"/>
  <c r="AJ166" i="20"/>
  <c r="AK338" i="20" l="1"/>
  <c r="AP293" i="20"/>
  <c r="AJ1025"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S24" i="4" s="1"/>
  <c r="E24" i="13" s="1"/>
  <c r="F24" i="13" s="1"/>
  <c r="AF1026" i="3"/>
  <c r="AF1021" i="3"/>
  <c r="E40" i="7"/>
  <c r="A40" i="7"/>
  <c r="E33" i="7"/>
  <c r="E32" i="7"/>
  <c r="E31" i="7"/>
  <c r="E30" i="7"/>
  <c r="E29" i="7"/>
  <c r="E28" i="7"/>
  <c r="E27" i="7"/>
  <c r="E26" i="7"/>
  <c r="W847" i="3"/>
  <c r="E15" i="7" s="1"/>
  <c r="G15" i="7" s="1"/>
  <c r="E16" i="7"/>
  <c r="G16" i="7" s="1"/>
  <c r="I16" i="7" s="1"/>
  <c r="K16" i="7" s="1"/>
  <c r="M16" i="7" s="1"/>
  <c r="O16" i="7" s="1"/>
  <c r="Q16" i="7" s="1"/>
  <c r="S16" i="7" s="1"/>
  <c r="U16" i="7" s="1"/>
  <c r="W16" i="7" s="1"/>
  <c r="Y16" i="7" s="1"/>
  <c r="AA16" i="7" s="1"/>
  <c r="AC16" i="7" s="1"/>
  <c r="AE16" i="7" s="1"/>
  <c r="AG16" i="7" s="1"/>
  <c r="W855" i="3"/>
  <c r="E17" i="7" s="1"/>
  <c r="G17" i="7" s="1"/>
  <c r="I17" i="7" s="1"/>
  <c r="K17" i="7" s="1"/>
  <c r="M17" i="7" s="1"/>
  <c r="O17" i="7" s="1"/>
  <c r="Q17" i="7" s="1"/>
  <c r="S17" i="7" s="1"/>
  <c r="U17" i="7" s="1"/>
  <c r="W17" i="7" s="1"/>
  <c r="Y17" i="7" s="1"/>
  <c r="AA17" i="7" s="1"/>
  <c r="AC17" i="7" s="1"/>
  <c r="AE17" i="7" s="1"/>
  <c r="AG17" i="7" s="1"/>
  <c r="W862" i="3"/>
  <c r="E18" i="7" s="1"/>
  <c r="G18" i="7" s="1"/>
  <c r="I18" i="7" s="1"/>
  <c r="K18" i="7" s="1"/>
  <c r="M18" i="7" s="1"/>
  <c r="O18" i="7" s="1"/>
  <c r="Q18" i="7" s="1"/>
  <c r="S18" i="7" s="1"/>
  <c r="U18" i="7" s="1"/>
  <c r="W18" i="7" s="1"/>
  <c r="Y18" i="7" s="1"/>
  <c r="AA18" i="7" s="1"/>
  <c r="AC18" i="7" s="1"/>
  <c r="AE18" i="7" s="1"/>
  <c r="AG18" i="7" s="1"/>
  <c r="E19" i="7"/>
  <c r="W872" i="3"/>
  <c r="W879" i="3"/>
  <c r="E21" i="7" s="1"/>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DG122" i="3"/>
  <c r="R989" i="3" s="1"/>
  <c r="CP718" i="3"/>
  <c r="CP719" i="3"/>
  <c r="EZ719" i="3" s="1"/>
  <c r="CP720" i="3"/>
  <c r="EZ720" i="3" s="1"/>
  <c r="CP721" i="3"/>
  <c r="EZ721" i="3" s="1"/>
  <c r="CP722" i="3"/>
  <c r="EZ722" i="3" s="1"/>
  <c r="CP723" i="3"/>
  <c r="EZ723" i="3" s="1"/>
  <c r="CP724" i="3"/>
  <c r="EZ724" i="3" s="1"/>
  <c r="CP725" i="3"/>
  <c r="EZ725" i="3" s="1"/>
  <c r="CP726" i="3"/>
  <c r="EZ726" i="3" s="1"/>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52" i="3"/>
  <c r="EZ752" i="3" s="1"/>
  <c r="CP773" i="3"/>
  <c r="CP774" i="3"/>
  <c r="CP775" i="3"/>
  <c r="CP776" i="3"/>
  <c r="CP787" i="3"/>
  <c r="DU787" i="3" s="1"/>
  <c r="CP788" i="3"/>
  <c r="DU788" i="3" s="1"/>
  <c r="CP789" i="3"/>
  <c r="DU789" i="3" s="1"/>
  <c r="CP790" i="3"/>
  <c r="CP791" i="3"/>
  <c r="DU791" i="3" s="1"/>
  <c r="CP792" i="3"/>
  <c r="DU792" i="3" s="1"/>
  <c r="CP793" i="3"/>
  <c r="DU793" i="3" s="1"/>
  <c r="CP794" i="3"/>
  <c r="DU794" i="3" s="1"/>
  <c r="CP795" i="3"/>
  <c r="DU795" i="3" s="1"/>
  <c r="CP796" i="3"/>
  <c r="DU796" i="3" s="1"/>
  <c r="CU718" i="3"/>
  <c r="CU719" i="3"/>
  <c r="FE719" i="3" s="1"/>
  <c r="CU720" i="3"/>
  <c r="FE720" i="3" s="1"/>
  <c r="CU721" i="3"/>
  <c r="FE721" i="3" s="1"/>
  <c r="CU722" i="3"/>
  <c r="FE722" i="3" s="1"/>
  <c r="CU723" i="3"/>
  <c r="FE723" i="3" s="1"/>
  <c r="CU724" i="3"/>
  <c r="FE724" i="3" s="1"/>
  <c r="CU725" i="3"/>
  <c r="FE725" i="3" s="1"/>
  <c r="CU726" i="3"/>
  <c r="FE726" i="3" s="1"/>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52" i="3"/>
  <c r="FE752" i="3" s="1"/>
  <c r="CU773" i="3"/>
  <c r="CU774" i="3"/>
  <c r="CU775" i="3"/>
  <c r="CU776" i="3"/>
  <c r="CU787" i="3"/>
  <c r="DZ787" i="3" s="1"/>
  <c r="CU788" i="3"/>
  <c r="DZ788" i="3" s="1"/>
  <c r="CU789" i="3"/>
  <c r="DZ789" i="3" s="1"/>
  <c r="CU790" i="3"/>
  <c r="DZ790" i="3" s="1"/>
  <c r="CU791" i="3"/>
  <c r="DZ791" i="3" s="1"/>
  <c r="CU792" i="3"/>
  <c r="DZ792" i="3" s="1"/>
  <c r="CU793" i="3"/>
  <c r="DZ793" i="3" s="1"/>
  <c r="CU794" i="3"/>
  <c r="DZ794" i="3" s="1"/>
  <c r="CU795" i="3"/>
  <c r="DZ795" i="3" s="1"/>
  <c r="CU796" i="3"/>
  <c r="DZ796" i="3" s="1"/>
  <c r="CZ718" i="3"/>
  <c r="FJ718" i="3" s="1"/>
  <c r="CZ719" i="3"/>
  <c r="FJ719" i="3" s="1"/>
  <c r="CZ720" i="3"/>
  <c r="FJ720" i="3" s="1"/>
  <c r="CZ721" i="3"/>
  <c r="FJ721" i="3" s="1"/>
  <c r="CZ722" i="3"/>
  <c r="FJ722" i="3" s="1"/>
  <c r="CZ723" i="3"/>
  <c r="FJ723" i="3" s="1"/>
  <c r="CZ724" i="3"/>
  <c r="FJ724" i="3" s="1"/>
  <c r="CZ725" i="3"/>
  <c r="FJ725"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52" i="3"/>
  <c r="FJ752" i="3" s="1"/>
  <c r="CZ773" i="3"/>
  <c r="CZ774" i="3"/>
  <c r="CZ775" i="3"/>
  <c r="CZ776" i="3"/>
  <c r="CZ787" i="3"/>
  <c r="EE787" i="3" s="1"/>
  <c r="CZ788" i="3"/>
  <c r="EE788" i="3" s="1"/>
  <c r="CZ789" i="3"/>
  <c r="EE789" i="3" s="1"/>
  <c r="CZ790" i="3"/>
  <c r="EE790" i="3" s="1"/>
  <c r="CZ791" i="3"/>
  <c r="EE791" i="3" s="1"/>
  <c r="CZ792" i="3"/>
  <c r="EE792" i="3" s="1"/>
  <c r="CZ793" i="3"/>
  <c r="EE793" i="3" s="1"/>
  <c r="CZ794" i="3"/>
  <c r="CZ795" i="3"/>
  <c r="EE795" i="3" s="1"/>
  <c r="CZ796" i="3"/>
  <c r="EE796" i="3" s="1"/>
  <c r="DE718" i="3"/>
  <c r="FO718" i="3" s="1"/>
  <c r="DE719" i="3"/>
  <c r="FO719" i="3" s="1"/>
  <c r="DE720" i="3"/>
  <c r="FO720" i="3" s="1"/>
  <c r="DE721" i="3"/>
  <c r="FO721" i="3" s="1"/>
  <c r="DE722" i="3"/>
  <c r="FO722" i="3" s="1"/>
  <c r="DE723" i="3"/>
  <c r="FO723" i="3" s="1"/>
  <c r="DE724" i="3"/>
  <c r="FO724" i="3" s="1"/>
  <c r="DE725" i="3"/>
  <c r="FO725"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52" i="3"/>
  <c r="FO752" i="3" s="1"/>
  <c r="DE773" i="3"/>
  <c r="DE774" i="3"/>
  <c r="DE775" i="3"/>
  <c r="DE776" i="3"/>
  <c r="DE787" i="3"/>
  <c r="EJ787" i="3" s="1"/>
  <c r="DE788" i="3"/>
  <c r="EJ788" i="3" s="1"/>
  <c r="DE789" i="3"/>
  <c r="EJ789" i="3" s="1"/>
  <c r="DE790" i="3"/>
  <c r="EJ790" i="3" s="1"/>
  <c r="DE791" i="3"/>
  <c r="EJ791" i="3" s="1"/>
  <c r="DE792" i="3"/>
  <c r="EJ792" i="3" s="1"/>
  <c r="DE793" i="3"/>
  <c r="EJ793" i="3" s="1"/>
  <c r="DE794" i="3"/>
  <c r="EJ794" i="3" s="1"/>
  <c r="DE795" i="3"/>
  <c r="EJ795" i="3" s="1"/>
  <c r="DE796" i="3"/>
  <c r="EJ796" i="3" s="1"/>
  <c r="DO787" i="3"/>
  <c r="ET787" i="3" s="1"/>
  <c r="DO788" i="3"/>
  <c r="ET788" i="3" s="1"/>
  <c r="DO789" i="3"/>
  <c r="ET789" i="3" s="1"/>
  <c r="DO790" i="3"/>
  <c r="ET790" i="3" s="1"/>
  <c r="DO791" i="3"/>
  <c r="ET791" i="3" s="1"/>
  <c r="DO792" i="3"/>
  <c r="ET792" i="3" s="1"/>
  <c r="DO793" i="3"/>
  <c r="ET793" i="3" s="1"/>
  <c r="DO794" i="3"/>
  <c r="ET794" i="3" s="1"/>
  <c r="DO795" i="3"/>
  <c r="ET795" i="3" s="1"/>
  <c r="DO796" i="3"/>
  <c r="ET796" i="3" s="1"/>
  <c r="DO773" i="3"/>
  <c r="DO774" i="3"/>
  <c r="DO775" i="3"/>
  <c r="DO776" i="3"/>
  <c r="DO718" i="3"/>
  <c r="FY718" i="3" s="1"/>
  <c r="DO719" i="3"/>
  <c r="FY719" i="3" s="1"/>
  <c r="DO720" i="3"/>
  <c r="FY720" i="3" s="1"/>
  <c r="DO721" i="3"/>
  <c r="FY721" i="3" s="1"/>
  <c r="DO722" i="3"/>
  <c r="FY722" i="3" s="1"/>
  <c r="DO723" i="3"/>
  <c r="FY723" i="3" s="1"/>
  <c r="DO724" i="3"/>
  <c r="FY724" i="3" s="1"/>
  <c r="DO725" i="3"/>
  <c r="FY725" i="3" s="1"/>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52" i="3"/>
  <c r="FY752" i="3" s="1"/>
  <c r="DJ718" i="3"/>
  <c r="FT718" i="3" s="1"/>
  <c r="DJ719" i="3"/>
  <c r="FT719" i="3" s="1"/>
  <c r="DJ720" i="3"/>
  <c r="FT720" i="3" s="1"/>
  <c r="DJ721" i="3"/>
  <c r="FT721" i="3" s="1"/>
  <c r="DJ722" i="3"/>
  <c r="FT722" i="3" s="1"/>
  <c r="DJ723" i="3"/>
  <c r="FT723" i="3" s="1"/>
  <c r="DJ724" i="3"/>
  <c r="FT724" i="3" s="1"/>
  <c r="DJ725" i="3"/>
  <c r="FT725"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52" i="3"/>
  <c r="FT752" i="3" s="1"/>
  <c r="DJ773" i="3"/>
  <c r="DJ774" i="3"/>
  <c r="DJ775" i="3"/>
  <c r="DJ776" i="3"/>
  <c r="DJ787" i="3"/>
  <c r="DJ788" i="3"/>
  <c r="EO788" i="3" s="1"/>
  <c r="DJ789" i="3"/>
  <c r="EO789" i="3" s="1"/>
  <c r="DJ790" i="3"/>
  <c r="EO790" i="3" s="1"/>
  <c r="DJ791" i="3"/>
  <c r="EO791" i="3" s="1"/>
  <c r="DJ792" i="3"/>
  <c r="EO792" i="3" s="1"/>
  <c r="DJ793" i="3"/>
  <c r="EO793" i="3" s="1"/>
  <c r="DJ794" i="3"/>
  <c r="EO794" i="3" s="1"/>
  <c r="DJ795" i="3"/>
  <c r="EO795" i="3" s="1"/>
  <c r="DJ796" i="3"/>
  <c r="EO796" i="3" s="1"/>
  <c r="AJ1001" i="3"/>
  <c r="AJ1007" i="3"/>
  <c r="AJ1011" i="3"/>
  <c r="AJ1013" i="3"/>
  <c r="AJ1032" i="3"/>
  <c r="AJ1041" i="3"/>
  <c r="CG719" i="3"/>
  <c r="CI719" i="3" s="1"/>
  <c r="CG720" i="3"/>
  <c r="CI720" i="3" s="1"/>
  <c r="CG721" i="3"/>
  <c r="CI721" i="3" s="1"/>
  <c r="CG722" i="3"/>
  <c r="CI722" i="3" s="1"/>
  <c r="CG723" i="3"/>
  <c r="CI723" i="3" s="1"/>
  <c r="CG724" i="3"/>
  <c r="CI724" i="3" s="1"/>
  <c r="CG725" i="3"/>
  <c r="CI725" i="3" s="1"/>
  <c r="CG726" i="3"/>
  <c r="CI726" i="3" s="1"/>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52" i="3"/>
  <c r="CI752" i="3" s="1"/>
  <c r="CK718" i="3"/>
  <c r="CM718" i="3" s="1"/>
  <c r="CK719" i="3"/>
  <c r="CM719" i="3" s="1"/>
  <c r="CK720" i="3"/>
  <c r="CM720" i="3" s="1"/>
  <c r="CK721" i="3"/>
  <c r="CM721" i="3" s="1"/>
  <c r="CK722" i="3"/>
  <c r="CM722" i="3" s="1"/>
  <c r="CK723" i="3"/>
  <c r="CM723" i="3" s="1"/>
  <c r="CK724" i="3"/>
  <c r="CM724" i="3" s="1"/>
  <c r="CK725" i="3"/>
  <c r="CM725"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52" i="3"/>
  <c r="CM752" i="3" s="1"/>
  <c r="AO639" i="3"/>
  <c r="AD64" i="15"/>
  <c r="W700" i="3"/>
  <c r="BE69" i="3" s="1"/>
  <c r="BG226" i="3"/>
  <c r="BG227" i="3"/>
  <c r="BG228" i="3"/>
  <c r="BG229" i="3"/>
  <c r="BG230" i="3"/>
  <c r="BG232" i="3"/>
  <c r="BG233" i="3"/>
  <c r="BG234" i="3"/>
  <c r="BG236" i="3"/>
  <c r="BG237" i="3"/>
  <c r="BG238" i="3"/>
  <c r="BG239" i="3"/>
  <c r="BG240" i="3"/>
  <c r="BG241" i="3"/>
  <c r="M232" i="3"/>
  <c r="AG450" i="3"/>
  <c r="BE24" i="3" s="1"/>
  <c r="O797" i="3"/>
  <c r="O777" i="3"/>
  <c r="AP106" i="20"/>
  <c r="BF718" i="3"/>
  <c r="BF719" i="3"/>
  <c r="BF720" i="3"/>
  <c r="BF721" i="3"/>
  <c r="BF722" i="3"/>
  <c r="BF723" i="3"/>
  <c r="BF724" i="3"/>
  <c r="BF725" i="3"/>
  <c r="BF726" i="3"/>
  <c r="BF727" i="3"/>
  <c r="BF728" i="3"/>
  <c r="BF729" i="3"/>
  <c r="BF730" i="3"/>
  <c r="BF731" i="3"/>
  <c r="BF732" i="3"/>
  <c r="BF733" i="3"/>
  <c r="BF734" i="3"/>
  <c r="BF735" i="3"/>
  <c r="BF736" i="3"/>
  <c r="BF737" i="3"/>
  <c r="BF738" i="3"/>
  <c r="BF739" i="3"/>
  <c r="AJ652" i="20"/>
  <c r="AJ792" i="20"/>
  <c r="AP294" i="20"/>
  <c r="AP295" i="20" s="1"/>
  <c r="AO31" i="20"/>
  <c r="AO32" i="20" s="1"/>
  <c r="AO26" i="20"/>
  <c r="AO21" i="20"/>
  <c r="AO20" i="20"/>
  <c r="AO16" i="20"/>
  <c r="AO15" i="20"/>
  <c r="AO14" i="20"/>
  <c r="G131" i="21"/>
  <c r="G128" i="21"/>
  <c r="E130" i="21" s="1"/>
  <c r="I9" i="21"/>
  <c r="C26" i="4"/>
  <c r="B26" i="13" s="1"/>
  <c r="G72" i="21"/>
  <c r="G78" i="21" s="1"/>
  <c r="G109" i="21"/>
  <c r="M20" i="21"/>
  <c r="M21" i="21"/>
  <c r="M22" i="21"/>
  <c r="M23" i="21"/>
  <c r="M24" i="21"/>
  <c r="M25" i="21"/>
  <c r="M26" i="21"/>
  <c r="M27" i="21"/>
  <c r="M28" i="21"/>
  <c r="M29" i="21"/>
  <c r="M30" i="21"/>
  <c r="M31" i="21"/>
  <c r="M32" i="21"/>
  <c r="M33" i="21"/>
  <c r="M34" i="21"/>
  <c r="M35" i="21"/>
  <c r="M36" i="21"/>
  <c r="M37" i="21"/>
  <c r="M38" i="21"/>
  <c r="M39" i="21"/>
  <c r="M40" i="21"/>
  <c r="M41" i="21"/>
  <c r="M42" i="21"/>
  <c r="M43" i="21"/>
  <c r="M44" i="21"/>
  <c r="L97" i="21"/>
  <c r="L98" i="21"/>
  <c r="L99" i="21"/>
  <c r="L101" i="21"/>
  <c r="L102" i="21"/>
  <c r="L103" i="21"/>
  <c r="L104"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B4" i="8"/>
  <c r="G4" i="8" s="1"/>
  <c r="B5" i="8"/>
  <c r="G5" i="8" s="1"/>
  <c r="B6" i="8"/>
  <c r="G6" i="8" s="1"/>
  <c r="B10" i="8"/>
  <c r="G10" i="8" s="1"/>
  <c r="E88" i="21"/>
  <c r="E79" i="21"/>
  <c r="B35" i="21"/>
  <c r="B20" i="21"/>
  <c r="B7" i="8"/>
  <c r="G7" i="8" s="1"/>
  <c r="AK285" i="20"/>
  <c r="T814" i="20" s="1"/>
  <c r="AF814" i="20" s="1"/>
  <c r="BE78" i="3"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21" i="20" a="1"/>
  <c r="AV121" i="20" s="1"/>
  <c r="AV120" i="20" a="1"/>
  <c r="AV120" i="20" s="1"/>
  <c r="AV119" i="20" a="1"/>
  <c r="AV119" i="20" s="1"/>
  <c r="AV118" i="20" a="1"/>
  <c r="AV118" i="20" s="1"/>
  <c r="AV117" i="20" a="1"/>
  <c r="AV117" i="20" s="1"/>
  <c r="AV116" i="20" a="1"/>
  <c r="AV116" i="20" s="1"/>
  <c r="AU121" i="20"/>
  <c r="AU120" i="20"/>
  <c r="AU119" i="20"/>
  <c r="AU118" i="20"/>
  <c r="AU117" i="20"/>
  <c r="AU116"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B24" i="13"/>
  <c r="C24" i="13" s="1"/>
  <c r="C104" i="4"/>
  <c r="B104" i="13" s="1"/>
  <c r="B99" i="4"/>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A61" i="15"/>
  <c r="BA479" i="3"/>
  <c r="BA470" i="3"/>
  <c r="G24" i="7"/>
  <c r="I24" i="7" s="1"/>
  <c r="K24" i="7" s="1"/>
  <c r="M24" i="7" s="1"/>
  <c r="O24" i="7" s="1"/>
  <c r="Q24" i="7" s="1"/>
  <c r="S24" i="7" s="1"/>
  <c r="U24" i="7" s="1"/>
  <c r="W24" i="7" s="1"/>
  <c r="Y24" i="7" s="1"/>
  <c r="AA24" i="7" s="1"/>
  <c r="AC24" i="7" s="1"/>
  <c r="AE24" i="7" s="1"/>
  <c r="AG24" i="7" s="1"/>
  <c r="B100" i="4"/>
  <c r="R100" i="4"/>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36" i="20"/>
  <c r="AQ112" i="20"/>
  <c r="AO130" i="20"/>
  <c r="AO131" i="20"/>
  <c r="AO132" i="20"/>
  <c r="AO133" i="20"/>
  <c r="AO134" i="20"/>
  <c r="AO135" i="20"/>
  <c r="AO136" i="20"/>
  <c r="AO113" i="20"/>
  <c r="AO114" i="20"/>
  <c r="AO115" i="20"/>
  <c r="AO116" i="20"/>
  <c r="AO117" i="20"/>
  <c r="AO118" i="20"/>
  <c r="AO119" i="20"/>
  <c r="AO120" i="20"/>
  <c r="AO121" i="20"/>
  <c r="AO122" i="20"/>
  <c r="AO123" i="20"/>
  <c r="AO124" i="20"/>
  <c r="AO125" i="20"/>
  <c r="AO126" i="20"/>
  <c r="AO127" i="20"/>
  <c r="AO128" i="20"/>
  <c r="AO129" i="20"/>
  <c r="AO112" i="20"/>
  <c r="BS719" i="3"/>
  <c r="BS720" i="3"/>
  <c r="BS721" i="3"/>
  <c r="BS722" i="3"/>
  <c r="BS723" i="3"/>
  <c r="BS724" i="3"/>
  <c r="BS725" i="3"/>
  <c r="BS726" i="3"/>
  <c r="BS727" i="3"/>
  <c r="BS728" i="3"/>
  <c r="BS729" i="3"/>
  <c r="BS730" i="3"/>
  <c r="BS731" i="3"/>
  <c r="BS732" i="3"/>
  <c r="BS733" i="3"/>
  <c r="BS734" i="3"/>
  <c r="BS735" i="3"/>
  <c r="BS736" i="3"/>
  <c r="BS737" i="3"/>
  <c r="BS738" i="3"/>
  <c r="BS739" i="3"/>
  <c r="BS740" i="3"/>
  <c r="BS741" i="3"/>
  <c r="BS718" i="3"/>
  <c r="AH729" i="3"/>
  <c r="X729" i="3"/>
  <c r="AH726" i="3"/>
  <c r="X726" i="3"/>
  <c r="AH727" i="3"/>
  <c r="X727" i="3"/>
  <c r="AH725" i="3"/>
  <c r="X725" i="3"/>
  <c r="AH728" i="3"/>
  <c r="X728" i="3"/>
  <c r="AB245" i="20"/>
  <c r="AB247" i="20" s="1"/>
  <c r="AB233" i="20"/>
  <c r="AB232" i="20"/>
  <c r="AB231" i="20"/>
  <c r="AB230" i="20"/>
  <c r="AB229" i="20"/>
  <c r="AB228" i="20"/>
  <c r="AB227" i="20"/>
  <c r="AB226" i="20"/>
  <c r="AB225" i="20"/>
  <c r="AB224" i="20"/>
  <c r="AF820" i="20"/>
  <c r="AG523" i="20"/>
  <c r="AG519" i="20"/>
  <c r="AG515" i="20"/>
  <c r="AG512" i="20"/>
  <c r="AG508" i="20"/>
  <c r="AG503" i="20"/>
  <c r="AG498" i="20"/>
  <c r="AG496" i="20"/>
  <c r="AG492" i="20"/>
  <c r="AG487" i="20"/>
  <c r="AG485" i="20"/>
  <c r="AG480" i="20"/>
  <c r="AP373" i="20"/>
  <c r="AP372" i="20"/>
  <c r="AP371" i="20"/>
  <c r="AP370" i="20"/>
  <c r="AP369" i="20"/>
  <c r="AP368" i="20"/>
  <c r="AP365" i="20"/>
  <c r="AP364" i="20"/>
  <c r="AP363" i="20"/>
  <c r="AP362" i="20"/>
  <c r="AP361" i="20"/>
  <c r="AP360" i="20"/>
  <c r="AP359" i="20"/>
  <c r="AP358" i="20"/>
  <c r="AP357" i="20"/>
  <c r="AJ781" i="20"/>
  <c r="AJ765" i="20"/>
  <c r="AJ753" i="20"/>
  <c r="AJ737" i="20"/>
  <c r="AJ687" i="20"/>
  <c r="AJ640" i="20"/>
  <c r="T810" i="20"/>
  <c r="T809" i="20"/>
  <c r="AO70" i="20"/>
  <c r="AO69" i="20"/>
  <c r="AO68" i="20"/>
  <c r="A3" i="15"/>
  <c r="T11" i="4"/>
  <c r="H11" i="13" s="1"/>
  <c r="R10" i="4"/>
  <c r="R91" i="4"/>
  <c r="R84" i="4"/>
  <c r="B59" i="4"/>
  <c r="C80" i="11"/>
  <c r="C81" i="11"/>
  <c r="B80" i="11"/>
  <c r="B81" i="11"/>
  <c r="I96" i="13"/>
  <c r="J96" i="13"/>
  <c r="J81" i="13"/>
  <c r="I81" i="13"/>
  <c r="G81" i="13"/>
  <c r="F81" i="13"/>
  <c r="D81" i="13"/>
  <c r="C81" i="13"/>
  <c r="H80" i="13"/>
  <c r="E80" i="13"/>
  <c r="B80" i="13"/>
  <c r="R80" i="4"/>
  <c r="R79" i="4"/>
  <c r="S70" i="4"/>
  <c r="E70" i="13" s="1"/>
  <c r="D81" i="4"/>
  <c r="E81" i="4"/>
  <c r="F81" i="4"/>
  <c r="G81" i="4"/>
  <c r="H81" i="4"/>
  <c r="I81" i="4"/>
  <c r="J81" i="4"/>
  <c r="K81" i="4"/>
  <c r="L81" i="4"/>
  <c r="M81" i="4"/>
  <c r="N81" i="4"/>
  <c r="O81" i="4"/>
  <c r="P81" i="4"/>
  <c r="Q81" i="4"/>
  <c r="S81" i="4"/>
  <c r="E81" i="13" s="1"/>
  <c r="T81" i="4"/>
  <c r="H81" i="13" s="1"/>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F99" i="13" s="1"/>
  <c r="F104" i="13" s="1"/>
  <c r="E95" i="13"/>
  <c r="E94" i="13"/>
  <c r="E93" i="13"/>
  <c r="E92" i="13"/>
  <c r="E91" i="13"/>
  <c r="E90" i="13"/>
  <c r="E89" i="13"/>
  <c r="E87" i="13"/>
  <c r="E86" i="13"/>
  <c r="E85" i="13"/>
  <c r="E84" i="13"/>
  <c r="E79" i="13"/>
  <c r="E65" i="13"/>
  <c r="E53" i="13"/>
  <c r="E52" i="13"/>
  <c r="E51" i="13"/>
  <c r="E50" i="13"/>
  <c r="E49" i="13"/>
  <c r="E48" i="13"/>
  <c r="E47" i="13"/>
  <c r="E46" i="13"/>
  <c r="E45" i="13"/>
  <c r="F45" i="13" s="1"/>
  <c r="F54" i="13" s="1"/>
  <c r="E43" i="13"/>
  <c r="E41" i="13"/>
  <c r="E40" i="13"/>
  <c r="E37" i="13"/>
  <c r="E35" i="13"/>
  <c r="E34" i="13"/>
  <c r="E33" i="13"/>
  <c r="E32" i="13"/>
  <c r="E31" i="13"/>
  <c r="E30" i="13"/>
  <c r="E29" i="13"/>
  <c r="E27"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C25" i="13" s="1"/>
  <c r="B23" i="13"/>
  <c r="C23" i="13" s="1"/>
  <c r="B22" i="13"/>
  <c r="C22" i="13" s="1"/>
  <c r="B21" i="13"/>
  <c r="C21" i="13" s="1"/>
  <c r="B20" i="13"/>
  <c r="C20" i="13" s="1"/>
  <c r="B19" i="13"/>
  <c r="C19" i="13" s="1"/>
  <c r="B18" i="13"/>
  <c r="C18" i="13" s="1"/>
  <c r="B17" i="13"/>
  <c r="B5" i="13"/>
  <c r="B6" i="13"/>
  <c r="B7" i="13"/>
  <c r="C8" i="4"/>
  <c r="B8" i="13" s="1"/>
  <c r="B9" i="13"/>
  <c r="B10" i="13"/>
  <c r="B13" i="13"/>
  <c r="B14" i="13"/>
  <c r="B15" i="13"/>
  <c r="B4" i="13"/>
  <c r="J104" i="13"/>
  <c r="I104" i="13"/>
  <c r="G104" i="13"/>
  <c r="D104" i="13"/>
  <c r="C104" i="13"/>
  <c r="G96" i="13"/>
  <c r="F96" i="13"/>
  <c r="D96" i="13"/>
  <c r="C96" i="13"/>
  <c r="D77" i="13"/>
  <c r="C77" i="13"/>
  <c r="J70" i="13"/>
  <c r="I70" i="13"/>
  <c r="G70" i="13"/>
  <c r="F70" i="13"/>
  <c r="D70" i="13"/>
  <c r="C70" i="13"/>
  <c r="D62" i="13"/>
  <c r="C62" i="13"/>
  <c r="J54" i="13"/>
  <c r="I54" i="13"/>
  <c r="G54" i="13"/>
  <c r="D54" i="13"/>
  <c r="C54" i="13"/>
  <c r="J42" i="13"/>
  <c r="I42" i="13"/>
  <c r="G42" i="13"/>
  <c r="F42" i="13"/>
  <c r="F38" i="13"/>
  <c r="D42" i="13"/>
  <c r="C42" i="13"/>
  <c r="J38" i="13"/>
  <c r="I38" i="13"/>
  <c r="G38" i="13"/>
  <c r="D38" i="13"/>
  <c r="C38" i="13"/>
  <c r="J26" i="13"/>
  <c r="I26" i="13"/>
  <c r="I11" i="13"/>
  <c r="G26" i="13"/>
  <c r="D26" i="13"/>
  <c r="J11" i="13"/>
  <c r="D11" i="13"/>
  <c r="C11" i="13"/>
  <c r="C8" i="13"/>
  <c r="D8" i="13"/>
  <c r="T104" i="4"/>
  <c r="H104" i="13" s="1"/>
  <c r="R103" i="4"/>
  <c r="R102" i="4"/>
  <c r="R101" i="4"/>
  <c r="R99" i="4"/>
  <c r="R95" i="4"/>
  <c r="R94" i="4"/>
  <c r="R93" i="4"/>
  <c r="R92" i="4"/>
  <c r="R90" i="4"/>
  <c r="R89" i="4"/>
  <c r="R88" i="4"/>
  <c r="R87" i="4"/>
  <c r="R86" i="4"/>
  <c r="R85" i="4"/>
  <c r="R83" i="4"/>
  <c r="R76" i="4"/>
  <c r="R75" i="4"/>
  <c r="R72" i="4"/>
  <c r="R73" i="4"/>
  <c r="R74" i="4"/>
  <c r="R69" i="4"/>
  <c r="R65" i="4"/>
  <c r="R61" i="4"/>
  <c r="R60" i="4"/>
  <c r="R59" i="4"/>
  <c r="R58" i="4"/>
  <c r="R57" i="4"/>
  <c r="R56" i="4"/>
  <c r="R53" i="4"/>
  <c r="R52" i="4"/>
  <c r="R51" i="4"/>
  <c r="R50" i="4"/>
  <c r="R49" i="4"/>
  <c r="R48" i="4"/>
  <c r="R47" i="4"/>
  <c r="R46" i="4"/>
  <c r="R45" i="4"/>
  <c r="R43" i="4"/>
  <c r="R41" i="4"/>
  <c r="R40" i="4"/>
  <c r="R37" i="4"/>
  <c r="R35" i="4"/>
  <c r="R34" i="4"/>
  <c r="R33" i="4"/>
  <c r="R32" i="4"/>
  <c r="R31" i="4"/>
  <c r="R30" i="4"/>
  <c r="R29" i="4"/>
  <c r="R27" i="4"/>
  <c r="R25" i="4"/>
  <c r="S25" i="4" s="1"/>
  <c r="E25" i="13" s="1"/>
  <c r="F25" i="13" s="1"/>
  <c r="R23" i="4"/>
  <c r="S23" i="4" s="1"/>
  <c r="E23" i="13" s="1"/>
  <c r="F23" i="13" s="1"/>
  <c r="R22" i="4"/>
  <c r="S22" i="4" s="1"/>
  <c r="E22" i="13" s="1"/>
  <c r="F22" i="13" s="1"/>
  <c r="R21" i="4"/>
  <c r="S21" i="4" s="1"/>
  <c r="E21" i="13" s="1"/>
  <c r="F21" i="13" s="1"/>
  <c r="R20" i="4"/>
  <c r="S20" i="4" s="1"/>
  <c r="E20" i="13" s="1"/>
  <c r="F20" i="13" s="1"/>
  <c r="R19" i="4"/>
  <c r="S19" i="4" s="1"/>
  <c r="R18" i="4"/>
  <c r="S18" i="4" s="1"/>
  <c r="E18" i="13" s="1"/>
  <c r="F18" i="13" s="1"/>
  <c r="R17" i="4"/>
  <c r="R15" i="4"/>
  <c r="R14" i="4"/>
  <c r="R13" i="4"/>
  <c r="R9"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I4" i="8" s="1"/>
  <c r="A5" i="8"/>
  <c r="D5" i="8"/>
  <c r="I5" i="8" s="1"/>
  <c r="A6" i="8"/>
  <c r="D6" i="8"/>
  <c r="A7" i="8"/>
  <c r="D7" i="8"/>
  <c r="I7" i="8" s="1"/>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C38" i="4"/>
  <c r="B38" i="13" s="1"/>
  <c r="C54" i="4"/>
  <c r="C62" i="4"/>
  <c r="B62" i="13" s="1"/>
  <c r="C77" i="4"/>
  <c r="B77" i="13" s="1"/>
  <c r="C96" i="4"/>
  <c r="B96" i="13" s="1"/>
  <c r="D8" i="4"/>
  <c r="D11" i="4"/>
  <c r="D26" i="4"/>
  <c r="D38" i="4"/>
  <c r="D42" i="4"/>
  <c r="D54" i="4"/>
  <c r="D62" i="4"/>
  <c r="D77" i="4"/>
  <c r="D96" i="4"/>
  <c r="D104" i="4"/>
  <c r="S38" i="4"/>
  <c r="E38" i="13" s="1"/>
  <c r="S42" i="4"/>
  <c r="E42" i="13" s="1"/>
  <c r="S54" i="4"/>
  <c r="E54" i="13" s="1"/>
  <c r="S96" i="4"/>
  <c r="E96" i="13" s="1"/>
  <c r="S104" i="4"/>
  <c r="F2" i="4"/>
  <c r="G2" i="4"/>
  <c r="H2" i="4"/>
  <c r="I2" i="4"/>
  <c r="J2" i="4"/>
  <c r="K2" i="4"/>
  <c r="L2" i="4"/>
  <c r="M2" i="4"/>
  <c r="N2" i="4"/>
  <c r="O2" i="4"/>
  <c r="P2" i="4"/>
  <c r="Q2" i="4"/>
  <c r="B4" i="4"/>
  <c r="BE23" i="3" s="1"/>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AD210" i="20"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18" i="3"/>
  <c r="AF418" i="3" s="1"/>
  <c r="AP582" i="20" s="1"/>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DU718" i="3"/>
  <c r="DZ718" i="3"/>
  <c r="EE718" i="3"/>
  <c r="EJ718" i="3"/>
  <c r="EO718" i="3"/>
  <c r="ET718" i="3"/>
  <c r="DU719" i="3"/>
  <c r="DZ719" i="3"/>
  <c r="EE719" i="3"/>
  <c r="EJ719" i="3"/>
  <c r="EO719" i="3"/>
  <c r="ET719" i="3"/>
  <c r="DU720" i="3"/>
  <c r="DZ720" i="3"/>
  <c r="EE720" i="3"/>
  <c r="EJ720" i="3"/>
  <c r="EO720" i="3"/>
  <c r="ET720" i="3"/>
  <c r="DU721" i="3"/>
  <c r="DZ721" i="3"/>
  <c r="EE721" i="3"/>
  <c r="EJ721" i="3"/>
  <c r="EO721" i="3"/>
  <c r="ET721" i="3"/>
  <c r="DU722" i="3"/>
  <c r="DZ722" i="3"/>
  <c r="EE722" i="3"/>
  <c r="EJ722" i="3"/>
  <c r="EO722" i="3"/>
  <c r="ET722" i="3"/>
  <c r="DU723" i="3"/>
  <c r="DZ723" i="3"/>
  <c r="EE723" i="3"/>
  <c r="EJ723" i="3"/>
  <c r="EO723" i="3"/>
  <c r="ET723" i="3"/>
  <c r="G609" i="3"/>
  <c r="Z609" i="3"/>
  <c r="DU724" i="3"/>
  <c r="DZ724" i="3"/>
  <c r="EE724" i="3"/>
  <c r="EJ724" i="3"/>
  <c r="EO724" i="3"/>
  <c r="ET724" i="3"/>
  <c r="DU725" i="3"/>
  <c r="DZ725" i="3"/>
  <c r="EE725" i="3"/>
  <c r="EJ725" i="3"/>
  <c r="EO725" i="3"/>
  <c r="ET725"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52" i="3"/>
  <c r="DZ752" i="3"/>
  <c r="EE752" i="3"/>
  <c r="EJ752" i="3"/>
  <c r="EO752" i="3"/>
  <c r="ET752" i="3"/>
  <c r="G643" i="3"/>
  <c r="Z643" i="3"/>
  <c r="G651" i="3"/>
  <c r="Z651" i="3"/>
  <c r="G659" i="3"/>
  <c r="Z659" i="3"/>
  <c r="G667" i="3"/>
  <c r="Z667" i="3"/>
  <c r="AH722" i="3"/>
  <c r="AH723" i="3"/>
  <c r="AH724" i="3"/>
  <c r="G675" i="3"/>
  <c r="Z675" i="3"/>
  <c r="G683" i="3"/>
  <c r="Z683" i="3"/>
  <c r="X718" i="3"/>
  <c r="AH718" i="3" s="1"/>
  <c r="X719" i="3"/>
  <c r="AH719" i="3" s="1"/>
  <c r="X720" i="3"/>
  <c r="X721" i="3"/>
  <c r="X722" i="3"/>
  <c r="X723" i="3"/>
  <c r="X724" i="3"/>
  <c r="X730" i="3"/>
  <c r="X731" i="3"/>
  <c r="X732" i="3"/>
  <c r="X733" i="3"/>
  <c r="X734" i="3"/>
  <c r="X735" i="3"/>
  <c r="X736" i="3"/>
  <c r="X737" i="3"/>
  <c r="X738" i="3"/>
  <c r="X739" i="3"/>
  <c r="X740" i="3"/>
  <c r="X741" i="3"/>
  <c r="M832" i="3"/>
  <c r="Q832" i="3"/>
  <c r="U832" i="3"/>
  <c r="Y832" i="3"/>
  <c r="AC832" i="3"/>
  <c r="AG832" i="3"/>
  <c r="Z902" i="3"/>
  <c r="D35" i="11"/>
  <c r="C26" i="13" l="1"/>
  <c r="S26" i="4"/>
  <c r="E26" i="13" s="1"/>
  <c r="J5" i="8"/>
  <c r="E19" i="13"/>
  <c r="F19" i="13" s="1"/>
  <c r="F26" i="13" s="1"/>
  <c r="F63" i="13" s="1"/>
  <c r="F97" i="13" s="1"/>
  <c r="F105" i="13" s="1"/>
  <c r="F107" i="13" s="1"/>
  <c r="B26" i="4"/>
  <c r="D25" i="11"/>
  <c r="D34" i="11"/>
  <c r="D33" i="11"/>
  <c r="D93" i="11"/>
  <c r="D85" i="11"/>
  <c r="D36" i="11"/>
  <c r="D101" i="11"/>
  <c r="D89" i="11"/>
  <c r="J4" i="8"/>
  <c r="D96" i="11"/>
  <c r="D88" i="11"/>
  <c r="D32" i="11"/>
  <c r="D104" i="11"/>
  <c r="D6" i="11"/>
  <c r="D92" i="11"/>
  <c r="D70" i="11"/>
  <c r="D87" i="11"/>
  <c r="D103" i="11"/>
  <c r="D54" i="11"/>
  <c r="D91" i="11"/>
  <c r="D94" i="11"/>
  <c r="D86" i="11"/>
  <c r="D90" i="11"/>
  <c r="C82" i="11"/>
  <c r="B8" i="4"/>
  <c r="N189" i="23" s="1"/>
  <c r="G144" i="21"/>
  <c r="G143" i="21"/>
  <c r="D95" i="11"/>
  <c r="C105" i="11"/>
  <c r="C12" i="4"/>
  <c r="B12" i="13" s="1"/>
  <c r="D75" i="11"/>
  <c r="D62" i="11"/>
  <c r="D58" i="11"/>
  <c r="D47" i="11"/>
  <c r="L12" i="4"/>
  <c r="D38" i="11"/>
  <c r="B42" i="4"/>
  <c r="B104" i="4"/>
  <c r="H12" i="4"/>
  <c r="D51" i="11"/>
  <c r="D49" i="11"/>
  <c r="B78" i="11"/>
  <c r="D48" i="11"/>
  <c r="D20" i="11"/>
  <c r="D15" i="11"/>
  <c r="D8" i="11"/>
  <c r="D100" i="11"/>
  <c r="D41" i="11"/>
  <c r="D12" i="13"/>
  <c r="D74" i="11"/>
  <c r="C12" i="13"/>
  <c r="D77" i="11"/>
  <c r="D73" i="11"/>
  <c r="D53" i="11"/>
  <c r="D50" i="11"/>
  <c r="D21" i="11"/>
  <c r="D16" i="11"/>
  <c r="B12" i="11"/>
  <c r="D5" i="11"/>
  <c r="D76" i="11"/>
  <c r="D66" i="11"/>
  <c r="D59" i="11"/>
  <c r="D42" i="11"/>
  <c r="D28" i="11"/>
  <c r="N63" i="4"/>
  <c r="N97" i="4" s="1"/>
  <c r="N105" i="4" s="1"/>
  <c r="E12" i="4"/>
  <c r="D12" i="4"/>
  <c r="C43" i="11"/>
  <c r="F12" i="4"/>
  <c r="D11" i="11"/>
  <c r="C63" i="11"/>
  <c r="B55" i="11"/>
  <c r="D24" i="11"/>
  <c r="B39" i="11"/>
  <c r="B71" i="11"/>
  <c r="B105" i="11"/>
  <c r="O12" i="4"/>
  <c r="D10" i="11"/>
  <c r="B43" i="11"/>
  <c r="BA1058" i="3"/>
  <c r="Q12" i="4"/>
  <c r="K12" i="4"/>
  <c r="D61" i="11"/>
  <c r="D57" i="11"/>
  <c r="B9" i="11"/>
  <c r="J12" i="4"/>
  <c r="B54" i="4"/>
  <c r="D30" i="11"/>
  <c r="D22" i="11"/>
  <c r="R77" i="4"/>
  <c r="D80" i="11"/>
  <c r="D31" i="11"/>
  <c r="B62" i="4"/>
  <c r="O63" i="4"/>
  <c r="O97" i="4" s="1"/>
  <c r="O105" i="4" s="1"/>
  <c r="M63" i="4"/>
  <c r="M97" i="4" s="1"/>
  <c r="M105" i="4" s="1"/>
  <c r="N12" i="4"/>
  <c r="I12" i="4"/>
  <c r="B70" i="4"/>
  <c r="D102" i="11"/>
  <c r="E63" i="4"/>
  <c r="E97" i="4" s="1"/>
  <c r="E105" i="4" s="1"/>
  <c r="P63" i="4"/>
  <c r="P97" i="4" s="1"/>
  <c r="P105" i="4" s="1"/>
  <c r="F63" i="4"/>
  <c r="F97" i="4" s="1"/>
  <c r="F105" i="4" s="1"/>
  <c r="I63" i="13"/>
  <c r="I97" i="13" s="1"/>
  <c r="I105" i="13" s="1"/>
  <c r="I107" i="13" s="1"/>
  <c r="C63" i="13"/>
  <c r="C97" i="13" s="1"/>
  <c r="C105" i="13" s="1"/>
  <c r="C71" i="11"/>
  <c r="R38" i="4"/>
  <c r="R70" i="4"/>
  <c r="B81" i="4"/>
  <c r="R11" i="4"/>
  <c r="G58" i="7"/>
  <c r="I63" i="4"/>
  <c r="I97" i="4" s="1"/>
  <c r="I105" i="4" s="1"/>
  <c r="L63" i="4"/>
  <c r="L97" i="4" s="1"/>
  <c r="L105" i="4" s="1"/>
  <c r="D52" i="11"/>
  <c r="D44" i="11"/>
  <c r="D18" i="11"/>
  <c r="C12" i="11"/>
  <c r="J63" i="4"/>
  <c r="J97" i="4" s="1"/>
  <c r="J105" i="4" s="1"/>
  <c r="Q63" i="4"/>
  <c r="Q97" i="4" s="1"/>
  <c r="Q105" i="4" s="1"/>
  <c r="B11" i="4"/>
  <c r="C39" i="11"/>
  <c r="C97" i="11"/>
  <c r="J63" i="13"/>
  <c r="J97" i="13" s="1"/>
  <c r="J105" i="13" s="1"/>
  <c r="J107" i="13" s="1"/>
  <c r="D81" i="11"/>
  <c r="R104" i="4"/>
  <c r="B77" i="4"/>
  <c r="C78" i="11"/>
  <c r="D60" i="11"/>
  <c r="M12" i="4"/>
  <c r="D63" i="4"/>
  <c r="D97" i="4" s="1"/>
  <c r="D105" i="4" s="1"/>
  <c r="BE68" i="3" s="1"/>
  <c r="R26" i="4"/>
  <c r="R42" i="4"/>
  <c r="R54" i="4"/>
  <c r="R62" i="4"/>
  <c r="D63" i="13"/>
  <c r="D97" i="13" s="1"/>
  <c r="D105" i="13" s="1"/>
  <c r="B97" i="11"/>
  <c r="C55" i="11"/>
  <c r="D23" i="11"/>
  <c r="D19" i="11"/>
  <c r="D14" i="11"/>
  <c r="D7" i="11"/>
  <c r="R8" i="4"/>
  <c r="R96" i="4"/>
  <c r="G63" i="13"/>
  <c r="G97" i="13" s="1"/>
  <c r="G105" i="13" s="1"/>
  <c r="G107" i="13" s="1"/>
  <c r="R81" i="4"/>
  <c r="M53" i="7"/>
  <c r="K58" i="7"/>
  <c r="N188" i="23"/>
  <c r="C27" i="11"/>
  <c r="AB48" i="15"/>
  <c r="D46" i="11"/>
  <c r="B82" i="11"/>
  <c r="H63" i="4"/>
  <c r="H97" i="4" s="1"/>
  <c r="H105" i="4" s="1"/>
  <c r="G63" i="4"/>
  <c r="G97" i="4" s="1"/>
  <c r="G105" i="4" s="1"/>
  <c r="I58" i="7"/>
  <c r="C9" i="11"/>
  <c r="B63" i="11"/>
  <c r="T63" i="4"/>
  <c r="B96" i="4"/>
  <c r="B38" i="4"/>
  <c r="D84" i="11"/>
  <c r="B54" i="13"/>
  <c r="K63" i="4"/>
  <c r="K97" i="4" s="1"/>
  <c r="K105" i="4" s="1"/>
  <c r="S63" i="4"/>
  <c r="E104" i="13"/>
  <c r="CI753" i="3"/>
  <c r="X1048" i="3" s="1"/>
  <c r="BG243" i="3"/>
  <c r="BO245" i="3" s="1"/>
  <c r="T267" i="3" s="1"/>
  <c r="AH721" i="3"/>
  <c r="J7" i="8"/>
  <c r="S38" i="21"/>
  <c r="S37" i="21"/>
  <c r="S36" i="21"/>
  <c r="S43" i="21"/>
  <c r="S35" i="21"/>
  <c r="S42" i="21"/>
  <c r="S34" i="21"/>
  <c r="U20" i="21"/>
  <c r="S41" i="21"/>
  <c r="U33" i="21"/>
  <c r="S33" i="21"/>
  <c r="S44" i="21"/>
  <c r="S40" i="21"/>
  <c r="U32" i="21"/>
  <c r="S32" i="21"/>
  <c r="U24" i="21"/>
  <c r="U28" i="21"/>
  <c r="S39" i="21"/>
  <c r="AH720" i="3"/>
  <c r="T22" i="21"/>
  <c r="U22" i="21"/>
  <c r="U37" i="21"/>
  <c r="U29" i="21"/>
  <c r="T21" i="21"/>
  <c r="U21" i="21"/>
  <c r="T44" i="21"/>
  <c r="U44"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Y1011" i="3"/>
  <c r="AF1017" i="3" s="1"/>
  <c r="C9" i="7"/>
  <c r="E9" i="7" s="1"/>
  <c r="C7" i="7"/>
  <c r="G12" i="4"/>
  <c r="AF1014" i="3"/>
  <c r="G99" i="21"/>
  <c r="C63" i="4"/>
  <c r="B63" i="13" s="1"/>
  <c r="AA29" i="7"/>
  <c r="O29" i="7"/>
  <c r="AY1003" i="3"/>
  <c r="I1048"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07" i="20"/>
  <c r="AP587" i="20"/>
  <c r="AJ1016" i="3"/>
  <c r="BS753" i="3"/>
  <c r="BT751" i="3" s="1"/>
  <c r="BU751" i="3" s="1"/>
  <c r="AJ1036" i="3"/>
  <c r="I15" i="21" s="1"/>
  <c r="AB234" i="20"/>
  <c r="AB250" i="20" s="1"/>
  <c r="AB252" i="20" s="1"/>
  <c r="AB254" i="20" s="1"/>
  <c r="AB260" i="20" s="1"/>
  <c r="AD209" i="20" s="1"/>
  <c r="AD211" i="20" s="1"/>
  <c r="AO71" i="20"/>
  <c r="AP375" i="20"/>
  <c r="AQ375" i="20" s="1"/>
  <c r="AK535" i="20"/>
  <c r="T813" i="20" s="1"/>
  <c r="AF813" i="20" s="1"/>
  <c r="BF753" i="3"/>
  <c r="CU753" i="3"/>
  <c r="EC648" i="3" s="1"/>
  <c r="FE718" i="3"/>
  <c r="FE753" i="3" s="1"/>
  <c r="Y7" i="15"/>
  <c r="AI7" i="15"/>
  <c r="EZ718" i="3"/>
  <c r="CP753" i="3"/>
  <c r="DX669" i="3" s="1"/>
  <c r="DU753" i="3"/>
  <c r="AG29" i="7"/>
  <c r="AC28" i="7"/>
  <c r="AO641" i="3"/>
  <c r="K29" i="7"/>
  <c r="S29" i="7"/>
  <c r="AG28" i="7"/>
  <c r="Y28" i="7"/>
  <c r="U28" i="7"/>
  <c r="S28" i="7"/>
  <c r="Q28" i="7"/>
  <c r="W28" i="7"/>
  <c r="I28" i="7"/>
  <c r="O28" i="7"/>
  <c r="AA28" i="7"/>
  <c r="G28" i="7"/>
  <c r="M28" i="7"/>
  <c r="K28" i="7"/>
  <c r="AG40" i="7"/>
  <c r="AG43" i="7" s="1"/>
  <c r="S40" i="7"/>
  <c r="S43" i="7" s="1"/>
  <c r="AK183" i="20"/>
  <c r="AP366" i="20"/>
  <c r="AQ366" i="20" s="1"/>
  <c r="T816" i="20"/>
  <c r="T808" i="20"/>
  <c r="AF808" i="20" s="1"/>
  <c r="BE75" i="3" s="1"/>
  <c r="P44" i="21" a="1"/>
  <c r="P44" i="21" s="1"/>
  <c r="R21" i="21" a="1"/>
  <c r="R21" i="21" s="1"/>
  <c r="G32" i="7"/>
  <c r="I32" i="7" s="1"/>
  <c r="K32" i="7" s="1"/>
  <c r="M32" i="7" s="1"/>
  <c r="O32" i="7" s="1"/>
  <c r="Q32" i="7" s="1"/>
  <c r="S32" i="7" s="1"/>
  <c r="U32" i="7" s="1"/>
  <c r="W32" i="7" s="1"/>
  <c r="Y32" i="7" s="1"/>
  <c r="AA32" i="7" s="1"/>
  <c r="AC32" i="7" s="1"/>
  <c r="AE32" i="7" s="1"/>
  <c r="AG32" i="7" s="1"/>
  <c r="AC40" i="7"/>
  <c r="AC43" i="7" s="1"/>
  <c r="I40" i="7"/>
  <c r="I43" i="7" s="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G445" i="3"/>
  <c r="AD27" i="15" s="1"/>
  <c r="ET753" i="3"/>
  <c r="T24" i="21"/>
  <c r="B27" i="11"/>
  <c r="D26" i="11"/>
  <c r="T30" i="21"/>
  <c r="T7" i="15"/>
  <c r="E43" i="7"/>
  <c r="AC29" i="7"/>
  <c r="M29" i="7"/>
  <c r="R44" i="21" a="1"/>
  <c r="R44" i="21" s="1"/>
  <c r="Q40" i="7"/>
  <c r="Q43" i="7" s="1"/>
  <c r="U40" i="7"/>
  <c r="U43" i="7" s="1"/>
  <c r="G29" i="7"/>
  <c r="Q29" i="7"/>
  <c r="AA40" i="7"/>
  <c r="AA43" i="7" s="1"/>
  <c r="Y40" i="7"/>
  <c r="Y43" i="7" s="1"/>
  <c r="M40" i="7"/>
  <c r="M43" i="7" s="1"/>
  <c r="AE29" i="7"/>
  <c r="P36" i="21" a="1"/>
  <c r="P36" i="21" s="1"/>
  <c r="T28" i="21"/>
  <c r="AE40" i="7"/>
  <c r="AE43" i="7" s="1"/>
  <c r="W40" i="7"/>
  <c r="W43" i="7" s="1"/>
  <c r="W29" i="7"/>
  <c r="P40" i="21" a="1"/>
  <c r="P40" i="21" s="1"/>
  <c r="O40" i="7"/>
  <c r="O43" i="7" s="1"/>
  <c r="U29" i="7"/>
  <c r="R25" i="21" a="1"/>
  <c r="R25" i="21" s="1"/>
  <c r="T36" i="21"/>
  <c r="T42" i="21"/>
  <c r="AD68" i="15"/>
  <c r="CU777" i="3"/>
  <c r="CY778" i="3" s="1"/>
  <c r="EJ753" i="3"/>
  <c r="T33" i="21"/>
  <c r="DO777" i="3"/>
  <c r="DS778" i="3" s="1"/>
  <c r="CZ777" i="3"/>
  <c r="DD778" i="3" s="1"/>
  <c r="EE753" i="3"/>
  <c r="DE777" i="3"/>
  <c r="DI778" i="3" s="1"/>
  <c r="R39" i="21" a="1"/>
  <c r="R39" i="21" s="1"/>
  <c r="EO753" i="3"/>
  <c r="R27" i="21" a="1"/>
  <c r="R27" i="21" s="1"/>
  <c r="DJ777" i="3"/>
  <c r="DN778" i="3" s="1"/>
  <c r="DO797" i="3"/>
  <c r="DS798" i="3" s="1"/>
  <c r="AC797" i="3"/>
  <c r="G8" i="7"/>
  <c r="DZ797" i="3"/>
  <c r="R35" i="21" a="1"/>
  <c r="R35" i="21" s="1"/>
  <c r="R43" i="21" a="1"/>
  <c r="R43" i="21" s="1"/>
  <c r="R31" i="21" a="1"/>
  <c r="R31" i="21" s="1"/>
  <c r="R988" i="3"/>
  <c r="R987" i="3"/>
  <c r="R986" i="3"/>
  <c r="AC777" i="3"/>
  <c r="T41" i="21"/>
  <c r="E105" i="20"/>
  <c r="R23" i="21" a="1"/>
  <c r="R23" i="21" s="1"/>
  <c r="E104" i="20"/>
  <c r="R40" i="21" a="1"/>
  <c r="R40" i="21" s="1"/>
  <c r="AC883" i="3"/>
  <c r="P34" i="21" a="1"/>
  <c r="P34" i="21" s="1"/>
  <c r="P41" i="21" a="1"/>
  <c r="P41" i="21" s="1"/>
  <c r="R29" i="21" a="1"/>
  <c r="R29" i="21" s="1"/>
  <c r="DZ753" i="3"/>
  <c r="R34" i="21" a="1"/>
  <c r="R34" i="21" s="1"/>
  <c r="CP777" i="3"/>
  <c r="CT778" i="3" s="1"/>
  <c r="P35" i="21" a="1"/>
  <c r="P35" i="21" s="1"/>
  <c r="R990" i="3"/>
  <c r="FT753" i="3"/>
  <c r="CZ797" i="3"/>
  <c r="DD798" i="3" s="1"/>
  <c r="EE794" i="3"/>
  <c r="EE797" i="3" s="1"/>
  <c r="R32" i="21" a="1"/>
  <c r="R32" i="21" s="1"/>
  <c r="P32" i="21" a="1"/>
  <c r="P32" i="21" s="1"/>
  <c r="T32" i="21"/>
  <c r="T26" i="21"/>
  <c r="R26" i="21" a="1"/>
  <c r="R26" i="21" s="1"/>
  <c r="CM753" i="3"/>
  <c r="X1052" i="3" s="1"/>
  <c r="DJ753" i="3"/>
  <c r="AX692" i="20" s="1"/>
  <c r="CU797" i="3"/>
  <c r="CY798" i="3" s="1"/>
  <c r="M18" i="21"/>
  <c r="R37" i="21" a="1"/>
  <c r="R37" i="21" s="1"/>
  <c r="P37" i="21" a="1"/>
  <c r="P37" i="21" s="1"/>
  <c r="T37" i="21"/>
  <c r="DO753" i="3"/>
  <c r="AX693" i="20" s="1"/>
  <c r="DE753" i="3"/>
  <c r="AX691" i="20" s="1"/>
  <c r="ET797" i="3"/>
  <c r="DJ797" i="3"/>
  <c r="DN798" i="3" s="1"/>
  <c r="EO787" i="3"/>
  <c r="EO797" i="3" s="1"/>
  <c r="EJ797" i="3"/>
  <c r="AC884" i="3"/>
  <c r="DE797" i="3"/>
  <c r="DI798" i="3" s="1"/>
  <c r="CZ753" i="3"/>
  <c r="FJ753" i="3"/>
  <c r="DU790" i="3"/>
  <c r="DU797" i="3" s="1"/>
  <c r="CP797" i="3"/>
  <c r="P39" i="21" a="1"/>
  <c r="P39" i="21" s="1"/>
  <c r="AV122" i="20"/>
  <c r="AW121" i="20" s="1"/>
  <c r="R36" i="21" a="1"/>
  <c r="R36" i="21" s="1"/>
  <c r="R22" i="21" a="1"/>
  <c r="R22" i="21" s="1"/>
  <c r="T38" i="21"/>
  <c r="T29" i="21"/>
  <c r="T20" i="21"/>
  <c r="P38" i="21" a="1"/>
  <c r="P38" i="21" s="1"/>
  <c r="R38" i="21" a="1"/>
  <c r="R38" i="21" s="1"/>
  <c r="R20" i="21" a="1"/>
  <c r="R20" i="21" s="1"/>
  <c r="P33" i="21" a="1"/>
  <c r="P33"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60" i="21"/>
  <c r="E26" i="21"/>
  <c r="E24" i="21"/>
  <c r="F24" i="21" s="1"/>
  <c r="G40" i="8"/>
  <c r="I15" i="7"/>
  <c r="E28" i="21"/>
  <c r="E25" i="21"/>
  <c r="F25" i="21" s="1"/>
  <c r="G25" i="21" s="1"/>
  <c r="D105" i="11" l="1"/>
  <c r="J40" i="8"/>
  <c r="AJ621" i="20"/>
  <c r="AK794" i="20" s="1"/>
  <c r="T819" i="20" s="1"/>
  <c r="AF819" i="20" s="1"/>
  <c r="BE82" i="3" s="1"/>
  <c r="G94" i="21"/>
  <c r="D82" i="11"/>
  <c r="B12" i="4"/>
  <c r="N195" i="23"/>
  <c r="D43" i="11"/>
  <c r="D55" i="11"/>
  <c r="D71" i="11"/>
  <c r="D39" i="11"/>
  <c r="D78" i="11"/>
  <c r="R12" i="4"/>
  <c r="D12" i="11"/>
  <c r="D63" i="11"/>
  <c r="B13" i="11"/>
  <c r="C64" i="11"/>
  <c r="C98" i="11" s="1"/>
  <c r="B64" i="11"/>
  <c r="B98" i="11" s="1"/>
  <c r="B106" i="11" s="1"/>
  <c r="B63" i="4"/>
  <c r="R63" i="4"/>
  <c r="R97" i="4" s="1"/>
  <c r="R105" i="4" s="1"/>
  <c r="D27" i="11"/>
  <c r="D97" i="11"/>
  <c r="T97" i="4"/>
  <c r="H63" i="13"/>
  <c r="AO39" i="20"/>
  <c r="AK62" i="20" s="1"/>
  <c r="T804" i="20" s="1"/>
  <c r="AF804" i="20" s="1"/>
  <c r="BE71" i="3" s="1"/>
  <c r="E63" i="13"/>
  <c r="S97" i="4"/>
  <c r="D9" i="11"/>
  <c r="C13" i="11"/>
  <c r="O53" i="7"/>
  <c r="M58" i="7"/>
  <c r="BA1039" i="3"/>
  <c r="BA1048" i="3" s="1" a="1"/>
  <c r="BA1048" i="3" s="1"/>
  <c r="AO42" i="20"/>
  <c r="AS360" i="20"/>
  <c r="G9" i="7"/>
  <c r="C97" i="4"/>
  <c r="C105" i="4" s="1"/>
  <c r="AC455" i="3" s="1"/>
  <c r="G130" i="21"/>
  <c r="G132" i="21" s="1"/>
  <c r="I16" i="21" s="1"/>
  <c r="AY1005" i="3"/>
  <c r="DX635" i="3"/>
  <c r="BG752" i="3"/>
  <c r="BH752" i="3" s="1"/>
  <c r="BG751" i="3"/>
  <c r="BH751" i="3" s="1"/>
  <c r="BT719" i="3"/>
  <c r="BU719" i="3" s="1"/>
  <c r="BT727" i="3"/>
  <c r="BU727" i="3" s="1"/>
  <c r="BT735" i="3"/>
  <c r="BU735" i="3" s="1"/>
  <c r="BT743" i="3"/>
  <c r="BU743" i="3" s="1"/>
  <c r="BT752" i="3"/>
  <c r="BU752" i="3" s="1"/>
  <c r="BT720" i="3"/>
  <c r="BU720" i="3" s="1"/>
  <c r="BT728" i="3"/>
  <c r="BU728" i="3" s="1"/>
  <c r="BT736" i="3"/>
  <c r="BU736" i="3" s="1"/>
  <c r="BT744" i="3"/>
  <c r="BU744" i="3" s="1"/>
  <c r="BT718" i="3"/>
  <c r="BU718" i="3" s="1"/>
  <c r="BT721" i="3"/>
  <c r="BU721" i="3" s="1"/>
  <c r="BT729" i="3"/>
  <c r="BU729" i="3" s="1"/>
  <c r="BT737" i="3"/>
  <c r="BU737" i="3" s="1"/>
  <c r="BT745" i="3"/>
  <c r="BU745" i="3" s="1"/>
  <c r="BT731" i="3"/>
  <c r="BU731" i="3" s="1"/>
  <c r="BT739" i="3"/>
  <c r="BU739" i="3" s="1"/>
  <c r="BT748" i="3"/>
  <c r="BU748" i="3" s="1"/>
  <c r="BT734" i="3"/>
  <c r="BU734" i="3" s="1"/>
  <c r="BT750" i="3"/>
  <c r="BU750" i="3" s="1"/>
  <c r="BT722" i="3"/>
  <c r="BU722" i="3" s="1"/>
  <c r="BT730" i="3"/>
  <c r="BU730" i="3" s="1"/>
  <c r="BT738" i="3"/>
  <c r="BU738" i="3" s="1"/>
  <c r="BT746" i="3"/>
  <c r="BU746" i="3" s="1"/>
  <c r="BT723" i="3"/>
  <c r="BU723" i="3" s="1"/>
  <c r="BT747" i="3"/>
  <c r="BU747" i="3" s="1"/>
  <c r="BT724" i="3"/>
  <c r="BU724" i="3" s="1"/>
  <c r="BT732" i="3"/>
  <c r="BU732" i="3" s="1"/>
  <c r="BT740" i="3"/>
  <c r="BU740" i="3" s="1"/>
  <c r="BT726" i="3"/>
  <c r="BU726" i="3" s="1"/>
  <c r="BT742" i="3"/>
  <c r="BU742" i="3" s="1"/>
  <c r="BT725" i="3"/>
  <c r="BU725" i="3" s="1"/>
  <c r="BT733" i="3"/>
  <c r="BU733" i="3" s="1"/>
  <c r="BT741" i="3"/>
  <c r="BU741" i="3" s="1"/>
  <c r="BT749" i="3"/>
  <c r="BU749" i="3" s="1"/>
  <c r="BG724" i="3"/>
  <c r="BH724" i="3" s="1"/>
  <c r="BG725" i="3"/>
  <c r="BH725" i="3" s="1"/>
  <c r="BG733" i="3"/>
  <c r="BH733" i="3" s="1"/>
  <c r="BG741" i="3"/>
  <c r="BH741" i="3" s="1"/>
  <c r="BG749" i="3"/>
  <c r="BH749" i="3" s="1"/>
  <c r="BG726" i="3"/>
  <c r="BH726" i="3" s="1"/>
  <c r="BG734" i="3"/>
  <c r="BH734" i="3" s="1"/>
  <c r="BG742" i="3"/>
  <c r="BH742" i="3" s="1"/>
  <c r="BG750" i="3"/>
  <c r="BH750" i="3" s="1"/>
  <c r="BG722" i="3"/>
  <c r="BH722" i="3" s="1"/>
  <c r="BG738" i="3"/>
  <c r="BH738" i="3" s="1"/>
  <c r="BG719" i="3"/>
  <c r="BH719" i="3" s="1"/>
  <c r="BG727" i="3"/>
  <c r="BH727" i="3" s="1"/>
  <c r="BG735" i="3"/>
  <c r="BH735" i="3" s="1"/>
  <c r="BG743" i="3"/>
  <c r="BH743" i="3" s="1"/>
  <c r="BG721" i="3"/>
  <c r="BH721" i="3" s="1"/>
  <c r="BG737" i="3"/>
  <c r="BH737" i="3" s="1"/>
  <c r="BG746" i="3"/>
  <c r="BH746" i="3" s="1"/>
  <c r="BG740" i="3"/>
  <c r="BH740" i="3" s="1"/>
  <c r="BG720" i="3"/>
  <c r="BH720" i="3" s="1"/>
  <c r="BG728" i="3"/>
  <c r="BH728" i="3" s="1"/>
  <c r="BG736" i="3"/>
  <c r="BH736" i="3" s="1"/>
  <c r="BG744" i="3"/>
  <c r="BH744" i="3" s="1"/>
  <c r="BG718" i="3"/>
  <c r="BG729" i="3"/>
  <c r="BH729" i="3" s="1"/>
  <c r="BG745" i="3"/>
  <c r="BH745" i="3" s="1"/>
  <c r="BG730" i="3"/>
  <c r="BH730" i="3" s="1"/>
  <c r="BG732" i="3"/>
  <c r="BH732" i="3" s="1"/>
  <c r="BG748" i="3"/>
  <c r="BH748" i="3" s="1"/>
  <c r="BG723" i="3"/>
  <c r="BH723" i="3" s="1"/>
  <c r="BG731" i="3"/>
  <c r="BH731" i="3" s="1"/>
  <c r="BG739" i="3"/>
  <c r="BH739" i="3" s="1"/>
  <c r="BG747" i="3"/>
  <c r="BH747" i="3" s="1"/>
  <c r="E22" i="7"/>
  <c r="AX694" i="20"/>
  <c r="AY695" i="20" s="1"/>
  <c r="AS362" i="20"/>
  <c r="AS358" i="20" s="1"/>
  <c r="AK469" i="20" s="1"/>
  <c r="T817" i="20" s="1"/>
  <c r="AF817" i="20" s="1"/>
  <c r="BE80" i="3" s="1"/>
  <c r="DX661" i="3"/>
  <c r="CT755" i="3"/>
  <c r="CP802" i="3"/>
  <c r="AB986"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EW643" i="3"/>
  <c r="EW658" i="3"/>
  <c r="EW666" i="3"/>
  <c r="EW663" i="3"/>
  <c r="EW660" i="3"/>
  <c r="EW667" i="3"/>
  <c r="EW665" i="3"/>
  <c r="EW659" i="3"/>
  <c r="EW664" i="3"/>
  <c r="EW662" i="3"/>
  <c r="EW661" i="3"/>
  <c r="EC666" i="3"/>
  <c r="CY755" i="3"/>
  <c r="EC661" i="3"/>
  <c r="EC665" i="3"/>
  <c r="EC659" i="3"/>
  <c r="EC662" i="3"/>
  <c r="EC663" i="3"/>
  <c r="EC660" i="3"/>
  <c r="EC664" i="3"/>
  <c r="EC667" i="3"/>
  <c r="EC658" i="3"/>
  <c r="DX668" i="3"/>
  <c r="DX639" i="3"/>
  <c r="DX636" i="3"/>
  <c r="DX653" i="3"/>
  <c r="DX657" i="3"/>
  <c r="EC639" i="3"/>
  <c r="AC885" i="3"/>
  <c r="EC652" i="3"/>
  <c r="I1052" i="3"/>
  <c r="AY1006" i="3" s="1"/>
  <c r="T815" i="20"/>
  <c r="AF815" i="20" s="1"/>
  <c r="BE79" i="3" s="1"/>
  <c r="Y27" i="15"/>
  <c r="AI27" i="15"/>
  <c r="T27" i="15"/>
  <c r="Y800" i="3"/>
  <c r="G22" i="7"/>
  <c r="G35" i="7" s="1"/>
  <c r="EC645" i="3"/>
  <c r="EC647" i="3"/>
  <c r="EC637" i="3"/>
  <c r="EC653" i="3"/>
  <c r="EC649" i="3"/>
  <c r="DX646" i="3"/>
  <c r="EC638" i="3"/>
  <c r="EC650" i="3"/>
  <c r="DU778" i="3"/>
  <c r="EC657" i="3"/>
  <c r="EC656" i="3"/>
  <c r="EC643" i="3"/>
  <c r="EC668" i="3"/>
  <c r="EC669" i="3"/>
  <c r="EC646" i="3"/>
  <c r="EC635" i="3"/>
  <c r="EC636" i="3"/>
  <c r="EC651" i="3"/>
  <c r="EC640" i="3"/>
  <c r="EC644" i="3"/>
  <c r="EC655" i="3"/>
  <c r="AW118" i="20"/>
  <c r="AW116" i="20"/>
  <c r="EM636" i="3"/>
  <c r="EC654" i="3"/>
  <c r="EC641" i="3"/>
  <c r="I8" i="7"/>
  <c r="I9" i="7" s="1"/>
  <c r="T18" i="21"/>
  <c r="G51" i="21" s="1"/>
  <c r="Y801" i="3"/>
  <c r="E4" i="7" s="1"/>
  <c r="DU777" i="3"/>
  <c r="EC642" i="3"/>
  <c r="AW117" i="20"/>
  <c r="AW120" i="20"/>
  <c r="EH641" i="3"/>
  <c r="AG1045" i="3"/>
  <c r="DS755" i="3"/>
  <c r="EW652" i="3"/>
  <c r="EW647" i="3"/>
  <c r="EW644" i="3"/>
  <c r="EW656" i="3"/>
  <c r="EW650" i="3"/>
  <c r="EW654" i="3"/>
  <c r="EW655" i="3"/>
  <c r="EW657" i="3"/>
  <c r="EW653" i="3"/>
  <c r="EW639" i="3"/>
  <c r="EW648" i="3"/>
  <c r="DO802" i="3"/>
  <c r="EW646" i="3"/>
  <c r="EW645" i="3"/>
  <c r="EW642" i="3"/>
  <c r="EW668" i="3"/>
  <c r="EW649" i="3"/>
  <c r="EW635" i="3"/>
  <c r="EW640" i="3"/>
  <c r="EW641" i="3"/>
  <c r="EW638" i="3"/>
  <c r="EW636" i="3"/>
  <c r="EW669" i="3"/>
  <c r="FY753" i="3"/>
  <c r="EW637" i="3"/>
  <c r="DN755" i="3"/>
  <c r="DJ802"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9" i="3"/>
  <c r="ER642" i="3"/>
  <c r="CZ802" i="3"/>
  <c r="AB988" i="3" s="1"/>
  <c r="AJ988" i="3" s="1"/>
  <c r="EH643" i="3"/>
  <c r="EH654" i="3"/>
  <c r="EH639" i="3"/>
  <c r="EH651" i="3"/>
  <c r="EH635" i="3"/>
  <c r="EH647" i="3"/>
  <c r="EH645" i="3"/>
  <c r="EH649" i="3"/>
  <c r="EH650" i="3"/>
  <c r="EH669" i="3"/>
  <c r="EH638" i="3"/>
  <c r="EH652" i="3"/>
  <c r="EH648" i="3"/>
  <c r="EH636" i="3"/>
  <c r="DD755" i="3"/>
  <c r="EH642" i="3"/>
  <c r="EH640" i="3"/>
  <c r="EH655" i="3"/>
  <c r="EH644" i="3"/>
  <c r="EH657" i="3"/>
  <c r="EH646" i="3"/>
  <c r="EH656" i="3"/>
  <c r="EH668" i="3"/>
  <c r="G42" i="21" a="1"/>
  <c r="G42" i="21" s="1"/>
  <c r="G43" i="21" s="1"/>
  <c r="DX649" i="3"/>
  <c r="DX640" i="3"/>
  <c r="DX642" i="3"/>
  <c r="DX641" i="3"/>
  <c r="DX656" i="3"/>
  <c r="DX652" i="3"/>
  <c r="DX647" i="3"/>
  <c r="DX655" i="3"/>
  <c r="DX644" i="3"/>
  <c r="DX654" i="3"/>
  <c r="DX648" i="3"/>
  <c r="DO754" i="3"/>
  <c r="DX651" i="3"/>
  <c r="DX638" i="3"/>
  <c r="DX650" i="3"/>
  <c r="DX643" i="3"/>
  <c r="EH653" i="3"/>
  <c r="EW651" i="3"/>
  <c r="DX637" i="3"/>
  <c r="EZ753" i="3"/>
  <c r="ER650" i="3"/>
  <c r="AW119" i="20"/>
  <c r="DX645" i="3"/>
  <c r="CU802" i="3"/>
  <c r="AB987" i="3" s="1"/>
  <c r="AJ987" i="3" s="1"/>
  <c r="ER668" i="3"/>
  <c r="CT798" i="3"/>
  <c r="DU800" i="3" s="1"/>
  <c r="DU799" i="3"/>
  <c r="DE802" i="3"/>
  <c r="AB989" i="3" s="1"/>
  <c r="AJ989" i="3" s="1"/>
  <c r="EM650" i="3"/>
  <c r="EM646" i="3"/>
  <c r="EM653" i="3"/>
  <c r="EM641" i="3"/>
  <c r="EM654" i="3"/>
  <c r="DI755" i="3"/>
  <c r="EM669" i="3"/>
  <c r="EM637" i="3"/>
  <c r="EM657" i="3"/>
  <c r="EM655" i="3"/>
  <c r="EM668" i="3"/>
  <c r="EM640" i="3"/>
  <c r="EM645" i="3"/>
  <c r="EM647" i="3"/>
  <c r="EM639" i="3"/>
  <c r="EM649" i="3"/>
  <c r="EM642" i="3"/>
  <c r="EM656" i="3"/>
  <c r="EM644" i="3"/>
  <c r="EM638" i="3"/>
  <c r="EM648" i="3"/>
  <c r="EH637" i="3"/>
  <c r="ET799" i="3"/>
  <c r="FO753" i="3"/>
  <c r="EM635" i="3"/>
  <c r="EM643" i="3"/>
  <c r="K15" i="7"/>
  <c r="I22" i="7"/>
  <c r="I35" i="7" s="1"/>
  <c r="E29" i="21"/>
  <c r="G24" i="21"/>
  <c r="Z809" i="3" l="1"/>
  <c r="E6" i="7" s="1"/>
  <c r="G6" i="7" s="1"/>
  <c r="M960" i="3"/>
  <c r="M961" i="3" s="1"/>
  <c r="AZ1048" i="3"/>
  <c r="D64" i="11"/>
  <c r="B105" i="4"/>
  <c r="AB47" i="15" s="1"/>
  <c r="BE101" i="3"/>
  <c r="AK84" i="20"/>
  <c r="AK191" i="20" s="1"/>
  <c r="T811" i="20" s="1"/>
  <c r="AF811" i="20" s="1"/>
  <c r="BE76" i="3" s="1"/>
  <c r="D13" i="11"/>
  <c r="B97" i="13"/>
  <c r="B97" i="4"/>
  <c r="AZ1046" i="3"/>
  <c r="S105" i="4"/>
  <c r="E97" i="13"/>
  <c r="B105" i="13"/>
  <c r="AG269" i="20"/>
  <c r="O58" i="7"/>
  <c r="Q53" i="7"/>
  <c r="T105" i="4"/>
  <c r="H97" i="13"/>
  <c r="P29" i="21" a="1"/>
  <c r="P29" i="21" s="1"/>
  <c r="S29" i="21" s="1"/>
  <c r="P31" i="21" a="1"/>
  <c r="P31" i="21" s="1"/>
  <c r="S31" i="21" s="1"/>
  <c r="P30" i="21" a="1"/>
  <c r="P30" i="21" s="1"/>
  <c r="S30" i="21" s="1"/>
  <c r="P25" i="21" a="1"/>
  <c r="P25" i="21" s="1"/>
  <c r="S25" i="21" s="1"/>
  <c r="P28" i="21" a="1"/>
  <c r="P28" i="21" s="1"/>
  <c r="S28" i="21" s="1"/>
  <c r="P27" i="21" a="1"/>
  <c r="P27" i="21" s="1"/>
  <c r="S27" i="21" s="1"/>
  <c r="P26" i="21" a="1"/>
  <c r="P26" i="21" s="1"/>
  <c r="S26" i="21" s="1"/>
  <c r="P23" i="21" a="1"/>
  <c r="P23" i="21" s="1"/>
  <c r="S23" i="21" s="1"/>
  <c r="P24" i="21" a="1"/>
  <c r="P24" i="21" s="1"/>
  <c r="S24" i="21" s="1"/>
  <c r="P20" i="21" a="1"/>
  <c r="P20" i="21" s="1"/>
  <c r="S20" i="21" s="1"/>
  <c r="P22" i="21" a="1"/>
  <c r="P22" i="21" s="1"/>
  <c r="S22" i="21" s="1"/>
  <c r="P21" i="21" a="1"/>
  <c r="P21" i="21" s="1"/>
  <c r="S21" i="21" s="1"/>
  <c r="DU755" i="3"/>
  <c r="O756" i="3" s="1"/>
  <c r="BG753" i="3"/>
  <c r="BU753" i="3"/>
  <c r="AH753" i="3" s="1"/>
  <c r="BE43" i="3" s="1"/>
  <c r="E35" i="7"/>
  <c r="BT753" i="3"/>
  <c r="AX695" i="20"/>
  <c r="AO695" i="20" s="1"/>
  <c r="BH718" i="3"/>
  <c r="DX670" i="3"/>
  <c r="E130" i="20" s="1"/>
  <c r="E133" i="20" s="1"/>
  <c r="E136" i="20" s="1"/>
  <c r="AW122" i="20"/>
  <c r="K8" i="7"/>
  <c r="M8" i="7" s="1"/>
  <c r="D98" i="11"/>
  <c r="C106" i="11"/>
  <c r="D106" i="11" s="1"/>
  <c r="G4" i="7"/>
  <c r="G5" i="7" s="1"/>
  <c r="EC670" i="3"/>
  <c r="J130" i="20" s="1"/>
  <c r="J133" i="20" s="1"/>
  <c r="J136" i="20" s="1"/>
  <c r="Z818" i="3"/>
  <c r="E5" i="7"/>
  <c r="EW670" i="3"/>
  <c r="AD130" i="20" s="1"/>
  <c r="AD133" i="20" s="1"/>
  <c r="AD136" i="20" s="1"/>
  <c r="EH670" i="3"/>
  <c r="O130" i="20" s="1"/>
  <c r="O133" i="20" s="1"/>
  <c r="O136" i="20" s="1"/>
  <c r="ER670" i="3"/>
  <c r="Y130" i="20" s="1"/>
  <c r="Y133" i="20" s="1"/>
  <c r="Y136" i="20" s="1"/>
  <c r="EM670" i="3"/>
  <c r="T130" i="20" s="1"/>
  <c r="T133" i="20" s="1"/>
  <c r="T136" i="20" s="1"/>
  <c r="AJ986" i="3"/>
  <c r="AB990" i="3"/>
  <c r="AJ990" i="3" s="1"/>
  <c r="M15" i="7"/>
  <c r="K22" i="7"/>
  <c r="K35" i="7" s="1"/>
  <c r="F27" i="21"/>
  <c r="G61" i="21"/>
  <c r="G63" i="21" s="1"/>
  <c r="G65" i="21" s="1"/>
  <c r="E13" i="21" s="1"/>
  <c r="F28" i="21"/>
  <c r="G28" i="21" s="1"/>
  <c r="G52" i="21"/>
  <c r="G54" i="21" s="1"/>
  <c r="G56" i="21" s="1"/>
  <c r="E12" i="21" s="1"/>
  <c r="E7" i="7" l="1"/>
  <c r="E11" i="7" s="1"/>
  <c r="E37" i="7" s="1"/>
  <c r="E49" i="7" s="1"/>
  <c r="T805" i="20"/>
  <c r="AF805" i="20" s="1"/>
  <c r="BE72" i="3" s="1"/>
  <c r="AB266" i="20"/>
  <c r="AG268" i="20" s="1"/>
  <c r="AG270" i="20" s="1"/>
  <c r="AK273" i="20" s="1"/>
  <c r="T812" i="20" s="1"/>
  <c r="AF812" i="20" s="1"/>
  <c r="BE77" i="3" s="1"/>
  <c r="AC454" i="3"/>
  <c r="N185" i="23"/>
  <c r="BE22" i="3"/>
  <c r="AB49" i="15"/>
  <c r="S107" i="4"/>
  <c r="E105" i="13"/>
  <c r="BA1056" i="3"/>
  <c r="AZ1051" i="3"/>
  <c r="H105" i="13"/>
  <c r="T107" i="4"/>
  <c r="H107" i="13" s="1"/>
  <c r="Q58" i="7"/>
  <c r="S53" i="7"/>
  <c r="G45" i="21"/>
  <c r="G47" i="21" s="1"/>
  <c r="E10" i="21" s="1"/>
  <c r="E11" i="21"/>
  <c r="AP705" i="20"/>
  <c r="AP706" i="20"/>
  <c r="I4" i="7"/>
  <c r="I5" i="7" s="1"/>
  <c r="K9" i="7"/>
  <c r="AJ992" i="3"/>
  <c r="E138" i="20"/>
  <c r="E139" i="20" s="1"/>
  <c r="AK143" i="20" s="1"/>
  <c r="T807" i="20" s="1"/>
  <c r="AF807" i="20" s="1"/>
  <c r="BE74" i="3" s="1"/>
  <c r="AB991" i="3"/>
  <c r="DU802" i="3"/>
  <c r="U373" i="20" s="1"/>
  <c r="P421" i="3"/>
  <c r="I6" i="7"/>
  <c r="G7" i="7"/>
  <c r="G11" i="7" s="1"/>
  <c r="G37" i="7" s="1"/>
  <c r="M22" i="7"/>
  <c r="M35" i="7" s="1"/>
  <c r="O15" i="7"/>
  <c r="M9" i="7"/>
  <c r="O8" i="7"/>
  <c r="G27" i="21"/>
  <c r="F26" i="21"/>
  <c r="AC456" i="3" l="1"/>
  <c r="AJ994" i="3"/>
  <c r="AJ1029" i="3"/>
  <c r="AD11" i="15"/>
  <c r="AD23" i="15" s="1"/>
  <c r="AD26" i="15" s="1"/>
  <c r="AD28" i="15" s="1"/>
  <c r="AI11" i="15"/>
  <c r="AI23" i="15" s="1"/>
  <c r="AI26" i="15" s="1"/>
  <c r="AI28" i="15" s="1"/>
  <c r="BE44" i="3"/>
  <c r="F457" i="3"/>
  <c r="BA1055" i="3"/>
  <c r="BA1059" i="3" s="1"/>
  <c r="N196" i="23"/>
  <c r="N186" i="23"/>
  <c r="S58" i="7"/>
  <c r="U53" i="7"/>
  <c r="AA1056" i="3"/>
  <c r="AF551" i="20"/>
  <c r="E107" i="13"/>
  <c r="AJ1045" i="3"/>
  <c r="AJ1049" i="3"/>
  <c r="AP553" i="20" s="1"/>
  <c r="AP550" i="20"/>
  <c r="K4" i="7"/>
  <c r="M4" i="7" s="1"/>
  <c r="E45" i="7"/>
  <c r="E48" i="7" s="1"/>
  <c r="G45" i="7"/>
  <c r="G49" i="7"/>
  <c r="K6" i="7"/>
  <c r="I7" i="7"/>
  <c r="I11" i="7" s="1"/>
  <c r="I37" i="7" s="1"/>
  <c r="G26" i="21"/>
  <c r="F29" i="21"/>
  <c r="G29" i="21"/>
  <c r="O22" i="7"/>
  <c r="O35" i="7" s="1"/>
  <c r="Q15" i="7"/>
  <c r="O9" i="7"/>
  <c r="Q8" i="7"/>
  <c r="T11" i="15" l="1"/>
  <c r="T23" i="15" s="1"/>
  <c r="T26" i="15" s="1"/>
  <c r="T28" i="15" s="1"/>
  <c r="Y11" i="15"/>
  <c r="Y23" i="15" s="1"/>
  <c r="Y26" i="15" s="1"/>
  <c r="Y28" i="15" s="1"/>
  <c r="Y64" i="15" s="1"/>
  <c r="Y68" i="15" s="1"/>
  <c r="Y69" i="15" s="1"/>
  <c r="U58" i="7"/>
  <c r="W53" i="7"/>
  <c r="AJ1053" i="3"/>
  <c r="AA1057" i="3" s="1"/>
  <c r="G1058" i="3" s="1"/>
  <c r="AP552" i="20"/>
  <c r="AP554" i="20" s="1"/>
  <c r="K5" i="7"/>
  <c r="E47" i="7"/>
  <c r="E60" i="7"/>
  <c r="E62" i="7" s="1"/>
  <c r="O4" i="7"/>
  <c r="M5" i="7"/>
  <c r="I45" i="7"/>
  <c r="I49" i="7"/>
  <c r="M6" i="7"/>
  <c r="K7" i="7"/>
  <c r="G60" i="7"/>
  <c r="G47" i="7"/>
  <c r="G48" i="7"/>
  <c r="Q22" i="7"/>
  <c r="Q35" i="7" s="1"/>
  <c r="S15" i="7"/>
  <c r="G79" i="21"/>
  <c r="G31" i="21"/>
  <c r="G33" i="21" s="1"/>
  <c r="E9" i="21" s="1"/>
  <c r="G88" i="21"/>
  <c r="G90" i="21" s="1"/>
  <c r="E16" i="21" s="1"/>
  <c r="G111" i="21"/>
  <c r="G96" i="21"/>
  <c r="Q9" i="7"/>
  <c r="S8" i="7"/>
  <c r="T29" i="15" l="1"/>
  <c r="G80" i="21"/>
  <c r="E15" i="21" s="1"/>
  <c r="W58" i="7"/>
  <c r="Y53" i="7"/>
  <c r="T24" i="15"/>
  <c r="Y38" i="15" s="1"/>
  <c r="Y40" i="15" s="1"/>
  <c r="AP557" i="20"/>
  <c r="AP556" i="20" s="1"/>
  <c r="AP559" i="20" s="1"/>
  <c r="AF552" i="20" s="1"/>
  <c r="AF553" i="20" s="1"/>
  <c r="AK559" i="20" s="1"/>
  <c r="T818" i="20" s="1"/>
  <c r="AF818" i="20" s="1"/>
  <c r="BE81" i="3" s="1"/>
  <c r="K11" i="7"/>
  <c r="K37" i="7" s="1"/>
  <c r="K45" i="7" s="1"/>
  <c r="E66" i="7"/>
  <c r="E67" i="7"/>
  <c r="O5" i="7"/>
  <c r="Q4" i="7"/>
  <c r="M7" i="7"/>
  <c r="M11" i="7" s="1"/>
  <c r="M37" i="7" s="1"/>
  <c r="O6" i="7"/>
  <c r="G67" i="7"/>
  <c r="G62" i="7"/>
  <c r="G66" i="7"/>
  <c r="I48" i="7"/>
  <c r="I60" i="7"/>
  <c r="I47" i="7"/>
  <c r="G101" i="21"/>
  <c r="G113" i="21"/>
  <c r="G97" i="21"/>
  <c r="S22" i="7"/>
  <c r="S35" i="7" s="1"/>
  <c r="U15" i="7"/>
  <c r="U8" i="7"/>
  <c r="S9" i="7"/>
  <c r="AA53" i="7" l="1"/>
  <c r="Y58" i="7"/>
  <c r="AD38" i="15"/>
  <c r="AD40" i="15" s="1"/>
  <c r="Y41" i="15" s="1"/>
  <c r="AB50" i="15" s="1"/>
  <c r="G115" i="21"/>
  <c r="E17" i="21" s="1"/>
  <c r="E14" i="21" s="1"/>
  <c r="E18" i="21" s="1"/>
  <c r="K49" i="7"/>
  <c r="E70" i="7"/>
  <c r="E72" i="7" s="1"/>
  <c r="S4" i="7"/>
  <c r="Q5" i="7"/>
  <c r="G70" i="7"/>
  <c r="G72" i="7" s="1"/>
  <c r="O7" i="7"/>
  <c r="O11" i="7" s="1"/>
  <c r="O37" i="7" s="1"/>
  <c r="Q6" i="7"/>
  <c r="M45" i="7"/>
  <c r="M49" i="7"/>
  <c r="I66" i="7"/>
  <c r="I67" i="7"/>
  <c r="I62" i="7"/>
  <c r="K47" i="7"/>
  <c r="K60" i="7"/>
  <c r="K48" i="7"/>
  <c r="U22" i="7"/>
  <c r="U35" i="7" s="1"/>
  <c r="W15" i="7"/>
  <c r="U9" i="7"/>
  <c r="W8" i="7"/>
  <c r="AC53" i="7" l="1"/>
  <c r="AA58" i="7"/>
  <c r="U4" i="7"/>
  <c r="S5" i="7"/>
  <c r="M48" i="7"/>
  <c r="M47" i="7"/>
  <c r="M60" i="7"/>
  <c r="O45" i="7"/>
  <c r="O49" i="7"/>
  <c r="K66" i="7"/>
  <c r="K67" i="7"/>
  <c r="K62" i="7"/>
  <c r="Q7" i="7"/>
  <c r="Q11" i="7" s="1"/>
  <c r="Q37" i="7" s="1"/>
  <c r="S6" i="7"/>
  <c r="I70" i="7"/>
  <c r="I72" i="7" s="1"/>
  <c r="W22" i="7"/>
  <c r="W35" i="7" s="1"/>
  <c r="Y15" i="7"/>
  <c r="W9" i="7"/>
  <c r="Y8" i="7"/>
  <c r="BE62" i="3" l="1"/>
  <c r="AB54" i="15"/>
  <c r="AB55" i="15" s="1"/>
  <c r="AB56" i="15" s="1"/>
  <c r="M26" i="3" s="1"/>
  <c r="BE19" i="3" s="1"/>
  <c r="AE53" i="7"/>
  <c r="AC58" i="7"/>
  <c r="U5" i="7"/>
  <c r="W4" i="7"/>
  <c r="Q49" i="7"/>
  <c r="Q45" i="7"/>
  <c r="M62" i="7"/>
  <c r="M67" i="7"/>
  <c r="M66" i="7"/>
  <c r="O47" i="7"/>
  <c r="O48" i="7"/>
  <c r="O60" i="7"/>
  <c r="K70" i="7"/>
  <c r="K72" i="7" s="1"/>
  <c r="S7" i="7"/>
  <c r="S11" i="7" s="1"/>
  <c r="S37" i="7" s="1"/>
  <c r="U6" i="7"/>
  <c r="Y22" i="7"/>
  <c r="Y35" i="7" s="1"/>
  <c r="AA15" i="7"/>
  <c r="Y9" i="7"/>
  <c r="AA8" i="7"/>
  <c r="P204" i="3" l="1"/>
  <c r="AB57" i="15"/>
  <c r="AB59" i="15" s="1"/>
  <c r="AB77" i="15" s="1"/>
  <c r="AG53" i="7"/>
  <c r="AG58" i="7" s="1"/>
  <c r="AE58" i="7"/>
  <c r="M70" i="7"/>
  <c r="M72" i="7" s="1"/>
  <c r="W5" i="7"/>
  <c r="Y4" i="7"/>
  <c r="U7" i="7"/>
  <c r="U11" i="7" s="1"/>
  <c r="U37" i="7" s="1"/>
  <c r="W6" i="7"/>
  <c r="O67" i="7"/>
  <c r="O66" i="7"/>
  <c r="O62" i="7"/>
  <c r="Q60" i="7"/>
  <c r="Q48" i="7"/>
  <c r="Q47" i="7"/>
  <c r="S49" i="7"/>
  <c r="S45" i="7"/>
  <c r="AC15" i="7"/>
  <c r="AA22" i="7"/>
  <c r="AA35" i="7" s="1"/>
  <c r="AC8" i="7"/>
  <c r="AA9" i="7"/>
  <c r="AB78" i="15" l="1"/>
  <c r="AB79" i="15" s="1"/>
  <c r="AB81" i="15" s="1"/>
  <c r="J82" i="15" s="1"/>
  <c r="AA4" i="7"/>
  <c r="Y5" i="7"/>
  <c r="Y6" i="7"/>
  <c r="W7" i="7"/>
  <c r="W11" i="7" s="1"/>
  <c r="W37" i="7" s="1"/>
  <c r="U45" i="7"/>
  <c r="U49" i="7"/>
  <c r="Q66" i="7"/>
  <c r="Q67" i="7"/>
  <c r="Q62" i="7"/>
  <c r="S48" i="7"/>
  <c r="S47" i="7"/>
  <c r="S60" i="7"/>
  <c r="O70" i="7"/>
  <c r="O72" i="7" s="1"/>
  <c r="AE15" i="7"/>
  <c r="AC22" i="7"/>
  <c r="AC35" i="7" s="1"/>
  <c r="AC9" i="7"/>
  <c r="AE8" i="7"/>
  <c r="M27" i="3" l="1"/>
  <c r="BE20" i="3" s="1"/>
  <c r="I10" i="21"/>
  <c r="I11" i="21" s="1"/>
  <c r="AA5" i="7"/>
  <c r="AC4" i="7"/>
  <c r="S67" i="7"/>
  <c r="S66" i="7"/>
  <c r="S62" i="7"/>
  <c r="U48" i="7"/>
  <c r="U60" i="7"/>
  <c r="U47" i="7"/>
  <c r="Q70" i="7"/>
  <c r="Q72" i="7" s="1"/>
  <c r="W49" i="7"/>
  <c r="W45" i="7"/>
  <c r="Y7" i="7"/>
  <c r="Y11" i="7" s="1"/>
  <c r="Y37" i="7" s="1"/>
  <c r="AA6" i="7"/>
  <c r="AE22" i="7"/>
  <c r="AE35" i="7" s="1"/>
  <c r="AG15" i="7"/>
  <c r="AG22" i="7" s="1"/>
  <c r="AG35" i="7" s="1"/>
  <c r="AE9" i="7"/>
  <c r="AG8" i="7"/>
  <c r="AG9" i="7" s="1"/>
  <c r="H4" i="21" l="1"/>
  <c r="P205" i="3"/>
  <c r="S70" i="7"/>
  <c r="S72" i="7" s="1"/>
  <c r="AC5" i="7"/>
  <c r="AE4" i="7"/>
  <c r="AC6" i="7"/>
  <c r="AA7" i="7"/>
  <c r="AA11" i="7" s="1"/>
  <c r="AA37" i="7" s="1"/>
  <c r="U66" i="7"/>
  <c r="U67" i="7"/>
  <c r="U62" i="7"/>
  <c r="Y49" i="7"/>
  <c r="Y45" i="7"/>
  <c r="W60" i="7"/>
  <c r="W47" i="7"/>
  <c r="W48" i="7"/>
  <c r="AE5" i="7" l="1"/>
  <c r="AG4" i="7"/>
  <c r="AA45" i="7"/>
  <c r="AA49" i="7"/>
  <c r="U70" i="7"/>
  <c r="U72" i="7" s="1"/>
  <c r="W67" i="7"/>
  <c r="W62" i="7"/>
  <c r="W66" i="7"/>
  <c r="Y47" i="7"/>
  <c r="Y48" i="7"/>
  <c r="Y60" i="7"/>
  <c r="AE6" i="7"/>
  <c r="AC7" i="7"/>
  <c r="AC11" i="7" s="1"/>
  <c r="AC37" i="7" s="1"/>
  <c r="AG5" i="7" l="1"/>
  <c r="W70" i="7"/>
  <c r="W72" i="7" s="1"/>
  <c r="AA60" i="7"/>
  <c r="AA47" i="7"/>
  <c r="AA48" i="7"/>
  <c r="AC45" i="7"/>
  <c r="AC49" i="7"/>
  <c r="AE7" i="7"/>
  <c r="AE11" i="7" s="1"/>
  <c r="AE37" i="7" s="1"/>
  <c r="AG6" i="7"/>
  <c r="Y67" i="7"/>
  <c r="Y62" i="7"/>
  <c r="Y66" i="7"/>
  <c r="Y70" i="7" l="1"/>
  <c r="Y72" i="7" s="1"/>
  <c r="AG7" i="7"/>
  <c r="AG11" i="7" s="1"/>
  <c r="AG37" i="7" s="1"/>
  <c r="AE49" i="7"/>
  <c r="AE45" i="7"/>
  <c r="AC60" i="7"/>
  <c r="AC48" i="7"/>
  <c r="AC47" i="7"/>
  <c r="AA66" i="7"/>
  <c r="AA67" i="7"/>
  <c r="AA62" i="7"/>
  <c r="AA70" i="7" l="1"/>
  <c r="AA72" i="7" s="1"/>
  <c r="AC66" i="7"/>
  <c r="AC62" i="7"/>
  <c r="AC67" i="7"/>
  <c r="AE47" i="7"/>
  <c r="AE60" i="7"/>
  <c r="AE48" i="7"/>
  <c r="AG49" i="7"/>
  <c r="AG45" i="7"/>
  <c r="AG48" i="7" l="1"/>
  <c r="AG60" i="7"/>
  <c r="AG47" i="7"/>
  <c r="AE62" i="7"/>
  <c r="AE66" i="7"/>
  <c r="AE67" i="7"/>
  <c r="AC70" i="7"/>
  <c r="AC72" i="7" s="1"/>
  <c r="AE70" i="7" l="1"/>
  <c r="AE72" i="7" s="1"/>
  <c r="AG62" i="7"/>
  <c r="AG66" i="7"/>
  <c r="AG67" i="7"/>
  <c r="AG70" i="7" l="1"/>
  <c r="AG72" i="7" s="1"/>
  <c r="BH753" i="3"/>
  <c r="AC753" i="3" s="1"/>
  <c r="BE42" i="3" s="1"/>
  <c r="E93" i="20" l="1"/>
  <c r="E94" i="20" s="1"/>
  <c r="E95" i="20" s="1"/>
  <c r="AP95" i="20" s="1"/>
  <c r="AK109" i="20" s="1"/>
  <c r="T806" i="20" s="1"/>
  <c r="AF806" i="20" s="1"/>
  <c r="E103" i="20"/>
  <c r="E106" i="20" s="1"/>
  <c r="BE73" i="3" l="1"/>
  <c r="AF821" i="20"/>
  <c r="BE70" i="3" s="1"/>
  <c r="H3" i="21"/>
  <c r="H5" i="21" l="1"/>
  <c r="BE83"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AA335" authorId="1" shapeId="0" xr:uid="{B30D307B-0D42-4923-8A2F-B1545990DFED}">
      <text>
        <r>
          <rPr>
            <sz val="9"/>
            <color indexed="81"/>
            <rFont val="Tahoma"/>
            <family val="2"/>
          </rPr>
          <t xml:space="preserve">Experienced property management company requesting points </t>
        </r>
        <r>
          <rPr>
            <u/>
            <sz val="9"/>
            <color indexed="81"/>
            <rFont val="Tahoma"/>
            <family val="2"/>
          </rPr>
          <t>must</t>
        </r>
        <r>
          <rPr>
            <sz val="9"/>
            <color indexed="81"/>
            <rFont val="Tahoma"/>
            <family val="2"/>
          </rPr>
          <t xml:space="preserve"> be listed here.</t>
        </r>
      </text>
    </comment>
    <comment ref="C554" authorId="0" shapeId="0" xr:uid="{00000000-0006-0000-0400-000002000000}">
      <text>
        <r>
          <rPr>
            <sz val="9"/>
            <color indexed="81"/>
            <rFont val="Tahoma"/>
            <family val="2"/>
          </rPr>
          <t>Input tax-exempt bond amount.  This cell is linked to the tie breaker.  Do not include any taxable bond amount.</t>
        </r>
      </text>
    </comment>
    <comment ref="Z809"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6"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8"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292" authorId="0" shapeId="0" xr:uid="{44D572CF-24FA-4A9D-AF74-B902460F6538}">
      <text>
        <r>
          <rPr>
            <sz val="9"/>
            <color indexed="81"/>
            <rFont val="Tahoma"/>
            <family val="2"/>
          </rPr>
          <t>*Using the sort order described in Section 5231, once projects receiving 10 points pursuant to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H779"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73" authorId="0" shapeId="0" xr:uid="{5BACA3C2-BBC2-4EBF-900D-EEDB4C09B202}">
      <text>
        <r>
          <rPr>
            <sz val="9"/>
            <color indexed="81"/>
            <rFont val="Tahoma"/>
            <family val="2"/>
          </rPr>
          <t>*as specified on the HCD Neighborhood Change Map</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<sst xmlns="http://schemas.openxmlformats.org/spreadsheetml/2006/main" count="5007" uniqueCount="2734">
  <si>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</si>
  <si>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</si>
  <si>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</si>
  <si>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</si>
  <si>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</si>
  <si>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</si>
  <si>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</si>
  <si>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</si>
  <si>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</si>
  <si>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</si>
  <si>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</si>
  <si>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</si>
  <si>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</si>
  <si>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</si>
  <si>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</si>
  <si>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</si>
  <si>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</si>
  <si>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</si>
  <si>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</si>
  <si>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</si>
  <si>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</si>
  <si>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</si>
  <si>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</si>
  <si>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</si>
  <si>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</si>
  <si>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</si>
  <si>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</si>
  <si>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</si>
  <si>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</si>
  <si>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</si>
  <si>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</si>
  <si>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</si>
  <si>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</si>
  <si>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</si>
  <si>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</si>
  <si>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</si>
  <si>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</si>
  <si>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</si>
  <si>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</si>
  <si>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</si>
  <si>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</si>
  <si>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</si>
  <si>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</si>
  <si>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</si>
  <si>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</si>
  <si>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</si>
  <si>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</si>
  <si>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</si>
  <si>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</si>
  <si>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</si>
  <si>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</si>
  <si>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</si>
  <si>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</si>
  <si>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</si>
  <si>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</si>
  <si>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</si>
  <si>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</si>
  <si>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</si>
  <si>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</si>
  <si>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</si>
  <si>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</si>
  <si>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</si>
  <si>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</si>
  <si>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</si>
  <si>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</si>
  <si>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</si>
  <si>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</si>
  <si>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</si>
  <si>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</si>
  <si>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</si>
  <si>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</si>
  <si>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</si>
  <si>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</si>
  <si>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</si>
  <si>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</si>
  <si>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</si>
  <si>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</si>
  <si>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</si>
  <si>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</si>
  <si>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</si>
  <si>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</si>
  <si>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</si>
  <si>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</si>
  <si>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</si>
  <si>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</si>
  <si>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</si>
  <si>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</si>
  <si>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</si>
  <si>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</si>
  <si>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</si>
  <si>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</si>
  <si>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</si>
  <si>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</si>
  <si>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</si>
  <si>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</si>
  <si>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</si>
  <si>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</si>
  <si>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</si>
  <si>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</si>
  <si>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</si>
  <si>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</si>
  <si>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</si>
  <si>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</si>
  <si>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</si>
  <si>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</si>
  <si>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</si>
  <si>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</si>
  <si>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</si>
  <si>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</si>
  <si>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</si>
  <si>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</si>
  <si>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</si>
  <si>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</si>
  <si>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</si>
  <si>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</si>
  <si>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</si>
  <si>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</si>
  <si>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</si>
  <si>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</si>
  <si>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</si>
  <si>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</si>
  <si>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</si>
  <si>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</si>
  <si>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</si>
  <si>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</si>
  <si>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</si>
  <si>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</si>
  <si>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</si>
  <si>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</si>
  <si>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</si>
  <si>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</si>
  <si>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</si>
  <si>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</si>
  <si>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</si>
  <si>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</si>
  <si>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</si>
  <si>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</si>
  <si>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</si>
  <si>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</si>
  <si>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</si>
  <si>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</si>
  <si>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</si>
  <si>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</si>
  <si>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</si>
  <si>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</si>
  <si>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</si>
  <si>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</si>
  <si>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</si>
  <si>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</si>
  <si>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</si>
  <si>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</si>
  <si>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</si>
  <si>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</si>
  <si>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</si>
  <si>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</si>
  <si>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</si>
  <si>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</si>
  <si>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</si>
  <si>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</si>
  <si>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</si>
  <si>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</si>
  <si>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</si>
  <si>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</si>
  <si>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</si>
  <si>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</si>
  <si>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</si>
  <si>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</si>
  <si>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</si>
  <si>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</si>
  <si>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</si>
  <si>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</si>
  <si>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</si>
  <si>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</si>
  <si>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</si>
  <si>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</si>
  <si>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</si>
  <si>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</si>
  <si>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</si>
  <si>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</si>
  <si>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</si>
  <si>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</si>
  <si>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</si>
  <si>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</si>
  <si>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</si>
  <si>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</si>
  <si>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</si>
  <si>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</si>
  <si>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</si>
  <si>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</si>
  <si>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</si>
  <si>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</si>
  <si>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</si>
  <si>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</si>
  <si>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</si>
  <si>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</si>
  <si>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</si>
  <si>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</si>
  <si>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</si>
  <si>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</si>
  <si>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</si>
  <si>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</si>
  <si>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</si>
  <si>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</si>
  <si>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</si>
  <si>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</si>
  <si>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</si>
  <si>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</si>
  <si>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</si>
  <si>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</si>
  <si>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</si>
  <si>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</si>
  <si>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</si>
  <si>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</si>
  <si>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</si>
  <si>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</si>
  <si>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</si>
  <si>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</si>
  <si>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</si>
  <si>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</si>
  <si>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</si>
  <si>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</si>
  <si>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</si>
  <si>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</si>
  <si>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</si>
  <si>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</si>
  <si>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</si>
  <si>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</si>
  <si>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</si>
  <si>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</si>
  <si>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</si>
  <si>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</si>
  <si>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</si>
  <si>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</si>
  <si>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</si>
  <si>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</si>
  <si>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</si>
  <si>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</si>
  <si>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</si>
  <si>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</si>
  <si>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</si>
  <si>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</si>
  <si>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</si>
  <si>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</si>
  <si>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</si>
  <si>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</si>
  <si>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</si>
  <si>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</si>
  <si>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</si>
  <si>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</si>
  <si>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</si>
  <si>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</si>
  <si>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</si>
  <si>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</si>
  <si>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</si>
  <si>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</si>
  <si>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</si>
  <si>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</si>
  <si>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</si>
  <si>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</si>
  <si>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</si>
  <si>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</si>
  <si>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</si>
  <si>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</si>
  <si>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</si>
  <si>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</si>
  <si>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</si>
  <si>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</si>
  <si>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</si>
  <si>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</si>
  <si>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</si>
  <si>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</si>
  <si>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</si>
  <si>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</si>
  <si>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</si>
  <si>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</si>
  <si>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</si>
  <si>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</si>
  <si>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</si>
  <si>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</si>
  <si>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</si>
  <si>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</si>
  <si>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</si>
  <si>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</si>
  <si>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</si>
  <si>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</si>
  <si>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</si>
  <si>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</si>
  <si>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</si>
  <si>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</si>
  <si>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</si>
  <si>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</si>
  <si>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</si>
  <si>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</si>
  <si>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</si>
  <si>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</si>
  <si>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</si>
  <si>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</si>
  <si>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</si>
  <si>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</si>
  <si>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</si>
  <si>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</si>
  <si>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</si>
  <si>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</si>
  <si>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</si>
  <si>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</si>
  <si>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</si>
  <si>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</si>
  <si>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</si>
  <si>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</si>
  <si>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</si>
  <si>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</si>
  <si>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</si>
  <si>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</si>
  <si>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</si>
  <si>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</si>
  <si>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</si>
  <si>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</si>
  <si>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</si>
  <si>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</si>
  <si>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</si>
  <si>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</si>
  <si>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</si>
  <si>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</si>
  <si>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</si>
  <si>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</si>
  <si>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</si>
  <si>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</si>
  <si>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</si>
  <si>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</si>
  <si>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</si>
  <si>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</si>
  <si>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</si>
  <si>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</si>
  <si>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</si>
  <si>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</si>
  <si>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</si>
  <si>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</si>
  <si>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</si>
  <si>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</si>
  <si>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</si>
  <si>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</si>
  <si>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</si>
  <si>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</si>
  <si>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</si>
  <si>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</si>
  <si>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</si>
  <si>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</si>
  <si>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</si>
  <si>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</si>
  <si>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</si>
  <si>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</si>
  <si>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</si>
  <si>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</si>
  <si>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</si>
  <si>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</si>
  <si>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</si>
  <si>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</si>
  <si>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</si>
  <si>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</si>
  <si>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</si>
  <si>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</si>
  <si>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</si>
  <si>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</si>
  <si>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</si>
  <si>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</si>
  <si>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</si>
  <si>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</si>
  <si>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</si>
  <si>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</si>
  <si>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</si>
  <si>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</si>
  <si>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</si>
  <si>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</si>
  <si>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</si>
  <si>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</si>
  <si>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</si>
  <si>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</si>
  <si>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</si>
  <si>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</si>
  <si>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</si>
  <si>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</si>
  <si>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</si>
  <si>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</si>
  <si>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</si>
  <si>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</si>
  <si>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</si>
  <si>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</si>
  <si>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</si>
  <si>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</si>
  <si>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</si>
  <si>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</si>
  <si>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</si>
  <si>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</si>
  <si>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</si>
  <si>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</si>
  <si>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</si>
  <si>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</si>
  <si>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</si>
  <si>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</si>
  <si>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</si>
  <si>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</si>
  <si>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</si>
  <si>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</si>
  <si>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</si>
  <si>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</si>
  <si>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</si>
  <si>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</si>
  <si>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</si>
  <si>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</si>
  <si>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</si>
  <si>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</si>
  <si>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</si>
  <si>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</si>
  <si>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</si>
  <si>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</si>
  <si>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</si>
  <si>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</si>
  <si>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</si>
  <si>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</si>
  <si>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</si>
  <si>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</si>
  <si>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</si>
  <si>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</si>
  <si>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</si>
  <si>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</si>
  <si>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</si>
  <si>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</si>
  <si>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</si>
  <si>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</si>
  <si>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</si>
  <si>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</si>
  <si>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</si>
  <si>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</si>
  <si>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</si>
  <si>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</si>
  <si>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</si>
  <si>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</si>
  <si>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</si>
  <si>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</si>
  <si>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</si>
  <si>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</si>
  <si>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</si>
  <si>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</si>
  <si>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</si>
  <si>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</si>
  <si>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</si>
  <si>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</si>
  <si>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</si>
  <si>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</si>
  <si>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</si>
  <si>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</si>
  <si>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</si>
  <si>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</si>
  <si>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</si>
  <si>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</si>
  <si>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</si>
  <si>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</si>
  <si>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</si>
  <si>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</si>
  <si>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</si>
  <si>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</si>
  <si>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</si>
  <si>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</si>
  <si>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</si>
  <si>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</si>
  <si>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</si>
  <si>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</si>
  <si>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</si>
  <si>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</si>
  <si>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</si>
  <si>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</si>
  <si>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</si>
  <si>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</si>
  <si>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</si>
  <si>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</si>
  <si>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</si>
  <si>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</si>
  <si>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</si>
  <si>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</si>
  <si>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</si>
  <si>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</si>
  <si>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</si>
  <si>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</si>
  <si>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</si>
  <si>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</si>
  <si>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</si>
  <si>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</si>
  <si>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</si>
  <si>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</si>
  <si>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</si>
  <si>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</si>
  <si>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</si>
  <si>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</si>
  <si>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</si>
  <si>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</si>
  <si>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</si>
  <si>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</si>
  <si>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</si>
  <si>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</si>
  <si>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</si>
  <si>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</si>
  <si>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</si>
  <si>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</si>
  <si>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</si>
  <si>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</si>
  <si>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</si>
  <si>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</si>
  <si>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</si>
  <si>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</si>
  <si>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</si>
  <si>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</si>
  <si>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</si>
  <si>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</si>
  <si>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</si>
  <si>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</si>
  <si>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</si>
  <si>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</si>
  <si>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</si>
  <si>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</si>
  <si>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</si>
  <si>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</si>
  <si>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</si>
  <si>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</si>
  <si>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</si>
  <si>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</si>
  <si>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</si>
  <si>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</si>
  <si>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</si>
  <si>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</si>
  <si>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</si>
  <si>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</si>
  <si>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</si>
  <si>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</si>
  <si>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</si>
  <si>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</si>
  <si>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</si>
  <si>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</si>
  <si>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</si>
  <si>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</si>
  <si>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</si>
  <si>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</si>
  <si>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</si>
  <si>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</si>
  <si>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</si>
  <si>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</si>
  <si>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</si>
  <si>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</si>
  <si>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</si>
  <si>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</si>
  <si>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</si>
  <si>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</si>
  <si>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</si>
  <si>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</si>
  <si>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</si>
  <si>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</si>
  <si>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</si>
  <si>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</si>
  <si>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</si>
  <si>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</si>
  <si>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</si>
  <si>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</si>
  <si>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</si>
  <si>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</si>
  <si>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</si>
  <si>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</si>
  <si>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</si>
  <si>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</si>
  <si>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</si>
  <si>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</si>
  <si>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</si>
  <si>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</si>
  <si>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</si>
  <si>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</si>
  <si>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</si>
  <si>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</si>
  <si>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</si>
  <si>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</si>
  <si>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</si>
  <si>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</si>
  <si>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</si>
  <si>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</si>
  <si>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</si>
  <si>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</si>
  <si>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</si>
  <si>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</si>
  <si>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</si>
  <si>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</si>
  <si>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</si>
  <si>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</si>
  <si>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</si>
  <si>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</si>
  <si>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</si>
  <si>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</si>
  <si>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</si>
  <si>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</si>
  <si>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</si>
  <si>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</si>
  <si>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</si>
  <si>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</si>
  <si>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</si>
  <si>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</si>
  <si>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</si>
  <si>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</si>
  <si>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</si>
  <si>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</si>
  <si>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</si>
  <si>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</si>
  <si>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</si>
  <si>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</si>
  <si>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</si>
  <si>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</si>
  <si>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</si>
  <si>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</si>
  <si>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</si>
  <si>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</si>
  <si>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</si>
  <si>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</si>
  <si>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</si>
  <si>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</si>
  <si>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</si>
  <si>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</si>
  <si>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</si>
  <si>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</si>
  <si>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</si>
  <si>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</si>
  <si>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</si>
  <si>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</si>
  <si>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</si>
  <si>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</si>
  <si>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</si>
  <si>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</si>
  <si>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</si>
  <si>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</si>
  <si>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</si>
  <si>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</si>
  <si>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</si>
  <si>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</si>
  <si>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</si>
  <si>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</si>
  <si>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</si>
  <si>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</si>
  <si>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</si>
  <si>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</si>
  <si>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</si>
  <si>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</si>
  <si>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</si>
  <si>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</si>
  <si>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</si>
  <si>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</si>
  <si>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</si>
  <si>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</si>
  <si>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</si>
  <si>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</si>
  <si>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</si>
  <si>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</si>
  <si>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</si>
  <si>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</si>
  <si>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</si>
  <si>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</si>
  <si>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</si>
  <si>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</si>
  <si>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</si>
  <si>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</si>
  <si>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</si>
  <si>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</si>
  <si>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</si>
  <si>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</si>
  <si>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</si>
  <si>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</si>
  <si>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</si>
  <si>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</si>
  <si>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</si>
  <si>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</si>
  <si>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</si>
  <si>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</si>
  <si>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</si>
  <si>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</si>
  <si>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</si>
  <si>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</si>
  <si>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</si>
  <si>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</si>
  <si>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</si>
  <si>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</si>
  <si>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</si>
  <si>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</si>
  <si>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</si>
  <si>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</si>
  <si>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</si>
  <si>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</si>
  <si>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</si>
  <si>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</si>
  <si>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</si>
  <si>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</si>
  <si>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</si>
  <si>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</si>
  <si>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</si>
  <si>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</si>
  <si>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</si>
  <si>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</si>
  <si>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</si>
  <si>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</si>
  <si>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</si>
  <si>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</si>
  <si>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</si>
  <si>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</si>
  <si>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</si>
  <si>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</si>
  <si>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</si>
  <si>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</si>
  <si>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</si>
  <si>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</si>
  <si>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</si>
  <si>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</si>
  <si>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</si>
  <si>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</si>
  <si>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</si>
  <si>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</si>
  <si>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</si>
  <si>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</si>
  <si>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</si>
  <si>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</si>
  <si>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</si>
  <si>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</si>
  <si>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</si>
  <si>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</si>
  <si>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</si>
  <si>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</si>
  <si>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</si>
  <si>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</si>
  <si>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</si>
  <si>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</si>
  <si>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</si>
  <si>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</si>
  <si>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</si>
  <si>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</si>
  <si>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</si>
  <si>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</si>
  <si>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</si>
  <si>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</si>
  <si>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</si>
  <si>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</si>
  <si>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</si>
  <si>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</si>
  <si>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</si>
  <si>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</si>
  <si>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</si>
  <si>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</si>
  <si>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</si>
  <si>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</si>
  <si>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</si>
  <si>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</si>
  <si>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</si>
  <si>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</si>
  <si>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</si>
  <si>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</si>
  <si>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</si>
  <si>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</si>
  <si>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</si>
  <si>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</si>
  <si>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</si>
  <si>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</si>
  <si>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</si>
  <si>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</si>
  <si>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</si>
  <si>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</si>
  <si>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</si>
  <si>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</si>
  <si>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</si>
  <si>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</si>
  <si>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</si>
  <si>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</si>
  <si>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</si>
  <si>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</si>
  <si>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</si>
  <si>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</si>
  <si>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</si>
  <si>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</si>
  <si>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</si>
  <si>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</si>
  <si>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</si>
  <si>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</si>
  <si>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</si>
  <si>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</si>
  <si>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</si>
  <si>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</si>
  <si>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</si>
  <si>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</si>
  <si>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</si>
  <si>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</si>
  <si>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</si>
  <si>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</si>
  <si>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</si>
  <si>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</si>
  <si>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</si>
  <si>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</si>
  <si>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</si>
  <si>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</si>
  <si>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</si>
  <si>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</si>
  <si>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</si>
  <si>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</si>
  <si>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</si>
  <si>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</si>
  <si>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</si>
  <si>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</si>
  <si>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</si>
  <si>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</si>
  <si>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</si>
  <si>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</si>
  <si>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</si>
  <si>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</si>
  <si>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</si>
  <si>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</si>
  <si>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</si>
  <si>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</si>
  <si>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</si>
  <si>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</si>
  <si>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</si>
  <si>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</si>
  <si>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</si>
  <si>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</si>
  <si>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</si>
  <si>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</si>
  <si>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</si>
  <si>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</si>
  <si>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</si>
  <si>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</si>
  <si>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</si>
  <si>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</si>
  <si>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</si>
  <si>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</si>
  <si>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</si>
  <si>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</si>
  <si>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</si>
  <si>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</si>
  <si>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</si>
  <si>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</si>
  <si>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</si>
  <si>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</si>
  <si>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</si>
  <si>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</si>
  <si>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</si>
  <si>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</si>
  <si>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</si>
  <si>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</si>
  <si>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</si>
  <si>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</si>
  <si>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</si>
  <si>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</si>
  <si>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</si>
  <si>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</si>
  <si>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</si>
  <si>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</si>
  <si>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</si>
  <si>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</si>
  <si>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</si>
  <si>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</si>
  <si>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</si>
  <si>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</si>
  <si>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</si>
  <si>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</si>
  <si>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</si>
  <si>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</si>
  <si>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</si>
  <si>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</si>
  <si>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</si>
  <si>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</si>
  <si>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</si>
  <si>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</si>
  <si>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</si>
  <si>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</si>
  <si>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</si>
  <si>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</si>
  <si>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</si>
  <si>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</si>
  <si>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</si>
  <si>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</si>
  <si>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</si>
  <si>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</si>
  <si>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</si>
  <si>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</si>
  <si>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</si>
  <si>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</si>
  <si>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</si>
  <si>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</si>
  <si>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</si>
  <si>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</si>
  <si>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</si>
  <si>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</si>
  <si>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</si>
  <si>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</si>
  <si>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</si>
  <si>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</si>
  <si>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</si>
  <si>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</si>
  <si>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</si>
  <si>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</si>
  <si>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</si>
  <si>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</si>
  <si>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</si>
  <si>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</si>
  <si>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</si>
  <si>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</si>
  <si>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</si>
  <si>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</si>
  <si>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</si>
  <si>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</si>
  <si>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</si>
  <si>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</si>
  <si>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</si>
  <si>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</si>
  <si>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</si>
  <si>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</si>
  <si>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</si>
  <si>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</si>
  <si>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</si>
  <si>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</si>
  <si>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</si>
  <si>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</si>
  <si>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</si>
  <si>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</si>
  <si>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</si>
  <si>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</si>
  <si>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</si>
  <si>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</si>
  <si>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</si>
  <si>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</si>
  <si>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</si>
  <si>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</si>
  <si>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</si>
  <si>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</si>
  <si>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</si>
  <si>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</si>
  <si>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</si>
  <si>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</si>
  <si>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</si>
  <si>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</si>
  <si>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</si>
  <si>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</si>
  <si>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</si>
  <si>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</si>
  <si>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</si>
  <si>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</si>
  <si>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</si>
  <si>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</si>
  <si>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</si>
  <si>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</si>
  <si>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</si>
  <si>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</si>
  <si>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</si>
  <si>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</si>
  <si>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</si>
  <si>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</si>
  <si>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</si>
  <si>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</si>
  <si>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</si>
  <si>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</si>
  <si>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</si>
  <si>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</si>
  <si>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</si>
  <si>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</si>
  <si>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</si>
  <si>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</si>
  <si>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</si>
  <si>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</si>
  <si>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</si>
  <si>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</si>
  <si>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</si>
  <si>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</si>
  <si>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</si>
  <si>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</si>
  <si>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</si>
  <si>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</si>
  <si>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</si>
  <si>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</si>
  <si>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</si>
  <si>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</si>
  <si>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</si>
  <si>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</si>
  <si>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</si>
  <si>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</si>
  <si>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</si>
  <si>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</si>
  <si>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</si>
  <si>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</si>
  <si>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</si>
  <si>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</si>
  <si>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</si>
  <si>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</si>
  <si>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</si>
  <si>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</si>
  <si>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</si>
  <si>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</si>
  <si>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</si>
  <si>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</si>
  <si>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</si>
  <si>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</si>
  <si>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</si>
  <si>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</si>
  <si>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</si>
  <si>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</si>
  <si>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</si>
  <si>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</si>
  <si>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</si>
  <si>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</si>
  <si>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</si>
  <si>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</si>
  <si>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</si>
  <si>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</si>
  <si>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</si>
  <si>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</si>
  <si>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</si>
  <si>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</si>
  <si>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</si>
  <si>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</si>
  <si>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</si>
  <si>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</si>
  <si>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</si>
  <si>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</si>
  <si>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</si>
  <si>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</si>
  <si>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</si>
  <si>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</si>
  <si>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</si>
  <si>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</si>
  <si>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</si>
  <si>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</si>
  <si>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</si>
  <si>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</si>
  <si>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</si>
  <si>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</si>
  <si>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</si>
  <si>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</si>
  <si>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</si>
  <si>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</si>
  <si>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</si>
  <si>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</si>
  <si>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</si>
  <si>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</si>
  <si>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</si>
  <si>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</si>
  <si>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</si>
  <si>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</si>
  <si>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</si>
  <si>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</si>
  <si>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</si>
  <si>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</si>
  <si>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</si>
  <si>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</si>
  <si>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</si>
  <si>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</si>
  <si>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</si>
  <si>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</si>
  <si>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</si>
  <si>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</si>
  <si>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</si>
  <si>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</si>
  <si>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</si>
  <si>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</si>
  <si>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</si>
  <si>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</si>
  <si>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</si>
  <si>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</si>
  <si>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</si>
  <si>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</si>
  <si>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</si>
  <si>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</si>
  <si>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</si>
  <si>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</si>
  <si>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</si>
  <si>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</si>
  <si>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</si>
  <si>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</si>
  <si>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</si>
  <si>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</si>
  <si>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</si>
  <si>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</si>
  <si>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</si>
  <si>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</si>
  <si>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</si>
  <si>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</si>
  <si>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</si>
  <si>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</si>
  <si>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</si>
  <si>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</si>
  <si>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</si>
  <si>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</si>
  <si>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</si>
  <si>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</si>
  <si>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</si>
  <si>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</si>
  <si>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</si>
  <si>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</si>
  <si>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</si>
  <si>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</si>
  <si>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</si>
  <si>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</si>
  <si>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</si>
  <si>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</si>
  <si>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</si>
  <si>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</si>
  <si>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</si>
  <si>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</si>
  <si>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</si>
  <si>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</si>
  <si>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</si>
  <si>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</si>
  <si>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</si>
  <si>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</si>
  <si>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</si>
  <si>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</si>
  <si>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</si>
  <si>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</si>
  <si>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</si>
  <si>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</si>
  <si>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</si>
  <si>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</si>
  <si>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</si>
  <si>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</si>
  <si>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</si>
  <si>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</si>
  <si>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</si>
  <si>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</si>
  <si>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</si>
  <si>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</si>
  <si>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</si>
  <si>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</si>
  <si>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</si>
  <si>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</si>
  <si>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</si>
  <si>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</si>
  <si>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</si>
  <si>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</si>
  <si>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</si>
  <si>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</si>
  <si>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</si>
  <si>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</si>
  <si>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</si>
  <si>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</si>
  <si>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</si>
  <si>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</si>
  <si>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</si>
  <si>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</si>
  <si>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</si>
  <si>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</si>
  <si>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</si>
  <si>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</si>
  <si>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</si>
  <si>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</si>
  <si>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</si>
  <si>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</si>
  <si>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</si>
  <si>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</si>
  <si>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</si>
  <si>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</si>
  <si>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</si>
  <si>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</si>
  <si>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</si>
  <si>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</si>
  <si>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</si>
  <si>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</si>
  <si>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</si>
  <si>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</si>
  <si>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</si>
  <si>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</si>
  <si>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</si>
  <si>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</si>
  <si>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</si>
  <si>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</si>
  <si>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</si>
  <si>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</si>
  <si>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</si>
  <si>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</si>
  <si>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</si>
  <si>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</si>
  <si>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</si>
  <si>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</si>
  <si>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</si>
  <si>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</si>
  <si>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</si>
  <si>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</si>
  <si>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</si>
  <si>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</si>
  <si>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</si>
  <si>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</si>
  <si>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</si>
  <si>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</si>
  <si>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</si>
  <si>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</si>
  <si>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</si>
  <si>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</si>
  <si>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</si>
  <si>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</si>
  <si>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</si>
  <si>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</si>
  <si>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</si>
  <si>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</si>
  <si>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</si>
  <si>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</si>
  <si>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</si>
  <si>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</si>
  <si>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</si>
  <si>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</si>
  <si>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</si>
  <si>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</si>
  <si>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</si>
  <si>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</si>
  <si>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</si>
  <si>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</si>
  <si>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</si>
  <si>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</si>
  <si>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</si>
  <si>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</si>
  <si>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</si>
  <si>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</si>
  <si>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</si>
  <si>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</si>
  <si>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</si>
  <si>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</si>
  <si>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</si>
  <si>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</si>
  <si>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</si>
  <si>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</si>
  <si>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</si>
  <si>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</si>
  <si>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</si>
  <si>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</si>
  <si>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</si>
  <si>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</si>
  <si>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</si>
  <si>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</si>
  <si>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</si>
  <si>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</si>
  <si>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</si>
  <si>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</si>
  <si>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</si>
  <si>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</si>
  <si>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</si>
  <si>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</si>
  <si>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</si>
  <si>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</si>
  <si>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</si>
  <si>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</si>
  <si>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</si>
  <si>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</si>
  <si>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</si>
  <si>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</si>
  <si>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</si>
  <si>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</si>
  <si>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</si>
  <si>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</si>
  <si>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</si>
  <si>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</si>
  <si>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</si>
  <si>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</si>
  <si>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</si>
  <si>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</si>
  <si>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</si>
  <si>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</si>
  <si>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</si>
  <si>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</si>
  <si>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</si>
  <si>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</si>
  <si>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</si>
  <si>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</si>
  <si>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</si>
  <si>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</si>
  <si>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</si>
  <si>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</si>
  <si>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</si>
  <si>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</si>
  <si>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</si>
  <si>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</si>
  <si>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</si>
  <si>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</si>
  <si>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</si>
  <si>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</si>
  <si>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</si>
  <si>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</si>
  <si>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</si>
  <si>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</si>
  <si>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</si>
  <si>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</si>
  <si>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</si>
  <si>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</si>
  <si>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</si>
  <si>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</si>
  <si>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</si>
  <si>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</si>
  <si>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</si>
  <si>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</si>
  <si>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</si>
  <si>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</si>
  <si>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</si>
  <si>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</si>
  <si>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</si>
  <si>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</si>
  <si>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</si>
  <si>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</si>
  <si>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</si>
  <si>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</si>
  <si>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</si>
  <si>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</si>
  <si>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</si>
  <si>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</si>
  <si>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</si>
  <si>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</si>
  <si>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</si>
  <si>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</si>
  <si>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</si>
  <si>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</si>
  <si>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</si>
  <si>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</si>
  <si>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</si>
  <si>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</si>
  <si>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</si>
  <si>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</si>
  <si>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</si>
  <si>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</si>
  <si>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</si>
  <si>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</si>
  <si>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</si>
  <si>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</si>
  <si>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</si>
  <si>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</si>
  <si>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</si>
  <si>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</si>
  <si>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</si>
  <si>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</si>
  <si>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</si>
  <si>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</si>
  <si>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</si>
  <si>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</si>
  <si>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</si>
  <si>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</si>
  <si>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</si>
  <si>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</si>
  <si>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</si>
  <si>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</si>
  <si>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</si>
  <si>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</si>
  <si>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</si>
  <si>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</si>
  <si>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</si>
  <si>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</si>
  <si>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</si>
  <si>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</si>
  <si>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</si>
  <si>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</si>
  <si>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</si>
  <si>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</si>
  <si>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</si>
  <si>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</si>
  <si>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</si>
  <si>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</si>
  <si>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</si>
  <si>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</si>
  <si>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</si>
  <si>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</si>
  <si>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</si>
  <si>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</si>
  <si>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</si>
  <si>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</si>
  <si>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</si>
  <si>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</si>
  <si>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</si>
  <si>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</si>
  <si>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</si>
  <si>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</si>
  <si>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</si>
  <si>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</si>
  <si>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</si>
  <si>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</si>
  <si>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</si>
  <si>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</si>
  <si>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</si>
  <si>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</si>
  <si>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</si>
  <si>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</si>
  <si>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</si>
  <si>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</si>
  <si>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</si>
  <si>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</si>
  <si>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</si>
  <si>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</si>
  <si>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</si>
  <si>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</si>
  <si>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</si>
  <si>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</si>
  <si>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</si>
  <si>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</si>
  <si>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</si>
  <si>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</si>
  <si>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</si>
  <si>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</si>
  <si>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</si>
  <si>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</si>
  <si>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</si>
  <si>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</si>
  <si>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</si>
  <si>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</si>
  <si>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</si>
  <si>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</si>
  <si>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</si>
  <si>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</si>
  <si>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</si>
  <si>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</si>
  <si>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</si>
  <si>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</si>
  <si>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</si>
  <si>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</si>
  <si>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</si>
  <si>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</si>
  <si>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</si>
  <si>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</si>
  <si>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</si>
  <si>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</si>
  <si>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</si>
  <si>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</si>
  <si>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</si>
  <si>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</si>
  <si>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</si>
  <si>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</si>
  <si>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</si>
  <si>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</si>
  <si>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</si>
  <si>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</si>
  <si>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</si>
  <si>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</si>
  <si>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</si>
  <si>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</si>
  <si>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</si>
  <si>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</si>
  <si>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</si>
  <si>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</si>
  <si>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</si>
  <si>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</si>
  <si>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</si>
  <si>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</si>
  <si>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</si>
  <si>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</si>
  <si>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</si>
  <si>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</si>
  <si>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</si>
  <si>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</si>
  <si>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</si>
  <si>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</si>
  <si>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</si>
  <si>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</si>
  <si>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</si>
  <si>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</si>
  <si>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</si>
  <si>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</si>
  <si>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</si>
  <si>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</si>
  <si>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</si>
  <si>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</si>
  <si>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</si>
  <si>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</si>
  <si>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</si>
  <si>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</si>
  <si>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</si>
  <si>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</si>
  <si>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</si>
  <si>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</si>
  <si>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</si>
  <si>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</si>
  <si>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</si>
  <si>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</si>
  <si>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</si>
  <si>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</si>
  <si>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</si>
  <si>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</si>
  <si>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</si>
  <si>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</si>
  <si>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</si>
  <si>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</si>
  <si>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</si>
  <si>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</si>
  <si>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</si>
  <si>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</si>
  <si>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</si>
  <si>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</si>
  <si>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</si>
  <si>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</si>
  <si>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</si>
  <si>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</si>
  <si>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</si>
  <si>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</si>
  <si>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</si>
  <si>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</si>
  <si>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</si>
  <si>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</si>
  <si>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</si>
  <si>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</si>
  <si>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</si>
  <si>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</si>
  <si>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</si>
  <si>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</si>
  <si>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</si>
  <si>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</si>
  <si>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</si>
  <si>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</si>
  <si>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</si>
  <si>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</si>
  <si>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</si>
  <si>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</si>
  <si>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</si>
  <si>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</si>
  <si>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</si>
  <si>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</si>
  <si>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</si>
  <si>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</si>
  <si>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</si>
  <si>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</si>
  <si>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</si>
  <si>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</si>
  <si>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</si>
  <si>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</si>
  <si>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</si>
  <si>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</si>
  <si>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</si>
  <si>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</si>
  <si>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</si>
  <si>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</si>
  <si>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</si>
  <si>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</si>
  <si>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</si>
  <si>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</si>
  <si>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</si>
  <si>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</si>
  <si>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</si>
  <si>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</si>
  <si>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</si>
  <si>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</si>
  <si>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</si>
  <si>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</si>
  <si>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</si>
  <si>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</si>
  <si>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</si>
  <si>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</si>
  <si>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</si>
  <si>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</si>
  <si>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</si>
  <si>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</si>
  <si>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</si>
  <si>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</si>
  <si>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</si>
  <si>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</si>
  <si>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</si>
  <si>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</si>
  <si>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</si>
  <si>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</si>
  <si>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</si>
  <si>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</si>
  <si>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</si>
  <si>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</si>
  <si>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</si>
  <si>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</si>
  <si>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</si>
  <si>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</si>
  <si>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</si>
  <si>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</si>
  <si>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</si>
  <si>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</si>
  <si>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</si>
  <si>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</si>
  <si>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</si>
  <si>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</si>
  <si>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</si>
  <si>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</si>
  <si>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</si>
  <si>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</si>
  <si>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</si>
  <si>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</si>
  <si>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</si>
  <si>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</si>
  <si>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</si>
  <si>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</si>
  <si>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</si>
  <si>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</si>
  <si>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</si>
  <si>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</si>
  <si>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</si>
  <si>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</si>
  <si>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</si>
  <si>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</si>
  <si>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</si>
  <si>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</si>
  <si>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</si>
  <si>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</si>
  <si>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</si>
  <si>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</si>
  <si>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</si>
  <si>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</si>
  <si>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</si>
  <si>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</si>
  <si>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</si>
  <si>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</si>
  <si>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</si>
  <si>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</si>
  <si>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</si>
  <si>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</si>
  <si>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</si>
  <si>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</si>
  <si>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</si>
  <si>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</si>
  <si>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</si>
  <si>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</si>
  <si>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</si>
  <si>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</si>
  <si>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</si>
  <si>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</si>
  <si>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</si>
  <si>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</si>
  <si>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</si>
  <si>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</si>
  <si>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</si>
  <si>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</si>
  <si>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</si>
  <si>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</si>
  <si>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</si>
  <si>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</si>
  <si>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</si>
  <si>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</si>
  <si>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</si>
  <si>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</si>
  <si>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</si>
  <si>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</si>
  <si>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</si>
  <si>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</si>
  <si>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</si>
  <si>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</si>
  <si>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</si>
  <si>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</si>
  <si>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</si>
  <si>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</si>
  <si>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</si>
  <si>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</si>
  <si>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</si>
  <si>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</si>
  <si>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</si>
  <si>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</si>
  <si>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</si>
  <si>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</si>
  <si>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</si>
  <si>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</si>
  <si>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</si>
  <si>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</si>
  <si>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</si>
  <si>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</si>
  <si>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</si>
  <si>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</si>
  <si>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</si>
  <si>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</si>
  <si>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</si>
  <si>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</si>
  <si>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</si>
  <si>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</si>
  <si>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</si>
  <si>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</si>
  <si>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</si>
  <si>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</si>
  <si>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</si>
  <si>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</si>
  <si>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</si>
  <si>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</si>
  <si>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</si>
  <si>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</si>
  <si>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</si>
  <si>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</si>
  <si>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</si>
  <si>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</si>
  <si>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</si>
  <si>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</si>
  <si>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</si>
  <si>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</si>
  <si>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</si>
  <si>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</si>
  <si>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</si>
  <si>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</si>
  <si>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</si>
  <si>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</si>
  <si>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</si>
  <si>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</si>
  <si>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</si>
  <si>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</si>
  <si>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</si>
  <si>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</si>
  <si>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</si>
  <si>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</si>
  <si>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</si>
  <si>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</si>
  <si>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</si>
  <si>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</si>
  <si>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</si>
  <si>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</si>
  <si>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</si>
  <si>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</si>
  <si>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</si>
  <si>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</si>
  <si>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</si>
  <si>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</si>
  <si>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</si>
  <si>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</si>
  <si>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</si>
  <si>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</si>
  <si>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</si>
  <si>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</si>
  <si>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</si>
  <si>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</si>
  <si>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</si>
  <si>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</si>
  <si>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</si>
  <si>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</si>
  <si>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</si>
  <si>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</si>
  <si>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</si>
  <si>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</si>
  <si>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</si>
  <si>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</si>
  <si>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</si>
  <si>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</si>
  <si>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</si>
  <si>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</si>
  <si>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</si>
  <si>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</si>
  <si>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</si>
  <si>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</si>
  <si>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</si>
  <si>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</si>
  <si>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</si>
  <si>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</si>
  <si>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</si>
  <si>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</si>
  <si>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</si>
  <si>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</si>
  <si>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</si>
  <si>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</si>
  <si>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</si>
  <si>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</si>
  <si>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</si>
  <si>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</si>
  <si>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</si>
  <si>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</si>
  <si>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</si>
  <si>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</si>
  <si>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</si>
  <si>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</si>
  <si>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</si>
  <si>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</si>
  <si>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</si>
  <si>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</si>
  <si>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</si>
  <si>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</si>
  <si>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</si>
  <si>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</si>
  <si>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</si>
  <si>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</si>
  <si>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</si>
  <si>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</si>
  <si>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</si>
  <si>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</si>
  <si>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</si>
  <si>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</si>
  <si>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</si>
  <si>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</si>
  <si>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</si>
  <si>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</si>
  <si>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</si>
  <si>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</si>
  <si>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</si>
  <si>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</si>
  <si>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</si>
  <si>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</si>
  <si>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</si>
  <si>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</si>
  <si>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</si>
  <si>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</si>
  <si>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</si>
  <si>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</si>
  <si>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</si>
  <si>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</si>
  <si>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</si>
  <si>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</si>
  <si>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</si>
  <si>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</si>
  <si>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</si>
  <si>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</si>
  <si>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</si>
  <si>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</si>
  <si>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</si>
  <si>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</si>
  <si>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</si>
  <si>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</si>
  <si>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</si>
  <si>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</si>
  <si>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</si>
  <si>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</si>
  <si>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</si>
  <si>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</si>
  <si>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</si>
  <si>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</si>
  <si>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</si>
  <si>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</si>
  <si>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</si>
  <si>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</si>
  <si>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</si>
  <si>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</si>
  <si>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</si>
  <si>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</si>
  <si>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</si>
  <si>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</si>
  <si>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</si>
  <si>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</si>
  <si>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</si>
  <si>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</si>
  <si>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</si>
  <si>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</si>
  <si>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</si>
  <si>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</si>
  <si>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</si>
  <si>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</si>
  <si>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</si>
  <si>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</si>
  <si>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</si>
  <si>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</si>
  <si>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</si>
  <si>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</si>
  <si>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</si>
  <si>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</si>
  <si>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</si>
  <si>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</si>
  <si>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</si>
  <si>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</si>
  <si>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</si>
  <si>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</si>
  <si>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</si>
  <si>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</si>
  <si>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</si>
  <si>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</si>
  <si>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</si>
  <si>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</si>
  <si>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</si>
  <si>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</si>
  <si>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</si>
  <si>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</si>
  <si>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</si>
  <si>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</si>
  <si>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</si>
  <si>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</si>
  <si>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</si>
  <si>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</si>
  <si>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</si>
  <si>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</si>
  <si>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</si>
  <si>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</si>
  <si>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</si>
  <si>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</si>
  <si>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</si>
  <si>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</si>
  <si>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</si>
  <si>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</si>
  <si>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</si>
  <si>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</si>
  <si>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</si>
  <si>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</si>
  <si>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</si>
  <si>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</si>
  <si>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</si>
  <si>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</si>
  <si>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</si>
  <si>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</si>
  <si>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</si>
  <si>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</si>
  <si>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</si>
  <si>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</si>
  <si>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</si>
  <si>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</si>
  <si>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</si>
  <si>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</si>
  <si>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</si>
  <si>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</si>
  <si>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</si>
  <si>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</si>
  <si>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</si>
  <si>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</si>
  <si>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</si>
  <si>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</si>
  <si>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</si>
  <si>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</si>
  <si>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</si>
  <si>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</si>
  <si>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</si>
  <si>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</si>
  <si>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</si>
  <si>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</si>
  <si>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</si>
  <si>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</si>
  <si>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</si>
  <si>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</si>
  <si>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</si>
  <si>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</si>
  <si>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</si>
  <si>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</si>
  <si>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</si>
  <si>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</si>
  <si>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</si>
  <si>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</si>
  <si>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</si>
  <si>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</si>
  <si>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</si>
  <si>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</si>
  <si>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</si>
  <si>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</si>
  <si>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</si>
  <si>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</si>
  <si>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</si>
  <si>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</si>
  <si>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</si>
  <si>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</si>
  <si>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</si>
  <si>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</si>
  <si>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</si>
  <si>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</si>
  <si>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</si>
  <si>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</si>
  <si>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</si>
  <si>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</si>
  <si>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</si>
  <si>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</si>
  <si>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</si>
  <si>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</si>
  <si>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</si>
  <si>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</si>
  <si>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</si>
  <si>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</si>
  <si>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</si>
  <si>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</si>
  <si>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</si>
  <si>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</si>
  <si>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</si>
  <si>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</si>
  <si>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</si>
  <si>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</si>
  <si>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</si>
  <si>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</si>
  <si>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</si>
  <si>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</si>
  <si>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</si>
  <si>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</si>
  <si>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</si>
  <si>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</si>
  <si>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</si>
  <si>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</si>
  <si>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</si>
  <si>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</si>
  <si>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</si>
  <si>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</si>
  <si>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</si>
  <si>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</si>
  <si>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</si>
  <si>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</si>
  <si>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</si>
  <si>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</si>
  <si>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</si>
  <si>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</si>
  <si>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</si>
  <si>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</si>
  <si>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</si>
  <si>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</si>
  <si>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</si>
  <si>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</si>
  <si>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</si>
  <si>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</si>
  <si>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</si>
  <si>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</si>
  <si>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</si>
  <si>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</si>
  <si>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</si>
  <si>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</si>
  <si>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</si>
  <si>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</si>
  <si>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</si>
  <si>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</si>
  <si>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</si>
  <si>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</si>
  <si>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</si>
  <si>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</si>
  <si>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</si>
  <si>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</si>
  <si>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</si>
  <si>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</si>
  <si>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</si>
  <si>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</si>
  <si>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</si>
  <si>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</si>
  <si>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</si>
  <si>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</si>
  <si>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</si>
  <si>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</si>
  <si>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</si>
  <si>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</si>
  <si>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</si>
  <si>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</si>
  <si>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</si>
  <si>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</si>
  <si>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</si>
  <si>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</si>
  <si>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</si>
  <si>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</si>
  <si>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</si>
  <si>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</si>
  <si>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</si>
  <si>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</si>
  <si>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</si>
  <si>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</si>
  <si>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</si>
  <si>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</si>
  <si>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</si>
  <si>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</si>
  <si>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</si>
  <si>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</si>
  <si>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</si>
  <si>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</si>
  <si>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</si>
  <si>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</si>
  <si>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</si>
  <si>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</si>
  <si>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</si>
  <si>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</si>
  <si>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</si>
  <si>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</si>
  <si>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</si>
  <si>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</si>
  <si>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</si>
  <si>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</si>
  <si>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</si>
  <si>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</si>
  <si>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</si>
  <si>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</si>
  <si>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</si>
  <si>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</si>
  <si>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</si>
  <si>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</si>
  <si>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</si>
  <si>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</si>
  <si>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</si>
  <si>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</si>
  <si>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</si>
  <si>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</si>
  <si>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</si>
  <si>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</si>
  <si>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</si>
  <si>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</si>
  <si>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</si>
  <si>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</si>
  <si>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</si>
  <si>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</si>
  <si>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</si>
  <si>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</si>
  <si>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</si>
  <si>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</si>
  <si>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</si>
  <si>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</si>
  <si>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</si>
  <si>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</si>
  <si>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</si>
  <si>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</si>
  <si>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</si>
  <si>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</si>
  <si>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</si>
  <si>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</si>
  <si>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</si>
  <si>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</si>
  <si>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</si>
  <si>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</si>
  <si>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</si>
  <si>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</si>
  <si>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</si>
  <si>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</si>
  <si>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</si>
  <si>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</si>
  <si>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</si>
  <si>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</si>
  <si>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</si>
  <si>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</si>
  <si>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</si>
  <si>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</si>
  <si>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</si>
  <si>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</si>
  <si>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</si>
  <si>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</si>
  <si>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</si>
  <si>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</si>
  <si>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</si>
  <si>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</si>
  <si>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</si>
  <si>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</si>
  <si>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</si>
  <si>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</si>
  <si>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</si>
  <si>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</si>
  <si>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</si>
  <si>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</si>
  <si>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</si>
  <si>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</si>
  <si>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</si>
  <si>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</si>
  <si>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</si>
  <si>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</si>
  <si>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</si>
  <si>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</si>
  <si>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</si>
  <si>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</si>
  <si>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</si>
  <si>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</si>
  <si>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</si>
  <si>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</si>
  <si>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</si>
  <si>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</si>
  <si>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</si>
  <si>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</si>
  <si>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</si>
  <si>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</si>
  <si>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</si>
  <si>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</si>
  <si>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</si>
  <si>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</si>
  <si>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</si>
  <si>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</si>
  <si>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</si>
  <si>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</si>
  <si>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</si>
  <si>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</si>
  <si>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</si>
  <si>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</si>
  <si>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</si>
  <si>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</si>
  <si>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</si>
  <si>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</si>
  <si>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</si>
  <si>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</si>
  <si>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</si>
  <si>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</si>
  <si>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</si>
  <si>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</si>
  <si>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</si>
  <si>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</si>
  <si>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</si>
  <si>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</si>
  <si>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</si>
  <si>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</si>
  <si>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</si>
  <si>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</si>
  <si>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</si>
  <si>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</si>
  <si>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</si>
  <si>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</si>
  <si>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</si>
  <si>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</si>
  <si>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</si>
  <si>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</si>
  <si>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</si>
  <si>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</si>
  <si>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</si>
  <si>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</si>
  <si>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</si>
  <si>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</si>
  <si>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</si>
  <si>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</si>
  <si>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</si>
  <si>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</si>
  <si>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</si>
  <si>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</si>
  <si>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</si>
  <si>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</si>
  <si>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</si>
  <si>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</si>
  <si>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</si>
  <si>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</si>
  <si>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</si>
  <si>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</si>
  <si>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</si>
  <si>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</si>
  <si>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</si>
  <si>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</si>
  <si>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</si>
  <si>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</si>
  <si>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</si>
  <si>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</si>
  <si>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</si>
  <si>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</si>
  <si>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</si>
  <si>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</si>
  <si>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</si>
  <si>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</si>
  <si>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</si>
  <si>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</si>
  <si>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</si>
  <si>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</si>
  <si>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</si>
  <si>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</si>
  <si>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</si>
  <si>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</si>
  <si>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</si>
  <si>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</si>
  <si>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</si>
  <si>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</si>
  <si>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</si>
  <si>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</si>
  <si>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</si>
  <si>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</si>
  <si>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</si>
  <si>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</si>
  <si>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</si>
  <si>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</si>
  <si>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</si>
  <si>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</si>
  <si>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</si>
  <si>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</si>
  <si>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</si>
  <si>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</si>
  <si>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</si>
  <si>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$500M (Farmworker Housing)</t>
  </si>
  <si>
    <t>2024 100% RENTS</t>
  </si>
  <si>
    <t>2024 FAIR MARKET RENTS</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</si>
  <si>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</si>
  <si>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</si>
  <si>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</si>
  <si>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</si>
  <si>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</si>
  <si>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</si>
  <si>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</si>
  <si>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</si>
  <si>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</si>
  <si>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</si>
  <si>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</si>
  <si>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</si>
  <si>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</si>
  <si>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</si>
  <si>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</si>
  <si>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 2025 at</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</si>
  <si>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</si>
  <si>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</si>
  <si>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</si>
  <si>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</si>
  <si>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</si>
  <si>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</si>
  <si>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</si>
  <si>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</si>
  <si>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t>A project that received an award from HCD’s Portfolio Reinvestment Program</t>
  </si>
  <si>
    <t>A project applying as an SRO housing type, as defined in Section 10325(g) of the CTCAC regulations, and the rehabilitation will add a bathroom and complete kitchen to each unit</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</si>
  <si>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</si>
  <si>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</si>
  <si>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The sponsor is a BIPOC Entity meeting all requirements of Section 5230(f)(1)(C)</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</si>
  <si>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</si>
  <si>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</si>
  <si>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</si>
  <si>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</si>
  <si>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</si>
  <si>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Preservation Project:</t>
  </si>
  <si>
    <t>whose actual rents are less than the CTCAC rent limits:</t>
  </si>
  <si>
    <t>Preservation Rent</t>
  </si>
  <si>
    <t>Project is located in a neighborhood experiencing 
    neighborhood change*</t>
  </si>
  <si>
    <t>C. Population Benefit</t>
  </si>
  <si>
    <t>D. Location Benefit</t>
  </si>
  <si>
    <t>(1) Special Needs Population Benefit</t>
  </si>
  <si>
    <t>(2) Extremely Low Income Benefit</t>
  </si>
  <si>
    <t>Resource Area Benefit</t>
  </si>
  <si>
    <t>(3) Transit/Walkability Benefit</t>
  </si>
  <si>
    <t>(2) Community Revitalization Benefit</t>
  </si>
  <si>
    <t>(1) Resource Area Benefit</t>
  </si>
  <si>
    <t>Community Revitalization Benefit</t>
  </si>
  <si>
    <t>Transit/Walkability Benefit</t>
  </si>
  <si>
    <t>Seismic or Environmental Remediation</t>
  </si>
  <si>
    <t>Other Rehabilitation Project:</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</si>
  <si>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</si>
  <si>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</si>
  <si>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</si>
  <si>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</si>
  <si>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</si>
  <si>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</si>
  <si>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</si>
  <si>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</si>
  <si>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</si>
  <si>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</si>
  <si>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</si>
  <si>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</si>
  <si>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</si>
  <si>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</si>
  <si>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</si>
  <si>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</si>
  <si>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</si>
  <si>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</si>
  <si>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</si>
  <si>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</si>
  <si>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</si>
  <si>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</si>
  <si>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</si>
  <si>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</si>
  <si>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</si>
  <si>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</si>
  <si>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</si>
  <si>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</si>
  <si>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</si>
  <si>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</si>
  <si>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</si>
  <si>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</si>
  <si>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</si>
  <si>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</si>
  <si>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</si>
  <si>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</si>
  <si>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</si>
  <si>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</si>
  <si>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</si>
  <si>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</si>
  <si>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</si>
  <si>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</si>
  <si>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</si>
  <si>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</si>
  <si>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</si>
  <si>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</si>
  <si>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</si>
  <si>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</si>
  <si>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</si>
  <si>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</si>
  <si>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</si>
  <si>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</si>
  <si>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</si>
  <si>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</si>
  <si>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</si>
  <si>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</si>
  <si>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&lt;insert information&gt;</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</si>
  <si>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</si>
  <si>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</si>
  <si>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</si>
  <si>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</si>
  <si>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</si>
  <si>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</si>
  <si>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</si>
  <si>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</si>
  <si>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</si>
  <si>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</si>
  <si>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</si>
  <si>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</si>
  <si>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</si>
  <si>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</si>
  <si>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</si>
  <si>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</si>
  <si>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</si>
  <si>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</si>
  <si>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</si>
  <si>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</si>
  <si>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</si>
  <si>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Add general scope information outlined on the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</si>
  <si>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</si>
  <si>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</si>
  <si>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</si>
  <si>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</si>
  <si>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</si>
  <si>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</si>
  <si>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</si>
  <si>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</si>
  <si>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</si>
  <si>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</si>
  <si>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</si>
  <si>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Does the management company meet the minimum 3 points requirement pursuant to CDLAC Regulations Section 5230(f)?</t>
  </si>
  <si>
    <t>Management Company Information</t>
  </si>
  <si>
    <t>Total # of Units</t>
  </si>
  <si>
    <t># of Market Rate</t>
  </si>
  <si>
    <t># of Affordable</t>
  </si>
  <si>
    <t>In CalHFA Portfolio</t>
  </si>
  <si>
    <t>Pipeline</t>
  </si>
  <si>
    <t>Other General Partner Experience (Enter # in Each Phase - pipeline, under construction, completed)</t>
  </si>
  <si>
    <t>Share of Other General Partners' Ownership</t>
  </si>
  <si>
    <t>Development Pipeline For Other General Partner</t>
  </si>
  <si>
    <t>If no or N/A, provide explanation:</t>
  </si>
  <si>
    <t>Does the Co-Sponsor/Developer alone meet the minimum 7 points requirement pursuant to CDLAC Regulations Section 5230(f)?</t>
  </si>
  <si>
    <t>Co-Developer Experience (Enter # for Each Phase - pipeline, under construction, completed)</t>
  </si>
  <si>
    <t>Share of Developer Fees</t>
  </si>
  <si>
    <t>Share of Co-General Partners' Ownership in Project LP</t>
  </si>
  <si>
    <t>Co-Developer/Co-General Partner</t>
  </si>
  <si>
    <t>Does the Sponsor/Developer alone meet the minimum 7 points requirement pursuant to CDLAC Regulations Section 5230(f)?</t>
  </si>
  <si>
    <t>Developer Experience (Enter # for Each Phase - pipeline, under construction, completed)</t>
  </si>
  <si>
    <t>Share of  Developer Fees</t>
  </si>
  <si>
    <t>Share of General Partners' Ownership in Project LP</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</si>
  <si>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</si>
  <si>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</si>
  <si>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</si>
  <si>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</si>
  <si>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</si>
  <si>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</si>
  <si>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</si>
  <si>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</si>
  <si>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</si>
  <si>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</si>
  <si>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</si>
  <si>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</si>
  <si>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</si>
  <si>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</si>
  <si>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</si>
  <si>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</si>
  <si>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</si>
  <si>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</si>
  <si>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Services Company 2</t>
  </si>
  <si>
    <t>Services Company 1</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</si>
  <si>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</si>
  <si>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</si>
  <si>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</si>
  <si>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</si>
  <si>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</si>
  <si>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</si>
  <si>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</si>
  <si>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</si>
  <si>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</si>
  <si>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</si>
  <si>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</si>
  <si>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</si>
  <si>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3rd</t>
  </si>
  <si>
    <t>CTCAC</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</si>
  <si>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</si>
  <si>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</si>
  <si>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</si>
  <si>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</si>
  <si>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</si>
  <si>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</si>
  <si>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</si>
  <si>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</si>
  <si>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</si>
  <si>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</si>
  <si>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</si>
  <si>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</si>
  <si>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</si>
  <si>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</si>
  <si>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</si>
  <si>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</si>
  <si>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</si>
  <si>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</si>
  <si>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</si>
  <si>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</si>
  <si>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</si>
  <si>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</si>
  <si>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</si>
  <si>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</si>
  <si>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</si>
  <si>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</si>
  <si>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</si>
  <si>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</si>
  <si>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</si>
  <si>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</si>
  <si>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</si>
  <si>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Will this project be scattered site? (Defined by CDLAC, Article 1, Section 5170)</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</si>
  <si>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</si>
  <si>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</si>
  <si>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</si>
  <si>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</si>
  <si>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</si>
  <si>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</si>
  <si>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</si>
  <si>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2025 CDLAC-CTCAC JOINT APPLICATION CHECKLIST</t>
  </si>
  <si>
    <t>2025 4% FEDERAL LOW-INCOME HOUSING TAX CREDITS WITH TAX-EXEMPT BONDS</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</si>
  <si>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</si>
  <si>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</si>
  <si>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</si>
  <si>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</si>
  <si>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</si>
  <si>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</si>
  <si>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</si>
  <si>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</si>
  <si>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</si>
  <si>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</si>
  <si>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</si>
  <si>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</si>
  <si>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</si>
  <si>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</si>
  <si>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</si>
  <si>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</si>
  <si>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</si>
  <si>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</si>
  <si>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</si>
  <si>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</si>
  <si>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</si>
  <si>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</si>
  <si>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</si>
  <si>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</si>
  <si>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</si>
  <si>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</si>
  <si>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</si>
  <si>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</si>
  <si>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</si>
  <si>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</si>
  <si>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</si>
  <si>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</si>
  <si>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</si>
  <si>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</si>
  <si>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</si>
  <si>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</si>
  <si>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</si>
  <si>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</si>
  <si>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</si>
  <si>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</si>
  <si>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</si>
  <si>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</si>
  <si>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</si>
  <si>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</si>
  <si>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</si>
  <si>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</si>
  <si>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</si>
  <si>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</si>
  <si>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</si>
  <si>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</si>
  <si>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</si>
  <si>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</si>
  <si>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</si>
  <si>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</si>
  <si>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</si>
  <si>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</si>
  <si>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</si>
  <si>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</si>
  <si>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https://www.treasurer.ca.gov/CTCAC/2025/4-instructions.asp</t>
  </si>
  <si>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</si>
  <si>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</si>
  <si>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</si>
  <si>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</si>
  <si>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</si>
  <si>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</si>
  <si>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</si>
  <si>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</si>
  <si>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</si>
  <si>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</si>
  <si>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</si>
  <si>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</si>
  <si>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</si>
  <si>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</si>
  <si>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</si>
  <si>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</si>
  <si>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</si>
  <si>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</si>
  <si>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</si>
  <si>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</si>
  <si>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</si>
  <si>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</si>
  <si>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</si>
  <si>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</si>
  <si>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</si>
  <si>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</si>
  <si>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</si>
  <si>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</si>
  <si>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</si>
  <si>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</si>
  <si>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</si>
  <si>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</si>
  <si>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</si>
  <si>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</si>
  <si>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</si>
  <si>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</si>
  <si>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</si>
  <si>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</si>
  <si>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</si>
  <si>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</si>
  <si>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</si>
  <si>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</si>
  <si>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</si>
  <si>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</si>
  <si>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</si>
  <si>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Preservation and Other Rehab</t>
  </si>
  <si>
    <t>Points, New Con Density</t>
  </si>
  <si>
    <t>Points, Exceeding Min Income</t>
  </si>
  <si>
    <t>Points, Exceeding Min Rent</t>
  </si>
  <si>
    <t>Points, Experience</t>
  </si>
  <si>
    <t>Points, Housing Need</t>
  </si>
  <si>
    <t>Points, Leveraged Soft Resources</t>
  </si>
  <si>
    <t>Points, Readiness</t>
  </si>
  <si>
    <t>Points, AFFH</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</si>
  <si>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</si>
  <si>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</si>
  <si>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</si>
  <si>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</si>
  <si>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</si>
  <si>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</si>
  <si>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</si>
  <si>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</si>
  <si>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</si>
  <si>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</si>
  <si>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</si>
  <si>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</si>
  <si>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</si>
  <si>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</si>
  <si>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</si>
  <si>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</si>
  <si>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</si>
  <si>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</si>
  <si>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</si>
  <si>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</si>
  <si>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</si>
  <si>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</si>
  <si>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CDLAC Region</t>
  </si>
  <si>
    <t>Residential &amp; Commercial</t>
  </si>
  <si>
    <t>CTCAC Region</t>
  </si>
  <si>
    <t>Total Residential Project Cost</t>
  </si>
  <si>
    <t>Scattered Site</t>
  </si>
  <si>
    <t>4% 2025 TBLs</t>
  </si>
  <si>
    <t>9% 2025 TBLs</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</si>
  <si>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</si>
  <si>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</si>
  <si>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</si>
  <si>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</si>
  <si>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January 13, 2025 Version</t>
  </si>
  <si>
    <t>George McDonald Court LP</t>
  </si>
  <si>
    <t>George McDonald Court</t>
  </si>
  <si>
    <t>Community Housing Program Manager</t>
  </si>
  <si>
    <t>1200 W. 7th Street, 8th Floor</t>
  </si>
  <si>
    <t>timothy.elliott@lacity.org</t>
  </si>
  <si>
    <t>Timothy Elliott</t>
  </si>
  <si>
    <t>1800 E 92nd Street</t>
  </si>
  <si>
    <t>6048-033-045</t>
  </si>
  <si>
    <t>40%/60%</t>
  </si>
  <si>
    <t>1900 Huntington Drive</t>
  </si>
  <si>
    <t>Duarte</t>
  </si>
  <si>
    <t>CA</t>
  </si>
  <si>
    <t>Orest Dolyniuk</t>
  </si>
  <si>
    <t>OrestD@beacondevgroup.com</t>
  </si>
  <si>
    <t>HumanGood Affordable Housing</t>
  </si>
  <si>
    <t>Castle Argyle, a California Non-profit public benefit corporation</t>
  </si>
  <si>
    <t>Managing GP</t>
  </si>
  <si>
    <t>Mary Grace Crisostomo</t>
  </si>
  <si>
    <t>MaryGrace.Crisostomo@HumanGood.org</t>
  </si>
  <si>
    <t>Duarte, CA 91010</t>
  </si>
  <si>
    <t>D33 Design &amp; Planning</t>
  </si>
  <si>
    <t>31866 Camino Capistrano</t>
  </si>
  <si>
    <t>San Juan Capistrano, CA   92675</t>
  </si>
  <si>
    <t>Brian Weller</t>
  </si>
  <si>
    <t>bweller@d33design.com</t>
  </si>
  <si>
    <t>Goldfarb &amp; Lipman</t>
  </si>
  <si>
    <t>1300 Clay Street 11th Floor</t>
  </si>
  <si>
    <t>Oakland, CA 94612</t>
  </si>
  <si>
    <t>William DiCamillo</t>
  </si>
  <si>
    <t>wdicamillo@goldfarblipman.com</t>
  </si>
  <si>
    <t>Walton Construction</t>
  </si>
  <si>
    <t>358 . Foothill Blvd.</t>
  </si>
  <si>
    <t>San Dimas, CA  91773</t>
  </si>
  <si>
    <t>Tim Norris</t>
  </si>
  <si>
    <t>tnorris@waltonci.com</t>
  </si>
  <si>
    <t>Dauby O'Connor &amp; Zaleski, LLC</t>
  </si>
  <si>
    <t>591 Congressional Blvd</t>
  </si>
  <si>
    <t>Carmel, IN 46032</t>
  </si>
  <si>
    <t>Kenny Dennison</t>
  </si>
  <si>
    <t>kdennison@dozllc.com</t>
  </si>
  <si>
    <t>Partner Energy</t>
  </si>
  <si>
    <t>2154 Torrance Blvd</t>
  </si>
  <si>
    <t>Torrance, CA  90501</t>
  </si>
  <si>
    <t>Drew McCreery</t>
  </si>
  <si>
    <t>dmccreery@partneresi.com</t>
  </si>
  <si>
    <t>TBD</t>
  </si>
  <si>
    <t>California Housing Partnership</t>
  </si>
  <si>
    <t>Sherin Bennett</t>
  </si>
  <si>
    <t>Appraisal</t>
  </si>
  <si>
    <t>Low Income Senior Housing</t>
  </si>
  <si>
    <t>Inner City Infill Site</t>
  </si>
  <si>
    <t>The entire building is senior restricted (60 units). 10 of the 61 units have ADA and Accessibility features.</t>
  </si>
  <si>
    <t>Two-Family Zone</t>
  </si>
  <si>
    <t>Tax Credit Equity</t>
  </si>
  <si>
    <t>Seller Note</t>
  </si>
  <si>
    <t>Seller Note Accrued Interest</t>
  </si>
  <si>
    <t>Existing Reserves</t>
  </si>
  <si>
    <t>Citibank</t>
  </si>
  <si>
    <t>NOI</t>
  </si>
  <si>
    <t>Other: (Bank Construction Inspections &amp; Third Party Reports)</t>
  </si>
  <si>
    <t>Other: (Applicant Legal, Including HUD Counsel)</t>
  </si>
  <si>
    <t>Other: (Document Transfer Tax)</t>
  </si>
  <si>
    <t>Other: (Accrued Interest - Seller and LAHD Loan)</t>
  </si>
  <si>
    <t>Novogradac</t>
  </si>
  <si>
    <t>1160 Battery Street, Suite 225</t>
  </si>
  <si>
    <t>San Francisco, CA 94111</t>
  </si>
  <si>
    <t>Rachel Denton</t>
  </si>
  <si>
    <t>913-677-4600</t>
  </si>
  <si>
    <t>913-677-4601</t>
  </si>
  <si>
    <t>Rachel.Denton@novoco.com</t>
  </si>
  <si>
    <t>Partner Engineering &amp; Science</t>
  </si>
  <si>
    <t xml:space="preserve">(310) 774-3165 </t>
  </si>
  <si>
    <t>Kendra Roberts, VP of Operations</t>
  </si>
  <si>
    <t>Kendra.Roberts@HumanGood.org</t>
  </si>
  <si>
    <t>California Municipal Finance Authority</t>
  </si>
  <si>
    <t>211 Palomar Airport Road #320</t>
  </si>
  <si>
    <t>Carlsbad, CA 92011</t>
  </si>
  <si>
    <t>Anthony Stubbs</t>
  </si>
  <si>
    <t>astubbs@cmfa-ca.com</t>
  </si>
  <si>
    <t>R2-1, density per existing variance and project permit</t>
  </si>
  <si>
    <t>No Change Proposed</t>
  </si>
  <si>
    <t>Conditions of exisiting varainace and project permit requires the site to be maintained as affordable housing</t>
  </si>
  <si>
    <t xml:space="preserve">No  </t>
  </si>
  <si>
    <t>Per variance and project permit</t>
  </si>
  <si>
    <t>300 South Grand Avenue, Suite 3110</t>
  </si>
  <si>
    <t>Los Angeles, CA  90071</t>
  </si>
  <si>
    <t>Hao Li</t>
  </si>
  <si>
    <t>Draw Down Tax Exempt Construction</t>
  </si>
  <si>
    <t>SOFR</t>
  </si>
  <si>
    <t>Duarte CA  91010</t>
  </si>
  <si>
    <t>Beth Burke</t>
  </si>
  <si>
    <t>Seller Note - Residual Receipts</t>
  </si>
  <si>
    <t>Deferred Fee</t>
  </si>
  <si>
    <t>Los Angeles, CA 90071</t>
  </si>
  <si>
    <t>Tax Exempt Permenant Loan</t>
  </si>
  <si>
    <t>Sponsor Note - Residual Receipts</t>
  </si>
  <si>
    <t>Net Operating Income during Construction</t>
  </si>
  <si>
    <t>Sponsor contributed capital</t>
  </si>
  <si>
    <t>Department of Housing and Urban Development</t>
  </si>
  <si>
    <t>HUD</t>
  </si>
  <si>
    <t>Misc Expenses</t>
  </si>
  <si>
    <t>Contracts/Supplies</t>
  </si>
  <si>
    <t>Misc. tax/License</t>
  </si>
  <si>
    <t>49 Stevenson Street, Suite 500</t>
  </si>
  <si>
    <t>San Francisco, CA 94105</t>
  </si>
  <si>
    <t>415-433-6804</t>
  </si>
  <si>
    <t>sbennett@chpc.net</t>
  </si>
  <si>
    <t>Jennifer Kappen</t>
  </si>
  <si>
    <t>Senior Vice President</t>
  </si>
  <si>
    <t>1900 Huntington Drive, Duarte CA  91010</t>
  </si>
  <si>
    <t>Bandera Senior Housing Corp.</t>
  </si>
  <si>
    <t>Variable</t>
  </si>
  <si>
    <t>Fixed</t>
  </si>
  <si>
    <t>Costs Deferred Unitl Conversion</t>
  </si>
  <si>
    <t>Deferred Costs</t>
  </si>
  <si>
    <t>Seller Note #2</t>
  </si>
  <si>
    <t>Other (Issuer Fees):</t>
  </si>
  <si>
    <t>Castle Argyle/HumanGood Affordable Housing</t>
  </si>
  <si>
    <t>1 bedroom</t>
  </si>
  <si>
    <t>Other: (Payment and Performance Bond)</t>
  </si>
  <si>
    <t>Project-based contract (PBC)</t>
  </si>
  <si>
    <t>NA</t>
  </si>
  <si>
    <t>Not Applicable</t>
  </si>
  <si>
    <t>Provided</t>
  </si>
  <si>
    <t>Need to Provide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</si>
</sst>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88">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34057">
    <xf numFmtId="0" fontId="0" fillId="0" borderId="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2" borderId="0" applyNumberFormat="0" applyBorder="0" applyAlignment="0" applyProtection="0"/>
    <xf numFmtId="0" fontId="87" fillId="12" borderId="0" applyNumberFormat="0" applyBorder="0" applyAlignment="0" applyProtection="0"/>
    <xf numFmtId="0" fontId="87" fillId="12" borderId="0" applyNumberFormat="0" applyBorder="0" applyAlignment="0" applyProtection="0"/>
    <xf numFmtId="0" fontId="87" fillId="12" borderId="0" applyNumberFormat="0" applyBorder="0" applyAlignment="0" applyProtection="0"/>
    <xf numFmtId="0" fontId="87" fillId="12" borderId="0" applyNumberFormat="0" applyBorder="0" applyAlignment="0" applyProtection="0"/>
    <xf numFmtId="0" fontId="87" fillId="12" borderId="0" applyNumberFormat="0" applyBorder="0" applyAlignment="0" applyProtection="0"/>
    <xf numFmtId="0" fontId="87" fillId="12" borderId="0" applyNumberFormat="0" applyBorder="0" applyAlignment="0" applyProtection="0"/>
    <xf numFmtId="0" fontId="87" fillId="12" borderId="0" applyNumberFormat="0" applyBorder="0" applyAlignment="0" applyProtection="0"/>
    <xf numFmtId="0" fontId="87" fillId="13" borderId="0" applyNumberFormat="0" applyBorder="0" applyAlignment="0" applyProtection="0"/>
    <xf numFmtId="0" fontId="87" fillId="13" borderId="0" applyNumberFormat="0" applyBorder="0" applyAlignment="0" applyProtection="0"/>
    <xf numFmtId="0" fontId="87" fillId="13" borderId="0" applyNumberFormat="0" applyBorder="0" applyAlignment="0" applyProtection="0"/>
    <xf numFmtId="0" fontId="87" fillId="13" borderId="0" applyNumberFormat="0" applyBorder="0" applyAlignment="0" applyProtection="0"/>
    <xf numFmtId="0" fontId="87" fillId="13" borderId="0" applyNumberFormat="0" applyBorder="0" applyAlignment="0" applyProtection="0"/>
    <xf numFmtId="0" fontId="87" fillId="13" borderId="0" applyNumberFormat="0" applyBorder="0" applyAlignment="0" applyProtection="0"/>
    <xf numFmtId="0" fontId="87" fillId="13" borderId="0" applyNumberFormat="0" applyBorder="0" applyAlignment="0" applyProtection="0"/>
    <xf numFmtId="0" fontId="87" fillId="13"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4"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7" borderId="0" applyNumberFormat="0" applyBorder="0" applyAlignment="0" applyProtection="0"/>
    <xf numFmtId="0" fontId="88" fillId="28" borderId="0" applyNumberFormat="0" applyBorder="0" applyAlignment="0" applyProtection="0"/>
    <xf numFmtId="0" fontId="88" fillId="28" borderId="0" applyNumberFormat="0" applyBorder="0" applyAlignment="0" applyProtection="0"/>
    <xf numFmtId="0" fontId="88" fillId="29" borderId="0" applyNumberFormat="0" applyBorder="0" applyAlignment="0" applyProtection="0"/>
    <xf numFmtId="0" fontId="88" fillId="29"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2" borderId="0" applyNumberFormat="0" applyBorder="0" applyAlignment="0" applyProtection="0"/>
    <xf numFmtId="0" fontId="88" fillId="32" borderId="0" applyNumberFormat="0" applyBorder="0" applyAlignment="0" applyProtection="0"/>
    <xf numFmtId="0" fontId="88" fillId="33" borderId="0" applyNumberFormat="0" applyBorder="0" applyAlignment="0" applyProtection="0"/>
    <xf numFmtId="0" fontId="88" fillId="34" borderId="0" applyNumberFormat="0" applyBorder="0" applyAlignment="0" applyProtection="0"/>
    <xf numFmtId="0" fontId="89" fillId="35" borderId="0" applyNumberFormat="0" applyBorder="0" applyAlignment="0" applyProtection="0"/>
    <xf numFmtId="0" fontId="89" fillId="35" borderId="0" applyNumberFormat="0" applyBorder="0" applyAlignment="0" applyProtection="0"/>
    <xf numFmtId="0" fontId="90" fillId="36" borderId="18" applyNumberFormat="0" applyAlignment="0" applyProtection="0"/>
    <xf numFmtId="0" fontId="90" fillId="36" borderId="18" applyNumberFormat="0" applyAlignment="0" applyProtection="0"/>
    <xf numFmtId="0" fontId="91" fillId="37" borderId="19" applyNumberFormat="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79"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63" fillId="0" borderId="0" applyFont="0" applyFill="0" applyBorder="0" applyAlignment="0" applyProtection="0"/>
    <xf numFmtId="43" fontId="28" fillId="0" borderId="0" applyFont="0" applyFill="0" applyBorder="0" applyAlignment="0" applyProtection="0"/>
    <xf numFmtId="43" fontId="63" fillId="0" borderId="0" applyFont="0" applyFill="0" applyBorder="0" applyAlignment="0" applyProtection="0"/>
    <xf numFmtId="44" fontId="80"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63" fillId="0" borderId="0" applyFont="0" applyFill="0" applyBorder="0" applyAlignment="0" applyProtection="0"/>
    <xf numFmtId="44" fontId="80" fillId="0" borderId="0" applyFont="0" applyFill="0" applyBorder="0" applyAlignment="0" applyProtection="0"/>
    <xf numFmtId="44" fontId="28" fillId="0" borderId="0" applyFont="0" applyFill="0" applyBorder="0" applyAlignment="0" applyProtection="0"/>
    <xf numFmtId="44" fontId="82" fillId="0" borderId="0" applyFont="0" applyFill="0" applyBorder="0" applyAlignment="0" applyProtection="0"/>
    <xf numFmtId="44" fontId="28" fillId="0" borderId="0" applyFont="0" applyFill="0" applyBorder="0" applyAlignment="0" applyProtection="0"/>
    <xf numFmtId="44" fontId="63" fillId="0" borderId="0" applyFont="0" applyFill="0" applyBorder="0" applyAlignment="0" applyProtection="0">
      <alignment vertical="top"/>
    </xf>
    <xf numFmtId="44" fontId="63" fillId="0" borderId="0" applyFont="0" applyFill="0" applyBorder="0" applyAlignment="0" applyProtection="0">
      <alignment vertical="top"/>
    </xf>
    <xf numFmtId="44" fontId="28" fillId="0" borderId="0" applyFont="0" applyFill="0" applyBorder="0" applyAlignment="0" applyProtection="0"/>
    <xf numFmtId="44" fontId="63" fillId="0" borderId="0" applyFont="0" applyFill="0" applyBorder="0" applyAlignment="0" applyProtection="0">
      <alignment vertical="top"/>
    </xf>
    <xf numFmtId="44" fontId="63" fillId="0" borderId="0" applyFont="0" applyFill="0" applyBorder="0" applyAlignment="0" applyProtection="0"/>
    <xf numFmtId="44" fontId="79"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63" fillId="0" borderId="0" applyFont="0" applyFill="0" applyBorder="0" applyAlignment="0" applyProtection="0"/>
    <xf numFmtId="44" fontId="72"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63" fillId="0" borderId="0" applyFont="0" applyFill="0" applyBorder="0" applyAlignment="0" applyProtection="0"/>
    <xf numFmtId="44" fontId="28" fillId="0" borderId="0" applyFont="0" applyFill="0" applyBorder="0" applyAlignment="0" applyProtection="0"/>
    <xf numFmtId="44" fontId="73" fillId="0" borderId="0" applyFont="0" applyFill="0" applyBorder="0" applyAlignment="0" applyProtection="0"/>
    <xf numFmtId="44" fontId="28" fillId="0" borderId="0" applyFont="0" applyFill="0" applyBorder="0" applyAlignment="0" applyProtection="0"/>
    <xf numFmtId="44" fontId="79"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28"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79"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28"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28" fillId="0" borderId="0" applyFont="0" applyFill="0" applyBorder="0" applyAlignment="0" applyProtection="0"/>
    <xf numFmtId="44" fontId="63" fillId="0" borderId="0" applyFont="0" applyFill="0" applyBorder="0" applyAlignment="0" applyProtection="0"/>
    <xf numFmtId="44" fontId="28" fillId="0" borderId="0" applyFont="0" applyFill="0" applyBorder="0" applyAlignment="0" applyProtection="0"/>
    <xf numFmtId="44" fontId="74"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78" fillId="0" borderId="0" applyFont="0" applyFill="0" applyBorder="0" applyAlignment="0" applyProtection="0"/>
    <xf numFmtId="44" fontId="28" fillId="0" borderId="0" applyFont="0" applyFill="0" applyBorder="0" applyAlignment="0" applyProtection="0"/>
    <xf numFmtId="0" fontId="92" fillId="0" borderId="0" applyNumberFormat="0" applyFill="0" applyBorder="0" applyAlignment="0" applyProtection="0"/>
    <xf numFmtId="0" fontId="93" fillId="38" borderId="0" applyNumberFormat="0" applyBorder="0" applyAlignment="0" applyProtection="0"/>
    <xf numFmtId="0" fontId="94" fillId="0" borderId="20" applyNumberFormat="0" applyFill="0" applyAlignment="0" applyProtection="0"/>
    <xf numFmtId="0" fontId="94" fillId="0" borderId="20" applyNumberFormat="0" applyFill="0" applyAlignment="0" applyProtection="0"/>
    <xf numFmtId="0" fontId="95" fillId="0" borderId="21" applyNumberFormat="0" applyFill="0" applyAlignment="0" applyProtection="0"/>
    <xf numFmtId="0" fontId="95" fillId="0" borderId="21" applyNumberFormat="0" applyFill="0" applyAlignment="0" applyProtection="0"/>
    <xf numFmtId="0" fontId="96" fillId="0" borderId="22" applyNumberFormat="0" applyFill="0" applyAlignment="0" applyProtection="0"/>
    <xf numFmtId="0" fontId="96" fillId="0" borderId="22" applyNumberFormat="0" applyFill="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84" fillId="0" borderId="0" applyNumberFormat="0" applyFill="0" applyBorder="0" applyAlignment="0" applyProtection="0">
      <alignment vertical="top"/>
      <protection locked="0"/>
    </xf>
    <xf numFmtId="0" fontId="97" fillId="39" borderId="18" applyNumberFormat="0" applyAlignment="0" applyProtection="0"/>
    <xf numFmtId="0" fontId="21" fillId="0" borderId="0" applyNumberFormat="0" applyBorder="0"/>
    <xf numFmtId="0" fontId="22" fillId="0" borderId="0" applyBorder="0" applyAlignment="0"/>
    <xf numFmtId="0" fontId="23" fillId="0" borderId="0" applyFill="0" applyBorder="0" applyAlignment="0"/>
    <xf numFmtId="0" fontId="98" fillId="0" borderId="23" applyNumberFormat="0" applyFill="0" applyAlignment="0" applyProtection="0"/>
    <xf numFmtId="0" fontId="99" fillId="40" borderId="0" applyNumberFormat="0" applyBorder="0" applyAlignment="0" applyProtection="0"/>
    <xf numFmtId="0" fontId="100" fillId="0" borderId="0"/>
    <xf numFmtId="0" fontId="63" fillId="0" borderId="0"/>
    <xf numFmtId="0" fontId="100" fillId="0" borderId="0"/>
    <xf numFmtId="0" fontId="63" fillId="0" borderId="0"/>
    <xf numFmtId="0" fontId="63" fillId="0" borderId="0"/>
    <xf numFmtId="0" fontId="28"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01" fillId="0" borderId="0"/>
    <xf numFmtId="0" fontId="63" fillId="0" borderId="0"/>
    <xf numFmtId="169" fontId="64" fillId="0" borderId="0"/>
    <xf numFmtId="0" fontId="87" fillId="0" borderId="0"/>
    <xf numFmtId="0" fontId="28" fillId="0" borderId="0"/>
    <xf numFmtId="0" fontId="28" fillId="0" borderId="0"/>
    <xf numFmtId="0" fontId="69" fillId="0" borderId="0"/>
    <xf numFmtId="0" fontId="63" fillId="0" borderId="0"/>
    <xf numFmtId="0" fontId="69" fillId="0" borderId="0"/>
    <xf numFmtId="0" fontId="63" fillId="0" borderId="0"/>
    <xf numFmtId="0" fontId="75" fillId="0" borderId="0"/>
    <xf numFmtId="0" fontId="63" fillId="0" borderId="0"/>
    <xf numFmtId="0" fontId="87" fillId="0" borderId="0"/>
    <xf numFmtId="0" fontId="63" fillId="0" borderId="0">
      <alignment vertical="top"/>
    </xf>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75" fillId="0" borderId="0"/>
    <xf numFmtId="0" fontId="87" fillId="0" borderId="0"/>
    <xf numFmtId="0" fontId="87" fillId="0" borderId="0"/>
    <xf numFmtId="0" fontId="87" fillId="0" borderId="0"/>
    <xf numFmtId="0" fontId="87" fillId="0" borderId="0"/>
    <xf numFmtId="0" fontId="63" fillId="0" borderId="0">
      <alignment vertical="top"/>
    </xf>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63" fillId="0" borderId="0"/>
    <xf numFmtId="0" fontId="87" fillId="0" borderId="0"/>
    <xf numFmtId="0" fontId="87" fillId="0" borderId="0"/>
    <xf numFmtId="0" fontId="87" fillId="0" borderId="0"/>
    <xf numFmtId="0" fontId="87" fillId="0" borderId="0"/>
    <xf numFmtId="0" fontId="75" fillId="0" borderId="0"/>
    <xf numFmtId="0" fontId="63" fillId="0" borderId="0">
      <alignment vertical="top"/>
    </xf>
    <xf numFmtId="0" fontId="87" fillId="0" borderId="0"/>
    <xf numFmtId="0" fontId="87" fillId="0" borderId="0"/>
    <xf numFmtId="0" fontId="87" fillId="0" borderId="0"/>
    <xf numFmtId="0" fontId="87" fillId="0" borderId="0"/>
    <xf numFmtId="0" fontId="75" fillId="0" borderId="0"/>
    <xf numFmtId="0" fontId="28" fillId="0" borderId="0"/>
    <xf numFmtId="0" fontId="87" fillId="0" borderId="0"/>
    <xf numFmtId="0" fontId="28" fillId="0" borderId="0"/>
    <xf numFmtId="0" fontId="87" fillId="0" borderId="0"/>
    <xf numFmtId="0" fontId="87" fillId="0" borderId="0"/>
    <xf numFmtId="0" fontId="87" fillId="0" borderId="0"/>
    <xf numFmtId="0" fontId="87" fillId="0" borderId="0"/>
    <xf numFmtId="0" fontId="69" fillId="0" borderId="0"/>
    <xf numFmtId="0" fontId="63" fillId="0" borderId="0">
      <alignment vertical="top"/>
    </xf>
    <xf numFmtId="0" fontId="69" fillId="0" borderId="0"/>
    <xf numFmtId="0" fontId="63" fillId="0" borderId="0">
      <alignment vertical="top"/>
    </xf>
    <xf numFmtId="0" fontId="63" fillId="0" borderId="0">
      <alignment vertical="top"/>
    </xf>
    <xf numFmtId="0" fontId="87" fillId="0" borderId="0"/>
    <xf numFmtId="0" fontId="69" fillId="0" borderId="0"/>
    <xf numFmtId="0" fontId="87" fillId="0" borderId="0"/>
    <xf numFmtId="0" fontId="63" fillId="0" borderId="0">
      <alignment vertical="top"/>
    </xf>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69"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28" fillId="0" borderId="0"/>
    <xf numFmtId="0" fontId="63" fillId="0" borderId="0">
      <alignment vertical="top"/>
    </xf>
    <xf numFmtId="0" fontId="87" fillId="0" borderId="0"/>
    <xf numFmtId="0" fontId="87" fillId="0" borderId="0"/>
    <xf numFmtId="0" fontId="87" fillId="0" borderId="0"/>
    <xf numFmtId="0" fontId="87" fillId="0" borderId="0"/>
    <xf numFmtId="0" fontId="28"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69"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28"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63" fillId="0" borderId="0"/>
    <xf numFmtId="0" fontId="63" fillId="0" borderId="0">
      <alignment vertical="top"/>
    </xf>
    <xf numFmtId="0" fontId="63" fillId="0" borderId="0">
      <alignment vertical="top"/>
    </xf>
    <xf numFmtId="0" fontId="63" fillId="0" borderId="0"/>
    <xf numFmtId="0" fontId="63" fillId="0" borderId="0">
      <alignment vertical="top"/>
    </xf>
    <xf numFmtId="0" fontId="63" fillId="0" borderId="0"/>
    <xf numFmtId="0" fontId="63"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28"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28" fillId="0" borderId="0"/>
    <xf numFmtId="0" fontId="87" fillId="0" borderId="0"/>
    <xf numFmtId="0" fontId="87" fillId="0" borderId="0"/>
    <xf numFmtId="0" fontId="87" fillId="0" borderId="0"/>
    <xf numFmtId="0" fontId="19" fillId="0" borderId="0" applyProtection="0">
      <protection locked="0"/>
    </xf>
    <xf numFmtId="0" fontId="28" fillId="0" borderId="0" applyProtection="0">
      <protection locked="0"/>
    </xf>
    <xf numFmtId="0" fontId="28" fillId="0" borderId="0" applyProtection="0">
      <protection locked="0"/>
    </xf>
    <xf numFmtId="0" fontId="64" fillId="0" borderId="0"/>
    <xf numFmtId="0" fontId="19" fillId="0" borderId="0"/>
    <xf numFmtId="0" fontId="79" fillId="41" borderId="24" applyNumberFormat="0" applyFont="0" applyAlignment="0" applyProtection="0"/>
    <xf numFmtId="0" fontId="87" fillId="41" borderId="24" applyNumberFormat="0" applyFont="0" applyAlignment="0" applyProtection="0"/>
    <xf numFmtId="0" fontId="87" fillId="41" borderId="24" applyNumberFormat="0" applyFont="0" applyAlignment="0" applyProtection="0"/>
    <xf numFmtId="0" fontId="87" fillId="41" borderId="24" applyNumberFormat="0" applyFont="0" applyAlignment="0" applyProtection="0"/>
    <xf numFmtId="0" fontId="87" fillId="41" borderId="24" applyNumberFormat="0" applyFont="0" applyAlignment="0" applyProtection="0"/>
    <xf numFmtId="0" fontId="87" fillId="41" borderId="24" applyNumberFormat="0" applyFont="0" applyAlignment="0" applyProtection="0"/>
    <xf numFmtId="0" fontId="87" fillId="41" borderId="24" applyNumberFormat="0" applyFont="0" applyAlignment="0" applyProtection="0"/>
    <xf numFmtId="0" fontId="87" fillId="41" borderId="24" applyNumberFormat="0" applyFont="0" applyAlignment="0" applyProtection="0"/>
    <xf numFmtId="0" fontId="87" fillId="41" borderId="24" applyNumberFormat="0" applyFont="0" applyAlignment="0" applyProtection="0"/>
    <xf numFmtId="0" fontId="79" fillId="41" borderId="24" applyNumberFormat="0" applyFont="0" applyAlignment="0" applyProtection="0"/>
    <xf numFmtId="0" fontId="87" fillId="41" borderId="24" applyNumberFormat="0" applyFont="0" applyAlignment="0" applyProtection="0"/>
    <xf numFmtId="0" fontId="87" fillId="41" borderId="24" applyNumberFormat="0" applyFont="0" applyAlignment="0" applyProtection="0"/>
    <xf numFmtId="0" fontId="87" fillId="41" borderId="24" applyNumberFormat="0" applyFont="0" applyAlignment="0" applyProtection="0"/>
    <xf numFmtId="0" fontId="87" fillId="41" borderId="24" applyNumberFormat="0" applyFont="0" applyAlignment="0" applyProtection="0"/>
    <xf numFmtId="0" fontId="87" fillId="41" borderId="24" applyNumberFormat="0" applyFont="0" applyAlignment="0" applyProtection="0"/>
    <xf numFmtId="0" fontId="87" fillId="41" borderId="24" applyNumberFormat="0" applyFont="0" applyAlignment="0" applyProtection="0"/>
    <xf numFmtId="0" fontId="87" fillId="41" borderId="24" applyNumberFormat="0" applyFont="0" applyAlignment="0" applyProtection="0"/>
    <xf numFmtId="0" fontId="87" fillId="41" borderId="24" applyNumberFormat="0" applyFont="0" applyAlignment="0" applyProtection="0"/>
    <xf numFmtId="0" fontId="102" fillId="36" borderId="25" applyNumberFormat="0" applyAlignment="0" applyProtection="0"/>
    <xf numFmtId="0" fontId="102" fillId="36" borderId="25" applyNumberFormat="0" applyAlignment="0" applyProtection="0"/>
    <xf numFmtId="0" fontId="24" fillId="0" borderId="0" applyNumberFormat="0" applyFill="0" applyBorder="0">
      <alignment horizontal="left"/>
    </xf>
    <xf numFmtId="0" fontId="103" fillId="0" borderId="0" applyNumberFormat="0" applyFill="0" applyBorder="0" applyAlignment="0" applyProtection="0"/>
    <xf numFmtId="0" fontId="104" fillId="0" borderId="26" applyNumberFormat="0" applyFill="0" applyAlignment="0" applyProtection="0"/>
    <xf numFmtId="0" fontId="104" fillId="0" borderId="26" applyNumberFormat="0" applyFill="0" applyAlignment="0" applyProtection="0"/>
    <xf numFmtId="0" fontId="105" fillId="0" borderId="0" applyNumberFormat="0" applyFill="0" applyBorder="0" applyAlignment="0" applyProtection="0"/>
    <xf numFmtId="0" fontId="19" fillId="0" borderId="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9"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9"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0"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9" fillId="0" borderId="0"/>
    <xf numFmtId="0"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9" fillId="0" borderId="0"/>
    <xf numFmtId="0" fontId="18" fillId="0" borderId="0"/>
    <xf numFmtId="0"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9" fillId="0" borderId="0"/>
    <xf numFmtId="0" fontId="18" fillId="0" borderId="0"/>
    <xf numFmtId="0" fontId="18" fillId="0" borderId="0"/>
    <xf numFmtId="0" fontId="18" fillId="0" borderId="0"/>
    <xf numFmtId="0" fontId="18" fillId="0" borderId="0"/>
    <xf numFmtId="0"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9" fillId="0" borderId="0"/>
    <xf numFmtId="0" fontId="18" fillId="0" borderId="0"/>
    <xf numFmtId="0" fontId="18" fillId="0" borderId="0"/>
    <xf numFmtId="0" fontId="18" fillId="0" borderId="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9" fontId="19" fillId="0" borderId="0" applyFont="0" applyFill="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9"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10" fillId="0" borderId="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9"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4" fontId="112"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0" fontId="79" fillId="41" borderId="24" applyNumberFormat="0" applyFont="0" applyAlignment="0" applyProtection="0"/>
    <xf numFmtId="0" fontId="79" fillId="41" borderId="24" applyNumberFormat="0" applyFont="0" applyAlignment="0" applyProtection="0"/>
    <xf numFmtId="0" fontId="79" fillId="41" borderId="24" applyNumberFormat="0" applyFont="0" applyAlignment="0" applyProtection="0"/>
    <xf numFmtId="0" fontId="79" fillId="41" borderId="24" applyNumberFormat="0" applyFont="0" applyAlignment="0" applyProtection="0"/>
    <xf numFmtId="0" fontId="79" fillId="41" borderId="24" applyNumberFormat="0" applyFont="0" applyAlignment="0" applyProtection="0"/>
    <xf numFmtId="0" fontId="79" fillId="41" borderId="24" applyNumberFormat="0" applyFont="0" applyAlignment="0" applyProtection="0"/>
    <xf numFmtId="0" fontId="79" fillId="41" borderId="24" applyNumberFormat="0" applyFont="0" applyAlignment="0" applyProtection="0"/>
    <xf numFmtId="0" fontId="79" fillId="41" borderId="24" applyNumberFormat="0" applyFont="0" applyAlignment="0" applyProtection="0"/>
    <xf numFmtId="0" fontId="79" fillId="41" borderId="24" applyNumberFormat="0" applyFont="0" applyAlignment="0" applyProtection="0"/>
    <xf numFmtId="0" fontId="79" fillId="41" borderId="24" applyNumberFormat="0" applyFont="0" applyAlignment="0" applyProtection="0"/>
    <xf numFmtId="0" fontId="79" fillId="41" borderId="24" applyNumberFormat="0" applyFont="0" applyAlignment="0" applyProtection="0"/>
    <xf numFmtId="0" fontId="79" fillId="41" borderId="24" applyNumberFormat="0" applyFont="0" applyAlignment="0" applyProtection="0"/>
    <xf numFmtId="0" fontId="79" fillId="41" borderId="24" applyNumberFormat="0" applyFont="0" applyAlignment="0" applyProtection="0"/>
    <xf numFmtId="0" fontId="79" fillId="41" borderId="24" applyNumberFormat="0" applyFont="0" applyAlignment="0" applyProtection="0"/>
    <xf numFmtId="0" fontId="79" fillId="41" borderId="24" applyNumberFormat="0" applyFont="0" applyAlignment="0" applyProtection="0"/>
    <xf numFmtId="0" fontId="79" fillId="41" borderId="24" applyNumberFormat="0" applyFont="0" applyAlignment="0" applyProtection="0"/>
    <xf numFmtId="0" fontId="113" fillId="0" borderId="0" applyNumberForma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03" fillId="0" borderId="0" applyNumberFormat="0" applyFill="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44" fontId="19" fillId="0" borderId="0" applyFont="0" applyFill="0" applyBorder="0" applyAlignment="0" applyProtection="0"/>
    <xf numFmtId="9" fontId="122" fillId="0" borderId="0" applyFont="0" applyFill="0" applyBorder="0" applyAlignment="0" applyProtection="0"/>
    <xf numFmtId="0" fontId="122" fillId="0" borderId="0"/>
    <xf numFmtId="0" fontId="13" fillId="0" borderId="0"/>
    <xf numFmtId="0" fontId="19" fillId="0" borderId="0"/>
    <xf numFmtId="43" fontId="13" fillId="0" borderId="0" applyFont="0" applyFill="0" applyBorder="0" applyAlignment="0" applyProtection="0"/>
    <xf numFmtId="9" fontId="13" fillId="0" borderId="0" applyFont="0" applyFill="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43" fontId="150" fillId="0" borderId="0" applyFon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 fillId="0" borderId="0"/>
    <xf numFmtId="44" fontId="10" fillId="0" borderId="0" applyFont="0" applyFill="0" applyBorder="0" applyAlignment="0" applyProtection="0"/>
    <xf numFmtId="9" fontId="10" fillId="0" borderId="0" applyFont="0" applyFill="0" applyBorder="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44" fontId="152" fillId="0" borderId="0" applyFont="0" applyFill="0" applyBorder="0" applyAlignment="0" applyProtection="0"/>
    <xf numFmtId="0" fontId="8" fillId="0" borderId="0"/>
    <xf numFmtId="44" fontId="8" fillId="0" borderId="0" applyFont="0" applyFill="0" applyBorder="0" applyAlignment="0" applyProtection="0"/>
    <xf numFmtId="9" fontId="8" fillId="0" borderId="0" applyFont="0" applyFill="0" applyBorder="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0" fontId="5" fillId="0" borderId="0"/>
    <xf numFmtId="0" fontId="19" fillId="0" borderId="0" applyBorder="0"/>
    <xf numFmtId="44"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19" fillId="0" borderId="0"/>
    <xf numFmtId="0" fontId="3" fillId="0" borderId="0"/>
    <xf numFmtId="43" fontId="3" fillId="0" borderId="0" applyFont="0" applyFill="0" applyBorder="0" applyAlignment="0" applyProtection="0"/>
    <xf numFmtId="9" fontId="3"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704">
    <xf numFmtId="0" fontId="0" fillId="0" borderId="0" xfId="0"/>
    <xf numFmtId="0" fontId="0" fillId="0" borderId="0" xfId="0" applyAlignment="1">
      <alignment horizontal="center"/>
    </xf>
    <xf numFmtId="0" fontId="26" fillId="0" borderId="0" xfId="0" applyFont="1"/>
    <xf numFmtId="0" fontId="19" fillId="0" borderId="0" xfId="0" applyFont="1"/>
    <xf numFmtId="0" fontId="28" fillId="0" borderId="0" xfId="0" applyFont="1"/>
    <xf numFmtId="0" fontId="0" fillId="0" borderId="4" xfId="0" applyBorder="1"/>
    <xf numFmtId="0" fontId="28" fillId="0" borderId="0" xfId="0" applyFont="1" applyAlignment="1">
      <alignment horizontal="center"/>
    </xf>
    <xf numFmtId="0" fontId="19"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6" fillId="0" borderId="4" xfId="0" applyFont="1" applyBorder="1"/>
    <xf numFmtId="164" fontId="0" fillId="0" borderId="0" xfId="0" applyNumberFormat="1" applyAlignment="1">
      <alignment horizontal="right"/>
    </xf>
    <xf numFmtId="0" fontId="26" fillId="0" borderId="0" xfId="0" applyFont="1" applyAlignment="1">
      <alignment horizontal="center"/>
    </xf>
    <xf numFmtId="0" fontId="19" fillId="0" borderId="0" xfId="543"/>
    <xf numFmtId="0" fontId="28" fillId="0" borderId="0" xfId="0" applyFont="1" applyAlignment="1">
      <alignment horizontal="left" vertical="top" wrapText="1"/>
    </xf>
    <xf numFmtId="0" fontId="34" fillId="0" borderId="0" xfId="0" applyFont="1"/>
    <xf numFmtId="0" fontId="27" fillId="0" borderId="0" xfId="0" applyFont="1" applyAlignment="1">
      <alignment vertical="top"/>
    </xf>
    <xf numFmtId="0" fontId="27" fillId="0" borderId="0" xfId="0" applyFont="1" applyAlignment="1">
      <alignment vertical="top" wrapText="1"/>
    </xf>
    <xf numFmtId="0" fontId="28" fillId="0" borderId="0" xfId="0" applyFont="1" applyAlignment="1">
      <alignment horizontal="left" indent="4"/>
    </xf>
    <xf numFmtId="0" fontId="27" fillId="0" borderId="0" xfId="0" applyFont="1" applyAlignment="1">
      <alignment horizontal="left" vertical="top"/>
    </xf>
    <xf numFmtId="0" fontId="27" fillId="0" borderId="0" xfId="0" applyFont="1" applyAlignment="1">
      <alignment horizontal="left"/>
    </xf>
    <xf numFmtId="0" fontId="27" fillId="0" borderId="0" xfId="0" applyFont="1"/>
    <xf numFmtId="0" fontId="39" fillId="0" borderId="0" xfId="543" applyFont="1"/>
    <xf numFmtId="1" fontId="27" fillId="0" borderId="0" xfId="0" applyNumberFormat="1" applyFont="1" applyAlignment="1">
      <alignment horizontal="left"/>
    </xf>
    <xf numFmtId="0" fontId="29" fillId="0" borderId="0" xfId="0" applyFont="1"/>
    <xf numFmtId="1" fontId="27" fillId="0" borderId="0" xfId="0" applyNumberFormat="1" applyFont="1" applyAlignment="1">
      <alignment horizontal="right"/>
    </xf>
    <xf numFmtId="0" fontId="0" fillId="0" borderId="0" xfId="0" applyAlignment="1">
      <alignment horizontal="right"/>
    </xf>
    <xf numFmtId="0" fontId="38" fillId="0" borderId="0" xfId="0" applyFont="1"/>
    <xf numFmtId="0" fontId="31" fillId="0" borderId="0" xfId="0" applyFont="1"/>
    <xf numFmtId="172" fontId="19" fillId="0" borderId="0" xfId="543" applyNumberFormat="1"/>
    <xf numFmtId="9" fontId="19" fillId="0" borderId="0" xfId="543" applyNumberFormat="1" applyAlignment="1">
      <alignment horizontal="left"/>
    </xf>
    <xf numFmtId="168" fontId="19" fillId="0" borderId="0" xfId="543" applyNumberFormat="1"/>
    <xf numFmtId="0" fontId="28" fillId="0" borderId="0" xfId="0" applyFont="1" applyAlignment="1">
      <alignment horizontal="right"/>
    </xf>
    <xf numFmtId="0" fontId="42" fillId="0" borderId="0" xfId="0" applyFont="1"/>
    <xf numFmtId="0" fontId="28" fillId="0" borderId="0" xfId="0" applyFont="1" applyAlignment="1">
      <alignment horizontal="left"/>
    </xf>
    <xf numFmtId="0" fontId="30" fillId="0" borderId="0" xfId="0" applyFont="1"/>
    <xf numFmtId="0" fontId="32" fillId="0" borderId="0" xfId="0" applyFont="1"/>
    <xf numFmtId="0" fontId="26"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6" fillId="0" borderId="1" xfId="0" applyFont="1" applyBorder="1" applyAlignment="1">
      <alignment horizontal="center" wrapText="1"/>
    </xf>
    <xf numFmtId="0" fontId="26"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6" fillId="0" borderId="4" xfId="0" applyFont="1" applyBorder="1" applyAlignment="1">
      <alignment horizontal="center"/>
    </xf>
    <xf numFmtId="0" fontId="35" fillId="0" borderId="3" xfId="0" applyFont="1" applyBorder="1" applyAlignment="1">
      <alignment horizontal="left"/>
    </xf>
    <xf numFmtId="0" fontId="35" fillId="0" borderId="9" xfId="0" applyFont="1" applyBorder="1" applyAlignment="1">
      <alignment horizontal="left"/>
    </xf>
    <xf numFmtId="0" fontId="26" fillId="0" borderId="4" xfId="0" applyFont="1" applyBorder="1" applyAlignment="1">
      <alignment horizontal="right"/>
    </xf>
    <xf numFmtId="0" fontId="26" fillId="0" borderId="5" xfId="0" applyFont="1" applyBorder="1" applyAlignment="1">
      <alignment horizontal="right"/>
    </xf>
    <xf numFmtId="0" fontId="35" fillId="0" borderId="0" xfId="0" applyFont="1" applyAlignment="1">
      <alignment horizontal="left"/>
    </xf>
    <xf numFmtId="0" fontId="26" fillId="0" borderId="0" xfId="0" applyFont="1" applyAlignment="1">
      <alignment horizontal="right"/>
    </xf>
    <xf numFmtId="0" fontId="26"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8" fillId="0" borderId="11" xfId="0" applyFont="1" applyBorder="1" applyAlignment="1">
      <alignment horizontal="left"/>
    </xf>
    <xf numFmtId="0" fontId="26" fillId="0" borderId="9" xfId="0" applyFont="1" applyBorder="1"/>
    <xf numFmtId="164" fontId="0" fillId="0" borderId="0" xfId="0" applyNumberFormat="1" applyAlignment="1">
      <alignment horizontal="center"/>
    </xf>
    <xf numFmtId="0" fontId="0" fillId="0" borderId="12" xfId="0" applyBorder="1"/>
    <xf numFmtId="0" fontId="28" fillId="0" borderId="3" xfId="0" applyFont="1" applyBorder="1"/>
    <xf numFmtId="0" fontId="28" fillId="0" borderId="0" xfId="543" applyFont="1"/>
    <xf numFmtId="0" fontId="44" fillId="0" borderId="0" xfId="543" applyFont="1"/>
    <xf numFmtId="49" fontId="19" fillId="0" borderId="0" xfId="543" applyNumberFormat="1"/>
    <xf numFmtId="0" fontId="42" fillId="0" borderId="0" xfId="543" applyFont="1"/>
    <xf numFmtId="168" fontId="39" fillId="0" borderId="6" xfId="543" applyNumberFormat="1" applyFont="1" applyBorder="1" applyAlignment="1">
      <alignment horizontal="left"/>
    </xf>
    <xf numFmtId="168" fontId="39" fillId="0" borderId="6" xfId="543" applyNumberFormat="1" applyFont="1" applyBorder="1" applyAlignment="1">
      <alignment horizontal="center"/>
    </xf>
    <xf numFmtId="0" fontId="19" fillId="0" borderId="8" xfId="543" applyBorder="1"/>
    <xf numFmtId="0" fontId="39" fillId="0" borderId="0" xfId="543" applyFont="1" applyAlignment="1">
      <alignment horizontal="center"/>
    </xf>
    <xf numFmtId="0" fontId="38" fillId="0" borderId="9" xfId="543" applyFont="1" applyBorder="1" applyAlignment="1">
      <alignment horizontal="left" vertical="top" wrapText="1"/>
    </xf>
    <xf numFmtId="0" fontId="38" fillId="0" borderId="6" xfId="543" applyFont="1" applyBorder="1" applyAlignment="1">
      <alignment horizontal="center" vertical="top" wrapText="1"/>
    </xf>
    <xf numFmtId="0" fontId="19" fillId="0" borderId="9" xfId="543" applyBorder="1"/>
    <xf numFmtId="0" fontId="19" fillId="0" borderId="10" xfId="543" applyBorder="1"/>
    <xf numFmtId="0" fontId="19" fillId="0" borderId="1" xfId="543" applyBorder="1"/>
    <xf numFmtId="0" fontId="39" fillId="0" borderId="2" xfId="543" applyFont="1" applyBorder="1" applyAlignment="1">
      <alignment horizontal="center"/>
    </xf>
    <xf numFmtId="0" fontId="41" fillId="0" borderId="8" xfId="543" applyFont="1" applyBorder="1" applyAlignment="1">
      <alignment horizontal="left" vertical="top" wrapText="1"/>
    </xf>
    <xf numFmtId="0" fontId="38" fillId="0" borderId="0" xfId="543" applyFont="1" applyAlignment="1">
      <alignment horizontal="center" vertical="top" wrapText="1"/>
    </xf>
    <xf numFmtId="0" fontId="19" fillId="0" borderId="12" xfId="543" applyBorder="1"/>
    <xf numFmtId="0" fontId="41" fillId="0" borderId="0" xfId="543" applyFont="1" applyAlignment="1">
      <alignment horizontal="center" vertical="top" wrapText="1"/>
    </xf>
    <xf numFmtId="0" fontId="41" fillId="0" borderId="9" xfId="543" applyFont="1" applyBorder="1" applyAlignment="1">
      <alignment horizontal="left" vertical="top" wrapText="1"/>
    </xf>
    <xf numFmtId="0" fontId="19" fillId="0" borderId="2" xfId="543" applyBorder="1"/>
    <xf numFmtId="0" fontId="19" fillId="0" borderId="7" xfId="543" applyBorder="1"/>
    <xf numFmtId="0" fontId="38" fillId="0" borderId="0" xfId="543" applyFont="1"/>
    <xf numFmtId="0" fontId="19" fillId="0" borderId="0" xfId="543" applyAlignment="1">
      <alignment horizontal="center"/>
    </xf>
    <xf numFmtId="0" fontId="27" fillId="0" borderId="6" xfId="543" applyFont="1" applyBorder="1" applyAlignment="1">
      <alignment vertical="top" wrapText="1"/>
    </xf>
    <xf numFmtId="0" fontId="28" fillId="0" borderId="0" xfId="0" applyFont="1" applyAlignment="1">
      <alignment horizontal="left" vertical="top"/>
    </xf>
    <xf numFmtId="0" fontId="0" fillId="2" borderId="2" xfId="0" applyFill="1" applyBorder="1"/>
    <xf numFmtId="0" fontId="0" fillId="2" borderId="7" xfId="0" applyFill="1" applyBorder="1"/>
    <xf numFmtId="0" fontId="26" fillId="0" borderId="6" xfId="0" applyFont="1" applyBorder="1" applyAlignment="1">
      <alignment horizontal="right"/>
    </xf>
    <xf numFmtId="0" fontId="25" fillId="0" borderId="0" xfId="0" applyFont="1" applyAlignment="1">
      <alignment horizontal="center" vertical="center"/>
    </xf>
    <xf numFmtId="0" fontId="26" fillId="0" borderId="0" xfId="0" applyFont="1" applyAlignment="1">
      <alignment vertical="top"/>
    </xf>
    <xf numFmtId="166" fontId="0" fillId="0" borderId="0" xfId="0" applyNumberFormat="1" applyAlignment="1">
      <alignment horizontal="right"/>
    </xf>
    <xf numFmtId="0" fontId="49" fillId="0" borderId="0" xfId="0" applyFont="1"/>
    <xf numFmtId="0" fontId="36" fillId="0" borderId="0" xfId="0" applyFont="1"/>
    <xf numFmtId="0" fontId="20" fillId="0" borderId="0" xfId="244" applyBorder="1" applyProtection="1"/>
    <xf numFmtId="0" fontId="20" fillId="0" borderId="0" xfId="244" applyFill="1" applyBorder="1" applyAlignment="1">
      <alignment horizontal="center" vertical="center"/>
    </xf>
    <xf numFmtId="0" fontId="19" fillId="0" borderId="3" xfId="543" applyBorder="1"/>
    <xf numFmtId="0" fontId="41" fillId="0" borderId="4" xfId="543" applyFont="1" applyBorder="1" applyAlignment="1">
      <alignment horizontal="right" vertical="top" wrapText="1"/>
    </xf>
    <xf numFmtId="0" fontId="28" fillId="0" borderId="6" xfId="0" applyFont="1" applyBorder="1"/>
    <xf numFmtId="0" fontId="28" fillId="0" borderId="2" xfId="0" applyFont="1" applyBorder="1"/>
    <xf numFmtId="0" fontId="28" fillId="0" borderId="7" xfId="0" applyFont="1" applyBorder="1"/>
    <xf numFmtId="0" fontId="28" fillId="0" borderId="12" xfId="0" applyFont="1" applyBorder="1"/>
    <xf numFmtId="0" fontId="28" fillId="0" borderId="9" xfId="0" applyFont="1" applyBorder="1"/>
    <xf numFmtId="0" fontId="28" fillId="0" borderId="10" xfId="0" applyFont="1" applyBorder="1"/>
    <xf numFmtId="0" fontId="33" fillId="0" borderId="6" xfId="0" applyFont="1" applyBorder="1" applyAlignment="1">
      <alignment vertical="top" wrapText="1"/>
    </xf>
    <xf numFmtId="0" fontId="33" fillId="0" borderId="5" xfId="0" applyFont="1" applyBorder="1" applyAlignment="1">
      <alignment vertical="top" wrapText="1"/>
    </xf>
    <xf numFmtId="0" fontId="33" fillId="0" borderId="4" xfId="0" applyFont="1" applyBorder="1" applyAlignment="1">
      <alignment vertical="top" wrapText="1"/>
    </xf>
    <xf numFmtId="0" fontId="33" fillId="2" borderId="6" xfId="0" applyFont="1" applyFill="1" applyBorder="1" applyAlignment="1">
      <alignment vertical="top" wrapText="1"/>
    </xf>
    <xf numFmtId="0" fontId="0" fillId="0" borderId="8" xfId="0" applyBorder="1"/>
    <xf numFmtId="0" fontId="26" fillId="0" borderId="2" xfId="0" applyFont="1" applyBorder="1"/>
    <xf numFmtId="0" fontId="28" fillId="0" borderId="0" xfId="0" applyFont="1" applyAlignment="1">
      <alignment vertical="top"/>
    </xf>
    <xf numFmtId="0" fontId="28" fillId="0" borderId="0" xfId="0" applyFont="1" applyAlignment="1">
      <alignment vertical="top" wrapText="1"/>
    </xf>
    <xf numFmtId="0" fontId="19" fillId="0" borderId="0" xfId="0" applyFont="1" applyAlignment="1">
      <alignment horizontal="left"/>
    </xf>
    <xf numFmtId="0" fontId="19" fillId="0" borderId="0" xfId="0" applyFont="1" applyAlignment="1">
      <alignment vertical="top"/>
    </xf>
    <xf numFmtId="0" fontId="48" fillId="0" borderId="0" xfId="0" applyFont="1"/>
    <xf numFmtId="0" fontId="19" fillId="0" borderId="3" xfId="0" applyFont="1" applyBorder="1"/>
    <xf numFmtId="0" fontId="19"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3" fillId="3" borderId="4" xfId="0" applyFont="1" applyFill="1" applyBorder="1" applyAlignment="1">
      <alignment vertical="top" wrapText="1"/>
    </xf>
    <xf numFmtId="0" fontId="33" fillId="3" borderId="5" xfId="0" applyFont="1" applyFill="1" applyBorder="1" applyAlignment="1">
      <alignment vertical="top" wrapText="1"/>
    </xf>
    <xf numFmtId="0" fontId="51" fillId="0" borderId="0" xfId="0" applyFont="1"/>
    <xf numFmtId="0" fontId="28" fillId="0" borderId="4" xfId="0" applyFont="1" applyBorder="1"/>
    <xf numFmtId="0" fontId="26" fillId="0" borderId="2" xfId="0" applyFont="1" applyBorder="1" applyAlignment="1">
      <alignment horizontal="center"/>
    </xf>
    <xf numFmtId="0" fontId="26" fillId="0" borderId="0" xfId="0" applyFont="1" applyAlignment="1">
      <alignment horizontal="center" vertical="center" wrapText="1"/>
    </xf>
    <xf numFmtId="0" fontId="26" fillId="0" borderId="7" xfId="543" applyFont="1" applyBorder="1" applyAlignment="1">
      <alignment horizontal="right"/>
    </xf>
    <xf numFmtId="0" fontId="27" fillId="0" borderId="9" xfId="543" applyFont="1" applyBorder="1"/>
    <xf numFmtId="0" fontId="28" fillId="0" borderId="6" xfId="543" applyFont="1" applyBorder="1"/>
    <xf numFmtId="0" fontId="27" fillId="0" borderId="6" xfId="543" applyFont="1" applyBorder="1" applyAlignment="1">
      <alignment horizontal="right"/>
    </xf>
    <xf numFmtId="0" fontId="26" fillId="0" borderId="0" xfId="0" applyFont="1" applyAlignment="1">
      <alignment horizontal="center" vertical="center"/>
    </xf>
    <xf numFmtId="0" fontId="28" fillId="0" borderId="0" xfId="0" applyFont="1" applyAlignment="1">
      <alignment horizontal="left" vertical="center"/>
    </xf>
    <xf numFmtId="0" fontId="56" fillId="0" borderId="3" xfId="0" applyFont="1" applyBorder="1" applyAlignment="1">
      <alignment horizontal="left" vertical="top"/>
    </xf>
    <xf numFmtId="0" fontId="56" fillId="0" borderId="13" xfId="0" applyFont="1" applyBorder="1" applyAlignment="1">
      <alignment horizontal="center" wrapText="1"/>
    </xf>
    <xf numFmtId="0" fontId="56" fillId="0" borderId="13" xfId="0" applyFont="1" applyBorder="1" applyAlignment="1">
      <alignment horizontal="center" vertical="top" wrapText="1"/>
    </xf>
    <xf numFmtId="0" fontId="56" fillId="2" borderId="13" xfId="0" applyFont="1" applyFill="1" applyBorder="1" applyAlignment="1">
      <alignment horizontal="center" wrapText="1"/>
    </xf>
    <xf numFmtId="0" fontId="57" fillId="2" borderId="11" xfId="0" applyFont="1" applyFill="1" applyBorder="1" applyAlignment="1">
      <alignment horizontal="left" vertical="top" wrapText="1"/>
    </xf>
    <xf numFmtId="0" fontId="58" fillId="4" borderId="11" xfId="0" applyFont="1" applyFill="1" applyBorder="1" applyAlignment="1">
      <alignment vertical="top" wrapText="1"/>
    </xf>
    <xf numFmtId="0" fontId="58" fillId="2" borderId="11" xfId="0" applyFont="1" applyFill="1" applyBorder="1" applyAlignment="1">
      <alignment vertical="top" wrapText="1"/>
    </xf>
    <xf numFmtId="0" fontId="58" fillId="0" borderId="11" xfId="0" applyFont="1" applyBorder="1" applyAlignment="1">
      <alignment vertical="top" wrapText="1"/>
    </xf>
    <xf numFmtId="0" fontId="58" fillId="0" borderId="11" xfId="0" applyFont="1" applyBorder="1" applyAlignment="1">
      <alignment horizontal="right" vertical="top" wrapText="1"/>
    </xf>
    <xf numFmtId="168" fontId="58" fillId="0" borderId="11" xfId="0" applyNumberFormat="1" applyFont="1" applyBorder="1" applyAlignment="1">
      <alignment vertical="top" wrapText="1"/>
    </xf>
    <xf numFmtId="168" fontId="58" fillId="5" borderId="11" xfId="0" applyNumberFormat="1" applyFont="1" applyFill="1" applyBorder="1" applyAlignment="1" applyProtection="1">
      <alignment vertical="top" wrapText="1"/>
      <protection locked="0"/>
    </xf>
    <xf numFmtId="168" fontId="58" fillId="6" borderId="11" xfId="0" applyNumberFormat="1" applyFont="1" applyFill="1" applyBorder="1" applyAlignment="1">
      <alignment horizontal="center" vertical="top" wrapText="1"/>
    </xf>
    <xf numFmtId="0" fontId="56" fillId="0" borderId="11" xfId="0" applyFont="1" applyBorder="1" applyAlignment="1">
      <alignment horizontal="right" vertical="top" wrapText="1"/>
    </xf>
    <xf numFmtId="168" fontId="56" fillId="0" borderId="11" xfId="0" applyNumberFormat="1" applyFont="1" applyBorder="1" applyAlignment="1">
      <alignment vertical="top" wrapText="1"/>
    </xf>
    <xf numFmtId="168" fontId="58" fillId="4" borderId="11" xfId="0" applyNumberFormat="1" applyFont="1" applyFill="1" applyBorder="1" applyAlignment="1">
      <alignment vertical="top" wrapText="1"/>
    </xf>
    <xf numFmtId="0" fontId="56" fillId="2" borderId="11" xfId="0" applyFont="1" applyFill="1" applyBorder="1" applyAlignment="1">
      <alignment vertical="top" wrapText="1"/>
    </xf>
    <xf numFmtId="0" fontId="56" fillId="0" borderId="11" xfId="0" applyFont="1" applyBorder="1" applyAlignment="1">
      <alignment vertical="top" wrapText="1"/>
    </xf>
    <xf numFmtId="0" fontId="22" fillId="0" borderId="11" xfId="0" applyFont="1" applyBorder="1" applyAlignment="1">
      <alignment horizontal="right" vertical="top" wrapText="1"/>
    </xf>
    <xf numFmtId="0" fontId="58" fillId="0" borderId="11" xfId="0" applyFont="1" applyBorder="1" applyAlignment="1" applyProtection="1">
      <alignment horizontal="right" vertical="top" wrapText="1"/>
      <protection locked="0"/>
    </xf>
    <xf numFmtId="0" fontId="56" fillId="0" borderId="0" xfId="0" applyFont="1" applyAlignment="1">
      <alignment horizontal="left" vertical="top"/>
    </xf>
    <xf numFmtId="0" fontId="58" fillId="0" borderId="0" xfId="0" applyFont="1" applyAlignment="1">
      <alignment horizontal="left" vertical="top"/>
    </xf>
    <xf numFmtId="0" fontId="58" fillId="0" borderId="0" xfId="0" applyFont="1" applyAlignment="1">
      <alignment vertical="top" wrapText="1"/>
    </xf>
    <xf numFmtId="0" fontId="58" fillId="0" borderId="0" xfId="0" applyFont="1" applyAlignment="1">
      <alignment vertical="top"/>
    </xf>
    <xf numFmtId="0" fontId="56" fillId="0" borderId="0" xfId="0" applyFont="1" applyAlignment="1">
      <alignment horizontal="right" vertical="top"/>
    </xf>
    <xf numFmtId="0" fontId="58" fillId="2" borderId="0" xfId="0" applyFont="1" applyFill="1" applyAlignment="1">
      <alignment vertical="top" wrapText="1"/>
    </xf>
    <xf numFmtId="0" fontId="56" fillId="0" borderId="0" xfId="0" applyFont="1" applyAlignment="1">
      <alignment vertical="top"/>
    </xf>
    <xf numFmtId="166" fontId="28" fillId="0" borderId="0" xfId="0" applyNumberFormat="1" applyFont="1" applyAlignment="1">
      <alignment horizontal="left"/>
    </xf>
    <xf numFmtId="0" fontId="59" fillId="0" borderId="0" xfId="0" applyFont="1"/>
    <xf numFmtId="0" fontId="19" fillId="0" borderId="0" xfId="244" applyFont="1" applyFill="1" applyBorder="1" applyAlignment="1" applyProtection="1">
      <alignment horizontal="left"/>
    </xf>
    <xf numFmtId="0" fontId="50" fillId="0" borderId="0" xfId="0" applyFont="1"/>
    <xf numFmtId="0" fontId="50" fillId="0" borderId="0" xfId="244" applyFont="1" applyFill="1" applyBorder="1" applyAlignment="1" applyProtection="1">
      <alignment horizontal="left"/>
    </xf>
    <xf numFmtId="0" fontId="25" fillId="3" borderId="11" xfId="0" applyFont="1" applyFill="1" applyBorder="1" applyAlignment="1">
      <alignment vertical="top"/>
    </xf>
    <xf numFmtId="0" fontId="0" fillId="7" borderId="0" xfId="0" applyFill="1"/>
    <xf numFmtId="0" fontId="39" fillId="0" borderId="0" xfId="0" applyFont="1"/>
    <xf numFmtId="0" fontId="61" fillId="0" borderId="0" xfId="0" applyFont="1"/>
    <xf numFmtId="0" fontId="37" fillId="0" borderId="0" xfId="0" applyFont="1" applyAlignment="1">
      <alignment horizontal="center"/>
    </xf>
    <xf numFmtId="0" fontId="37" fillId="0" borderId="0" xfId="0" applyFont="1" applyAlignment="1">
      <alignment horizontal="left"/>
    </xf>
    <xf numFmtId="49" fontId="26" fillId="0" borderId="0" xfId="0" applyNumberFormat="1" applyFont="1" applyAlignment="1">
      <alignment horizontal="center"/>
    </xf>
    <xf numFmtId="0" fontId="53" fillId="0" borderId="0" xfId="0" applyFont="1" applyAlignment="1">
      <alignment horizontal="center"/>
    </xf>
    <xf numFmtId="168" fontId="28" fillId="0" borderId="0" xfId="0" applyNumberFormat="1" applyFont="1" applyAlignment="1">
      <alignment horizontal="center"/>
    </xf>
    <xf numFmtId="168" fontId="38" fillId="0" borderId="0" xfId="0" applyNumberFormat="1" applyFont="1" applyAlignment="1">
      <alignment horizontal="left" vertical="top" wrapText="1"/>
    </xf>
    <xf numFmtId="0" fontId="55" fillId="0" borderId="3" xfId="0" applyFont="1" applyBorder="1"/>
    <xf numFmtId="168" fontId="0" fillId="0" borderId="0" xfId="0" applyNumberFormat="1" applyAlignment="1">
      <alignment horizontal="center"/>
    </xf>
    <xf numFmtId="0" fontId="39" fillId="0" borderId="0" xfId="0" applyFont="1" applyAlignment="1">
      <alignment vertical="top" wrapText="1"/>
    </xf>
    <xf numFmtId="0" fontId="56" fillId="0" borderId="4" xfId="0" applyFont="1" applyBorder="1" applyAlignment="1">
      <alignment horizontal="right"/>
    </xf>
    <xf numFmtId="0" fontId="63" fillId="0" borderId="0" xfId="0" applyFont="1"/>
    <xf numFmtId="3" fontId="28" fillId="0" borderId="0" xfId="0" applyNumberFormat="1" applyFont="1" applyAlignment="1">
      <alignment horizontal="center"/>
    </xf>
    <xf numFmtId="168" fontId="19" fillId="0" borderId="0" xfId="0" applyNumberFormat="1" applyFont="1" applyAlignment="1">
      <alignment horizontal="left" vertical="top"/>
    </xf>
    <xf numFmtId="168" fontId="28" fillId="0" borderId="0" xfId="0" applyNumberFormat="1" applyFont="1" applyAlignment="1">
      <alignment horizontal="left" vertical="top"/>
    </xf>
    <xf numFmtId="0" fontId="58" fillId="0" borderId="11" xfId="0" applyFont="1" applyBorder="1" applyAlignment="1">
      <alignment horizontal="right" vertical="top"/>
    </xf>
    <xf numFmtId="0" fontId="58" fillId="0" borderId="0" xfId="0" applyFont="1" applyAlignment="1">
      <alignment horizontal="right" vertical="top" wrapText="1"/>
    </xf>
    <xf numFmtId="0" fontId="58" fillId="2" borderId="12" xfId="0" applyFont="1" applyFill="1" applyBorder="1" applyAlignment="1">
      <alignment vertical="top" wrapText="1"/>
    </xf>
    <xf numFmtId="0" fontId="58" fillId="0" borderId="14" xfId="0" applyFont="1" applyBorder="1" applyAlignment="1">
      <alignment vertical="top" wrapText="1"/>
    </xf>
    <xf numFmtId="168" fontId="58" fillId="5" borderId="11" xfId="0" applyNumberFormat="1" applyFont="1" applyFill="1" applyBorder="1" applyAlignment="1" applyProtection="1">
      <alignment vertical="top"/>
      <protection locked="0"/>
    </xf>
    <xf numFmtId="0" fontId="58" fillId="2" borderId="11" xfId="0" applyFont="1" applyFill="1" applyBorder="1" applyAlignment="1" applyProtection="1">
      <alignment vertical="top"/>
      <protection locked="0"/>
    </xf>
    <xf numFmtId="0" fontId="58" fillId="0" borderId="11" xfId="0" applyFont="1" applyBorder="1" applyAlignment="1" applyProtection="1">
      <alignment vertical="top"/>
      <protection locked="0"/>
    </xf>
    <xf numFmtId="168" fontId="58" fillId="0" borderId="11" xfId="0" applyNumberFormat="1" applyFont="1" applyBorder="1" applyAlignment="1">
      <alignment vertical="top"/>
    </xf>
    <xf numFmtId="168" fontId="58" fillId="6" borderId="11" xfId="0" applyNumberFormat="1" applyFont="1" applyFill="1" applyBorder="1" applyAlignment="1">
      <alignment horizontal="center" vertical="top"/>
    </xf>
    <xf numFmtId="0" fontId="26" fillId="0" borderId="0" xfId="542" applyFont="1" applyProtection="1">
      <protection locked="0"/>
    </xf>
    <xf numFmtId="0" fontId="19" fillId="0" borderId="0" xfId="539" applyProtection="1"/>
    <xf numFmtId="0" fontId="39" fillId="8" borderId="0" xfId="539" applyFont="1" applyFill="1" applyAlignment="1" applyProtection="1">
      <alignment horizontal="centerContinuous"/>
    </xf>
    <xf numFmtId="0" fontId="26" fillId="0" borderId="0" xfId="543" applyFont="1"/>
    <xf numFmtId="0" fontId="28" fillId="0" borderId="0" xfId="543" applyFont="1" applyAlignment="1">
      <alignment horizontal="left"/>
    </xf>
    <xf numFmtId="0" fontId="28" fillId="0" borderId="15" xfId="0" applyFont="1" applyBorder="1"/>
    <xf numFmtId="0" fontId="28" fillId="0" borderId="11" xfId="0" applyFont="1" applyBorder="1"/>
    <xf numFmtId="2" fontId="42" fillId="0" borderId="11" xfId="0" applyNumberFormat="1" applyFont="1" applyBorder="1"/>
    <xf numFmtId="0" fontId="19" fillId="0" borderId="0" xfId="0" applyFont="1" applyProtection="1">
      <protection locked="0"/>
    </xf>
    <xf numFmtId="0" fontId="66" fillId="0" borderId="0" xfId="0" applyFont="1" applyAlignment="1">
      <alignment horizontal="center"/>
    </xf>
    <xf numFmtId="0" fontId="28" fillId="0" borderId="0" xfId="271"/>
    <xf numFmtId="0" fontId="26" fillId="0" borderId="0" xfId="271" applyFont="1"/>
    <xf numFmtId="0" fontId="28" fillId="0" borderId="0" xfId="271" applyAlignment="1">
      <alignment horizontal="left"/>
    </xf>
    <xf numFmtId="168" fontId="26" fillId="0" borderId="2" xfId="543" applyNumberFormat="1" applyFont="1" applyBorder="1" applyAlignment="1">
      <alignment horizontal="center" vertical="center"/>
    </xf>
    <xf numFmtId="0" fontId="41" fillId="0" borderId="0" xfId="543" applyFont="1" applyAlignment="1">
      <alignment horizontal="right" vertical="top" wrapText="1"/>
    </xf>
    <xf numFmtId="0" fontId="39" fillId="0" borderId="2" xfId="543" applyFont="1" applyBorder="1" applyAlignment="1">
      <alignment horizontal="right" vertical="top" wrapText="1"/>
    </xf>
    <xf numFmtId="0" fontId="24" fillId="0" borderId="0" xfId="0" applyFont="1"/>
    <xf numFmtId="0" fontId="68" fillId="0" borderId="0" xfId="0" applyFont="1"/>
    <xf numFmtId="0" fontId="66" fillId="0" borderId="0" xfId="0" applyFont="1"/>
    <xf numFmtId="0" fontId="39"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6" fillId="0" borderId="0" xfId="0" applyNumberFormat="1" applyFont="1" applyAlignment="1">
      <alignment horizontal="center"/>
    </xf>
    <xf numFmtId="3" fontId="28" fillId="0" borderId="0" xfId="0" applyNumberFormat="1" applyFont="1"/>
    <xf numFmtId="0" fontId="67" fillId="0" borderId="0" xfId="0" applyFont="1"/>
    <xf numFmtId="168" fontId="24" fillId="0" borderId="0" xfId="0" applyNumberFormat="1" applyFont="1"/>
    <xf numFmtId="10" fontId="24" fillId="0" borderId="0" xfId="0" applyNumberFormat="1" applyFont="1" applyAlignment="1">
      <alignment horizontal="center"/>
    </xf>
    <xf numFmtId="3" fontId="70" fillId="0" borderId="0" xfId="0" applyNumberFormat="1" applyFont="1"/>
    <xf numFmtId="3" fontId="24" fillId="0" borderId="0" xfId="0" applyNumberFormat="1" applyFont="1"/>
    <xf numFmtId="168" fontId="67" fillId="0" borderId="0" xfId="0" applyNumberFormat="1" applyFont="1"/>
    <xf numFmtId="168" fontId="67" fillId="0" borderId="0" xfId="0" applyNumberFormat="1" applyFont="1" applyAlignment="1">
      <alignment horizontal="center"/>
    </xf>
    <xf numFmtId="0" fontId="24" fillId="5" borderId="0" xfId="0" applyFont="1" applyFill="1" applyAlignment="1">
      <alignment horizontal="left"/>
    </xf>
    <xf numFmtId="0" fontId="24" fillId="5" borderId="0" xfId="0" applyFont="1" applyFill="1"/>
    <xf numFmtId="10" fontId="24" fillId="0" borderId="0" xfId="0" applyNumberFormat="1" applyFont="1"/>
    <xf numFmtId="172" fontId="24" fillId="0" borderId="0" xfId="0" applyNumberFormat="1" applyFont="1"/>
    <xf numFmtId="172" fontId="24" fillId="0" borderId="0" xfId="0" applyNumberFormat="1" applyFont="1" applyAlignment="1">
      <alignment horizontal="center"/>
    </xf>
    <xf numFmtId="0" fontId="24" fillId="0" borderId="6" xfId="0" applyFont="1" applyBorder="1"/>
    <xf numFmtId="10" fontId="24" fillId="0" borderId="6" xfId="0" applyNumberFormat="1" applyFont="1" applyBorder="1" applyAlignment="1">
      <alignment horizontal="center"/>
    </xf>
    <xf numFmtId="3" fontId="24" fillId="0" borderId="6" xfId="0" applyNumberFormat="1" applyFont="1" applyBorder="1"/>
    <xf numFmtId="10" fontId="28" fillId="0" borderId="0" xfId="0" applyNumberFormat="1" applyFont="1" applyAlignment="1">
      <alignment horizontal="center"/>
    </xf>
    <xf numFmtId="3" fontId="28" fillId="0" borderId="0" xfId="0" applyNumberFormat="1" applyFont="1" applyAlignment="1">
      <alignment vertical="top"/>
    </xf>
    <xf numFmtId="10" fontId="26" fillId="0" borderId="0" xfId="0" applyNumberFormat="1" applyFont="1" applyAlignment="1">
      <alignment horizontal="center"/>
    </xf>
    <xf numFmtId="0" fontId="66" fillId="0" borderId="6" xfId="0" applyFont="1" applyBorder="1" applyAlignment="1">
      <alignment horizontal="center"/>
    </xf>
    <xf numFmtId="172" fontId="28" fillId="0" borderId="0" xfId="0" applyNumberFormat="1" applyFont="1" applyAlignment="1">
      <alignment horizontal="center"/>
    </xf>
    <xf numFmtId="10" fontId="71" fillId="0" borderId="0" xfId="0" applyNumberFormat="1" applyFont="1" applyAlignment="1">
      <alignment horizontal="center"/>
    </xf>
    <xf numFmtId="0" fontId="28" fillId="9" borderId="6" xfId="0" applyFont="1" applyFill="1" applyBorder="1"/>
    <xf numFmtId="0" fontId="28" fillId="0" borderId="4" xfId="271" applyBorder="1"/>
    <xf numFmtId="0" fontId="28" fillId="0" borderId="6" xfId="271" applyBorder="1"/>
    <xf numFmtId="0" fontId="28" fillId="0" borderId="1" xfId="0" applyFont="1" applyBorder="1"/>
    <xf numFmtId="168" fontId="28" fillId="0" borderId="3" xfId="0" applyNumberFormat="1" applyFont="1" applyBorder="1" applyAlignment="1">
      <alignment vertical="top"/>
    </xf>
    <xf numFmtId="168" fontId="28" fillId="0" borderId="4" xfId="0" applyNumberFormat="1" applyFont="1" applyBorder="1" applyAlignment="1">
      <alignment vertical="top"/>
    </xf>
    <xf numFmtId="168" fontId="28" fillId="0" borderId="5" xfId="0" applyNumberFormat="1" applyFont="1" applyBorder="1" applyAlignment="1">
      <alignment vertical="top"/>
    </xf>
    <xf numFmtId="168" fontId="28" fillId="0" borderId="8" xfId="0" applyNumberFormat="1" applyFont="1" applyBorder="1" applyAlignment="1">
      <alignment vertical="top"/>
    </xf>
    <xf numFmtId="168" fontId="28" fillId="0" borderId="0" xfId="0" applyNumberFormat="1" applyFont="1" applyAlignment="1">
      <alignment vertical="top"/>
    </xf>
    <xf numFmtId="0" fontId="28" fillId="0" borderId="0" xfId="0" applyFont="1" applyAlignment="1">
      <alignment horizontal="right" vertical="top"/>
    </xf>
    <xf numFmtId="0" fontId="28"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8" fillId="5" borderId="4" xfId="0" applyFont="1" applyFill="1" applyBorder="1" applyAlignment="1" applyProtection="1">
      <alignment horizontal="left" vertical="top"/>
      <protection locked="0"/>
    </xf>
    <xf numFmtId="0" fontId="28" fillId="5" borderId="5" xfId="0" applyFont="1" applyFill="1" applyBorder="1" applyAlignment="1" applyProtection="1">
      <alignment horizontal="left" vertical="top"/>
      <protection locked="0"/>
    </xf>
    <xf numFmtId="4" fontId="53" fillId="0" borderId="0" xfId="0" applyNumberFormat="1" applyFont="1" applyAlignment="1">
      <alignment horizontal="center"/>
    </xf>
    <xf numFmtId="0" fontId="38" fillId="0" borderId="1" xfId="543" applyFont="1" applyBorder="1" applyAlignment="1">
      <alignment horizontal="left" vertical="top" wrapText="1"/>
    </xf>
    <xf numFmtId="0" fontId="38" fillId="0" borderId="12" xfId="543" applyFont="1" applyBorder="1" applyAlignment="1">
      <alignment horizontal="center" vertical="top" wrapText="1"/>
    </xf>
    <xf numFmtId="0" fontId="38" fillId="0" borderId="8" xfId="543" applyFont="1" applyBorder="1" applyAlignment="1">
      <alignment horizontal="left" vertical="top" wrapText="1"/>
    </xf>
    <xf numFmtId="0" fontId="33" fillId="3" borderId="4" xfId="271" applyFont="1" applyFill="1" applyBorder="1" applyAlignment="1">
      <alignment vertical="top" wrapText="1"/>
    </xf>
    <xf numFmtId="0" fontId="25" fillId="3" borderId="11" xfId="271" applyFont="1" applyFill="1" applyBorder="1" applyAlignment="1">
      <alignment vertical="top"/>
    </xf>
    <xf numFmtId="0" fontId="26" fillId="0" borderId="9" xfId="271" applyFont="1" applyBorder="1" applyAlignment="1">
      <alignment horizontal="center" wrapText="1"/>
    </xf>
    <xf numFmtId="0" fontId="33" fillId="3" borderId="4" xfId="271" applyFont="1" applyFill="1" applyBorder="1" applyAlignment="1" applyProtection="1">
      <alignment vertical="top" wrapText="1"/>
      <protection locked="0"/>
    </xf>
    <xf numFmtId="0" fontId="33" fillId="3" borderId="5" xfId="271" applyFont="1" applyFill="1" applyBorder="1" applyAlignment="1" applyProtection="1">
      <alignment vertical="top" wrapText="1"/>
      <protection locked="0"/>
    </xf>
    <xf numFmtId="0" fontId="26" fillId="0" borderId="13" xfId="271" applyFont="1" applyBorder="1" applyAlignment="1">
      <alignment horizontal="center" wrapText="1"/>
    </xf>
    <xf numFmtId="0" fontId="51" fillId="2" borderId="11" xfId="271" applyFont="1" applyFill="1" applyBorder="1" applyAlignment="1">
      <alignment horizontal="left" vertical="top" wrapText="1"/>
    </xf>
    <xf numFmtId="0" fontId="28" fillId="0" borderId="11" xfId="271" applyBorder="1" applyAlignment="1" applyProtection="1">
      <alignment vertical="top" wrapText="1"/>
      <protection locked="0"/>
    </xf>
    <xf numFmtId="168" fontId="28" fillId="5" borderId="11" xfId="271" applyNumberFormat="1" applyFill="1" applyBorder="1" applyAlignment="1" applyProtection="1">
      <alignment vertical="top" wrapText="1"/>
      <protection locked="0"/>
    </xf>
    <xf numFmtId="0" fontId="28" fillId="5" borderId="3" xfId="271" applyFill="1" applyBorder="1" applyAlignment="1" applyProtection="1">
      <alignment vertical="top" wrapText="1"/>
      <protection locked="0"/>
    </xf>
    <xf numFmtId="0" fontId="28" fillId="5" borderId="11" xfId="271" applyFill="1" applyBorder="1" applyAlignment="1" applyProtection="1">
      <alignment vertical="top" wrapText="1"/>
      <protection locked="0"/>
    </xf>
    <xf numFmtId="0" fontId="28" fillId="0" borderId="11" xfId="271" applyBorder="1" applyAlignment="1">
      <alignment horizontal="right" vertical="top" wrapText="1"/>
    </xf>
    <xf numFmtId="168" fontId="28" fillId="0" borderId="11" xfId="271" applyNumberFormat="1" applyBorder="1" applyAlignment="1">
      <alignment vertical="top" wrapText="1"/>
    </xf>
    <xf numFmtId="0" fontId="26" fillId="0" borderId="11" xfId="271" applyFont="1" applyBorder="1" applyAlignment="1">
      <alignment horizontal="right" vertical="top" wrapText="1"/>
    </xf>
    <xf numFmtId="0" fontId="28" fillId="5" borderId="11" xfId="271" applyFill="1" applyBorder="1" applyAlignment="1" applyProtection="1">
      <alignment horizontal="right" vertical="top" wrapText="1"/>
      <protection locked="0"/>
    </xf>
    <xf numFmtId="168" fontId="26" fillId="0" borderId="11" xfId="271" applyNumberFormat="1" applyFont="1" applyBorder="1" applyAlignment="1">
      <alignment vertical="top" wrapText="1"/>
    </xf>
    <xf numFmtId="0" fontId="36" fillId="0" borderId="11" xfId="271" applyFont="1" applyBorder="1" applyAlignment="1">
      <alignment horizontal="right" vertical="top" wrapText="1"/>
    </xf>
    <xf numFmtId="0" fontId="33" fillId="0" borderId="0" xfId="271" applyFont="1" applyAlignment="1" applyProtection="1">
      <alignment vertical="top" wrapText="1"/>
      <protection locked="0"/>
    </xf>
    <xf numFmtId="0" fontId="28" fillId="0" borderId="5" xfId="271" applyBorder="1" applyAlignment="1" applyProtection="1">
      <alignment vertical="top" wrapText="1"/>
      <protection locked="0"/>
    </xf>
    <xf numFmtId="0" fontId="26" fillId="0" borderId="3" xfId="271" applyFont="1" applyBorder="1" applyAlignment="1">
      <alignment horizontal="left" vertical="top"/>
    </xf>
    <xf numFmtId="0" fontId="28" fillId="0" borderId="4" xfId="271" applyBorder="1" applyAlignment="1" applyProtection="1">
      <alignment horizontal="left" vertical="top"/>
      <protection locked="0"/>
    </xf>
    <xf numFmtId="0" fontId="28" fillId="0" borderId="4" xfId="271" applyBorder="1" applyAlignment="1" applyProtection="1">
      <alignment vertical="top" wrapText="1"/>
      <protection locked="0"/>
    </xf>
    <xf numFmtId="0" fontId="33" fillId="0" borderId="0" xfId="271" applyFont="1" applyAlignment="1">
      <alignment vertical="top" wrapText="1"/>
    </xf>
    <xf numFmtId="0" fontId="28" fillId="0" borderId="4" xfId="271" applyBorder="1" applyAlignment="1">
      <alignment vertical="top" wrapText="1"/>
    </xf>
    <xf numFmtId="0" fontId="51" fillId="2" borderId="11" xfId="271" applyFont="1" applyFill="1" applyBorder="1" applyAlignment="1" applyProtection="1">
      <alignment horizontal="left" vertical="top" wrapText="1"/>
      <protection locked="0"/>
    </xf>
    <xf numFmtId="0" fontId="55" fillId="0" borderId="11" xfId="0" applyFont="1" applyBorder="1" applyAlignment="1">
      <alignment horizontal="right" vertical="top" wrapText="1"/>
    </xf>
    <xf numFmtId="0" fontId="28" fillId="8" borderId="0" xfId="542" quotePrefix="1" applyFont="1" applyFill="1" applyAlignment="1">
      <alignment horizontal="left"/>
    </xf>
    <xf numFmtId="0" fontId="28" fillId="8" borderId="0" xfId="542" applyFont="1" applyFill="1"/>
    <xf numFmtId="0" fontId="36" fillId="8" borderId="0" xfId="542" applyFont="1" applyFill="1"/>
    <xf numFmtId="0" fontId="55" fillId="0" borderId="11" xfId="271" applyFont="1" applyBorder="1" applyAlignment="1">
      <alignment horizontal="right" vertical="top"/>
    </xf>
    <xf numFmtId="0" fontId="55" fillId="0" borderId="11" xfId="271" applyFont="1" applyBorder="1" applyAlignment="1">
      <alignment horizontal="right" vertical="top" wrapText="1"/>
    </xf>
    <xf numFmtId="0" fontId="28" fillId="0" borderId="0" xfId="271" applyAlignment="1">
      <alignment horizontal="left" vertical="top"/>
    </xf>
    <xf numFmtId="0" fontId="26" fillId="0" borderId="0" xfId="271" applyFont="1" applyAlignment="1">
      <alignment horizontal="right"/>
    </xf>
    <xf numFmtId="0" fontId="27" fillId="0" borderId="0" xfId="271" applyFont="1" applyAlignment="1">
      <alignment horizontal="center"/>
    </xf>
    <xf numFmtId="5" fontId="28" fillId="0" borderId="0" xfId="542" applyNumberFormat="1" applyFont="1"/>
    <xf numFmtId="1" fontId="28" fillId="0" borderId="15" xfId="271" applyNumberFormat="1" applyBorder="1"/>
    <xf numFmtId="1" fontId="28" fillId="0" borderId="14" xfId="271" applyNumberFormat="1" applyBorder="1"/>
    <xf numFmtId="0" fontId="27" fillId="0" borderId="6" xfId="271" applyFont="1" applyBorder="1" applyAlignment="1">
      <alignment horizontal="left"/>
    </xf>
    <xf numFmtId="0" fontId="27" fillId="0" borderId="6" xfId="271" applyFont="1" applyBorder="1" applyAlignment="1">
      <alignment horizontal="right"/>
    </xf>
    <xf numFmtId="165" fontId="28" fillId="0" borderId="0" xfId="271" applyNumberFormat="1"/>
    <xf numFmtId="170" fontId="28" fillId="0" borderId="14" xfId="271" applyNumberFormat="1" applyBorder="1"/>
    <xf numFmtId="1" fontId="26" fillId="0" borderId="11" xfId="271" applyNumberFormat="1" applyFont="1" applyBorder="1"/>
    <xf numFmtId="165" fontId="26" fillId="0" borderId="11" xfId="271" applyNumberFormat="1" applyFont="1" applyBorder="1"/>
    <xf numFmtId="3" fontId="58" fillId="0" borderId="11" xfId="0" applyNumberFormat="1" applyFont="1" applyBorder="1" applyAlignment="1">
      <alignment vertical="top" wrapText="1"/>
    </xf>
    <xf numFmtId="166" fontId="28" fillId="0" borderId="0" xfId="0" applyNumberFormat="1" applyFont="1"/>
    <xf numFmtId="0" fontId="0" fillId="0" borderId="0" xfId="0" applyProtection="1">
      <protection locked="0"/>
    </xf>
    <xf numFmtId="0" fontId="24" fillId="0" borderId="0" xfId="0" applyFont="1" applyProtection="1">
      <protection locked="0"/>
    </xf>
    <xf numFmtId="0" fontId="24" fillId="0" borderId="0" xfId="271" applyFont="1" applyProtection="1">
      <protection locked="0"/>
    </xf>
    <xf numFmtId="168" fontId="24" fillId="0" borderId="0" xfId="271" applyNumberFormat="1" applyFont="1" applyProtection="1">
      <protection locked="0"/>
    </xf>
    <xf numFmtId="0" fontId="32" fillId="0" borderId="1" xfId="0" applyFont="1" applyBorder="1"/>
    <xf numFmtId="0" fontId="19" fillId="0" borderId="2" xfId="0" applyFont="1" applyBorder="1" applyAlignment="1">
      <alignment horizontal="left"/>
    </xf>
    <xf numFmtId="0" fontId="19" fillId="0" borderId="2" xfId="0" applyFont="1" applyBorder="1"/>
    <xf numFmtId="0" fontId="32" fillId="0" borderId="8" xfId="0" applyFont="1" applyBorder="1"/>
    <xf numFmtId="0" fontId="32" fillId="0" borderId="9" xfId="0" applyFont="1" applyBorder="1"/>
    <xf numFmtId="0" fontId="26" fillId="0" borderId="0" xfId="0" applyFont="1" applyAlignment="1">
      <alignment horizontal="left" vertical="top"/>
    </xf>
    <xf numFmtId="0" fontId="76" fillId="0" borderId="0" xfId="0" applyFont="1" applyAlignment="1">
      <alignment vertical="center" wrapText="1"/>
    </xf>
    <xf numFmtId="0" fontId="76" fillId="0" borderId="0" xfId="0" applyFont="1" applyAlignment="1">
      <alignment vertical="center"/>
    </xf>
    <xf numFmtId="0" fontId="76" fillId="0" borderId="0" xfId="0" applyFont="1" applyAlignment="1">
      <alignment horizontal="left" vertical="center" indent="1"/>
    </xf>
    <xf numFmtId="172" fontId="28" fillId="5" borderId="0" xfId="0" applyNumberFormat="1" applyFont="1" applyFill="1" applyAlignment="1">
      <alignment horizontal="center"/>
    </xf>
    <xf numFmtId="0" fontId="77" fillId="0" borderId="0" xfId="0" applyFont="1" applyAlignment="1">
      <alignment horizontal="left" vertical="center"/>
    </xf>
    <xf numFmtId="0" fontId="38" fillId="0" borderId="2" xfId="543" applyFont="1" applyBorder="1" applyAlignment="1">
      <alignment horizontal="center" vertical="top" wrapText="1"/>
    </xf>
    <xf numFmtId="49" fontId="49" fillId="0" borderId="0" xfId="0" applyNumberFormat="1" applyFont="1" applyAlignment="1">
      <alignment horizontal="center"/>
    </xf>
    <xf numFmtId="0" fontId="55" fillId="0" borderId="0" xfId="0" applyFont="1"/>
    <xf numFmtId="5" fontId="81" fillId="0" borderId="11" xfId="541" applyNumberFormat="1" applyFont="1" applyBorder="1" applyAlignment="1" applyProtection="1">
      <alignment horizontal="center"/>
    </xf>
    <xf numFmtId="5" fontId="81" fillId="42" borderId="11" xfId="541" applyNumberFormat="1" applyFont="1" applyFill="1" applyBorder="1" applyAlignment="1" applyProtection="1">
      <alignment horizontal="center"/>
    </xf>
    <xf numFmtId="5" fontId="81" fillId="2" borderId="11" xfId="541" applyNumberFormat="1" applyFont="1" applyFill="1" applyBorder="1" applyAlignment="1" applyProtection="1">
      <alignment horizontal="center"/>
    </xf>
    <xf numFmtId="0" fontId="55" fillId="0" borderId="0" xfId="0" applyFont="1" applyAlignment="1">
      <alignment vertical="top" wrapText="1"/>
    </xf>
    <xf numFmtId="0" fontId="55" fillId="0" borderId="0" xfId="0" applyFont="1" applyAlignment="1">
      <alignment vertical="top"/>
    </xf>
    <xf numFmtId="0" fontId="55" fillId="2" borderId="0" xfId="0" applyFont="1" applyFill="1" applyAlignment="1">
      <alignment vertical="top" wrapText="1"/>
    </xf>
    <xf numFmtId="0" fontId="83" fillId="0" borderId="13" xfId="0" applyFont="1" applyBorder="1" applyAlignment="1">
      <alignment vertical="top" wrapText="1"/>
    </xf>
    <xf numFmtId="0" fontId="33" fillId="0" borderId="0" xfId="0" applyFont="1" applyAlignment="1">
      <alignment vertical="top" wrapText="1"/>
    </xf>
    <xf numFmtId="0" fontId="83" fillId="2" borderId="13" xfId="0" applyFont="1" applyFill="1" applyBorder="1" applyAlignment="1">
      <alignment vertical="top" wrapText="1"/>
    </xf>
    <xf numFmtId="0" fontId="83" fillId="0" borderId="0" xfId="0" applyFont="1" applyAlignment="1">
      <alignment vertical="top" wrapText="1"/>
    </xf>
    <xf numFmtId="0" fontId="83" fillId="2" borderId="0" xfId="0" applyFont="1" applyFill="1" applyAlignment="1">
      <alignment vertical="top" wrapText="1"/>
    </xf>
    <xf numFmtId="0" fontId="55" fillId="0" borderId="0" xfId="0" applyFont="1" applyAlignment="1">
      <alignment horizontal="right" vertical="top" wrapText="1"/>
    </xf>
    <xf numFmtId="168" fontId="55" fillId="5" borderId="6" xfId="0" applyNumberFormat="1" applyFont="1" applyFill="1" applyBorder="1" applyAlignment="1" applyProtection="1">
      <alignment horizontal="right" vertical="top" wrapText="1"/>
      <protection locked="0"/>
    </xf>
    <xf numFmtId="168" fontId="55" fillId="0" borderId="6" xfId="0" applyNumberFormat="1" applyFont="1" applyBorder="1" applyAlignment="1">
      <alignment horizontal="right" vertical="top" wrapText="1"/>
    </xf>
    <xf numFmtId="0" fontId="26" fillId="0" borderId="0" xfId="0" applyFont="1" applyAlignment="1">
      <alignment horizontal="left" vertical="top" wrapText="1"/>
    </xf>
    <xf numFmtId="0" fontId="28" fillId="0" borderId="0" xfId="0" applyFont="1" applyAlignment="1">
      <alignment horizontal="right" vertical="top" wrapText="1"/>
    </xf>
    <xf numFmtId="10" fontId="28" fillId="5" borderId="6" xfId="0" applyNumberFormat="1" applyFont="1" applyFill="1" applyBorder="1" applyAlignment="1" applyProtection="1">
      <alignment horizontal="center" vertical="top" wrapText="1"/>
      <protection locked="0"/>
    </xf>
    <xf numFmtId="0" fontId="66" fillId="0" borderId="0" xfId="0" applyFont="1" applyAlignment="1">
      <alignment horizontal="left" vertical="center"/>
    </xf>
    <xf numFmtId="0" fontId="26" fillId="0" borderId="2" xfId="543" applyFont="1" applyBorder="1" applyAlignment="1">
      <alignment horizontal="center"/>
    </xf>
    <xf numFmtId="0" fontId="0" fillId="0" borderId="0" xfId="543" applyFont="1"/>
    <xf numFmtId="0" fontId="20" fillId="0" borderId="0" xfId="244" quotePrefix="1" applyAlignment="1" applyProtection="1">
      <alignment horizontal="left"/>
    </xf>
    <xf numFmtId="168" fontId="55" fillId="0" borderId="11" xfId="0" applyNumberFormat="1" applyFont="1" applyBorder="1" applyAlignment="1">
      <alignment vertical="top" wrapText="1"/>
    </xf>
    <xf numFmtId="168" fontId="55" fillId="4" borderId="11" xfId="0" applyNumberFormat="1" applyFont="1" applyFill="1" applyBorder="1" applyAlignment="1">
      <alignment vertical="top" wrapText="1"/>
    </xf>
    <xf numFmtId="0" fontId="107" fillId="0" borderId="0" xfId="0" applyFont="1" applyAlignment="1">
      <alignment horizontal="left" vertical="top"/>
    </xf>
    <xf numFmtId="0" fontId="108" fillId="0" borderId="0" xfId="0" applyFont="1" applyAlignment="1">
      <alignment horizontal="left" vertical="top"/>
    </xf>
    <xf numFmtId="0" fontId="76" fillId="0" borderId="0" xfId="0" applyFont="1"/>
    <xf numFmtId="0" fontId="26" fillId="8" borderId="11" xfId="542" applyFont="1" applyFill="1" applyBorder="1" applyAlignment="1">
      <alignment horizontal="left"/>
    </xf>
    <xf numFmtId="0" fontId="26" fillId="8" borderId="11" xfId="542" applyFont="1" applyFill="1" applyBorder="1" applyAlignment="1">
      <alignment horizontal="center"/>
    </xf>
    <xf numFmtId="0" fontId="65" fillId="8" borderId="11" xfId="542" applyFont="1" applyFill="1" applyBorder="1" applyAlignment="1">
      <alignment horizontal="left"/>
    </xf>
    <xf numFmtId="0" fontId="65" fillId="0" borderId="11" xfId="542" applyFont="1" applyBorder="1" applyAlignment="1">
      <alignment horizontal="left"/>
    </xf>
    <xf numFmtId="0" fontId="26" fillId="0" borderId="0" xfId="271" applyFont="1" applyAlignment="1" applyProtection="1">
      <alignment horizontal="center" wrapText="1"/>
      <protection locked="0"/>
    </xf>
    <xf numFmtId="0" fontId="28" fillId="0" borderId="0" xfId="271" applyAlignment="1" applyProtection="1">
      <alignment vertical="top" wrapText="1"/>
      <protection locked="0"/>
    </xf>
    <xf numFmtId="0" fontId="26" fillId="0" borderId="0" xfId="271" applyFont="1" applyAlignment="1" applyProtection="1">
      <alignment vertical="top" wrapText="1"/>
      <protection locked="0"/>
    </xf>
    <xf numFmtId="0" fontId="19" fillId="0" borderId="0" xfId="0" applyFont="1" applyAlignment="1">
      <alignment horizontal="center"/>
    </xf>
    <xf numFmtId="0" fontId="33" fillId="0" borderId="8" xfId="569" applyFont="1" applyBorder="1" applyAlignment="1">
      <alignment vertical="top" wrapText="1"/>
    </xf>
    <xf numFmtId="0" fontId="33" fillId="0" borderId="0" xfId="569" applyFont="1" applyAlignment="1">
      <alignment vertical="top" wrapText="1"/>
    </xf>
    <xf numFmtId="0" fontId="57" fillId="2" borderId="11" xfId="569" applyFont="1" applyFill="1" applyBorder="1" applyAlignment="1">
      <alignment horizontal="left" vertical="top" wrapText="1"/>
    </xf>
    <xf numFmtId="6" fontId="55" fillId="4" borderId="11" xfId="569" applyNumberFormat="1" applyFont="1" applyFill="1" applyBorder="1" applyAlignment="1">
      <alignment vertical="top" wrapText="1"/>
    </xf>
    <xf numFmtId="0" fontId="55" fillId="0" borderId="8" xfId="569" applyFont="1" applyBorder="1" applyAlignment="1">
      <alignment vertical="top" wrapText="1"/>
    </xf>
    <xf numFmtId="0" fontId="55" fillId="0" borderId="0" xfId="569" applyFont="1" applyAlignment="1">
      <alignment vertical="top" wrapText="1"/>
    </xf>
    <xf numFmtId="6" fontId="55" fillId="0" borderId="11" xfId="569" applyNumberFormat="1" applyFont="1" applyBorder="1" applyAlignment="1">
      <alignment vertical="top" wrapText="1"/>
    </xf>
    <xf numFmtId="6" fontId="55" fillId="5" borderId="11" xfId="569" applyNumberFormat="1" applyFont="1" applyFill="1" applyBorder="1" applyAlignment="1" applyProtection="1">
      <alignment vertical="top" wrapText="1"/>
      <protection locked="0"/>
    </xf>
    <xf numFmtId="6" fontId="55" fillId="6" borderId="11" xfId="569" applyNumberFormat="1" applyFont="1" applyFill="1" applyBorder="1" applyAlignment="1">
      <alignment horizontal="center" vertical="top" wrapText="1"/>
    </xf>
    <xf numFmtId="0" fontId="55" fillId="0" borderId="11" xfId="569" applyFont="1" applyBorder="1" applyAlignment="1">
      <alignment horizontal="right" vertical="top" wrapText="1"/>
    </xf>
    <xf numFmtId="0" fontId="56" fillId="0" borderId="11" xfId="569" applyFont="1" applyBorder="1" applyAlignment="1">
      <alignment horizontal="right" vertical="top" wrapText="1"/>
    </xf>
    <xf numFmtId="0" fontId="55" fillId="0" borderId="11" xfId="569" applyFont="1" applyBorder="1" applyAlignment="1">
      <alignment horizontal="right" vertical="top"/>
    </xf>
    <xf numFmtId="6" fontId="56" fillId="0" borderId="11" xfId="569" applyNumberFormat="1" applyFont="1" applyBorder="1" applyAlignment="1">
      <alignment vertical="top" wrapText="1"/>
    </xf>
    <xf numFmtId="0" fontId="56" fillId="0" borderId="8" xfId="569" applyFont="1" applyBorder="1" applyAlignment="1">
      <alignment vertical="top" wrapText="1"/>
    </xf>
    <xf numFmtId="0" fontId="56" fillId="0" borderId="0" xfId="569" applyFont="1" applyAlignment="1">
      <alignment vertical="top" wrapText="1"/>
    </xf>
    <xf numFmtId="0" fontId="22" fillId="0" borderId="11" xfId="569" applyFont="1" applyBorder="1" applyAlignment="1">
      <alignment horizontal="right" vertical="top" wrapText="1"/>
    </xf>
    <xf numFmtId="0" fontId="56" fillId="0" borderId="0" xfId="569" applyFont="1" applyAlignment="1">
      <alignment horizontal="left" vertical="top"/>
    </xf>
    <xf numFmtId="6" fontId="55" fillId="0" borderId="0" xfId="569" applyNumberFormat="1" applyFont="1" applyAlignment="1">
      <alignment horizontal="left" vertical="top"/>
    </xf>
    <xf numFmtId="0" fontId="108" fillId="0" borderId="0" xfId="569" applyFont="1" applyAlignment="1">
      <alignment horizontal="left" vertical="top"/>
    </xf>
    <xf numFmtId="6" fontId="55" fillId="0" borderId="0" xfId="569" applyNumberFormat="1" applyFont="1" applyAlignment="1">
      <alignment vertical="top" wrapText="1"/>
    </xf>
    <xf numFmtId="0" fontId="55" fillId="0" borderId="0" xfId="569" applyFont="1" applyAlignment="1">
      <alignment horizontal="left" vertical="top"/>
    </xf>
    <xf numFmtId="0" fontId="55" fillId="0" borderId="12" xfId="569" applyFont="1" applyBorder="1" applyAlignment="1">
      <alignment vertical="top" wrapText="1"/>
    </xf>
    <xf numFmtId="0" fontId="26" fillId="0" borderId="0" xfId="569" applyFont="1" applyAlignment="1">
      <alignment horizontal="left" vertical="top"/>
    </xf>
    <xf numFmtId="0" fontId="111" fillId="0" borderId="0" xfId="569" applyFont="1" applyAlignment="1">
      <alignment horizontal="left" vertical="top"/>
    </xf>
    <xf numFmtId="0" fontId="66" fillId="0" borderId="0" xfId="569" applyFont="1" applyAlignment="1">
      <alignment horizontal="left" vertical="center"/>
    </xf>
    <xf numFmtId="0" fontId="34" fillId="0" borderId="0" xfId="569" applyFont="1" applyAlignment="1">
      <alignment vertical="top" wrapText="1"/>
    </xf>
    <xf numFmtId="0" fontId="34" fillId="0" borderId="12" xfId="569" applyFont="1" applyBorder="1" applyAlignment="1">
      <alignment vertical="top" wrapText="1"/>
    </xf>
    <xf numFmtId="0" fontId="34" fillId="0" borderId="8" xfId="569" applyFont="1" applyBorder="1" applyAlignment="1">
      <alignment vertical="top" wrapText="1"/>
    </xf>
    <xf numFmtId="0" fontId="55" fillId="0" borderId="0" xfId="569" applyFont="1" applyAlignment="1">
      <alignment vertical="top"/>
    </xf>
    <xf numFmtId="168" fontId="55" fillId="0" borderId="0" xfId="569" applyNumberFormat="1" applyFont="1" applyAlignment="1" applyProtection="1">
      <alignment horizontal="right" vertical="top" wrapText="1"/>
      <protection locked="0"/>
    </xf>
    <xf numFmtId="0" fontId="19" fillId="0" borderId="0" xfId="569" applyAlignment="1">
      <alignment vertical="top" wrapText="1"/>
    </xf>
    <xf numFmtId="0" fontId="19" fillId="0" borderId="0" xfId="569" applyAlignment="1">
      <alignment vertical="top"/>
    </xf>
    <xf numFmtId="0" fontId="55" fillId="0" borderId="0" xfId="569" applyFont="1" applyAlignment="1">
      <alignment horizontal="right" vertical="top" wrapText="1"/>
    </xf>
    <xf numFmtId="0" fontId="26" fillId="0" borderId="0" xfId="569" applyFont="1" applyAlignment="1">
      <alignment horizontal="left" vertical="top" wrapText="1"/>
    </xf>
    <xf numFmtId="168" fontId="55" fillId="0" borderId="0" xfId="569" applyNumberFormat="1" applyFont="1" applyAlignment="1">
      <alignment horizontal="right" vertical="top" wrapText="1"/>
    </xf>
    <xf numFmtId="0" fontId="19" fillId="0" borderId="0" xfId="569" applyAlignment="1" applyProtection="1">
      <alignment horizontal="left" vertical="top" wrapText="1"/>
      <protection locked="0"/>
    </xf>
    <xf numFmtId="0" fontId="19" fillId="0" borderId="0" xfId="569" applyAlignment="1">
      <alignment horizontal="right" vertical="top" wrapText="1"/>
    </xf>
    <xf numFmtId="0" fontId="19" fillId="0" borderId="0" xfId="569" applyAlignment="1">
      <alignment horizontal="left" vertical="top"/>
    </xf>
    <xf numFmtId="0" fontId="83" fillId="0" borderId="0" xfId="569" applyFont="1" applyAlignment="1">
      <alignment vertical="top" wrapText="1"/>
    </xf>
    <xf numFmtId="0" fontId="83" fillId="0" borderId="12" xfId="569" applyFont="1" applyBorder="1" applyAlignment="1">
      <alignment vertical="top" wrapText="1"/>
    </xf>
    <xf numFmtId="0" fontId="83" fillId="0" borderId="8" xfId="569" applyFont="1" applyBorder="1" applyAlignment="1">
      <alignment vertical="top" wrapText="1"/>
    </xf>
    <xf numFmtId="0" fontId="33" fillId="0" borderId="0" xfId="569" applyFont="1" applyAlignment="1">
      <alignment horizontal="right" vertical="top" wrapText="1"/>
    </xf>
    <xf numFmtId="0" fontId="83" fillId="0" borderId="0" xfId="569" applyFont="1" applyAlignment="1">
      <alignment horizontal="right" vertical="top" wrapText="1"/>
    </xf>
    <xf numFmtId="0" fontId="56" fillId="0" borderId="3" xfId="569" applyFont="1" applyBorder="1" applyAlignment="1">
      <alignment horizontal="left"/>
    </xf>
    <xf numFmtId="0" fontId="56" fillId="0" borderId="13" xfId="569" applyFont="1" applyBorder="1" applyAlignment="1">
      <alignment horizontal="center" wrapText="1"/>
    </xf>
    <xf numFmtId="0" fontId="56" fillId="0" borderId="8" xfId="569" applyFont="1" applyBorder="1" applyAlignment="1">
      <alignment horizontal="center" wrapText="1"/>
    </xf>
    <xf numFmtId="0" fontId="56" fillId="0" borderId="0" xfId="569" applyFont="1" applyAlignment="1">
      <alignment horizontal="center" wrapText="1"/>
    </xf>
    <xf numFmtId="0" fontId="19" fillId="0" borderId="0" xfId="569"/>
    <xf numFmtId="0" fontId="25" fillId="0" borderId="0" xfId="569" applyFont="1" applyAlignment="1">
      <alignment horizontal="center" vertical="center"/>
    </xf>
    <xf numFmtId="0" fontId="26" fillId="0" borderId="0" xfId="569" applyFont="1"/>
    <xf numFmtId="0" fontId="19" fillId="0" borderId="1" xfId="569" applyBorder="1"/>
    <xf numFmtId="0" fontId="19" fillId="0" borderId="2" xfId="569" applyBorder="1"/>
    <xf numFmtId="0" fontId="19" fillId="0" borderId="8" xfId="569" applyBorder="1"/>
    <xf numFmtId="0" fontId="19" fillId="0" borderId="9" xfId="569" applyBorder="1"/>
    <xf numFmtId="0" fontId="19" fillId="0" borderId="6" xfId="569" applyBorder="1"/>
    <xf numFmtId="0" fontId="27" fillId="0" borderId="0" xfId="569" applyFont="1"/>
    <xf numFmtId="0" fontId="19" fillId="0" borderId="7" xfId="569" applyBorder="1"/>
    <xf numFmtId="0" fontId="19" fillId="0" borderId="12" xfId="569" applyBorder="1"/>
    <xf numFmtId="0" fontId="19" fillId="0" borderId="10" xfId="569" applyBorder="1"/>
    <xf numFmtId="0" fontId="27" fillId="0" borderId="0" xfId="569" applyFont="1" applyAlignment="1">
      <alignment vertical="top" wrapText="1"/>
    </xf>
    <xf numFmtId="0" fontId="19" fillId="0" borderId="0" xfId="569" applyAlignment="1">
      <alignment horizontal="right"/>
    </xf>
    <xf numFmtId="0" fontId="19" fillId="0" borderId="0" xfId="569" applyAlignment="1">
      <alignment wrapText="1"/>
    </xf>
    <xf numFmtId="0" fontId="19" fillId="0" borderId="0" xfId="569" applyAlignment="1">
      <alignment vertical="center"/>
    </xf>
    <xf numFmtId="0" fontId="43" fillId="0" borderId="0" xfId="569" applyFont="1" applyAlignment="1">
      <alignment vertical="center" wrapText="1"/>
    </xf>
    <xf numFmtId="0" fontId="37" fillId="0" borderId="0" xfId="569" applyFont="1" applyAlignment="1">
      <alignment vertical="top" wrapText="1"/>
    </xf>
    <xf numFmtId="0" fontId="26" fillId="0" borderId="0" xfId="569" applyFont="1" applyAlignment="1">
      <alignment vertical="top" wrapText="1"/>
    </xf>
    <xf numFmtId="0" fontId="27" fillId="0" borderId="0" xfId="569" applyFont="1" applyAlignment="1">
      <alignment horizontal="left" vertical="top" wrapText="1"/>
    </xf>
    <xf numFmtId="164" fontId="19" fillId="0" borderId="0" xfId="569" applyNumberFormat="1" applyAlignment="1">
      <alignment horizontal="right"/>
    </xf>
    <xf numFmtId="168" fontId="19" fillId="0" borderId="0" xfId="569" applyNumberFormat="1" applyAlignment="1">
      <alignment horizontal="right"/>
    </xf>
    <xf numFmtId="0" fontId="109" fillId="0" borderId="0" xfId="569" applyFont="1" applyAlignment="1">
      <alignment horizontal="left" vertical="top" wrapText="1"/>
    </xf>
    <xf numFmtId="168" fontId="19" fillId="0" borderId="0" xfId="569" applyNumberFormat="1" applyAlignment="1">
      <alignment wrapText="1"/>
    </xf>
    <xf numFmtId="0" fontId="24" fillId="0" borderId="11" xfId="253" applyFont="1" applyBorder="1" applyAlignment="1">
      <alignment horizontal="center" wrapText="1"/>
    </xf>
    <xf numFmtId="0" fontId="24" fillId="0" borderId="0" xfId="253" applyFont="1" applyAlignment="1">
      <alignment horizontal="center" wrapText="1"/>
    </xf>
    <xf numFmtId="3" fontId="24" fillId="0" borderId="11" xfId="271" applyNumberFormat="1" applyFont="1" applyBorder="1"/>
    <xf numFmtId="3" fontId="24" fillId="0" borderId="0" xfId="271" applyNumberFormat="1" applyFont="1"/>
    <xf numFmtId="0" fontId="67" fillId="0" borderId="0" xfId="271" applyFont="1" applyAlignment="1">
      <alignment horizontal="left"/>
    </xf>
    <xf numFmtId="0" fontId="67" fillId="0" borderId="0" xfId="271" applyFont="1" applyAlignment="1">
      <alignment horizontal="right"/>
    </xf>
    <xf numFmtId="168" fontId="24" fillId="0" borderId="11" xfId="271" applyNumberFormat="1" applyFont="1" applyBorder="1"/>
    <xf numFmtId="168" fontId="24" fillId="0" borderId="0" xfId="271" applyNumberFormat="1" applyFont="1"/>
    <xf numFmtId="0" fontId="55" fillId="0" borderId="0" xfId="569" applyFont="1" applyAlignment="1">
      <alignment horizontal="left"/>
    </xf>
    <xf numFmtId="0" fontId="19" fillId="0" borderId="3" xfId="569" applyBorder="1"/>
    <xf numFmtId="0" fontId="110" fillId="0" borderId="0" xfId="1834"/>
    <xf numFmtId="0" fontId="0" fillId="0" borderId="0" xfId="0" applyAlignment="1">
      <alignment horizontal="left" vertical="top"/>
    </xf>
    <xf numFmtId="0" fontId="109" fillId="0" borderId="0" xfId="0" applyFont="1" applyAlignment="1">
      <alignment vertical="top" wrapText="1"/>
    </xf>
    <xf numFmtId="0" fontId="55" fillId="0" borderId="0" xfId="271" applyFont="1" applyAlignment="1">
      <alignment vertical="top" wrapText="1"/>
    </xf>
    <xf numFmtId="4" fontId="19" fillId="0" borderId="0" xfId="1192" applyNumberFormat="1" applyAlignment="1">
      <alignment horizontal="left" vertical="top" wrapText="1"/>
    </xf>
    <xf numFmtId="0" fontId="19" fillId="0" borderId="0" xfId="0" applyFont="1" applyAlignment="1">
      <alignment horizontal="left" vertical="top" wrapText="1"/>
    </xf>
    <xf numFmtId="0" fontId="26" fillId="0" borderId="12" xfId="543" applyFont="1" applyBorder="1" applyAlignment="1">
      <alignment horizontal="right"/>
    </xf>
    <xf numFmtId="0" fontId="38" fillId="0" borderId="0" xfId="543" applyFont="1" applyAlignment="1">
      <alignment horizontal="center"/>
    </xf>
    <xf numFmtId="4" fontId="19" fillId="0" borderId="0" xfId="569" applyNumberFormat="1" applyAlignment="1">
      <alignment horizontal="left"/>
    </xf>
    <xf numFmtId="0" fontId="19" fillId="0" borderId="0" xfId="569" applyAlignment="1">
      <alignment horizontal="left" vertical="top" wrapText="1"/>
    </xf>
    <xf numFmtId="0" fontId="19" fillId="0" borderId="0" xfId="569" applyAlignment="1">
      <alignment horizontal="left"/>
    </xf>
    <xf numFmtId="0" fontId="19" fillId="0" borderId="0" xfId="1192" applyAlignment="1">
      <alignment horizontal="left"/>
    </xf>
    <xf numFmtId="0" fontId="26" fillId="0" borderId="0" xfId="569" applyFont="1" applyAlignment="1">
      <alignment horizontal="left"/>
    </xf>
    <xf numFmtId="0" fontId="48" fillId="0" borderId="0" xfId="1192" applyFont="1"/>
    <xf numFmtId="0" fontId="55" fillId="0" borderId="11" xfId="0" applyFont="1" applyBorder="1" applyAlignment="1">
      <alignment horizontal="right" vertical="center"/>
    </xf>
    <xf numFmtId="0" fontId="19" fillId="0" borderId="0" xfId="1192" applyAlignment="1">
      <alignment horizontal="left" vertical="top" wrapText="1"/>
    </xf>
    <xf numFmtId="0" fontId="48" fillId="0" borderId="0" xfId="0" applyFont="1" applyAlignment="1">
      <alignment vertical="top" wrapText="1"/>
    </xf>
    <xf numFmtId="0" fontId="48" fillId="0" borderId="0" xfId="0" applyFont="1" applyAlignment="1">
      <alignment horizontal="left" vertical="top" wrapText="1"/>
    </xf>
    <xf numFmtId="6" fontId="56" fillId="0" borderId="0" xfId="569" applyNumberFormat="1" applyFont="1" applyAlignment="1">
      <alignment horizontal="right" vertical="top"/>
    </xf>
    <xf numFmtId="0" fontId="19" fillId="0" borderId="0" xfId="0" applyFont="1" applyAlignment="1">
      <alignment vertical="top" wrapText="1"/>
    </xf>
    <xf numFmtId="168" fontId="28" fillId="0" borderId="0" xfId="0" applyNumberFormat="1" applyFont="1" applyAlignment="1">
      <alignment horizontal="right"/>
    </xf>
    <xf numFmtId="168" fontId="28" fillId="0" borderId="28" xfId="540" applyNumberFormat="1" applyBorder="1" applyAlignment="1" applyProtection="1">
      <alignment horizontal="center"/>
    </xf>
    <xf numFmtId="168" fontId="28" fillId="0" borderId="29" xfId="540" applyNumberFormat="1" applyBorder="1" applyAlignment="1" applyProtection="1">
      <alignment horizontal="center"/>
    </xf>
    <xf numFmtId="168" fontId="28" fillId="0" borderId="30" xfId="540" applyNumberFormat="1" applyBorder="1" applyAlignment="1" applyProtection="1">
      <alignment horizontal="center"/>
    </xf>
    <xf numFmtId="168" fontId="28" fillId="0" borderId="31" xfId="540" applyNumberFormat="1" applyBorder="1" applyAlignment="1" applyProtection="1">
      <alignment horizontal="center"/>
    </xf>
    <xf numFmtId="168" fontId="28" fillId="0" borderId="32" xfId="540" applyNumberFormat="1" applyBorder="1" applyAlignment="1" applyProtection="1">
      <alignment horizontal="center"/>
    </xf>
    <xf numFmtId="168" fontId="28" fillId="0" borderId="33" xfId="540" applyNumberFormat="1" applyBorder="1" applyAlignment="1" applyProtection="1">
      <alignment horizontal="center"/>
    </xf>
    <xf numFmtId="168" fontId="28" fillId="0" borderId="34" xfId="540" applyNumberFormat="1" applyBorder="1" applyAlignment="1" applyProtection="1">
      <alignment horizontal="center"/>
    </xf>
    <xf numFmtId="168" fontId="28" fillId="0" borderId="35" xfId="540" applyNumberFormat="1" applyBorder="1" applyAlignment="1" applyProtection="1">
      <alignment horizontal="center"/>
    </xf>
    <xf numFmtId="168" fontId="28" fillId="0" borderId="36" xfId="540" applyNumberFormat="1" applyBorder="1" applyAlignment="1" applyProtection="1">
      <alignment horizontal="center"/>
    </xf>
    <xf numFmtId="168" fontId="28" fillId="0" borderId="37" xfId="540" applyNumberFormat="1" applyBorder="1" applyAlignment="1" applyProtection="1">
      <alignment horizontal="center"/>
    </xf>
    <xf numFmtId="168" fontId="28" fillId="0" borderId="38" xfId="540" applyNumberFormat="1" applyBorder="1" applyAlignment="1" applyProtection="1">
      <alignment horizontal="center"/>
    </xf>
    <xf numFmtId="168" fontId="28" fillId="0" borderId="39" xfId="540" applyNumberFormat="1" applyBorder="1" applyAlignment="1" applyProtection="1">
      <alignment horizontal="center"/>
    </xf>
    <xf numFmtId="168" fontId="28" fillId="0" borderId="40" xfId="540" applyNumberFormat="1" applyBorder="1" applyAlignment="1" applyProtection="1">
      <alignment horizontal="center"/>
    </xf>
    <xf numFmtId="168" fontId="28" fillId="0" borderId="0" xfId="540" applyNumberFormat="1" applyAlignment="1" applyProtection="1">
      <alignment horizontal="center"/>
    </xf>
    <xf numFmtId="168" fontId="28" fillId="0" borderId="14" xfId="540" applyNumberFormat="1" applyBorder="1" applyAlignment="1" applyProtection="1">
      <alignment horizontal="center"/>
    </xf>
    <xf numFmtId="168" fontId="28" fillId="0" borderId="41" xfId="540" applyNumberFormat="1" applyBorder="1" applyAlignment="1" applyProtection="1">
      <alignment horizontal="center"/>
    </xf>
    <xf numFmtId="168" fontId="28" fillId="0" borderId="42" xfId="540" applyNumberFormat="1" applyBorder="1" applyAlignment="1" applyProtection="1">
      <alignment horizontal="center"/>
    </xf>
    <xf numFmtId="168" fontId="28" fillId="0" borderId="43" xfId="540" applyNumberFormat="1" applyBorder="1" applyAlignment="1" applyProtection="1">
      <alignment horizontal="center"/>
    </xf>
    <xf numFmtId="168" fontId="28" fillId="0" borderId="44" xfId="540" applyNumberFormat="1" applyBorder="1" applyAlignment="1" applyProtection="1">
      <alignment horizontal="center"/>
    </xf>
    <xf numFmtId="0" fontId="19" fillId="0" borderId="0" xfId="1192"/>
    <xf numFmtId="0" fontId="19" fillId="0" borderId="0" xfId="0" applyFont="1" applyAlignment="1">
      <alignment wrapText="1"/>
    </xf>
    <xf numFmtId="0" fontId="48" fillId="0" borderId="0" xfId="0" applyFont="1" applyAlignment="1">
      <alignment horizontal="left" vertical="top"/>
    </xf>
    <xf numFmtId="0" fontId="48" fillId="0" borderId="0" xfId="0" applyFont="1" applyAlignment="1">
      <alignment vertical="top"/>
    </xf>
    <xf numFmtId="0" fontId="19" fillId="0" borderId="0" xfId="569" applyAlignment="1">
      <alignment horizontal="center"/>
    </xf>
    <xf numFmtId="0" fontId="37" fillId="0" borderId="0" xfId="569" applyFont="1" applyAlignment="1">
      <alignment horizontal="left"/>
    </xf>
    <xf numFmtId="0" fontId="37" fillId="0" borderId="0" xfId="569" applyFont="1" applyAlignment="1">
      <alignment horizontal="center"/>
    </xf>
    <xf numFmtId="49" fontId="26" fillId="0" borderId="0" xfId="569" applyNumberFormat="1" applyFont="1" applyAlignment="1">
      <alignment horizontal="center"/>
    </xf>
    <xf numFmtId="0" fontId="53" fillId="0" borderId="0" xfId="569" applyFont="1" applyAlignment="1">
      <alignment horizontal="center"/>
    </xf>
    <xf numFmtId="0" fontId="19" fillId="5" borderId="6" xfId="569" applyFill="1" applyBorder="1" applyProtection="1">
      <protection locked="0"/>
    </xf>
    <xf numFmtId="0" fontId="20" fillId="0" borderId="0" xfId="244" applyAlignment="1" applyProtection="1">
      <alignment horizontal="center"/>
    </xf>
    <xf numFmtId="49" fontId="19" fillId="0" borderId="0" xfId="569" applyNumberFormat="1" applyAlignment="1">
      <alignment horizontal="center"/>
    </xf>
    <xf numFmtId="0" fontId="19" fillId="0" borderId="0" xfId="569" applyAlignment="1">
      <alignment horizontal="center" vertical="center"/>
    </xf>
    <xf numFmtId="0" fontId="19" fillId="0" borderId="0" xfId="1192" applyAlignment="1">
      <alignment horizontal="center"/>
    </xf>
    <xf numFmtId="0" fontId="26" fillId="0" borderId="0" xfId="569" applyFont="1" applyAlignment="1">
      <alignment horizontal="center"/>
    </xf>
    <xf numFmtId="0" fontId="19" fillId="0" borderId="0" xfId="569" applyAlignment="1">
      <alignment horizontal="left" indent="4"/>
    </xf>
    <xf numFmtId="0" fontId="19" fillId="0" borderId="0" xfId="569" quotePrefix="1" applyAlignment="1">
      <alignment horizontal="left"/>
    </xf>
    <xf numFmtId="0" fontId="37" fillId="0" borderId="0" xfId="569" applyFont="1"/>
    <xf numFmtId="0" fontId="19" fillId="0" borderId="0" xfId="1192" applyAlignment="1" applyProtection="1">
      <alignment horizontal="left"/>
      <protection locked="0"/>
    </xf>
    <xf numFmtId="0" fontId="19" fillId="0" borderId="0" xfId="569" applyAlignment="1" applyProtection="1">
      <alignment horizontal="left"/>
      <protection locked="0"/>
    </xf>
    <xf numFmtId="49" fontId="19" fillId="0" borderId="0" xfId="1192" applyNumberFormat="1" applyAlignment="1">
      <alignment horizontal="center"/>
    </xf>
    <xf numFmtId="0" fontId="53" fillId="0" borderId="0" xfId="1192" applyFont="1" applyAlignment="1">
      <alignment horizontal="center"/>
    </xf>
    <xf numFmtId="0" fontId="26" fillId="0" borderId="0" xfId="1192" applyFont="1" applyAlignment="1">
      <alignment horizontal="left"/>
    </xf>
    <xf numFmtId="4" fontId="19" fillId="0" borderId="0" xfId="1192" applyNumberFormat="1" applyAlignment="1">
      <alignment horizontal="left"/>
    </xf>
    <xf numFmtId="0" fontId="26" fillId="0" borderId="0" xfId="569" quotePrefix="1" applyFont="1" applyAlignment="1">
      <alignment horizontal="center"/>
    </xf>
    <xf numFmtId="49" fontId="19" fillId="0" borderId="0" xfId="569" applyNumberFormat="1"/>
    <xf numFmtId="0" fontId="51" fillId="0" borderId="0" xfId="569" applyFont="1" applyAlignment="1">
      <alignment horizontal="left"/>
    </xf>
    <xf numFmtId="4" fontId="53" fillId="0" borderId="0" xfId="569" applyNumberFormat="1" applyFont="1" applyAlignment="1">
      <alignment horizontal="center"/>
    </xf>
    <xf numFmtId="4" fontId="19" fillId="0" borderId="0" xfId="569" applyNumberFormat="1" applyAlignment="1">
      <alignment horizontal="center"/>
    </xf>
    <xf numFmtId="4" fontId="19" fillId="0" borderId="0" xfId="569" applyNumberFormat="1"/>
    <xf numFmtId="0" fontId="49" fillId="0" borderId="0" xfId="569" applyFont="1" applyAlignment="1">
      <alignment horizontal="left"/>
    </xf>
    <xf numFmtId="0" fontId="20" fillId="0" borderId="0" xfId="244" applyNumberFormat="1" applyFill="1" applyAlignment="1" applyProtection="1">
      <alignment horizontal="left"/>
      <protection locked="0"/>
    </xf>
    <xf numFmtId="0" fontId="55" fillId="0" borderId="11" xfId="0" applyFont="1" applyBorder="1" applyAlignment="1" applyProtection="1">
      <alignment horizontal="right" vertical="top" wrapText="1"/>
      <protection locked="0"/>
    </xf>
    <xf numFmtId="168" fontId="58" fillId="44" borderId="11" xfId="0" applyNumberFormat="1" applyFont="1" applyFill="1" applyBorder="1" applyAlignment="1">
      <alignment vertical="top" wrapText="1"/>
    </xf>
    <xf numFmtId="0" fontId="19" fillId="0" borderId="11" xfId="271" applyFont="1" applyBorder="1" applyAlignment="1">
      <alignment horizontal="right" vertical="top" wrapText="1"/>
    </xf>
    <xf numFmtId="0" fontId="27" fillId="0" borderId="0" xfId="569" applyFont="1" applyAlignment="1">
      <alignment horizontal="left"/>
    </xf>
    <xf numFmtId="0" fontId="107" fillId="0" borderId="0" xfId="0" applyFont="1"/>
    <xf numFmtId="0" fontId="118" fillId="0" borderId="0" xfId="0" applyFont="1" applyAlignment="1">
      <alignment horizontal="left" vertical="top"/>
    </xf>
    <xf numFmtId="0" fontId="119" fillId="0" borderId="0" xfId="0" applyFont="1" applyAlignment="1">
      <alignment horizontal="left" vertical="top"/>
    </xf>
    <xf numFmtId="168" fontId="27" fillId="0" borderId="0" xfId="0" applyNumberFormat="1" applyFont="1" applyAlignment="1">
      <alignment horizontal="left" vertical="top" wrapText="1"/>
    </xf>
    <xf numFmtId="168" fontId="55" fillId="5" borderId="11" xfId="0" applyNumberFormat="1" applyFont="1" applyFill="1" applyBorder="1" applyAlignment="1">
      <alignment vertical="top" wrapText="1"/>
    </xf>
    <xf numFmtId="0" fontId="19" fillId="0" borderId="0" xfId="271" applyFont="1" applyAlignment="1">
      <alignment horizontal="left" vertical="top"/>
    </xf>
    <xf numFmtId="0" fontId="55" fillId="0" borderId="0" xfId="569" applyFont="1"/>
    <xf numFmtId="0" fontId="19" fillId="0" borderId="0" xfId="0" applyFont="1" applyAlignment="1">
      <alignment horizontal="left" vertical="top"/>
    </xf>
    <xf numFmtId="4" fontId="19" fillId="0" borderId="0" xfId="1192" applyNumberFormat="1" applyAlignment="1">
      <alignment vertical="top" wrapText="1"/>
    </xf>
    <xf numFmtId="0" fontId="26" fillId="0" borderId="16" xfId="271" applyFont="1" applyBorder="1"/>
    <xf numFmtId="0" fontId="62" fillId="0" borderId="0" xfId="569" applyFont="1"/>
    <xf numFmtId="0" fontId="43" fillId="0" borderId="0" xfId="569" applyFont="1"/>
    <xf numFmtId="0" fontId="19" fillId="0" borderId="0" xfId="1192" applyAlignment="1">
      <alignment vertical="top" wrapText="1"/>
    </xf>
    <xf numFmtId="49" fontId="19" fillId="0" borderId="0" xfId="1192" applyNumberFormat="1" applyAlignment="1">
      <alignment vertical="top" wrapText="1"/>
    </xf>
    <xf numFmtId="0" fontId="57" fillId="0" borderId="9" xfId="543" applyFont="1" applyBorder="1" applyAlignment="1">
      <alignment vertical="top"/>
    </xf>
    <xf numFmtId="0" fontId="19" fillId="0" borderId="0" xfId="0" applyFont="1" applyAlignment="1">
      <alignment vertical="center"/>
    </xf>
    <xf numFmtId="0" fontId="120" fillId="0" borderId="0" xfId="0" applyFont="1"/>
    <xf numFmtId="3" fontId="107" fillId="0" borderId="0" xfId="0" applyNumberFormat="1" applyFont="1"/>
    <xf numFmtId="0" fontId="107" fillId="0" borderId="0" xfId="0" applyFont="1" applyAlignment="1">
      <alignment horizontal="left"/>
    </xf>
    <xf numFmtId="168" fontId="121" fillId="0" borderId="0" xfId="0" applyNumberFormat="1" applyFont="1" applyAlignment="1">
      <alignment horizontal="left" vertical="top"/>
    </xf>
    <xf numFmtId="0" fontId="107" fillId="0" borderId="0" xfId="0" applyFont="1" applyAlignment="1">
      <alignment horizontal="left" vertical="center"/>
    </xf>
    <xf numFmtId="0" fontId="123" fillId="0" borderId="0" xfId="0" applyFont="1"/>
    <xf numFmtId="172" fontId="19" fillId="0" borderId="8" xfId="543" applyNumberFormat="1" applyBorder="1"/>
    <xf numFmtId="0" fontId="19" fillId="0" borderId="8" xfId="4495" applyFont="1" applyBorder="1"/>
    <xf numFmtId="0" fontId="19" fillId="0" borderId="0" xfId="4495" applyFont="1"/>
    <xf numFmtId="0" fontId="25" fillId="0" borderId="0" xfId="4495" applyFont="1" applyAlignment="1">
      <alignment horizontal="center" vertical="center"/>
    </xf>
    <xf numFmtId="0" fontId="26" fillId="0" borderId="0" xfId="4495" applyFont="1" applyAlignment="1">
      <alignment horizontal="left"/>
    </xf>
    <xf numFmtId="0" fontId="26" fillId="0" borderId="0" xfId="4495" applyFont="1"/>
    <xf numFmtId="0" fontId="29" fillId="0" borderId="0" xfId="4495" applyFont="1" applyAlignment="1">
      <alignment horizontal="center" vertical="center"/>
    </xf>
    <xf numFmtId="0" fontId="29" fillId="0" borderId="27" xfId="4495" applyFont="1" applyBorder="1" applyAlignment="1">
      <alignment horizontal="center" vertical="center"/>
    </xf>
    <xf numFmtId="0" fontId="29" fillId="0" borderId="46" xfId="4495" applyFont="1" applyBorder="1" applyAlignment="1">
      <alignment horizontal="center" vertical="center"/>
    </xf>
    <xf numFmtId="0" fontId="26" fillId="0" borderId="0" xfId="4495" applyFont="1" applyAlignment="1">
      <alignment horizontal="right"/>
    </xf>
    <xf numFmtId="0" fontId="37" fillId="0" borderId="0" xfId="4495" applyFont="1" applyAlignment="1">
      <alignment horizontal="left" vertical="center"/>
    </xf>
    <xf numFmtId="0" fontId="19" fillId="0" borderId="0" xfId="1192" quotePrefix="1" applyAlignment="1">
      <alignment horizontal="center"/>
    </xf>
    <xf numFmtId="0" fontId="49" fillId="0" borderId="0" xfId="4495" applyFont="1" applyAlignment="1">
      <alignment horizontal="left" vertical="center"/>
    </xf>
    <xf numFmtId="49" fontId="27" fillId="0" borderId="0" xfId="4495" applyNumberFormat="1" applyFont="1" applyAlignment="1">
      <alignment horizontal="left" vertical="top"/>
    </xf>
    <xf numFmtId="0" fontId="19" fillId="0" borderId="47" xfId="4495" applyFont="1" applyBorder="1" applyAlignment="1">
      <alignment horizontal="left" vertical="center"/>
    </xf>
    <xf numFmtId="0" fontId="29" fillId="0" borderId="48" xfId="4495" applyFont="1" applyBorder="1" applyAlignment="1">
      <alignment horizontal="center" vertical="center"/>
    </xf>
    <xf numFmtId="0" fontId="27" fillId="0" borderId="0" xfId="4495" applyFont="1"/>
    <xf numFmtId="0" fontId="27" fillId="0" borderId="0" xfId="4495" applyFont="1" applyAlignment="1">
      <alignment horizontal="left" vertical="top"/>
    </xf>
    <xf numFmtId="0" fontId="125" fillId="0" borderId="53" xfId="4496" applyFont="1" applyBorder="1" applyAlignment="1">
      <alignment horizontal="left" vertical="top"/>
    </xf>
    <xf numFmtId="0" fontId="124" fillId="0" borderId="0" xfId="4496" applyFont="1" applyAlignment="1">
      <alignment horizontal="left" vertical="top" wrapText="1"/>
    </xf>
    <xf numFmtId="0" fontId="124" fillId="0" borderId="54" xfId="4496" applyFont="1" applyBorder="1" applyAlignment="1">
      <alignment horizontal="left" vertical="top" wrapText="1"/>
    </xf>
    <xf numFmtId="0" fontId="19" fillId="0" borderId="0" xfId="4495" applyFont="1" applyAlignment="1">
      <alignment horizontal="left" vertical="center"/>
    </xf>
    <xf numFmtId="0" fontId="126" fillId="0" borderId="0" xfId="4496" applyFont="1" applyAlignment="1">
      <alignment vertical="center"/>
    </xf>
    <xf numFmtId="0" fontId="124" fillId="0" borderId="0" xfId="4496" applyFont="1"/>
    <xf numFmtId="0" fontId="124" fillId="0" borderId="0" xfId="4496" applyFont="1" applyAlignment="1">
      <alignment vertical="center"/>
    </xf>
    <xf numFmtId="0" fontId="127" fillId="0" borderId="0" xfId="4496" applyFont="1" applyAlignment="1">
      <alignment vertical="center"/>
    </xf>
    <xf numFmtId="0" fontId="19" fillId="0" borderId="0" xfId="4496" applyFont="1" applyAlignment="1">
      <alignment vertical="center"/>
    </xf>
    <xf numFmtId="0" fontId="27" fillId="0" borderId="3" xfId="4495" applyFont="1" applyBorder="1" applyAlignment="1">
      <alignment vertical="top" wrapText="1"/>
    </xf>
    <xf numFmtId="0" fontId="27" fillId="0" borderId="4" xfId="4495" applyFont="1" applyBorder="1" applyAlignment="1">
      <alignment vertical="top" wrapText="1"/>
    </xf>
    <xf numFmtId="164" fontId="122" fillId="0" borderId="4" xfId="4495" applyNumberFormat="1" applyBorder="1" applyAlignment="1">
      <alignment horizontal="right"/>
    </xf>
    <xf numFmtId="0" fontId="27" fillId="0" borderId="4" xfId="4495" applyFont="1" applyBorder="1"/>
    <xf numFmtId="0" fontId="26" fillId="0" borderId="5" xfId="4495" applyFont="1" applyBorder="1" applyAlignment="1">
      <alignment horizontal="right"/>
    </xf>
    <xf numFmtId="0" fontId="19" fillId="0" borderId="16" xfId="4495" applyFont="1" applyBorder="1"/>
    <xf numFmtId="0" fontId="19" fillId="0" borderId="16" xfId="4495" applyFont="1" applyBorder="1" applyAlignment="1">
      <alignment horizontal="left" vertical="top"/>
    </xf>
    <xf numFmtId="0" fontId="27" fillId="0" borderId="16" xfId="4495" applyFont="1" applyBorder="1" applyAlignment="1">
      <alignment horizontal="left" vertical="top" wrapText="1"/>
    </xf>
    <xf numFmtId="0" fontId="27" fillId="0" borderId="45" xfId="4495" applyFont="1" applyBorder="1" applyAlignment="1">
      <alignment horizontal="left" vertical="top" wrapText="1"/>
    </xf>
    <xf numFmtId="0" fontId="122" fillId="0" borderId="0" xfId="4495"/>
    <xf numFmtId="0" fontId="20" fillId="0" borderId="0" xfId="244" applyFill="1" applyBorder="1" applyAlignment="1" applyProtection="1">
      <alignment horizontal="left" vertical="top"/>
    </xf>
    <xf numFmtId="0" fontId="20" fillId="0" borderId="0" xfId="244" applyFill="1" applyBorder="1" applyAlignment="1" applyProtection="1">
      <alignment horizontal="left" vertical="top" wrapText="1"/>
    </xf>
    <xf numFmtId="0" fontId="27" fillId="0" borderId="0" xfId="4495" applyFont="1" applyAlignment="1">
      <alignment horizontal="left" vertical="top" wrapText="1"/>
    </xf>
    <xf numFmtId="0" fontId="27" fillId="0" borderId="0" xfId="4495" applyFont="1" applyAlignment="1">
      <alignment horizontal="right" vertical="top"/>
    </xf>
    <xf numFmtId="0" fontId="19" fillId="0" borderId="0" xfId="4495" applyFont="1" applyAlignment="1">
      <alignment vertical="center" wrapText="1"/>
    </xf>
    <xf numFmtId="0" fontId="124" fillId="0" borderId="53" xfId="4496" applyFont="1" applyBorder="1" applyAlignment="1">
      <alignment vertical="top" wrapText="1"/>
    </xf>
    <xf numFmtId="0" fontId="124" fillId="0" borderId="0" xfId="4496" applyFont="1" applyAlignment="1">
      <alignment vertical="top" wrapText="1"/>
    </xf>
    <xf numFmtId="10" fontId="124" fillId="0" borderId="0" xfId="4496" applyNumberFormat="1" applyFont="1" applyAlignment="1">
      <alignment vertical="top" wrapText="1"/>
    </xf>
    <xf numFmtId="0" fontId="124" fillId="0" borderId="54" xfId="4496" applyFont="1" applyBorder="1" applyAlignment="1">
      <alignment vertical="top" wrapText="1"/>
    </xf>
    <xf numFmtId="0" fontId="124" fillId="0" borderId="0" xfId="4496" applyFont="1" applyAlignment="1">
      <alignment vertical="top"/>
    </xf>
    <xf numFmtId="165" fontId="124" fillId="0" borderId="0" xfId="4496" applyNumberFormat="1" applyFont="1" applyAlignment="1">
      <alignment vertical="top" wrapText="1"/>
    </xf>
    <xf numFmtId="0" fontId="26" fillId="0" borderId="57" xfId="4495" applyFont="1" applyBorder="1"/>
    <xf numFmtId="0" fontId="26" fillId="0" borderId="58" xfId="4495" applyFont="1" applyBorder="1"/>
    <xf numFmtId="0" fontId="26" fillId="0" borderId="58" xfId="4495" applyFont="1" applyBorder="1" applyAlignment="1">
      <alignment horizontal="right"/>
    </xf>
    <xf numFmtId="0" fontId="26" fillId="0" borderId="59" xfId="4495" applyFont="1" applyBorder="1" applyAlignment="1">
      <alignment horizontal="right"/>
    </xf>
    <xf numFmtId="0" fontId="124" fillId="0" borderId="53" xfId="4496" applyFont="1" applyBorder="1" applyAlignment="1">
      <alignment horizontal="left" vertical="top" wrapText="1"/>
    </xf>
    <xf numFmtId="0" fontId="124" fillId="0" borderId="0" xfId="4496" applyFont="1" applyAlignment="1">
      <alignment horizontal="left" vertical="top"/>
    </xf>
    <xf numFmtId="0" fontId="29" fillId="0" borderId="57" xfId="4495" applyFont="1" applyBorder="1" applyAlignment="1">
      <alignment horizontal="center" vertical="center"/>
    </xf>
    <xf numFmtId="0" fontId="29" fillId="0" borderId="58" xfId="4495" applyFont="1" applyBorder="1" applyAlignment="1">
      <alignment horizontal="center" vertical="center"/>
    </xf>
    <xf numFmtId="0" fontId="29" fillId="0" borderId="59" xfId="4495" applyFont="1" applyBorder="1" applyAlignment="1">
      <alignment horizontal="center" vertical="center"/>
    </xf>
    <xf numFmtId="0" fontId="26" fillId="0" borderId="0" xfId="4495" applyFont="1" applyAlignment="1">
      <alignment horizontal="center"/>
    </xf>
    <xf numFmtId="0" fontId="26" fillId="0" borderId="8" xfId="4495" applyFont="1" applyBorder="1"/>
    <xf numFmtId="0" fontId="27" fillId="0" borderId="0" xfId="4495" applyFont="1" applyAlignment="1">
      <alignment horizontal="left"/>
    </xf>
    <xf numFmtId="0" fontId="26" fillId="0" borderId="0" xfId="4495" applyFont="1" applyAlignment="1">
      <alignment horizontal="center" vertical="top"/>
    </xf>
    <xf numFmtId="0" fontId="19" fillId="0" borderId="0" xfId="4495" applyFont="1" applyAlignment="1">
      <alignment horizontal="center"/>
    </xf>
    <xf numFmtId="0" fontId="35" fillId="0" borderId="0" xfId="4495" applyFont="1"/>
    <xf numFmtId="0" fontId="27" fillId="0" borderId="8" xfId="4495" applyFont="1" applyBorder="1"/>
    <xf numFmtId="0" fontId="55" fillId="0" borderId="8" xfId="4495" applyFont="1" applyBorder="1"/>
    <xf numFmtId="1" fontId="19" fillId="0" borderId="0" xfId="1192" applyNumberFormat="1"/>
    <xf numFmtId="0" fontId="19" fillId="0" borderId="3" xfId="4495" applyFont="1" applyBorder="1"/>
    <xf numFmtId="0" fontId="19" fillId="0" borderId="4" xfId="4495" applyFont="1" applyBorder="1"/>
    <xf numFmtId="0" fontId="19" fillId="0" borderId="0" xfId="1192" applyAlignment="1">
      <alignment wrapText="1"/>
    </xf>
    <xf numFmtId="0" fontId="27" fillId="0" borderId="0" xfId="4495" applyFont="1" applyAlignment="1">
      <alignment vertical="top" wrapText="1"/>
    </xf>
    <xf numFmtId="0" fontId="27" fillId="0" borderId="0" xfId="1192" applyFont="1"/>
    <xf numFmtId="0" fontId="19" fillId="0" borderId="0" xfId="4495" applyFont="1" applyAlignment="1">
      <alignment horizontal="left"/>
    </xf>
    <xf numFmtId="0" fontId="27" fillId="0" borderId="3" xfId="4495" applyFont="1" applyBorder="1"/>
    <xf numFmtId="0" fontId="19" fillId="0" borderId="4" xfId="4495" applyFont="1" applyBorder="1" applyAlignment="1">
      <alignment horizontal="right"/>
    </xf>
    <xf numFmtId="1" fontId="19" fillId="0" borderId="0" xfId="4495" applyNumberFormat="1" applyFont="1" applyAlignment="1">
      <alignment horizontal="center"/>
    </xf>
    <xf numFmtId="0" fontId="55" fillId="0" borderId="0" xfId="4495" applyFont="1"/>
    <xf numFmtId="0" fontId="19" fillId="0" borderId="0" xfId="4495" applyFont="1" applyAlignment="1">
      <alignment horizontal="right"/>
    </xf>
    <xf numFmtId="0" fontId="27" fillId="0" borderId="0" xfId="4495" applyFont="1" applyAlignment="1">
      <alignment vertical="top"/>
    </xf>
    <xf numFmtId="0" fontId="27" fillId="0" borderId="27" xfId="4495" applyFont="1" applyBorder="1"/>
    <xf numFmtId="0" fontId="26" fillId="0" borderId="0" xfId="4495" applyFont="1" applyAlignment="1">
      <alignment vertical="top"/>
    </xf>
    <xf numFmtId="0" fontId="37" fillId="0" borderId="0" xfId="4495" applyFont="1" applyAlignment="1">
      <alignment vertical="top" wrapText="1"/>
    </xf>
    <xf numFmtId="0" fontId="26" fillId="0" borderId="0" xfId="4495" applyFont="1" applyAlignment="1">
      <alignment horizontal="left" vertical="top" wrapText="1"/>
    </xf>
    <xf numFmtId="0" fontId="19" fillId="0" borderId="0" xfId="4495" applyFont="1" applyAlignment="1">
      <alignment horizontal="left" vertical="top"/>
    </xf>
    <xf numFmtId="0" fontId="37" fillId="0" borderId="0" xfId="4495" applyFont="1" applyAlignment="1">
      <alignment vertical="top"/>
    </xf>
    <xf numFmtId="0" fontId="19" fillId="0" borderId="10" xfId="4495" applyFont="1" applyBorder="1" applyAlignment="1">
      <alignment horizontal="center"/>
    </xf>
    <xf numFmtId="0" fontId="19" fillId="0" borderId="16" xfId="4495" applyFont="1" applyBorder="1" applyAlignment="1">
      <alignment horizontal="center"/>
    </xf>
    <xf numFmtId="0" fontId="35" fillId="0" borderId="16" xfId="4495" applyFont="1" applyBorder="1"/>
    <xf numFmtId="0" fontId="27" fillId="0" borderId="16" xfId="4495" applyFont="1" applyBorder="1"/>
    <xf numFmtId="0" fontId="19" fillId="0" borderId="0" xfId="4496" applyFont="1" applyAlignment="1">
      <alignment vertical="top" wrapText="1"/>
    </xf>
    <xf numFmtId="0" fontId="26" fillId="0" borderId="0" xfId="1192" applyFont="1" applyAlignment="1">
      <alignment horizontal="right"/>
    </xf>
    <xf numFmtId="0" fontId="19" fillId="0" borderId="0" xfId="4496" applyFont="1"/>
    <xf numFmtId="0" fontId="19" fillId="0" borderId="0" xfId="4496" applyFont="1" applyAlignment="1">
      <alignment horizontal="left"/>
    </xf>
    <xf numFmtId="0" fontId="19" fillId="0" borderId="0" xfId="4496" applyFont="1" applyAlignment="1">
      <alignment horizontal="right"/>
    </xf>
    <xf numFmtId="0" fontId="27" fillId="0" borderId="0" xfId="4496" applyFont="1" applyAlignment="1">
      <alignment vertical="top" wrapText="1"/>
    </xf>
    <xf numFmtId="0" fontId="19" fillId="0" borderId="4" xfId="4496" applyFont="1" applyBorder="1"/>
    <xf numFmtId="0" fontId="26" fillId="0" borderId="4" xfId="4496" applyFont="1" applyBorder="1" applyAlignment="1">
      <alignment horizontal="right"/>
    </xf>
    <xf numFmtId="0" fontId="27" fillId="0" borderId="27" xfId="4495" applyFont="1" applyBorder="1" applyAlignment="1">
      <alignment horizontal="left" vertical="top"/>
    </xf>
    <xf numFmtId="0" fontId="19" fillId="0" borderId="27" xfId="4495" applyFont="1" applyBorder="1" applyAlignment="1">
      <alignment horizontal="left" vertical="top"/>
    </xf>
    <xf numFmtId="0" fontId="26" fillId="0" borderId="27" xfId="4495" applyFont="1" applyBorder="1" applyAlignment="1">
      <alignment horizontal="right"/>
    </xf>
    <xf numFmtId="0" fontId="19" fillId="0" borderId="27" xfId="4495" applyFont="1" applyBorder="1" applyAlignment="1">
      <alignment horizontal="center"/>
    </xf>
    <xf numFmtId="0" fontId="19" fillId="0" borderId="46" xfId="4495" applyFont="1" applyBorder="1" applyAlignment="1">
      <alignment horizontal="center"/>
    </xf>
    <xf numFmtId="164" fontId="27" fillId="0" borderId="0" xfId="4495" applyNumberFormat="1" applyFont="1" applyAlignment="1">
      <alignment horizontal="left" vertical="top" wrapText="1"/>
    </xf>
    <xf numFmtId="0" fontId="30" fillId="0" borderId="0" xfId="4495" applyFont="1"/>
    <xf numFmtId="0" fontId="27" fillId="0" borderId="0" xfId="4495" applyFont="1" applyAlignment="1">
      <alignment horizontal="right"/>
    </xf>
    <xf numFmtId="0" fontId="19" fillId="0" borderId="27" xfId="543" applyBorder="1"/>
    <xf numFmtId="0" fontId="19" fillId="0" borderId="46" xfId="543" applyBorder="1"/>
    <xf numFmtId="0" fontId="26" fillId="0" borderId="0" xfId="4495" applyFont="1" applyAlignment="1">
      <alignment horizontal="left" vertical="top"/>
    </xf>
    <xf numFmtId="1" fontId="122" fillId="0" borderId="0" xfId="4495" applyNumberFormat="1"/>
    <xf numFmtId="0" fontId="19" fillId="0" borderId="0" xfId="4495" applyFont="1" applyAlignment="1">
      <alignment vertical="top" wrapText="1"/>
    </xf>
    <xf numFmtId="0" fontId="19" fillId="0" borderId="0" xfId="4495" applyFont="1" applyAlignment="1">
      <alignment horizontal="left" vertical="top" wrapText="1"/>
    </xf>
    <xf numFmtId="0" fontId="19" fillId="0" borderId="50" xfId="4495" applyFont="1" applyBorder="1" applyAlignment="1">
      <alignment vertical="top"/>
    </xf>
    <xf numFmtId="0" fontId="19" fillId="0" borderId="51" xfId="4495" applyFont="1" applyBorder="1" applyAlignment="1">
      <alignment vertical="top"/>
    </xf>
    <xf numFmtId="0" fontId="19" fillId="0" borderId="52" xfId="4495" applyFont="1" applyBorder="1" applyAlignment="1">
      <alignment vertical="top"/>
    </xf>
    <xf numFmtId="1" fontId="27" fillId="0" borderId="8" xfId="4495" applyNumberFormat="1" applyFont="1" applyBorder="1"/>
    <xf numFmtId="0" fontId="19" fillId="0" borderId="0" xfId="543" applyAlignment="1">
      <alignment vertical="top"/>
    </xf>
    <xf numFmtId="0" fontId="27" fillId="0" borderId="51" xfId="4495" applyFont="1" applyBorder="1" applyAlignment="1">
      <alignment horizontal="left" vertical="top"/>
    </xf>
    <xf numFmtId="0" fontId="27" fillId="0" borderId="52" xfId="4495" applyFont="1" applyBorder="1" applyAlignment="1">
      <alignment horizontal="left" vertical="top"/>
    </xf>
    <xf numFmtId="0" fontId="122" fillId="0" borderId="0" xfId="4495" applyAlignment="1" applyProtection="1">
      <alignment horizontal="center"/>
      <protection locked="0"/>
    </xf>
    <xf numFmtId="0" fontId="19" fillId="0" borderId="53" xfId="4495" applyFont="1" applyBorder="1" applyAlignment="1">
      <alignment vertical="top"/>
    </xf>
    <xf numFmtId="0" fontId="19" fillId="0" borderId="54" xfId="4495" applyFont="1" applyBorder="1" applyAlignment="1">
      <alignment vertical="top" wrapText="1"/>
    </xf>
    <xf numFmtId="0" fontId="63" fillId="0" borderId="53" xfId="4495" applyFont="1" applyBorder="1"/>
    <xf numFmtId="0" fontId="27" fillId="0" borderId="54" xfId="4495" applyFont="1" applyBorder="1" applyAlignment="1">
      <alignment horizontal="left" vertical="top"/>
    </xf>
    <xf numFmtId="0" fontId="19" fillId="0" borderId="53" xfId="4495" applyFont="1" applyBorder="1" applyAlignment="1">
      <alignment vertical="center" wrapText="1"/>
    </xf>
    <xf numFmtId="0" fontId="63" fillId="0" borderId="57" xfId="4495" applyFont="1" applyBorder="1"/>
    <xf numFmtId="0" fontId="27" fillId="0" borderId="58" xfId="4495" applyFont="1" applyBorder="1" applyAlignment="1">
      <alignment horizontal="left" vertical="top"/>
    </xf>
    <xf numFmtId="0" fontId="27" fillId="0" borderId="12" xfId="4495" applyFont="1" applyBorder="1"/>
    <xf numFmtId="0" fontId="19" fillId="0" borderId="57" xfId="4495" applyFont="1" applyBorder="1" applyAlignment="1">
      <alignment vertical="center"/>
    </xf>
    <xf numFmtId="0" fontId="19" fillId="0" borderId="58" xfId="4495" applyFont="1" applyBorder="1" applyAlignment="1">
      <alignment vertical="top"/>
    </xf>
    <xf numFmtId="0" fontId="19" fillId="0" borderId="59" xfId="4495" applyFont="1" applyBorder="1" applyAlignment="1">
      <alignment vertical="top"/>
    </xf>
    <xf numFmtId="0" fontId="19" fillId="0" borderId="0" xfId="4495" applyFont="1" applyAlignment="1">
      <alignment vertical="top"/>
    </xf>
    <xf numFmtId="0" fontId="27" fillId="0" borderId="4" xfId="4495" applyFont="1" applyBorder="1" applyAlignment="1">
      <alignment horizontal="left" vertical="top"/>
    </xf>
    <xf numFmtId="0" fontId="19" fillId="0" borderId="4" xfId="4495" applyFont="1" applyBorder="1" applyAlignment="1">
      <alignment horizontal="left" vertical="top"/>
    </xf>
    <xf numFmtId="0" fontId="19" fillId="0" borderId="2" xfId="4495" applyFont="1" applyBorder="1"/>
    <xf numFmtId="0" fontId="27" fillId="0" borderId="2" xfId="4495" applyFont="1" applyBorder="1"/>
    <xf numFmtId="0" fontId="19" fillId="0" borderId="2" xfId="4495" applyFont="1" applyBorder="1" applyAlignment="1">
      <alignment horizontal="center"/>
    </xf>
    <xf numFmtId="0" fontId="27" fillId="0" borderId="7" xfId="4495" applyFont="1" applyBorder="1"/>
    <xf numFmtId="0" fontId="35" fillId="0" borderId="0" xfId="4495" applyFont="1" applyAlignment="1">
      <alignment horizontal="right"/>
    </xf>
    <xf numFmtId="0" fontId="128" fillId="0" borderId="0" xfId="4495" applyFont="1" applyAlignment="1">
      <alignment horizontal="left" vertical="top" wrapText="1"/>
    </xf>
    <xf numFmtId="0" fontId="35" fillId="0" borderId="0" xfId="4495" applyFont="1" applyAlignment="1">
      <alignment horizontal="left" vertical="top"/>
    </xf>
    <xf numFmtId="0" fontId="27" fillId="0" borderId="0" xfId="4495" quotePrefix="1" applyFont="1" applyAlignment="1">
      <alignment horizontal="right"/>
    </xf>
    <xf numFmtId="0" fontId="19" fillId="0" borderId="0" xfId="4497"/>
    <xf numFmtId="0" fontId="27" fillId="0" borderId="0" xfId="4495" applyFont="1" applyAlignment="1">
      <alignment horizontal="left" vertical="top" wrapText="1" shrinkToFit="1"/>
    </xf>
    <xf numFmtId="0" fontId="122" fillId="0" borderId="0" xfId="4495" applyAlignment="1">
      <alignment vertical="top" wrapText="1"/>
    </xf>
    <xf numFmtId="0" fontId="27" fillId="0" borderId="4" xfId="4495" applyFont="1" applyBorder="1" applyAlignment="1">
      <alignment horizontal="left" vertical="top" wrapText="1" shrinkToFit="1"/>
    </xf>
    <xf numFmtId="0" fontId="35" fillId="0" borderId="8" xfId="4495" applyFont="1" applyBorder="1"/>
    <xf numFmtId="0" fontId="27" fillId="0" borderId="0" xfId="4495" applyFont="1" applyAlignment="1">
      <alignment horizontal="center"/>
    </xf>
    <xf numFmtId="0" fontId="27" fillId="0" borderId="0" xfId="4495" quotePrefix="1" applyFont="1"/>
    <xf numFmtId="0" fontId="27" fillId="0" borderId="0" xfId="4495" applyFont="1" applyAlignment="1">
      <alignment horizontal="left" vertical="top" shrinkToFit="1"/>
    </xf>
    <xf numFmtId="0" fontId="49" fillId="0" borderId="0" xfId="4495" applyFont="1"/>
    <xf numFmtId="0" fontId="27" fillId="0" borderId="3" xfId="4495" applyFont="1" applyBorder="1" applyAlignment="1">
      <alignment horizontal="center"/>
    </xf>
    <xf numFmtId="0" fontId="122" fillId="0" borderId="8" xfId="4495" applyBorder="1"/>
    <xf numFmtId="0" fontId="26" fillId="0" borderId="8" xfId="4495" applyFont="1" applyBorder="1" applyAlignment="1">
      <alignment vertical="top"/>
    </xf>
    <xf numFmtId="0" fontId="122" fillId="0" borderId="0" xfId="4495" applyAlignment="1">
      <alignment vertical="top"/>
    </xf>
    <xf numFmtId="0" fontId="26" fillId="0" borderId="4" xfId="4495" applyFont="1" applyBorder="1" applyAlignment="1">
      <alignment horizontal="center" vertical="top"/>
    </xf>
    <xf numFmtId="0" fontId="128" fillId="0" borderId="0" xfId="4495" applyFont="1" applyAlignment="1">
      <alignment horizontal="left" vertical="top"/>
    </xf>
    <xf numFmtId="0" fontId="128" fillId="0" borderId="4" xfId="4495" applyFont="1" applyBorder="1" applyAlignment="1">
      <alignment horizontal="left" vertical="top"/>
    </xf>
    <xf numFmtId="168" fontId="19" fillId="0" borderId="0" xfId="4497" applyNumberFormat="1"/>
    <xf numFmtId="1" fontId="27" fillId="0" borderId="0" xfId="4495" applyNumberFormat="1" applyFont="1" applyAlignment="1">
      <alignment horizontal="center" vertical="top"/>
    </xf>
    <xf numFmtId="0" fontId="132" fillId="0" borderId="0" xfId="4495" applyFont="1" applyAlignment="1">
      <alignment vertical="top" wrapText="1"/>
    </xf>
    <xf numFmtId="0" fontId="132" fillId="0" borderId="0" xfId="4495" applyFont="1" applyAlignment="1">
      <alignment horizontal="left" vertical="top" wrapText="1"/>
    </xf>
    <xf numFmtId="0" fontId="27" fillId="0" borderId="6" xfId="4495" applyFont="1" applyBorder="1"/>
    <xf numFmtId="1" fontId="27" fillId="0" borderId="8" xfId="4495" applyNumberFormat="1" applyFont="1" applyBorder="1" applyAlignment="1">
      <alignment horizontal="center" vertical="top"/>
    </xf>
    <xf numFmtId="0" fontId="122" fillId="0" borderId="12" xfId="4495" applyBorder="1"/>
    <xf numFmtId="0" fontId="27" fillId="0" borderId="9" xfId="4495" applyFont="1" applyBorder="1"/>
    <xf numFmtId="0" fontId="122" fillId="0" borderId="10" xfId="4495" applyBorder="1"/>
    <xf numFmtId="0" fontId="35" fillId="0" borderId="3" xfId="4495" applyFont="1" applyBorder="1"/>
    <xf numFmtId="0" fontId="26" fillId="0" borderId="4" xfId="4495" applyFont="1" applyBorder="1"/>
    <xf numFmtId="0" fontId="122" fillId="0" borderId="12" xfId="4495" applyBorder="1" applyAlignment="1">
      <alignment vertical="top"/>
    </xf>
    <xf numFmtId="0" fontId="35" fillId="0" borderId="1" xfId="4495" applyFont="1" applyBorder="1"/>
    <xf numFmtId="0" fontId="132" fillId="0" borderId="2" xfId="4495" applyFont="1" applyBorder="1" applyAlignment="1">
      <alignment horizontal="left" wrapText="1"/>
    </xf>
    <xf numFmtId="0" fontId="132" fillId="0" borderId="2" xfId="4495" applyFont="1" applyBorder="1" applyAlignment="1">
      <alignment horizontal="left"/>
    </xf>
    <xf numFmtId="0" fontId="132" fillId="0" borderId="7" xfId="4495" applyFont="1" applyBorder="1" applyAlignment="1">
      <alignment horizontal="left" wrapText="1"/>
    </xf>
    <xf numFmtId="0" fontId="132" fillId="0" borderId="0" xfId="4495" applyFont="1" applyAlignment="1">
      <alignment horizontal="left" wrapText="1"/>
    </xf>
    <xf numFmtId="0" fontId="35" fillId="0" borderId="9" xfId="4495" applyFont="1" applyBorder="1"/>
    <xf numFmtId="0" fontId="27" fillId="0" borderId="10" xfId="4495" applyFont="1" applyBorder="1"/>
    <xf numFmtId="0" fontId="132" fillId="0" borderId="0" xfId="4495" applyFont="1" applyAlignment="1">
      <alignment wrapText="1"/>
    </xf>
    <xf numFmtId="0" fontId="35" fillId="0" borderId="9" xfId="4495" applyFont="1" applyBorder="1" applyAlignment="1">
      <alignment horizontal="center"/>
    </xf>
    <xf numFmtId="0" fontId="26" fillId="0" borderId="10" xfId="4495" applyFont="1" applyBorder="1"/>
    <xf numFmtId="0" fontId="37" fillId="0" borderId="0" xfId="4495" applyFont="1"/>
    <xf numFmtId="0" fontId="27" fillId="0" borderId="50" xfId="4495" applyFont="1" applyBorder="1"/>
    <xf numFmtId="0" fontId="27" fillId="0" borderId="51" xfId="4495" applyFont="1" applyBorder="1"/>
    <xf numFmtId="1" fontId="27" fillId="0" borderId="51" xfId="4495" quotePrefix="1" applyNumberFormat="1" applyFont="1" applyBorder="1" applyAlignment="1">
      <alignment horizontal="center" vertical="top"/>
    </xf>
    <xf numFmtId="0" fontId="26" fillId="0" borderId="51" xfId="4495" applyFont="1" applyBorder="1"/>
    <xf numFmtId="0" fontId="26" fillId="0" borderId="52" xfId="4495" applyFont="1" applyBorder="1" applyAlignment="1">
      <alignment horizontal="center"/>
    </xf>
    <xf numFmtId="0" fontId="19" fillId="0" borderId="53" xfId="4495" applyFont="1" applyBorder="1"/>
    <xf numFmtId="1" fontId="27" fillId="0" borderId="0" xfId="4495" quotePrefix="1" applyNumberFormat="1" applyFont="1" applyAlignment="1">
      <alignment horizontal="center" vertical="top"/>
    </xf>
    <xf numFmtId="0" fontId="26" fillId="0" borderId="54" xfId="4495" applyFont="1" applyBorder="1" applyAlignment="1">
      <alignment horizontal="center"/>
    </xf>
    <xf numFmtId="0" fontId="35" fillId="0" borderId="0" xfId="4495" applyFont="1" applyAlignment="1">
      <alignment vertical="top"/>
    </xf>
    <xf numFmtId="0" fontId="27" fillId="0" borderId="61" xfId="4495" applyFont="1" applyBorder="1"/>
    <xf numFmtId="0" fontId="122" fillId="0" borderId="58" xfId="4495" applyBorder="1" applyAlignment="1">
      <alignment horizontal="center"/>
    </xf>
    <xf numFmtId="1" fontId="27" fillId="0" borderId="58" xfId="4495" quotePrefix="1" applyNumberFormat="1" applyFont="1" applyBorder="1" applyAlignment="1">
      <alignment horizontal="center" vertical="top"/>
    </xf>
    <xf numFmtId="0" fontId="35" fillId="0" borderId="58" xfId="4495" applyFont="1" applyBorder="1" applyAlignment="1">
      <alignment vertical="top"/>
    </xf>
    <xf numFmtId="0" fontId="27" fillId="0" borderId="58" xfId="4495" applyFont="1" applyBorder="1" applyAlignment="1">
      <alignment vertical="top" wrapText="1"/>
    </xf>
    <xf numFmtId="0" fontId="27" fillId="0" borderId="58" xfId="4495" applyFont="1" applyBorder="1"/>
    <xf numFmtId="0" fontId="26" fillId="0" borderId="58" xfId="4495" applyFont="1" applyBorder="1" applyAlignment="1">
      <alignment horizontal="center"/>
    </xf>
    <xf numFmtId="0" fontId="122" fillId="0" borderId="61" xfId="4495" applyBorder="1"/>
    <xf numFmtId="0" fontId="122" fillId="0" borderId="0" xfId="4495" applyAlignment="1">
      <alignment horizontal="center"/>
    </xf>
    <xf numFmtId="0" fontId="19" fillId="0" borderId="53" xfId="543" applyBorder="1"/>
    <xf numFmtId="0" fontId="27" fillId="0" borderId="54" xfId="4495" applyFont="1" applyBorder="1"/>
    <xf numFmtId="0" fontId="19" fillId="0" borderId="58" xfId="543" applyBorder="1"/>
    <xf numFmtId="1" fontId="27" fillId="0" borderId="58" xfId="4495" applyNumberFormat="1" applyFont="1" applyBorder="1" applyAlignment="1">
      <alignment horizontal="center" vertical="top"/>
    </xf>
    <xf numFmtId="0" fontId="35" fillId="0" borderId="58" xfId="4495" applyFont="1" applyBorder="1" applyAlignment="1">
      <alignment vertical="center"/>
    </xf>
    <xf numFmtId="0" fontId="122" fillId="0" borderId="58" xfId="4495" applyBorder="1" applyAlignment="1">
      <alignment vertical="top" wrapText="1"/>
    </xf>
    <xf numFmtId="0" fontId="19" fillId="0" borderId="58" xfId="4495" applyFont="1" applyBorder="1"/>
    <xf numFmtId="0" fontId="35" fillId="0" borderId="0" xfId="4495" applyFont="1" applyAlignment="1">
      <alignment vertical="center"/>
    </xf>
    <xf numFmtId="0" fontId="27" fillId="0" borderId="53" xfId="4495" applyFont="1" applyBorder="1"/>
    <xf numFmtId="0" fontId="19" fillId="0" borderId="57" xfId="543" applyBorder="1"/>
    <xf numFmtId="0" fontId="27" fillId="0" borderId="58" xfId="4495" applyFont="1" applyBorder="1" applyAlignment="1">
      <alignment vertical="top"/>
    </xf>
    <xf numFmtId="0" fontId="27" fillId="0" borderId="59" xfId="4495" applyFont="1" applyBorder="1"/>
    <xf numFmtId="0" fontId="27" fillId="0" borderId="57" xfId="4495" applyFont="1" applyBorder="1"/>
    <xf numFmtId="0" fontId="19" fillId="0" borderId="51" xfId="4495" applyFont="1" applyBorder="1"/>
    <xf numFmtId="0" fontId="27" fillId="0" borderId="52" xfId="4495" applyFont="1" applyBorder="1"/>
    <xf numFmtId="0" fontId="19" fillId="0" borderId="50" xfId="543" applyBorder="1"/>
    <xf numFmtId="0" fontId="19" fillId="0" borderId="51" xfId="543" applyBorder="1"/>
    <xf numFmtId="0" fontId="19" fillId="0" borderId="52" xfId="543" applyBorder="1"/>
    <xf numFmtId="0" fontId="27" fillId="0" borderId="0" xfId="4495" applyFont="1" applyAlignment="1">
      <alignment wrapText="1"/>
    </xf>
    <xf numFmtId="0" fontId="26" fillId="0" borderId="54" xfId="4495" applyFont="1" applyBorder="1" applyAlignment="1">
      <alignment horizontal="center" vertical="top"/>
    </xf>
    <xf numFmtId="0" fontId="122" fillId="0" borderId="53" xfId="4495" applyBorder="1" applyAlignment="1">
      <alignment horizontal="center"/>
    </xf>
    <xf numFmtId="2" fontId="27" fillId="0" borderId="0" xfId="4495" applyNumberFormat="1" applyFont="1" applyAlignment="1">
      <alignment horizontal="right"/>
    </xf>
    <xf numFmtId="2" fontId="27" fillId="0" borderId="8" xfId="4495" applyNumberFormat="1" applyFont="1" applyBorder="1" applyAlignment="1">
      <alignment horizontal="left"/>
    </xf>
    <xf numFmtId="0" fontId="27" fillId="0" borderId="8" xfId="4495" applyFont="1" applyBorder="1" applyAlignment="1">
      <alignment horizontal="right"/>
    </xf>
    <xf numFmtId="0" fontId="131" fillId="0" borderId="0" xfId="4495" applyFont="1"/>
    <xf numFmtId="0" fontId="122" fillId="0" borderId="57" xfId="4495" applyBorder="1" applyAlignment="1">
      <alignment horizontal="center"/>
    </xf>
    <xf numFmtId="0" fontId="26" fillId="0" borderId="59" xfId="4495" applyFont="1" applyBorder="1" applyAlignment="1">
      <alignment horizontal="center"/>
    </xf>
    <xf numFmtId="9" fontId="27" fillId="0" borderId="0" xfId="4495" applyNumberFormat="1" applyFont="1" applyAlignment="1">
      <alignment horizontal="left"/>
    </xf>
    <xf numFmtId="0" fontId="19" fillId="0" borderId="17" xfId="543" applyBorder="1"/>
    <xf numFmtId="0" fontId="19" fillId="0" borderId="16" xfId="543" applyBorder="1"/>
    <xf numFmtId="0" fontId="19" fillId="0" borderId="51" xfId="4495" quotePrefix="1" applyFont="1" applyBorder="1" applyAlignment="1">
      <alignment horizontal="center" vertical="top"/>
    </xf>
    <xf numFmtId="0" fontId="27" fillId="0" borderId="53" xfId="4495" applyFont="1" applyBorder="1" applyAlignment="1">
      <alignment horizontal="left" vertical="top"/>
    </xf>
    <xf numFmtId="0" fontId="27" fillId="0" borderId="0" xfId="4495" applyFont="1" applyAlignment="1">
      <alignment horizontal="center" vertical="top"/>
    </xf>
    <xf numFmtId="0" fontId="27" fillId="0" borderId="57" xfId="4495" applyFont="1" applyBorder="1" applyAlignment="1">
      <alignment horizontal="left" vertical="top"/>
    </xf>
    <xf numFmtId="0" fontId="27" fillId="0" borderId="58" xfId="4495" applyFont="1" applyBorder="1" applyAlignment="1">
      <alignment horizontal="center" vertical="top"/>
    </xf>
    <xf numFmtId="0" fontId="122" fillId="0" borderId="58" xfId="4495" applyBorder="1"/>
    <xf numFmtId="0" fontId="26" fillId="0" borderId="58" xfId="4495" applyFont="1" applyBorder="1" applyAlignment="1">
      <alignment vertical="top"/>
    </xf>
    <xf numFmtId="0" fontId="26" fillId="0" borderId="58" xfId="4495" applyFont="1" applyBorder="1" applyAlignment="1">
      <alignment horizontal="left" vertical="top"/>
    </xf>
    <xf numFmtId="0" fontId="26" fillId="0" borderId="51" xfId="4495" applyFont="1" applyBorder="1" applyAlignment="1">
      <alignment horizontal="left" vertical="top"/>
    </xf>
    <xf numFmtId="0" fontId="26" fillId="0" borderId="53" xfId="4495" applyFont="1" applyBorder="1" applyAlignment="1">
      <alignment horizontal="left" vertical="top"/>
    </xf>
    <xf numFmtId="0" fontId="55" fillId="0" borderId="0" xfId="4495" applyFont="1" applyAlignment="1">
      <alignment horizontal="left" vertical="top"/>
    </xf>
    <xf numFmtId="0" fontId="27" fillId="0" borderId="0" xfId="4495" quotePrefix="1" applyFont="1" applyAlignment="1">
      <alignment horizontal="center" vertical="top"/>
    </xf>
    <xf numFmtId="0" fontId="56" fillId="0" borderId="0" xfId="4495" applyFont="1" applyAlignment="1">
      <alignment horizontal="center"/>
    </xf>
    <xf numFmtId="0" fontId="56" fillId="0" borderId="0" xfId="4495" applyFont="1" applyAlignment="1">
      <alignment vertical="top"/>
    </xf>
    <xf numFmtId="0" fontId="109" fillId="0" borderId="0" xfId="4495" applyFont="1"/>
    <xf numFmtId="0" fontId="55" fillId="0" borderId="0" xfId="4495" applyFont="1" applyAlignment="1">
      <alignment vertical="top"/>
    </xf>
    <xf numFmtId="0" fontId="35" fillId="0" borderId="53" xfId="4495" applyFont="1" applyBorder="1"/>
    <xf numFmtId="2" fontId="27" fillId="0" borderId="8" xfId="4495" applyNumberFormat="1" applyFont="1" applyBorder="1" applyAlignment="1">
      <alignment horizontal="right"/>
    </xf>
    <xf numFmtId="0" fontId="26" fillId="0" borderId="50" xfId="4495" applyFont="1" applyBorder="1" applyAlignment="1">
      <alignment horizontal="left" vertical="top"/>
    </xf>
    <xf numFmtId="0" fontId="55" fillId="0" borderId="51" xfId="4495" applyFont="1" applyBorder="1" applyAlignment="1">
      <alignment horizontal="left" vertical="top"/>
    </xf>
    <xf numFmtId="0" fontId="122" fillId="0" borderId="53" xfId="4495" applyBorder="1"/>
    <xf numFmtId="0" fontId="109" fillId="0" borderId="0" xfId="4495" applyFont="1" applyAlignment="1">
      <alignment horizontal="left" vertical="top"/>
    </xf>
    <xf numFmtId="1" fontId="26" fillId="0" borderId="58" xfId="4495" applyNumberFormat="1" applyFont="1" applyBorder="1" applyAlignment="1">
      <alignment vertical="top"/>
    </xf>
    <xf numFmtId="172" fontId="26" fillId="0" borderId="8" xfId="543" applyNumberFormat="1" applyFont="1" applyBorder="1"/>
    <xf numFmtId="172" fontId="26" fillId="0" borderId="0" xfId="543" applyNumberFormat="1" applyFont="1"/>
    <xf numFmtId="0" fontId="35" fillId="0" borderId="0" xfId="4495" applyFont="1" applyAlignment="1">
      <alignment wrapText="1"/>
    </xf>
    <xf numFmtId="0" fontId="35" fillId="0" borderId="0" xfId="4495" applyFont="1" applyAlignment="1">
      <alignment horizontal="center"/>
    </xf>
    <xf numFmtId="0" fontId="35" fillId="0" borderId="0" xfId="4495" applyFont="1" applyAlignment="1">
      <alignment vertical="center" wrapText="1"/>
    </xf>
    <xf numFmtId="180" fontId="27" fillId="0" borderId="0" xfId="4495" applyNumberFormat="1" applyFont="1" applyAlignment="1">
      <alignment horizontal="center"/>
    </xf>
    <xf numFmtId="1" fontId="27" fillId="0" borderId="0" xfId="4495" applyNumberFormat="1" applyFont="1" applyAlignment="1">
      <alignment horizontal="center"/>
    </xf>
    <xf numFmtId="0" fontId="26" fillId="0" borderId="51" xfId="4495" applyFont="1" applyBorder="1" applyAlignment="1">
      <alignment horizontal="center"/>
    </xf>
    <xf numFmtId="0" fontId="26" fillId="0" borderId="51" xfId="4495" applyFont="1" applyBorder="1" applyAlignment="1">
      <alignment vertical="top"/>
    </xf>
    <xf numFmtId="0" fontId="26" fillId="0" borderId="53" xfId="4495" applyFont="1" applyBorder="1"/>
    <xf numFmtId="0" fontId="19" fillId="0" borderId="54" xfId="543" applyBorder="1"/>
    <xf numFmtId="49" fontId="27" fillId="0" borderId="0" xfId="4495" applyNumberFormat="1" applyFont="1" applyAlignment="1">
      <alignment horizontal="left" vertical="center" wrapText="1"/>
    </xf>
    <xf numFmtId="0" fontId="19" fillId="0" borderId="57" xfId="4495" applyFont="1" applyBorder="1"/>
    <xf numFmtId="1" fontId="19" fillId="0" borderId="0" xfId="4495" applyNumberFormat="1" applyFont="1" applyAlignment="1">
      <alignment vertical="center"/>
    </xf>
    <xf numFmtId="0" fontId="37" fillId="0" borderId="50" xfId="4495" applyFont="1" applyBorder="1"/>
    <xf numFmtId="0" fontId="27" fillId="0" borderId="51" xfId="4495" applyFont="1" applyBorder="1" applyAlignment="1">
      <alignment horizontal="center" vertical="top"/>
    </xf>
    <xf numFmtId="0" fontId="27" fillId="0" borderId="51" xfId="4495" applyFont="1" applyBorder="1" applyAlignment="1">
      <alignment vertical="top" wrapText="1"/>
    </xf>
    <xf numFmtId="0" fontId="27" fillId="0" borderId="51" xfId="4495" applyFont="1" applyBorder="1" applyAlignment="1">
      <alignment horizontal="left" vertical="top" wrapText="1"/>
    </xf>
    <xf numFmtId="0" fontId="19" fillId="0" borderId="0" xfId="4495" quotePrefix="1" applyFont="1" applyAlignment="1">
      <alignment horizontal="center" vertical="top"/>
    </xf>
    <xf numFmtId="1" fontId="27" fillId="0" borderId="0" xfId="4495" quotePrefix="1" applyNumberFormat="1" applyFont="1" applyAlignment="1">
      <alignment wrapText="1"/>
    </xf>
    <xf numFmtId="0" fontId="27" fillId="0" borderId="6" xfId="4495" applyFont="1" applyBorder="1" applyAlignment="1">
      <alignment horizontal="right"/>
    </xf>
    <xf numFmtId="0" fontId="124" fillId="0" borderId="0" xfId="4496" applyFont="1" applyAlignment="1">
      <alignment wrapText="1"/>
    </xf>
    <xf numFmtId="0" fontId="19" fillId="0" borderId="0" xfId="4496" applyFont="1" applyAlignment="1">
      <alignment wrapText="1"/>
    </xf>
    <xf numFmtId="0" fontId="35" fillId="0" borderId="51" xfId="4495" applyFont="1" applyBorder="1" applyAlignment="1">
      <alignment vertical="top"/>
    </xf>
    <xf numFmtId="0" fontId="19" fillId="0" borderId="51" xfId="4496" applyFont="1" applyBorder="1" applyAlignment="1">
      <alignment wrapText="1"/>
    </xf>
    <xf numFmtId="0" fontId="26" fillId="0" borderId="51" xfId="4495" applyFont="1" applyBorder="1" applyAlignment="1">
      <alignment horizontal="right"/>
    </xf>
    <xf numFmtId="0" fontId="19" fillId="0" borderId="52" xfId="4495" applyFont="1" applyBorder="1" applyAlignment="1">
      <alignment horizontal="center"/>
    </xf>
    <xf numFmtId="0" fontId="19" fillId="0" borderId="53" xfId="4495" applyFont="1" applyBorder="1" applyAlignment="1">
      <alignment horizontal="left" vertical="top"/>
    </xf>
    <xf numFmtId="0" fontId="19" fillId="0" borderId="54" xfId="4495" applyFont="1" applyBorder="1" applyAlignment="1">
      <alignment horizontal="left" vertical="top"/>
    </xf>
    <xf numFmtId="0" fontId="19" fillId="0" borderId="54" xfId="4495" applyFont="1" applyBorder="1" applyAlignment="1">
      <alignment horizontal="center"/>
    </xf>
    <xf numFmtId="0" fontId="19" fillId="0" borderId="59" xfId="4495" applyFont="1" applyBorder="1" applyAlignment="1">
      <alignment horizontal="center"/>
    </xf>
    <xf numFmtId="9" fontId="19" fillId="0" borderId="0" xfId="4496" applyNumberFormat="1" applyFont="1" applyAlignment="1">
      <alignment horizontal="center"/>
    </xf>
    <xf numFmtId="1" fontId="19" fillId="0" borderId="0" xfId="543" applyNumberFormat="1"/>
    <xf numFmtId="0" fontId="27" fillId="0" borderId="1" xfId="4495" applyFont="1" applyBorder="1"/>
    <xf numFmtId="0" fontId="26" fillId="0" borderId="0" xfId="4495" applyFont="1" applyAlignment="1">
      <alignment horizontal="center" wrapText="1"/>
    </xf>
    <xf numFmtId="0" fontId="26" fillId="0" borderId="9" xfId="4495" applyFont="1" applyBorder="1" applyAlignment="1">
      <alignment horizontal="left"/>
    </xf>
    <xf numFmtId="0" fontId="26" fillId="0" borderId="3" xfId="4495" applyFont="1" applyBorder="1" applyAlignment="1">
      <alignment horizontal="left"/>
    </xf>
    <xf numFmtId="0" fontId="26" fillId="0" borderId="4" xfId="4495" applyFont="1" applyBorder="1" applyAlignment="1">
      <alignment horizontal="left"/>
    </xf>
    <xf numFmtId="0" fontId="19" fillId="0" borderId="2" xfId="4495" applyFont="1" applyBorder="1" applyAlignment="1">
      <alignment horizontal="left"/>
    </xf>
    <xf numFmtId="0" fontId="26" fillId="0" borderId="2" xfId="4495" applyFont="1" applyBorder="1" applyAlignment="1">
      <alignment horizontal="left"/>
    </xf>
    <xf numFmtId="0" fontId="26" fillId="0" borderId="5" xfId="4495" applyFont="1" applyBorder="1" applyAlignment="1">
      <alignment horizontal="left"/>
    </xf>
    <xf numFmtId="180" fontId="66" fillId="0" borderId="0" xfId="4495" applyNumberFormat="1" applyFont="1" applyAlignment="1">
      <alignment horizontal="center" vertical="center"/>
    </xf>
    <xf numFmtId="0" fontId="19" fillId="0" borderId="12" xfId="4495" applyFont="1" applyBorder="1" applyAlignment="1">
      <alignment vertical="top"/>
    </xf>
    <xf numFmtId="0" fontId="49" fillId="0" borderId="0" xfId="4495" applyFont="1" applyAlignment="1">
      <alignment vertical="top" wrapText="1"/>
    </xf>
    <xf numFmtId="0" fontId="19" fillId="0" borderId="51" xfId="4495" applyFont="1" applyBorder="1" applyAlignment="1">
      <alignment horizontal="left" vertical="top" wrapText="1"/>
    </xf>
    <xf numFmtId="0" fontId="19" fillId="0" borderId="51" xfId="4495" applyFont="1" applyBorder="1" applyAlignment="1">
      <alignment horizontal="right"/>
    </xf>
    <xf numFmtId="0" fontId="19" fillId="0" borderId="52" xfId="4495" applyFont="1" applyBorder="1" applyAlignment="1">
      <alignment horizontal="right"/>
    </xf>
    <xf numFmtId="0" fontId="19" fillId="0" borderId="54" xfId="4495" applyFont="1" applyBorder="1" applyAlignment="1">
      <alignment horizontal="right"/>
    </xf>
    <xf numFmtId="0" fontId="19" fillId="0" borderId="58" xfId="4495" applyFont="1" applyBorder="1" applyAlignment="1">
      <alignment horizontal="left" vertical="top" wrapText="1"/>
    </xf>
    <xf numFmtId="0" fontId="19" fillId="0" borderId="58" xfId="4495" applyFont="1" applyBorder="1" applyAlignment="1">
      <alignment horizontal="right"/>
    </xf>
    <xf numFmtId="0" fontId="19" fillId="0" borderId="59" xfId="4495" applyFont="1" applyBorder="1" applyAlignment="1">
      <alignment horizontal="right"/>
    </xf>
    <xf numFmtId="0" fontId="49" fillId="0" borderId="0" xfId="4495" applyFont="1" applyAlignment="1">
      <alignment horizontal="left" vertical="top" wrapText="1"/>
    </xf>
    <xf numFmtId="0" fontId="19" fillId="0" borderId="0" xfId="1192" applyAlignment="1">
      <alignment horizontal="left" vertical="top"/>
    </xf>
    <xf numFmtId="0" fontId="37" fillId="0" borderId="0" xfId="1192" applyFont="1" applyAlignment="1">
      <alignment horizontal="left" vertical="top"/>
    </xf>
    <xf numFmtId="0" fontId="19" fillId="0" borderId="0" xfId="1192" applyAlignment="1">
      <alignment vertical="top"/>
    </xf>
    <xf numFmtId="168" fontId="19" fillId="0" borderId="0" xfId="1192" applyNumberFormat="1"/>
    <xf numFmtId="165" fontId="19" fillId="0" borderId="0" xfId="1192" applyNumberFormat="1"/>
    <xf numFmtId="165" fontId="19" fillId="0" borderId="0" xfId="1192" applyNumberFormat="1" applyAlignment="1">
      <alignment horizontal="right"/>
    </xf>
    <xf numFmtId="2" fontId="19" fillId="0" borderId="0" xfId="1192" applyNumberFormat="1"/>
    <xf numFmtId="6" fontId="19" fillId="0" borderId="0" xfId="1192" applyNumberFormat="1"/>
    <xf numFmtId="0" fontId="26" fillId="0" borderId="0" xfId="1192" applyFont="1"/>
    <xf numFmtId="0" fontId="49" fillId="0" borderId="0" xfId="1192" applyFont="1"/>
    <xf numFmtId="168" fontId="19" fillId="0" borderId="0" xfId="4495" applyNumberFormat="1" applyFont="1"/>
    <xf numFmtId="0" fontId="26" fillId="0" borderId="0" xfId="1192" applyFont="1" applyAlignment="1">
      <alignment vertical="center"/>
    </xf>
    <xf numFmtId="0" fontId="120" fillId="0" borderId="0" xfId="1192" applyFont="1" applyAlignment="1">
      <alignment horizontal="left"/>
    </xf>
    <xf numFmtId="0" fontId="117" fillId="0" borderId="0" xfId="1192" applyFont="1" applyAlignment="1">
      <alignment horizontal="left"/>
    </xf>
    <xf numFmtId="0" fontId="117" fillId="0" borderId="0" xfId="1192" applyFont="1" applyAlignment="1">
      <alignment horizontal="center"/>
    </xf>
    <xf numFmtId="168" fontId="19" fillId="0" borderId="0" xfId="1192" applyNumberFormat="1" applyAlignment="1">
      <alignment horizontal="center"/>
    </xf>
    <xf numFmtId="9" fontId="19" fillId="0" borderId="0" xfId="1192" applyNumberFormat="1"/>
    <xf numFmtId="0" fontId="19" fillId="0" borderId="0" xfId="1192" applyAlignment="1">
      <alignment horizontal="right"/>
    </xf>
    <xf numFmtId="0" fontId="19" fillId="0" borderId="53" xfId="4495" applyFont="1" applyBorder="1" applyAlignment="1">
      <alignment horizontal="left"/>
    </xf>
    <xf numFmtId="6" fontId="26" fillId="0" borderId="0" xfId="1192" applyNumberFormat="1" applyFont="1" applyAlignment="1">
      <alignment horizontal="right"/>
    </xf>
    <xf numFmtId="165" fontId="19" fillId="0" borderId="0" xfId="4495" applyNumberFormat="1" applyFont="1"/>
    <xf numFmtId="0" fontId="56" fillId="0" borderId="4" xfId="4495" applyFont="1" applyBorder="1"/>
    <xf numFmtId="0" fontId="39" fillId="0" borderId="0" xfId="543" applyFont="1" applyAlignment="1">
      <alignment vertical="center" wrapText="1"/>
    </xf>
    <xf numFmtId="1" fontId="26" fillId="0" borderId="13" xfId="271" applyNumberFormat="1" applyFont="1" applyBorder="1"/>
    <xf numFmtId="1" fontId="28" fillId="0" borderId="13" xfId="271" applyNumberFormat="1" applyBorder="1"/>
    <xf numFmtId="0" fontId="19" fillId="0" borderId="11" xfId="0" applyFont="1" applyBorder="1"/>
    <xf numFmtId="9" fontId="19" fillId="0" borderId="0" xfId="4495" applyNumberFormat="1" applyFont="1"/>
    <xf numFmtId="165" fontId="124" fillId="0" borderId="0" xfId="4496" applyNumberFormat="1" applyFont="1" applyAlignment="1">
      <alignment horizontal="center" vertical="top" wrapText="1"/>
    </xf>
    <xf numFmtId="168" fontId="124" fillId="0" borderId="0" xfId="4496" applyNumberFormat="1" applyFont="1" applyAlignment="1">
      <alignment vertical="top" wrapText="1"/>
    </xf>
    <xf numFmtId="165" fontId="124" fillId="0" borderId="64" xfId="4496" applyNumberFormat="1" applyFont="1" applyBorder="1" applyAlignment="1">
      <alignment horizontal="center" vertical="top" wrapText="1"/>
    </xf>
    <xf numFmtId="165" fontId="124" fillId="0" borderId="53" xfId="4496" applyNumberFormat="1" applyFont="1" applyBorder="1" applyAlignment="1">
      <alignment horizontal="left" vertical="top"/>
    </xf>
    <xf numFmtId="165" fontId="124" fillId="0" borderId="53" xfId="4496" applyNumberFormat="1" applyFont="1" applyBorder="1" applyAlignment="1">
      <alignment horizontal="center" vertical="top" wrapText="1"/>
    </xf>
    <xf numFmtId="168" fontId="124" fillId="0" borderId="0" xfId="4496" applyNumberFormat="1" applyFont="1" applyAlignment="1">
      <alignment vertical="top"/>
    </xf>
    <xf numFmtId="1" fontId="124" fillId="0" borderId="0" xfId="4496" applyNumberFormat="1" applyFont="1" applyAlignment="1">
      <alignment vertical="top" wrapText="1"/>
    </xf>
    <xf numFmtId="164" fontId="27" fillId="0" borderId="0" xfId="4495" applyNumberFormat="1" applyFont="1"/>
    <xf numFmtId="0" fontId="26" fillId="0" borderId="8" xfId="0" applyFont="1" applyBorder="1" applyAlignment="1">
      <alignment horizontal="center" vertical="center" wrapText="1"/>
    </xf>
    <xf numFmtId="0" fontId="26"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3" fillId="0" borderId="50" xfId="1192" applyFont="1" applyBorder="1" applyAlignment="1">
      <alignment horizontal="left"/>
    </xf>
    <xf numFmtId="0" fontId="144" fillId="0" borderId="51" xfId="4495" applyFont="1" applyBorder="1" applyAlignment="1">
      <alignment vertical="top"/>
    </xf>
    <xf numFmtId="0" fontId="143" fillId="0" borderId="51" xfId="4495" applyFont="1" applyBorder="1" applyAlignment="1">
      <alignment vertical="top" wrapText="1"/>
    </xf>
    <xf numFmtId="0" fontId="144" fillId="0" borderId="51" xfId="4495" applyFont="1" applyBorder="1"/>
    <xf numFmtId="0" fontId="144" fillId="0" borderId="53" xfId="1192" applyFont="1" applyBorder="1" applyAlignment="1">
      <alignment horizontal="left"/>
    </xf>
    <xf numFmtId="0" fontId="144" fillId="0" borderId="0" xfId="4495" applyFont="1" applyAlignment="1">
      <alignment vertical="top"/>
    </xf>
    <xf numFmtId="0" fontId="143" fillId="0" borderId="0" xfId="4495" applyFont="1" applyAlignment="1">
      <alignment vertical="top" wrapText="1"/>
    </xf>
    <xf numFmtId="0" fontId="144" fillId="0" borderId="0" xfId="4495" applyFont="1"/>
    <xf numFmtId="0" fontId="143" fillId="0" borderId="53" xfId="1192" applyFont="1" applyBorder="1" applyAlignment="1">
      <alignment horizontal="left"/>
    </xf>
    <xf numFmtId="0" fontId="143" fillId="0" borderId="57" xfId="1192" applyFont="1" applyBorder="1" applyAlignment="1">
      <alignment horizontal="left"/>
    </xf>
    <xf numFmtId="0" fontId="144" fillId="0" borderId="58" xfId="4495" applyFont="1" applyBorder="1" applyAlignment="1">
      <alignment vertical="top"/>
    </xf>
    <xf numFmtId="0" fontId="143" fillId="0" borderId="58" xfId="4495" applyFont="1" applyBorder="1" applyAlignment="1">
      <alignment vertical="top" wrapText="1"/>
    </xf>
    <xf numFmtId="0" fontId="144" fillId="0" borderId="58" xfId="4495" applyFont="1" applyBorder="1"/>
    <xf numFmtId="0" fontId="28" fillId="0" borderId="3" xfId="0" applyFont="1" applyBorder="1" applyAlignment="1">
      <alignment horizontal="center"/>
    </xf>
    <xf numFmtId="0" fontId="28" fillId="0" borderId="4" xfId="0" applyFont="1" applyBorder="1" applyAlignment="1">
      <alignment horizontal="center"/>
    </xf>
    <xf numFmtId="0" fontId="28" fillId="0" borderId="5" xfId="0" applyFont="1" applyBorder="1" applyAlignment="1">
      <alignment horizontal="center"/>
    </xf>
    <xf numFmtId="0" fontId="26" fillId="0" borderId="7" xfId="0" applyFont="1" applyBorder="1" applyAlignment="1">
      <alignment horizontal="right"/>
    </xf>
    <xf numFmtId="0" fontId="0" fillId="0" borderId="0" xfId="0" applyAlignment="1" applyProtection="1">
      <alignment horizontal="left" vertical="top" wrapText="1"/>
      <protection locked="0"/>
    </xf>
    <xf numFmtId="0" fontId="19" fillId="0" borderId="9" xfId="0" applyFont="1" applyBorder="1" applyAlignment="1">
      <alignment horizontal="left"/>
    </xf>
    <xf numFmtId="0" fontId="19" fillId="0" borderId="6" xfId="0" applyFont="1" applyBorder="1"/>
    <xf numFmtId="0" fontId="19" fillId="0" borderId="9" xfId="0" applyFont="1" applyBorder="1"/>
    <xf numFmtId="0" fontId="52" fillId="0" borderId="0" xfId="0" applyFont="1" applyAlignment="1">
      <alignment horizontal="center"/>
    </xf>
    <xf numFmtId="0" fontId="25" fillId="0" borderId="0" xfId="0" applyFont="1" applyAlignment="1">
      <alignment horizontal="center" vertical="center" wrapText="1"/>
    </xf>
    <xf numFmtId="0" fontId="34" fillId="0" borderId="0" xfId="0" applyFont="1" applyAlignment="1">
      <alignment horizontal="center"/>
    </xf>
    <xf numFmtId="0" fontId="27" fillId="0" borderId="0" xfId="0" applyFont="1" applyAlignment="1">
      <alignment horizontal="center"/>
    </xf>
    <xf numFmtId="0" fontId="26" fillId="0" borderId="3" xfId="0" applyFont="1" applyBorder="1"/>
    <xf numFmtId="0" fontId="26" fillId="0" borderId="4" xfId="271" applyFont="1" applyBorder="1"/>
    <xf numFmtId="0" fontId="26" fillId="0" borderId="3" xfId="271" applyFont="1" applyBorder="1"/>
    <xf numFmtId="0" fontId="26" fillId="0" borderId="5" xfId="271" applyFont="1" applyBorder="1"/>
    <xf numFmtId="0" fontId="19" fillId="0" borderId="58" xfId="4495" applyFont="1" applyBorder="1" applyAlignment="1">
      <alignment vertical="center" wrapText="1"/>
    </xf>
    <xf numFmtId="0" fontId="19" fillId="0" borderId="59" xfId="4495" applyFont="1" applyBorder="1" applyAlignment="1">
      <alignment vertical="center" wrapText="1"/>
    </xf>
    <xf numFmtId="0" fontId="19" fillId="0" borderId="0" xfId="4495" applyFont="1" applyAlignment="1">
      <alignment horizontal="left" vertical="center" wrapText="1"/>
    </xf>
    <xf numFmtId="0" fontId="26" fillId="0" borderId="5" xfId="0" applyFont="1" applyBorder="1"/>
    <xf numFmtId="168" fontId="24" fillId="43" borderId="0" xfId="0" applyNumberFormat="1" applyFont="1" applyFill="1"/>
    <xf numFmtId="9" fontId="27" fillId="0" borderId="0" xfId="543" applyNumberFormat="1" applyFont="1" applyAlignment="1">
      <alignment horizontal="center"/>
    </xf>
    <xf numFmtId="171" fontId="19" fillId="0" borderId="0" xfId="543" applyNumberFormat="1"/>
    <xf numFmtId="171" fontId="19" fillId="0" borderId="11" xfId="543" applyNumberFormat="1" applyBorder="1"/>
    <xf numFmtId="1" fontId="19" fillId="0" borderId="11" xfId="543" applyNumberFormat="1" applyBorder="1" applyAlignment="1">
      <alignment horizontal="center"/>
    </xf>
    <xf numFmtId="0" fontId="45" fillId="0" borderId="8" xfId="543" applyFont="1" applyBorder="1" applyAlignment="1">
      <alignment vertical="center" wrapText="1"/>
    </xf>
    <xf numFmtId="0" fontId="45" fillId="0" borderId="0" xfId="543" applyFont="1" applyAlignment="1">
      <alignment vertical="center" wrapText="1"/>
    </xf>
    <xf numFmtId="0" fontId="45" fillId="0" borderId="12" xfId="543" applyFont="1" applyBorder="1" applyAlignment="1">
      <alignment vertical="center" wrapText="1"/>
    </xf>
    <xf numFmtId="0" fontId="45" fillId="0" borderId="9" xfId="543" applyFont="1" applyBorder="1" applyAlignment="1">
      <alignment vertical="center" wrapText="1"/>
    </xf>
    <xf numFmtId="0" fontId="45" fillId="0" borderId="6" xfId="543" applyFont="1" applyBorder="1" applyAlignment="1">
      <alignment vertical="center" wrapText="1"/>
    </xf>
    <xf numFmtId="0" fontId="45" fillId="0" borderId="10" xfId="543" applyFont="1" applyBorder="1" applyAlignment="1">
      <alignment vertical="center" wrapText="1"/>
    </xf>
    <xf numFmtId="0" fontId="46" fillId="0" borderId="8" xfId="543" applyFont="1" applyBorder="1" applyAlignment="1">
      <alignment vertical="center" wrapText="1"/>
    </xf>
    <xf numFmtId="0" fontId="46" fillId="0" borderId="0" xfId="543" applyFont="1" applyAlignment="1">
      <alignment vertical="center" wrapText="1"/>
    </xf>
    <xf numFmtId="0" fontId="46" fillId="0" borderId="12" xfId="543" applyFont="1" applyBorder="1" applyAlignment="1">
      <alignment vertical="center" wrapText="1"/>
    </xf>
    <xf numFmtId="0" fontId="46" fillId="0" borderId="9" xfId="543" applyFont="1" applyBorder="1" applyAlignment="1">
      <alignment vertical="center" wrapText="1"/>
    </xf>
    <xf numFmtId="0" fontId="46" fillId="0" borderId="6" xfId="543" applyFont="1" applyBorder="1" applyAlignment="1">
      <alignment vertical="center" wrapText="1"/>
    </xf>
    <xf numFmtId="0" fontId="46" fillId="0" borderId="10" xfId="543" applyFont="1" applyBorder="1" applyAlignment="1">
      <alignment vertical="center" wrapText="1"/>
    </xf>
    <xf numFmtId="0" fontId="39" fillId="0" borderId="12" xfId="543" applyFont="1" applyBorder="1" applyAlignment="1">
      <alignment horizontal="center" vertical="top"/>
    </xf>
    <xf numFmtId="0" fontId="40" fillId="0" borderId="7" xfId="543" applyFont="1" applyBorder="1"/>
    <xf numFmtId="0" fontId="19" fillId="0" borderId="12" xfId="543" quotePrefix="1" applyBorder="1"/>
    <xf numFmtId="0" fontId="55" fillId="0" borderId="2" xfId="569" applyFont="1" applyBorder="1" applyAlignment="1">
      <alignment vertical="top"/>
    </xf>
    <xf numFmtId="0" fontId="29" fillId="0" borderId="0" xfId="4495" applyFont="1"/>
    <xf numFmtId="0" fontId="19" fillId="0" borderId="0" xfId="4495" applyFont="1" applyAlignment="1">
      <alignment vertical="top" wrapText="1" shrinkToFit="1"/>
    </xf>
    <xf numFmtId="0" fontId="148" fillId="0" borderId="0" xfId="4495" applyFont="1"/>
    <xf numFmtId="164" fontId="19" fillId="0" borderId="0" xfId="1192" applyNumberFormat="1" applyAlignment="1">
      <alignment horizontal="right"/>
    </xf>
    <xf numFmtId="164" fontId="19" fillId="0" borderId="0" xfId="4495" applyNumberFormat="1" applyFont="1" applyAlignment="1">
      <alignment horizontal="right"/>
    </xf>
    <xf numFmtId="0" fontId="19" fillId="0" borderId="0" xfId="4495" applyFont="1" applyAlignment="1">
      <alignment horizontal="left" vertical="top" wrapText="1" shrinkToFit="1"/>
    </xf>
    <xf numFmtId="0" fontId="19" fillId="0" borderId="6" xfId="4495" applyFont="1" applyBorder="1" applyAlignment="1">
      <alignment vertical="top" wrapText="1"/>
    </xf>
    <xf numFmtId="0" fontId="148" fillId="0" borderId="4" xfId="4495" applyFont="1" applyBorder="1"/>
    <xf numFmtId="0" fontId="19" fillId="0" borderId="4" xfId="4495" applyFont="1" applyBorder="1" applyAlignment="1">
      <alignment horizontal="left" vertical="top" wrapText="1" shrinkToFit="1"/>
    </xf>
    <xf numFmtId="0" fontId="29" fillId="0" borderId="0" xfId="4495" applyFont="1" applyAlignment="1">
      <alignment horizontal="left" vertical="top"/>
    </xf>
    <xf numFmtId="0" fontId="19" fillId="0" borderId="0" xfId="4495" applyFont="1" applyAlignment="1">
      <alignment vertical="center" wrapText="1" shrinkToFit="1"/>
    </xf>
    <xf numFmtId="0" fontId="19" fillId="0" borderId="0" xfId="4495" applyFont="1" applyAlignment="1">
      <alignment horizontal="left" vertical="top" shrinkToFit="1"/>
    </xf>
    <xf numFmtId="0" fontId="19" fillId="0" borderId="0" xfId="4495" applyFont="1" applyAlignment="1">
      <alignment horizontal="left" vertical="center" shrinkToFit="1"/>
    </xf>
    <xf numFmtId="0" fontId="29" fillId="0" borderId="4" xfId="4495" applyFont="1" applyBorder="1"/>
    <xf numFmtId="0" fontId="19" fillId="0" borderId="4" xfId="4495" applyFont="1" applyBorder="1" applyAlignment="1">
      <alignment horizontal="left" vertical="top" shrinkToFit="1"/>
    </xf>
    <xf numFmtId="0" fontId="19" fillId="0" borderId="0" xfId="4495" applyFont="1" applyAlignment="1">
      <alignment vertical="center"/>
    </xf>
    <xf numFmtId="0" fontId="25" fillId="0" borderId="0" xfId="4495" applyFont="1"/>
    <xf numFmtId="0" fontId="29" fillId="0" borderId="0" xfId="4495" applyFont="1" applyAlignment="1">
      <alignment horizontal="center"/>
    </xf>
    <xf numFmtId="0" fontId="19" fillId="0" borderId="4" xfId="4495" applyFont="1" applyBorder="1" applyAlignment="1">
      <alignment horizontal="left" vertical="top" wrapText="1"/>
    </xf>
    <xf numFmtId="44" fontId="19" fillId="0" borderId="0" xfId="707" applyFont="1" applyFill="1" applyBorder="1" applyAlignment="1" applyProtection="1">
      <alignment horizontal="left" vertical="top" wrapText="1"/>
    </xf>
    <xf numFmtId="44" fontId="19" fillId="0" borderId="4" xfId="707" applyFont="1" applyFill="1" applyBorder="1" applyAlignment="1" applyProtection="1">
      <alignment horizontal="left" vertical="top" wrapText="1"/>
    </xf>
    <xf numFmtId="164" fontId="37" fillId="0" borderId="0" xfId="4495" applyNumberFormat="1" applyFont="1" applyAlignment="1">
      <alignment horizontal="left"/>
    </xf>
    <xf numFmtId="0" fontId="29" fillId="0" borderId="0" xfId="4495" applyFont="1" applyAlignment="1">
      <alignment horizontal="left"/>
    </xf>
    <xf numFmtId="0" fontId="19" fillId="0" borderId="4" xfId="4495" applyFont="1" applyBorder="1" applyAlignment="1">
      <alignment vertical="top" wrapText="1"/>
    </xf>
    <xf numFmtId="0" fontId="29" fillId="0" borderId="4" xfId="4495" applyFont="1" applyBorder="1" applyAlignment="1">
      <alignment horizontal="left" vertical="top"/>
    </xf>
    <xf numFmtId="0" fontId="19" fillId="0" borderId="0" xfId="4495" applyFont="1" applyAlignment="1">
      <alignment horizontal="left" vertical="center" wrapText="1" shrinkToFit="1"/>
    </xf>
    <xf numFmtId="0" fontId="19" fillId="0" borderId="6" xfId="4495" applyFont="1" applyBorder="1" applyAlignment="1">
      <alignment horizontal="left" vertical="top" wrapText="1"/>
    </xf>
    <xf numFmtId="2" fontId="120" fillId="0" borderId="0" xfId="0" applyNumberFormat="1" applyFont="1" applyAlignment="1">
      <alignment horizontal="center"/>
    </xf>
    <xf numFmtId="9" fontId="19" fillId="0" borderId="0" xfId="4494" applyFont="1" applyAlignment="1">
      <alignment horizontal="center"/>
    </xf>
    <xf numFmtId="3" fontId="19" fillId="0" borderId="0" xfId="0" applyNumberFormat="1" applyFont="1"/>
    <xf numFmtId="10" fontId="19" fillId="0" borderId="0" xfId="0" applyNumberFormat="1" applyFont="1" applyAlignment="1">
      <alignment horizontal="center"/>
    </xf>
    <xf numFmtId="168" fontId="19" fillId="0" borderId="0" xfId="0" applyNumberFormat="1" applyFont="1"/>
    <xf numFmtId="172" fontId="19" fillId="0" borderId="11" xfId="0" applyNumberFormat="1" applyFont="1" applyBorder="1" applyAlignment="1">
      <alignment horizontal="center"/>
    </xf>
    <xf numFmtId="168" fontId="19" fillId="5" borderId="0" xfId="0" applyNumberFormat="1" applyFont="1" applyFill="1"/>
    <xf numFmtId="3" fontId="19" fillId="5" borderId="0" xfId="0" applyNumberFormat="1" applyFont="1" applyFill="1"/>
    <xf numFmtId="0" fontId="19" fillId="5" borderId="0" xfId="0" applyFont="1" applyFill="1"/>
    <xf numFmtId="3" fontId="19" fillId="5" borderId="6" xfId="0" applyNumberFormat="1" applyFont="1" applyFill="1" applyBorder="1"/>
    <xf numFmtId="3" fontId="19" fillId="0" borderId="6" xfId="0" applyNumberFormat="1" applyFont="1" applyBorder="1"/>
    <xf numFmtId="168" fontId="19" fillId="0" borderId="0" xfId="0" applyNumberFormat="1" applyFont="1" applyAlignment="1">
      <alignment horizontal="center"/>
    </xf>
    <xf numFmtId="3" fontId="19" fillId="0" borderId="0" xfId="0" applyNumberFormat="1" applyFont="1" applyAlignment="1">
      <alignment horizontal="center"/>
    </xf>
    <xf numFmtId="0" fontId="19" fillId="0" borderId="50" xfId="4495" applyFont="1" applyBorder="1" applyAlignment="1">
      <alignment vertical="center"/>
    </xf>
    <xf numFmtId="0" fontId="19" fillId="0" borderId="51" xfId="4495" applyFont="1" applyBorder="1" applyAlignment="1">
      <alignment vertical="center"/>
    </xf>
    <xf numFmtId="0" fontId="19" fillId="0" borderId="52" xfId="4495" applyFont="1" applyBorder="1" applyAlignment="1">
      <alignment vertical="center"/>
    </xf>
    <xf numFmtId="0" fontId="19" fillId="0" borderId="54" xfId="4495" applyFont="1" applyBorder="1" applyAlignment="1">
      <alignment vertical="center" wrapText="1"/>
    </xf>
    <xf numFmtId="0" fontId="19" fillId="0" borderId="53" xfId="4495" applyFont="1" applyBorder="1" applyAlignment="1">
      <alignment vertical="top" wrapText="1"/>
    </xf>
    <xf numFmtId="0" fontId="19" fillId="0" borderId="58" xfId="0" applyFont="1" applyBorder="1" applyAlignment="1">
      <alignment horizontal="left"/>
    </xf>
    <xf numFmtId="9" fontId="19" fillId="0" borderId="0" xfId="543" applyNumberFormat="1" applyAlignment="1">
      <alignment horizontal="center"/>
    </xf>
    <xf numFmtId="0" fontId="51" fillId="0" borderId="0" xfId="4496" applyFont="1"/>
    <xf numFmtId="168" fontId="55" fillId="5" borderId="11" xfId="0" applyNumberFormat="1" applyFont="1" applyFill="1" applyBorder="1" applyAlignment="1" applyProtection="1">
      <alignment vertical="top" wrapText="1"/>
      <protection locked="0"/>
    </xf>
    <xf numFmtId="0" fontId="19" fillId="0" borderId="0" xfId="0" applyFont="1" applyAlignment="1">
      <alignment horizontal="left" wrapText="1"/>
    </xf>
    <xf numFmtId="4" fontId="37" fillId="0" borderId="0" xfId="0" applyNumberFormat="1" applyFont="1" applyAlignment="1">
      <alignment horizontal="left"/>
    </xf>
    <xf numFmtId="4" fontId="19" fillId="0" borderId="0" xfId="0" applyNumberFormat="1" applyFont="1" applyAlignment="1">
      <alignment horizontal="left" vertical="top" wrapText="1"/>
    </xf>
    <xf numFmtId="0" fontId="26" fillId="0" borderId="4" xfId="0" applyFont="1" applyBorder="1" applyAlignment="1">
      <alignment horizontal="left"/>
    </xf>
    <xf numFmtId="4" fontId="19" fillId="0" borderId="0" xfId="0" applyNumberFormat="1" applyFont="1" applyAlignment="1">
      <alignment horizontal="left"/>
    </xf>
    <xf numFmtId="43" fontId="53" fillId="0" borderId="0" xfId="4503" applyFont="1" applyAlignment="1" applyProtection="1">
      <alignment horizontal="center"/>
    </xf>
    <xf numFmtId="43" fontId="19" fillId="0" borderId="0" xfId="4503" applyFont="1" applyAlignment="1" applyProtection="1">
      <alignment horizontal="center"/>
    </xf>
    <xf numFmtId="43" fontId="19" fillId="0" borderId="0" xfId="4503" applyFont="1" applyProtection="1"/>
    <xf numFmtId="49" fontId="19" fillId="0" borderId="0" xfId="0" applyNumberFormat="1" applyFont="1"/>
    <xf numFmtId="49" fontId="19" fillId="0" borderId="0" xfId="0" applyNumberFormat="1" applyFont="1" applyAlignment="1">
      <alignment horizontal="center"/>
    </xf>
    <xf numFmtId="4" fontId="19" fillId="0" borderId="0" xfId="0" applyNumberFormat="1" applyFont="1" applyAlignment="1">
      <alignment vertical="top" wrapText="1"/>
    </xf>
    <xf numFmtId="0" fontId="19" fillId="0" borderId="0" xfId="0" quotePrefix="1" applyFont="1"/>
    <xf numFmtId="0" fontId="49" fillId="0" borderId="0" xfId="0" applyFont="1" applyAlignment="1">
      <alignment horizontal="left"/>
    </xf>
    <xf numFmtId="0" fontId="19" fillId="0" borderId="4" xfId="0" applyFont="1" applyBorder="1" applyAlignment="1">
      <alignment horizontal="left"/>
    </xf>
    <xf numFmtId="0" fontId="19" fillId="0" borderId="0" xfId="0" quotePrefix="1" applyFont="1" applyAlignment="1">
      <alignment horizontal="left"/>
    </xf>
    <xf numFmtId="0" fontId="19" fillId="0" borderId="0" xfId="0" quotePrefix="1" applyFont="1" applyAlignment="1">
      <alignment horizontal="left" vertical="top"/>
    </xf>
    <xf numFmtId="0" fontId="49" fillId="0" borderId="0" xfId="1192" applyFont="1" applyAlignment="1">
      <alignment horizontal="left"/>
    </xf>
    <xf numFmtId="0" fontId="53" fillId="0" borderId="0" xfId="0" applyFont="1" applyAlignment="1">
      <alignment horizontal="center" vertical="center"/>
    </xf>
    <xf numFmtId="49" fontId="26" fillId="0" borderId="0" xfId="0" applyNumberFormat="1" applyFont="1" applyAlignment="1">
      <alignment horizontal="center" vertical="center"/>
    </xf>
    <xf numFmtId="49" fontId="19" fillId="0" borderId="0" xfId="0" applyNumberFormat="1" applyFont="1" applyAlignment="1">
      <alignment vertical="center"/>
    </xf>
    <xf numFmtId="4" fontId="19" fillId="0" borderId="0" xfId="0" applyNumberFormat="1" applyFont="1" applyAlignment="1">
      <alignment horizontal="center"/>
    </xf>
    <xf numFmtId="4" fontId="19" fillId="0" borderId="0" xfId="0" applyNumberFormat="1" applyFont="1"/>
    <xf numFmtId="10" fontId="19" fillId="0" borderId="0" xfId="4495" applyNumberFormat="1" applyFont="1"/>
    <xf numFmtId="10" fontId="124" fillId="0" borderId="0" xfId="4496" applyNumberFormat="1" applyFont="1" applyAlignment="1">
      <alignment horizontal="center" vertical="top" wrapText="1"/>
    </xf>
    <xf numFmtId="10" fontId="124" fillId="0" borderId="64" xfId="4496" applyNumberFormat="1" applyFont="1" applyBorder="1" applyAlignment="1">
      <alignment horizontal="center" vertical="top" wrapText="1"/>
    </xf>
    <xf numFmtId="10" fontId="124"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9" fillId="0" borderId="0" xfId="1192" quotePrefix="1" applyNumberFormat="1" applyAlignment="1">
      <alignment horizontal="center"/>
    </xf>
    <xf numFmtId="0" fontId="124" fillId="0" borderId="0" xfId="4495" applyFont="1"/>
    <xf numFmtId="10" fontId="124" fillId="0" borderId="0" xfId="4495" applyNumberFormat="1" applyFont="1"/>
    <xf numFmtId="172" fontId="19" fillId="0" borderId="0" xfId="4495" applyNumberFormat="1" applyFont="1"/>
    <xf numFmtId="0" fontId="42" fillId="0" borderId="0" xfId="0" applyFont="1" applyAlignment="1">
      <alignment horizontal="center"/>
    </xf>
    <xf numFmtId="0" fontId="38" fillId="0" borderId="0" xfId="0" applyFont="1" applyAlignment="1">
      <alignment horizontal="left"/>
    </xf>
    <xf numFmtId="0" fontId="0" fillId="0" borderId="10" xfId="0" applyBorder="1" applyAlignment="1">
      <alignment horizontal="left"/>
    </xf>
    <xf numFmtId="1" fontId="19" fillId="0" borderId="0" xfId="1192" applyNumberFormat="1" applyAlignment="1">
      <alignment horizontal="center"/>
    </xf>
    <xf numFmtId="0" fontId="122" fillId="0" borderId="63" xfId="4495" applyBorder="1"/>
    <xf numFmtId="0" fontId="55" fillId="0" borderId="0" xfId="271" applyFont="1" applyAlignment="1">
      <alignment vertical="top"/>
    </xf>
    <xf numFmtId="0" fontId="26" fillId="0" borderId="11" xfId="0" applyFont="1" applyBorder="1" applyAlignment="1">
      <alignment horizontal="right" vertical="top" wrapText="1"/>
    </xf>
    <xf numFmtId="0" fontId="28" fillId="0" borderId="11" xfId="271" applyBorder="1" applyAlignment="1" applyProtection="1">
      <alignment horizontal="right" vertical="top" wrapText="1"/>
      <protection locked="0"/>
    </xf>
    <xf numFmtId="0" fontId="19" fillId="0" borderId="54" xfId="4495" applyFont="1" applyBorder="1" applyAlignment="1">
      <alignment vertical="top"/>
    </xf>
    <xf numFmtId="9" fontId="28" fillId="0" borderId="0" xfId="0" applyNumberFormat="1" applyFont="1"/>
    <xf numFmtId="0" fontId="19" fillId="0" borderId="16" xfId="569" applyBorder="1" applyAlignment="1">
      <alignment horizontal="center"/>
    </xf>
    <xf numFmtId="164" fontId="19" fillId="0" borderId="57" xfId="4495" applyNumberFormat="1" applyFont="1" applyBorder="1" applyAlignment="1">
      <alignment vertical="top" wrapText="1"/>
    </xf>
    <xf numFmtId="164" fontId="19" fillId="0" borderId="58" xfId="4495" applyNumberFormat="1" applyFont="1" applyBorder="1" applyAlignment="1">
      <alignment vertical="top" wrapText="1"/>
    </xf>
    <xf numFmtId="164" fontId="19" fillId="0" borderId="59" xfId="4495" applyNumberFormat="1" applyFont="1" applyBorder="1" applyAlignment="1">
      <alignment vertical="top" wrapText="1"/>
    </xf>
    <xf numFmtId="0" fontId="26" fillId="0" borderId="0" xfId="1192" applyFont="1" applyAlignment="1">
      <alignment horizontal="left" vertical="top" wrapText="1"/>
    </xf>
    <xf numFmtId="0" fontId="19" fillId="0" borderId="16" xfId="569" applyBorder="1"/>
    <xf numFmtId="0" fontId="19" fillId="0" borderId="4" xfId="569" applyBorder="1"/>
    <xf numFmtId="0" fontId="26" fillId="0" borderId="4" xfId="569" applyFont="1" applyBorder="1"/>
    <xf numFmtId="49" fontId="19" fillId="0" borderId="4" xfId="569" applyNumberFormat="1" applyBorder="1"/>
    <xf numFmtId="0" fontId="151" fillId="0" borderId="0" xfId="0" applyFont="1"/>
    <xf numFmtId="0" fontId="19" fillId="0" borderId="0" xfId="0" applyFont="1" applyAlignment="1">
      <alignment horizontal="right"/>
    </xf>
    <xf numFmtId="1" fontId="19" fillId="0" borderId="0" xfId="0" applyNumberFormat="1" applyFont="1" applyAlignment="1">
      <alignment horizontal="center"/>
    </xf>
    <xf numFmtId="0" fontId="26" fillId="0" borderId="0" xfId="0" applyFont="1" applyAlignment="1">
      <alignment horizontal="left" vertical="center"/>
    </xf>
    <xf numFmtId="0" fontId="19" fillId="0" borderId="0" xfId="0" applyFont="1" applyAlignment="1">
      <alignment horizontal="left" vertical="center"/>
    </xf>
    <xf numFmtId="0" fontId="26" fillId="0" borderId="0" xfId="569" applyFont="1" applyAlignment="1">
      <alignment vertical="top"/>
    </xf>
    <xf numFmtId="0" fontId="20" fillId="0" borderId="0" xfId="244" applyAlignment="1"/>
    <xf numFmtId="0" fontId="26" fillId="0" borderId="0" xfId="0" applyFont="1" applyAlignment="1">
      <alignment vertical="top" wrapText="1"/>
    </xf>
    <xf numFmtId="49" fontId="26" fillId="0" borderId="0" xfId="0" applyNumberFormat="1" applyFont="1"/>
    <xf numFmtId="49" fontId="26" fillId="0" borderId="0" xfId="0" applyNumberFormat="1" applyFont="1" applyAlignment="1">
      <alignment vertical="top"/>
    </xf>
    <xf numFmtId="0" fontId="42" fillId="0" borderId="11" xfId="0" applyFont="1" applyBorder="1"/>
    <xf numFmtId="175" fontId="19" fillId="0" borderId="0" xfId="543" applyNumberFormat="1" applyAlignment="1">
      <alignment vertical="center"/>
    </xf>
    <xf numFmtId="0" fontId="100" fillId="43" borderId="6" xfId="4496" applyFont="1" applyFill="1" applyBorder="1" applyAlignment="1" applyProtection="1">
      <alignment horizontal="center"/>
      <protection locked="0"/>
    </xf>
    <xf numFmtId="0" fontId="100" fillId="0" borderId="0" xfId="4496" applyFont="1"/>
    <xf numFmtId="0" fontId="100" fillId="0" borderId="0" xfId="4496" applyFont="1" applyAlignment="1">
      <alignment wrapText="1"/>
    </xf>
    <xf numFmtId="0" fontId="139" fillId="0" borderId="0" xfId="4496" applyFont="1"/>
    <xf numFmtId="181" fontId="140" fillId="0" borderId="0" xfId="4498" applyNumberFormat="1" applyFont="1" applyBorder="1" applyProtection="1"/>
    <xf numFmtId="0" fontId="141" fillId="0" borderId="0" xfId="4496" applyFont="1" applyAlignment="1">
      <alignment vertical="center" wrapText="1"/>
    </xf>
    <xf numFmtId="49" fontId="100" fillId="0" borderId="0" xfId="4496" applyNumberFormat="1" applyFont="1" applyAlignment="1">
      <alignment horizontal="center"/>
    </xf>
    <xf numFmtId="182" fontId="100" fillId="0" borderId="6" xfId="4496" applyNumberFormat="1" applyFont="1" applyBorder="1"/>
    <xf numFmtId="0" fontId="100" fillId="0" borderId="0" xfId="4496" applyFont="1" applyAlignment="1">
      <alignment vertical="center"/>
    </xf>
    <xf numFmtId="182" fontId="100" fillId="0" borderId="0" xfId="4496" applyNumberFormat="1" applyFont="1" applyAlignment="1">
      <alignment vertical="center"/>
    </xf>
    <xf numFmtId="175" fontId="100" fillId="0" borderId="0" xfId="4499" applyNumberFormat="1" applyFont="1" applyFill="1" applyBorder="1" applyAlignment="1" applyProtection="1">
      <alignment horizontal="left" vertical="center"/>
    </xf>
    <xf numFmtId="9" fontId="100" fillId="0" borderId="0" xfId="4499" applyFont="1" applyFill="1" applyBorder="1" applyAlignment="1" applyProtection="1">
      <alignment vertical="center"/>
    </xf>
    <xf numFmtId="183" fontId="100" fillId="0" borderId="0" xfId="4496" applyNumberFormat="1" applyFont="1" applyAlignment="1">
      <alignment vertical="center" wrapText="1"/>
    </xf>
    <xf numFmtId="9" fontId="100" fillId="0" borderId="0" xfId="4499" applyFont="1" applyBorder="1" applyAlignment="1" applyProtection="1">
      <alignment vertical="center"/>
    </xf>
    <xf numFmtId="164" fontId="100" fillId="0" borderId="0" xfId="4496" applyNumberFormat="1" applyFont="1" applyAlignment="1">
      <alignment vertical="center" wrapText="1"/>
    </xf>
    <xf numFmtId="0" fontId="100" fillId="0" borderId="0" xfId="4496" applyFont="1" applyAlignment="1">
      <alignment horizontal="center" vertical="center"/>
    </xf>
    <xf numFmtId="182" fontId="100" fillId="0" borderId="11" xfId="8721" applyNumberFormat="1" applyFont="1" applyBorder="1" applyProtection="1"/>
    <xf numFmtId="182" fontId="100" fillId="0" borderId="11" xfId="4496" applyNumberFormat="1" applyFont="1" applyBorder="1"/>
    <xf numFmtId="164" fontId="100" fillId="0" borderId="0" xfId="4496" applyNumberFormat="1" applyFont="1" applyAlignment="1">
      <alignment wrapText="1"/>
    </xf>
    <xf numFmtId="49" fontId="100" fillId="0" borderId="0" xfId="4496" applyNumberFormat="1" applyFont="1" applyAlignment="1">
      <alignment horizontal="left"/>
    </xf>
    <xf numFmtId="0" fontId="142" fillId="0" borderId="0" xfId="4496" applyFont="1"/>
    <xf numFmtId="9" fontId="100" fillId="0" borderId="11" xfId="4494" applyFont="1" applyFill="1" applyBorder="1" applyAlignment="1" applyProtection="1">
      <alignment horizontal="right"/>
    </xf>
    <xf numFmtId="1" fontId="100" fillId="0" borderId="0" xfId="4496" applyNumberFormat="1" applyFont="1"/>
    <xf numFmtId="0" fontId="139" fillId="45" borderId="3" xfId="4496" applyFont="1" applyFill="1" applyBorder="1" applyAlignment="1">
      <alignment horizontal="left" indent="1"/>
    </xf>
    <xf numFmtId="0" fontId="100" fillId="45" borderId="4" xfId="4496" applyFont="1" applyFill="1" applyBorder="1"/>
    <xf numFmtId="2" fontId="100" fillId="45" borderId="5" xfId="4496" applyNumberFormat="1" applyFont="1" applyFill="1" applyBorder="1"/>
    <xf numFmtId="181" fontId="100" fillId="0" borderId="0" xfId="4496" applyNumberFormat="1" applyFont="1"/>
    <xf numFmtId="165" fontId="140" fillId="0" borderId="0" xfId="4499" applyNumberFormat="1" applyFont="1" applyFill="1" applyBorder="1" applyProtection="1"/>
    <xf numFmtId="9" fontId="100" fillId="0" borderId="0" xfId="4494" applyFont="1" applyFill="1" applyProtection="1"/>
    <xf numFmtId="0" fontId="100" fillId="0" borderId="11" xfId="4496" applyFont="1" applyBorder="1" applyAlignment="1">
      <alignment horizontal="center"/>
    </xf>
    <xf numFmtId="2" fontId="100" fillId="0" borderId="11" xfId="4496" applyNumberFormat="1" applyFont="1" applyBorder="1" applyAlignment="1">
      <alignment horizontal="center"/>
    </xf>
    <xf numFmtId="0" fontId="100" fillId="0" borderId="0" xfId="4496" applyFont="1" applyAlignment="1">
      <alignment vertical="top" wrapText="1"/>
    </xf>
    <xf numFmtId="0" fontId="100" fillId="0" borderId="11" xfId="4496" applyFont="1" applyBorder="1" applyAlignment="1">
      <alignment horizontal="center" vertical="top" wrapText="1"/>
    </xf>
    <xf numFmtId="182" fontId="100" fillId="0" borderId="0" xfId="8721" applyNumberFormat="1" applyFont="1" applyBorder="1" applyProtection="1"/>
    <xf numFmtId="0" fontId="100" fillId="0" borderId="0" xfId="4496" applyFont="1" applyAlignment="1">
      <alignment horizontal="left" indent="1"/>
    </xf>
    <xf numFmtId="182" fontId="100" fillId="0" borderId="0" xfId="4496" applyNumberFormat="1" applyFont="1"/>
    <xf numFmtId="184" fontId="100" fillId="0" borderId="0" xfId="4496" applyNumberFormat="1" applyFont="1"/>
    <xf numFmtId="0" fontId="100" fillId="0" borderId="0" xfId="4496" applyFont="1" applyAlignment="1">
      <alignment horizontal="left"/>
    </xf>
    <xf numFmtId="0" fontId="100" fillId="0" borderId="0" xfId="4496" applyFont="1" applyAlignment="1">
      <alignment horizontal="center"/>
    </xf>
    <xf numFmtId="9" fontId="100" fillId="0" borderId="0" xfId="4494" applyFont="1" applyFill="1" applyBorder="1" applyProtection="1"/>
    <xf numFmtId="3" fontId="24" fillId="0" borderId="11" xfId="271" applyNumberFormat="1" applyFont="1" applyBorder="1" applyAlignment="1">
      <alignment horizontal="center"/>
    </xf>
    <xf numFmtId="3" fontId="24" fillId="43" borderId="11" xfId="271" applyNumberFormat="1" applyFont="1" applyFill="1" applyBorder="1" applyProtection="1">
      <protection locked="0"/>
    </xf>
    <xf numFmtId="0" fontId="100" fillId="0" borderId="0" xfId="4496" applyFont="1" applyAlignment="1">
      <alignment horizontal="right"/>
    </xf>
    <xf numFmtId="168" fontId="28" fillId="0" borderId="0" xfId="0" applyNumberFormat="1" applyFont="1"/>
    <xf numFmtId="0" fontId="100" fillId="0" borderId="15" xfId="4496" applyFont="1" applyBorder="1" applyAlignment="1">
      <alignment horizontal="center" vertical="top" wrapText="1"/>
    </xf>
    <xf numFmtId="2" fontId="100" fillId="0" borderId="15" xfId="4496" applyNumberFormat="1" applyFont="1" applyBorder="1" applyAlignment="1">
      <alignment horizontal="center"/>
    </xf>
    <xf numFmtId="0" fontId="100" fillId="0" borderId="15" xfId="4496" applyFont="1" applyBorder="1" applyAlignment="1">
      <alignment horizontal="center"/>
    </xf>
    <xf numFmtId="0" fontId="139" fillId="0" borderId="68" xfId="4496" applyFont="1" applyBorder="1" applyAlignment="1">
      <alignment horizontal="center" vertical="top" wrapText="1"/>
    </xf>
    <xf numFmtId="0" fontId="139" fillId="0" borderId="68" xfId="4496" applyFont="1" applyBorder="1" applyAlignment="1">
      <alignment horizontal="center"/>
    </xf>
    <xf numFmtId="0" fontId="153" fillId="0" borderId="0" xfId="4496" applyFont="1" applyAlignment="1">
      <alignment horizontal="right" vertical="center"/>
    </xf>
    <xf numFmtId="175" fontId="100" fillId="0" borderId="0" xfId="4499" applyNumberFormat="1" applyFont="1" applyFill="1" applyBorder="1" applyAlignment="1" applyProtection="1">
      <alignment horizontal="right" vertical="center"/>
    </xf>
    <xf numFmtId="5" fontId="100" fillId="0" borderId="6" xfId="4496" applyNumberFormat="1" applyFont="1" applyBorder="1" applyAlignment="1">
      <alignment vertical="center"/>
    </xf>
    <xf numFmtId="0" fontId="100" fillId="0" borderId="66" xfId="4496" applyFont="1" applyBorder="1" applyAlignment="1">
      <alignment vertical="center"/>
    </xf>
    <xf numFmtId="0" fontId="100" fillId="0" borderId="41" xfId="4496" applyFont="1" applyBorder="1" applyAlignment="1">
      <alignment vertical="center"/>
    </xf>
    <xf numFmtId="182" fontId="100" fillId="0" borderId="73" xfId="4496" applyNumberFormat="1" applyFont="1" applyBorder="1" applyAlignment="1">
      <alignment vertical="center"/>
    </xf>
    <xf numFmtId="175" fontId="100" fillId="0" borderId="42" xfId="4499" applyNumberFormat="1" applyFont="1" applyFill="1" applyBorder="1" applyAlignment="1" applyProtection="1">
      <alignment horizontal="left" vertical="center"/>
    </xf>
    <xf numFmtId="0" fontId="100" fillId="0" borderId="42" xfId="4496" applyFont="1" applyBorder="1" applyAlignment="1">
      <alignment vertical="center"/>
    </xf>
    <xf numFmtId="0" fontId="100" fillId="0" borderId="44" xfId="4496" applyFont="1" applyBorder="1" applyAlignment="1">
      <alignment vertical="center"/>
    </xf>
    <xf numFmtId="49" fontId="100" fillId="0" borderId="0" xfId="4496" applyNumberFormat="1" applyFont="1" applyAlignment="1">
      <alignment horizontal="center" vertical="center"/>
    </xf>
    <xf numFmtId="0" fontId="100" fillId="0" borderId="65" xfId="4496" applyFont="1" applyBorder="1" applyAlignment="1">
      <alignment vertical="center"/>
    </xf>
    <xf numFmtId="0" fontId="100" fillId="0" borderId="29" xfId="4496" applyFont="1" applyBorder="1" applyAlignment="1">
      <alignment vertical="center"/>
    </xf>
    <xf numFmtId="0" fontId="100" fillId="0" borderId="29" xfId="4496" applyFont="1" applyBorder="1" applyAlignment="1">
      <alignment horizontal="right" vertical="center"/>
    </xf>
    <xf numFmtId="5" fontId="100" fillId="0" borderId="29" xfId="4496" applyNumberFormat="1" applyFont="1" applyBorder="1" applyAlignment="1">
      <alignment vertical="center"/>
    </xf>
    <xf numFmtId="0" fontId="100" fillId="0" borderId="31" xfId="4496" applyFont="1" applyBorder="1" applyAlignment="1">
      <alignment vertical="center"/>
    </xf>
    <xf numFmtId="175" fontId="139" fillId="0" borderId="42" xfId="4494" applyNumberFormat="1" applyFont="1" applyFill="1" applyBorder="1" applyAlignment="1" applyProtection="1">
      <alignment horizontal="center" vertical="center"/>
    </xf>
    <xf numFmtId="0" fontId="139" fillId="0" borderId="29" xfId="4496" applyFont="1" applyBorder="1" applyAlignment="1">
      <alignment vertical="center"/>
    </xf>
    <xf numFmtId="0" fontId="139" fillId="0" borderId="0" xfId="4496" applyFont="1" applyAlignment="1">
      <alignment vertical="center"/>
    </xf>
    <xf numFmtId="0" fontId="139" fillId="0" borderId="42" xfId="4496" applyFont="1" applyBorder="1" applyAlignment="1">
      <alignment vertical="center"/>
    </xf>
    <xf numFmtId="9" fontId="139" fillId="0" borderId="42" xfId="4499" applyFont="1" applyFill="1" applyBorder="1" applyAlignment="1" applyProtection="1">
      <alignment vertical="center"/>
    </xf>
    <xf numFmtId="182" fontId="139" fillId="0" borderId="68" xfId="8721" applyNumberFormat="1" applyFont="1" applyBorder="1" applyProtection="1"/>
    <xf numFmtId="182" fontId="139" fillId="0" borderId="68" xfId="4496" applyNumberFormat="1" applyFont="1" applyBorder="1"/>
    <xf numFmtId="0" fontId="153" fillId="0" borderId="0" xfId="4496" applyFont="1" applyAlignment="1">
      <alignment horizontal="right"/>
    </xf>
    <xf numFmtId="0" fontId="100" fillId="0" borderId="0" xfId="4496" applyFont="1" applyAlignment="1">
      <alignment horizontal="right" vertical="top" wrapText="1" indent="1"/>
    </xf>
    <xf numFmtId="182" fontId="100" fillId="0" borderId="6" xfId="8721" applyNumberFormat="1" applyFont="1" applyBorder="1" applyAlignment="1" applyProtection="1">
      <alignment horizontal="center"/>
    </xf>
    <xf numFmtId="0" fontId="100" fillId="0" borderId="0" xfId="4496" applyFont="1" applyAlignment="1">
      <alignment horizontal="right" indent="1"/>
    </xf>
    <xf numFmtId="0" fontId="100" fillId="0" borderId="0" xfId="4496" applyFont="1" applyAlignment="1">
      <alignment horizontal="right" vertical="top"/>
    </xf>
    <xf numFmtId="0" fontId="139" fillId="0" borderId="0" xfId="4496" applyFont="1" applyAlignment="1">
      <alignment horizontal="right"/>
    </xf>
    <xf numFmtId="182" fontId="139" fillId="0" borderId="0" xfId="8721" applyNumberFormat="1" applyFont="1" applyBorder="1" applyAlignment="1" applyProtection="1">
      <alignment horizontal="center"/>
    </xf>
    <xf numFmtId="10" fontId="100" fillId="0" borderId="0" xfId="4494" applyNumberFormat="1" applyFont="1" applyBorder="1" applyAlignment="1" applyProtection="1">
      <alignment horizontal="center"/>
    </xf>
    <xf numFmtId="184" fontId="100" fillId="0" borderId="6" xfId="4496" applyNumberFormat="1" applyFont="1" applyBorder="1"/>
    <xf numFmtId="0" fontId="139" fillId="0" borderId="0" xfId="4496" applyFont="1" applyAlignment="1">
      <alignment horizontal="right" vertical="top"/>
    </xf>
    <xf numFmtId="182" fontId="139" fillId="0" borderId="0" xfId="4496" applyNumberFormat="1" applyFont="1"/>
    <xf numFmtId="182" fontId="100" fillId="0" borderId="6" xfId="8721" applyNumberFormat="1" applyFont="1" applyBorder="1" applyProtection="1"/>
    <xf numFmtId="184" fontId="100" fillId="0" borderId="0" xfId="4496" applyNumberFormat="1" applyFont="1" applyAlignment="1">
      <alignment horizontal="center"/>
    </xf>
    <xf numFmtId="0" fontId="100" fillId="0" borderId="6" xfId="4496" applyFont="1" applyBorder="1" applyAlignment="1">
      <alignment horizontal="right" vertical="top" wrapText="1" indent="1"/>
    </xf>
    <xf numFmtId="0" fontId="100" fillId="0" borderId="67" xfId="4496" applyFont="1" applyBorder="1" applyAlignment="1">
      <alignment horizontal="right" indent="1"/>
    </xf>
    <xf numFmtId="0" fontId="100" fillId="0" borderId="72" xfId="4496" applyFont="1" applyBorder="1" applyAlignment="1">
      <alignment horizontal="right" indent="1"/>
    </xf>
    <xf numFmtId="0" fontId="100" fillId="0" borderId="72" xfId="4496" quotePrefix="1" applyFont="1" applyBorder="1" applyAlignment="1">
      <alignment horizontal="right" indent="1"/>
    </xf>
    <xf numFmtId="0" fontId="100" fillId="0" borderId="69" xfId="4496" applyFont="1" applyBorder="1" applyAlignment="1">
      <alignment horizontal="right" indent="1"/>
    </xf>
    <xf numFmtId="182" fontId="100" fillId="0" borderId="71" xfId="4496" applyNumberFormat="1" applyFont="1" applyBorder="1"/>
    <xf numFmtId="182" fontId="100" fillId="0" borderId="76" xfId="4496" applyNumberFormat="1" applyFont="1" applyBorder="1"/>
    <xf numFmtId="182" fontId="100" fillId="0" borderId="77" xfId="4496" applyNumberFormat="1" applyFont="1" applyBorder="1"/>
    <xf numFmtId="175" fontId="26" fillId="0" borderId="0" xfId="543" applyNumberFormat="1" applyFont="1" applyAlignment="1">
      <alignment vertical="center"/>
    </xf>
    <xf numFmtId="10" fontId="139" fillId="0" borderId="0" xfId="4494" applyNumberFormat="1" applyFont="1" applyProtection="1"/>
    <xf numFmtId="0" fontId="26" fillId="0" borderId="0" xfId="1192" applyFont="1" applyAlignment="1">
      <alignment horizontal="left" indent="1"/>
    </xf>
    <xf numFmtId="168" fontId="100" fillId="0" borderId="11" xfId="4499" applyNumberFormat="1" applyFont="1" applyFill="1" applyBorder="1" applyAlignment="1" applyProtection="1">
      <alignment horizontal="left" vertical="center" indent="1"/>
    </xf>
    <xf numFmtId="168" fontId="139" fillId="0" borderId="68" xfId="4499" applyNumberFormat="1" applyFont="1" applyFill="1" applyBorder="1" applyAlignment="1" applyProtection="1">
      <alignment horizontal="left" vertical="center" indent="1"/>
    </xf>
    <xf numFmtId="182" fontId="100" fillId="0" borderId="13" xfId="4496" applyNumberFormat="1" applyFont="1" applyBorder="1"/>
    <xf numFmtId="182" fontId="100" fillId="0" borderId="70" xfId="4496" applyNumberFormat="1" applyFont="1" applyBorder="1"/>
    <xf numFmtId="0" fontId="37" fillId="0" borderId="0" xfId="4495" applyFont="1" applyAlignment="1">
      <alignment vertical="center"/>
    </xf>
    <xf numFmtId="0" fontId="124" fillId="0" borderId="0" xfId="4496" applyFont="1" applyAlignment="1">
      <alignment vertical="center" wrapText="1"/>
    </xf>
    <xf numFmtId="0" fontId="24" fillId="43" borderId="0" xfId="1192" applyFont="1" applyFill="1"/>
    <xf numFmtId="3" fontId="70" fillId="43" borderId="6" xfId="1192" applyNumberFormat="1" applyFont="1" applyFill="1" applyBorder="1"/>
    <xf numFmtId="0" fontId="155" fillId="0" borderId="0" xfId="0" applyFont="1"/>
    <xf numFmtId="0" fontId="24" fillId="0" borderId="11" xfId="253" applyFont="1" applyBorder="1" applyAlignment="1" applyProtection="1">
      <alignment horizontal="center" wrapText="1"/>
      <protection locked="0"/>
    </xf>
    <xf numFmtId="0" fontId="156" fillId="0" borderId="0" xfId="0" applyFont="1"/>
    <xf numFmtId="0" fontId="157" fillId="0" borderId="0" xfId="0" applyFont="1" applyAlignment="1">
      <alignment horizontal="center"/>
    </xf>
    <xf numFmtId="0" fontId="55" fillId="5" borderId="11" xfId="0" applyFont="1" applyFill="1" applyBorder="1" applyAlignment="1" applyProtection="1">
      <alignment horizontal="right" vertical="top" wrapText="1"/>
      <protection locked="0"/>
    </xf>
    <xf numFmtId="0" fontId="19" fillId="43" borderId="3" xfId="569" applyFill="1" applyBorder="1"/>
    <xf numFmtId="0" fontId="160" fillId="0" borderId="0" xfId="0" applyFont="1" applyAlignment="1">
      <alignment horizontal="right"/>
    </xf>
    <xf numFmtId="1" fontId="27" fillId="0" borderId="0" xfId="4495" applyNumberFormat="1" applyFont="1"/>
    <xf numFmtId="0" fontId="26" fillId="0" borderId="4" xfId="569" applyFont="1" applyBorder="1" applyAlignment="1">
      <alignment horizontal="center"/>
    </xf>
    <xf numFmtId="43" fontId="26" fillId="0" borderId="0" xfId="4503" applyFont="1" applyAlignment="1" applyProtection="1">
      <alignment horizontal="center"/>
    </xf>
    <xf numFmtId="0" fontId="26" fillId="0" borderId="0" xfId="569" applyFont="1" applyAlignment="1">
      <alignment horizontal="center" vertical="center"/>
    </xf>
    <xf numFmtId="0" fontId="26" fillId="0" borderId="16" xfId="569" applyFont="1" applyBorder="1" applyAlignment="1">
      <alignment horizontal="center"/>
    </xf>
    <xf numFmtId="49" fontId="26" fillId="0" borderId="4" xfId="569" applyNumberFormat="1" applyFont="1" applyBorder="1" applyAlignment="1">
      <alignment horizontal="center"/>
    </xf>
    <xf numFmtId="4" fontId="26" fillId="0" borderId="0" xfId="569" applyNumberFormat="1" applyFont="1" applyAlignment="1">
      <alignment horizontal="center"/>
    </xf>
    <xf numFmtId="0" fontId="19" fillId="0" borderId="0" xfId="569" applyAlignment="1">
      <alignment horizontal="center" wrapText="1"/>
    </xf>
    <xf numFmtId="0" fontId="100" fillId="0" borderId="6" xfId="4496" applyFont="1" applyBorder="1" applyAlignment="1">
      <alignment horizontal="left" vertical="top"/>
    </xf>
    <xf numFmtId="0" fontId="19" fillId="0" borderId="0" xfId="0" applyFont="1" applyAlignment="1">
      <alignment vertical="center" wrapText="1"/>
    </xf>
    <xf numFmtId="3" fontId="24" fillId="43" borderId="11" xfId="271" applyNumberFormat="1" applyFont="1" applyFill="1" applyBorder="1" applyAlignment="1" applyProtection="1">
      <alignment horizontal="left"/>
      <protection locked="0"/>
    </xf>
    <xf numFmtId="0" fontId="100" fillId="43" borderId="6" xfId="4496" applyFont="1" applyFill="1" applyBorder="1" applyProtection="1">
      <protection locked="0"/>
    </xf>
    <xf numFmtId="1" fontId="100" fillId="0" borderId="0" xfId="4496" applyNumberFormat="1" applyFont="1" applyProtection="1">
      <protection locked="0"/>
    </xf>
    <xf numFmtId="182" fontId="165" fillId="0" borderId="11" xfId="4496" applyNumberFormat="1" applyFont="1" applyBorder="1"/>
    <xf numFmtId="44" fontId="100" fillId="0" borderId="0" xfId="4496" applyNumberFormat="1" applyFont="1"/>
    <xf numFmtId="182" fontId="24" fillId="0" borderId="11" xfId="4496" applyNumberFormat="1" applyFont="1" applyBorder="1"/>
    <xf numFmtId="9" fontId="100" fillId="0" borderId="0" xfId="4494" applyFont="1"/>
    <xf numFmtId="182" fontId="100" fillId="43" borderId="6" xfId="8721" applyNumberFormat="1" applyFont="1" applyFill="1" applyBorder="1" applyProtection="1">
      <protection locked="0"/>
    </xf>
    <xf numFmtId="0" fontId="19" fillId="0" borderId="0" xfId="4495" applyFont="1" applyAlignment="1">
      <alignment wrapText="1"/>
    </xf>
    <xf numFmtId="168" fontId="177" fillId="48" borderId="79" xfId="700" applyNumberFormat="1" applyFont="1" applyFill="1" applyBorder="1" applyAlignment="1" applyProtection="1">
      <protection locked="0"/>
    </xf>
    <xf numFmtId="3" fontId="47" fillId="10" borderId="0" xfId="543" applyNumberFormat="1" applyFont="1" applyFill="1" applyAlignment="1">
      <alignment vertical="center" wrapText="1"/>
    </xf>
    <xf numFmtId="0" fontId="184" fillId="0" borderId="0" xfId="543" applyFont="1" applyAlignment="1">
      <alignment horizontal="left" vertical="center"/>
    </xf>
    <xf numFmtId="0" fontId="185" fillId="0" borderId="0" xfId="543" applyFont="1" applyAlignment="1">
      <alignment horizontal="right" vertical="top" wrapText="1"/>
    </xf>
    <xf numFmtId="168" fontId="185" fillId="0" borderId="0" xfId="543" applyNumberFormat="1" applyFont="1" applyAlignment="1">
      <alignment horizontal="center" vertical="center"/>
    </xf>
    <xf numFmtId="0" fontId="186" fillId="0" borderId="0" xfId="543" applyFont="1" applyAlignment="1">
      <alignment horizontal="left" vertical="center"/>
    </xf>
    <xf numFmtId="0" fontId="186" fillId="0" borderId="0" xfId="543" applyFont="1" applyAlignment="1">
      <alignment horizontal="right" vertical="top" wrapText="1"/>
    </xf>
    <xf numFmtId="168" fontId="185" fillId="0" borderId="104" xfId="543" applyNumberFormat="1" applyFont="1" applyBorder="1" applyAlignment="1">
      <alignment horizontal="center" vertical="center"/>
    </xf>
    <xf numFmtId="0" fontId="186" fillId="0" borderId="106" xfId="543" applyFont="1" applyBorder="1" applyAlignment="1">
      <alignment horizontal="right" vertical="top" wrapText="1"/>
    </xf>
    <xf numFmtId="0" fontId="26" fillId="0" borderId="0" xfId="4495" applyFont="1" applyAlignment="1">
      <alignment wrapText="1"/>
    </xf>
    <xf numFmtId="182" fontId="19" fillId="0" borderId="0" xfId="700" applyNumberFormat="1" applyFont="1"/>
    <xf numFmtId="9" fontId="19" fillId="0" borderId="0" xfId="1022" applyFont="1"/>
    <xf numFmtId="168" fontId="19"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0" fontId="4" fillId="0" borderId="0" xfId="8733"/>
    <xf numFmtId="0" fontId="105" fillId="0" borderId="0" xfId="8733" applyFont="1"/>
    <xf numFmtId="0" fontId="4" fillId="47" borderId="66" xfId="8733" applyFill="1" applyBorder="1"/>
    <xf numFmtId="0" fontId="4" fillId="47" borderId="0" xfId="8733" applyFill="1"/>
    <xf numFmtId="0" fontId="104" fillId="47" borderId="41" xfId="8733" applyFont="1" applyFill="1" applyBorder="1" applyAlignment="1">
      <alignment horizontal="center"/>
    </xf>
    <xf numFmtId="0" fontId="104" fillId="47" borderId="0" xfId="8733" applyFont="1" applyFill="1"/>
    <xf numFmtId="182" fontId="176" fillId="47" borderId="0" xfId="8734" applyNumberFormat="1" applyFont="1" applyFill="1" applyBorder="1" applyAlignment="1"/>
    <xf numFmtId="0" fontId="4" fillId="47" borderId="41" xfId="8733" applyFill="1" applyBorder="1"/>
    <xf numFmtId="0" fontId="105" fillId="47" borderId="0" xfId="8733" applyFont="1" applyFill="1"/>
    <xf numFmtId="0" fontId="180" fillId="47" borderId="0" xfId="8733" applyFont="1" applyFill="1"/>
    <xf numFmtId="0" fontId="104" fillId="47" borderId="41" xfId="8733" applyFont="1" applyFill="1" applyBorder="1"/>
    <xf numFmtId="0" fontId="104" fillId="0" borderId="0" xfId="8733" applyFont="1"/>
    <xf numFmtId="0" fontId="104" fillId="54" borderId="100" xfId="8733" applyFont="1" applyFill="1" applyBorder="1"/>
    <xf numFmtId="0" fontId="4" fillId="53" borderId="99" xfId="8733" applyFill="1" applyBorder="1"/>
    <xf numFmtId="0" fontId="4" fillId="52" borderId="99" xfId="8733" applyFill="1" applyBorder="1"/>
    <xf numFmtId="0" fontId="104" fillId="45" borderId="65" xfId="8733" applyFont="1" applyFill="1" applyBorder="1"/>
    <xf numFmtId="0" fontId="4" fillId="45" borderId="80" xfId="8733" applyFill="1" applyBorder="1"/>
    <xf numFmtId="0" fontId="4" fillId="45" borderId="79" xfId="8733" applyFill="1" applyBorder="1"/>
    <xf numFmtId="0" fontId="4" fillId="45" borderId="78" xfId="8733" applyFill="1" applyBorder="1"/>
    <xf numFmtId="0" fontId="104" fillId="45" borderId="0" xfId="8733" applyFont="1" applyFill="1"/>
    <xf numFmtId="0" fontId="104" fillId="45" borderId="12" xfId="8733" applyFont="1" applyFill="1" applyBorder="1"/>
    <xf numFmtId="0" fontId="104" fillId="45" borderId="29" xfId="8733" applyFont="1" applyFill="1" applyBorder="1"/>
    <xf numFmtId="0" fontId="104" fillId="45" borderId="80" xfId="8733" applyFont="1" applyFill="1" applyBorder="1"/>
    <xf numFmtId="0" fontId="104" fillId="45" borderId="79" xfId="8733" applyFont="1" applyFill="1" applyBorder="1"/>
    <xf numFmtId="0" fontId="104" fillId="45" borderId="78" xfId="8733" applyFont="1" applyFill="1" applyBorder="1"/>
    <xf numFmtId="185" fontId="4" fillId="0" borderId="0" xfId="698" applyNumberFormat="1" applyFont="1"/>
    <xf numFmtId="0" fontId="104" fillId="45" borderId="93" xfId="8733" applyFont="1" applyFill="1" applyBorder="1"/>
    <xf numFmtId="0" fontId="104" fillId="45" borderId="6" xfId="8733" applyFont="1" applyFill="1" applyBorder="1"/>
    <xf numFmtId="0" fontId="104" fillId="45" borderId="10" xfId="8733" applyFont="1" applyFill="1" applyBorder="1"/>
    <xf numFmtId="10" fontId="4" fillId="0" borderId="0" xfId="1022" applyNumberFormat="1" applyFont="1"/>
    <xf numFmtId="0" fontId="4" fillId="45" borderId="29" xfId="8733" applyFill="1" applyBorder="1"/>
    <xf numFmtId="0" fontId="4" fillId="45" borderId="31" xfId="8733" applyFill="1" applyBorder="1"/>
    <xf numFmtId="0" fontId="104" fillId="45" borderId="92" xfId="8733" applyFont="1" applyFill="1" applyBorder="1"/>
    <xf numFmtId="0" fontId="104" fillId="45" borderId="74" xfId="8733" applyFont="1" applyFill="1" applyBorder="1"/>
    <xf numFmtId="0" fontId="175" fillId="45" borderId="87" xfId="8733" applyFont="1" applyFill="1" applyBorder="1"/>
    <xf numFmtId="0" fontId="4" fillId="45" borderId="87" xfId="8733" applyFill="1" applyBorder="1"/>
    <xf numFmtId="0" fontId="4" fillId="45" borderId="86" xfId="8733" applyFill="1" applyBorder="1"/>
    <xf numFmtId="0" fontId="4" fillId="45" borderId="95" xfId="8733" applyFill="1" applyBorder="1"/>
    <xf numFmtId="0" fontId="182" fillId="47" borderId="0" xfId="8733" applyFont="1" applyFill="1"/>
    <xf numFmtId="0" fontId="104" fillId="45" borderId="31" xfId="8733" applyFont="1" applyFill="1" applyBorder="1"/>
    <xf numFmtId="0" fontId="4" fillId="47" borderId="0" xfId="8733" applyFill="1" applyAlignment="1">
      <alignment horizontal="left"/>
    </xf>
    <xf numFmtId="0" fontId="174" fillId="51" borderId="11" xfId="8733" applyFont="1" applyFill="1" applyBorder="1"/>
    <xf numFmtId="0" fontId="174" fillId="51" borderId="76" xfId="8733" applyFont="1" applyFill="1" applyBorder="1"/>
    <xf numFmtId="0" fontId="175" fillId="51" borderId="11" xfId="8733" applyFont="1" applyFill="1" applyBorder="1" applyAlignment="1">
      <alignment horizontal="center"/>
    </xf>
    <xf numFmtId="0" fontId="175" fillId="51" borderId="76" xfId="8733" applyFont="1" applyFill="1" applyBorder="1" applyAlignment="1">
      <alignment horizontal="center"/>
    </xf>
    <xf numFmtId="0" fontId="4" fillId="48" borderId="66" xfId="8733" applyFill="1" applyBorder="1"/>
    <xf numFmtId="0" fontId="4" fillId="48" borderId="0" xfId="8733" applyFill="1"/>
    <xf numFmtId="0" fontId="4" fillId="48" borderId="78" xfId="8733" applyFill="1" applyBorder="1"/>
    <xf numFmtId="0" fontId="104" fillId="47" borderId="66" xfId="8733" applyFont="1" applyFill="1" applyBorder="1"/>
    <xf numFmtId="49" fontId="104" fillId="47" borderId="66" xfId="8733" applyNumberFormat="1" applyFont="1" applyFill="1" applyBorder="1" applyAlignment="1">
      <alignment horizontal="right" vertical="top"/>
    </xf>
    <xf numFmtId="0" fontId="4" fillId="47" borderId="73" xfId="8733" applyFill="1" applyBorder="1"/>
    <xf numFmtId="0" fontId="4" fillId="47" borderId="42" xfId="8733" applyFill="1" applyBorder="1"/>
    <xf numFmtId="0" fontId="4" fillId="47" borderId="44" xfId="8733" applyFill="1" applyBorder="1"/>
    <xf numFmtId="0" fontId="4" fillId="44" borderId="66" xfId="8733" applyFill="1" applyBorder="1"/>
    <xf numFmtId="0" fontId="4" fillId="44" borderId="0" xfId="8733" applyFill="1"/>
    <xf numFmtId="0" fontId="4" fillId="44" borderId="41" xfId="8733" applyFill="1" applyBorder="1"/>
    <xf numFmtId="0" fontId="4" fillId="44" borderId="0" xfId="8733" applyFill="1" applyAlignment="1">
      <alignment horizontal="left"/>
    </xf>
    <xf numFmtId="0" fontId="4" fillId="44" borderId="73" xfId="8733" applyFill="1" applyBorder="1"/>
    <xf numFmtId="0" fontId="4" fillId="44" borderId="42" xfId="8733" applyFill="1" applyBorder="1"/>
    <xf numFmtId="0" fontId="4" fillId="44" borderId="44" xfId="8733" applyFill="1" applyBorder="1"/>
    <xf numFmtId="0" fontId="166" fillId="0" borderId="0" xfId="8733" applyFont="1"/>
    <xf numFmtId="168" fontId="0" fillId="0" borderId="0" xfId="0" applyNumberFormat="1"/>
    <xf numFmtId="0" fontId="124" fillId="52" borderId="113" xfId="0" applyFont="1" applyFill="1" applyBorder="1"/>
    <xf numFmtId="0" fontId="124" fillId="53" borderId="113" xfId="0" applyFont="1" applyFill="1" applyBorder="1"/>
    <xf numFmtId="1" fontId="0" fillId="0" borderId="0" xfId="0" applyNumberFormat="1"/>
    <xf numFmtId="0" fontId="20"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20" fillId="0" borderId="0" xfId="244" applyAlignment="1">
      <alignment horizontal="left" vertical="top"/>
    </xf>
    <xf numFmtId="0" fontId="0" fillId="5" borderId="6" xfId="0" applyFill="1" applyBorder="1" applyAlignment="1" applyProtection="1">
      <alignment horizontal="left"/>
      <protection locked="0"/>
    </xf>
    <xf numFmtId="166" fontId="28" fillId="5" borderId="6" xfId="0" applyNumberFormat="1" applyFont="1" applyFill="1" applyBorder="1" applyAlignment="1" applyProtection="1">
      <alignment horizontal="left"/>
      <protection locked="0"/>
    </xf>
    <xf numFmtId="0" fontId="0" fillId="5" borderId="1" xfId="0" applyFill="1" applyBorder="1" applyAlignment="1" applyProtection="1">
      <alignment horizontal="left" vertical="top" wrapText="1"/>
      <protection locked="0"/>
    </xf>
    <xf numFmtId="166" fontId="28" fillId="5" borderId="4" xfId="0" applyNumberFormat="1" applyFont="1" applyFill="1" applyBorder="1" applyAlignment="1" applyProtection="1">
      <alignment horizontal="left"/>
      <protection locked="0"/>
    </xf>
    <xf numFmtId="0" fontId="19" fillId="5" borderId="4" xfId="0" applyFont="1" applyFill="1" applyBorder="1" applyAlignment="1" applyProtection="1">
      <alignment horizontal="left"/>
      <protection locked="0"/>
    </xf>
    <xf numFmtId="0" fontId="0" fillId="5" borderId="6"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6" fontId="19" fillId="5" borderId="4" xfId="0" applyNumberFormat="1" applyFont="1" applyFill="1" applyBorder="1" applyAlignment="1" applyProtection="1">
      <alignment horizontal="left"/>
      <protection locked="0"/>
    </xf>
    <xf numFmtId="0" fontId="19" fillId="0" borderId="0" xfId="0" applyFont="1" applyAlignment="1">
      <alignment horizontal="left" vertical="top" wrapText="1"/>
    </xf>
    <xf numFmtId="0" fontId="20" fillId="0" borderId="0" xfId="244"/>
    <xf numFmtId="0" fontId="0" fillId="0" borderId="0" xfId="0"/>
    <xf numFmtId="0" fontId="19" fillId="0" borderId="0" xfId="1192" applyAlignment="1">
      <alignment horizontal="left" vertical="top" wrapText="1"/>
    </xf>
    <xf numFmtId="0" fontId="26" fillId="0" borderId="0" xfId="0" applyFont="1" applyAlignment="1">
      <alignment horizontal="left" vertical="top" wrapText="1"/>
    </xf>
    <xf numFmtId="0" fontId="48" fillId="0" borderId="0" xfId="0" applyFont="1" applyAlignment="1">
      <alignment horizontal="left" vertical="top" wrapText="1"/>
    </xf>
    <xf numFmtId="0" fontId="19" fillId="0" borderId="0" xfId="0" applyFont="1" applyAlignment="1">
      <alignment horizontal="left" wrapText="1"/>
    </xf>
    <xf numFmtId="0" fontId="20" fillId="0" borderId="0" xfId="244" applyAlignment="1" applyProtection="1">
      <alignment horizontal="left"/>
    </xf>
    <xf numFmtId="0" fontId="115" fillId="0" borderId="0" xfId="0" applyFont="1" applyAlignment="1">
      <alignment horizontal="left" wrapText="1"/>
    </xf>
    <xf numFmtId="0" fontId="28" fillId="0" borderId="0" xfId="0" applyFont="1" applyAlignment="1">
      <alignment horizontal="left" wrapText="1"/>
    </xf>
    <xf numFmtId="0" fontId="25" fillId="3" borderId="0" xfId="0" applyFont="1" applyFill="1" applyAlignment="1">
      <alignment horizontal="center" vertical="center" wrapText="1"/>
    </xf>
    <xf numFmtId="0" fontId="25" fillId="3" borderId="16" xfId="0" applyFont="1" applyFill="1" applyBorder="1" applyAlignment="1">
      <alignment horizontal="center" vertical="center" wrapText="1"/>
    </xf>
    <xf numFmtId="0" fontId="107" fillId="0" borderId="0" xfId="0" applyFont="1" applyAlignment="1">
      <alignment horizontal="left" vertical="top" wrapText="1"/>
    </xf>
    <xf numFmtId="0" fontId="20" fillId="0" borderId="0" xfId="244" applyAlignment="1">
      <alignment horizontal="left" vertical="top"/>
    </xf>
    <xf numFmtId="0" fontId="116" fillId="0" borderId="0" xfId="569" applyFont="1" applyAlignment="1">
      <alignment horizontal="center"/>
    </xf>
    <xf numFmtId="0" fontId="117" fillId="0" borderId="0" xfId="569" applyFont="1"/>
    <xf numFmtId="0" fontId="19" fillId="0" borderId="0" xfId="569" applyAlignment="1">
      <alignment wrapText="1"/>
    </xf>
    <xf numFmtId="0" fontId="26" fillId="0" borderId="0" xfId="569" applyFont="1" applyAlignment="1">
      <alignment wrapText="1"/>
    </xf>
    <xf numFmtId="0" fontId="34" fillId="0" borderId="0" xfId="569" applyFont="1" applyAlignment="1">
      <alignment horizontal="center"/>
    </xf>
    <xf numFmtId="0" fontId="19" fillId="0" borderId="0" xfId="569"/>
    <xf numFmtId="0" fontId="19" fillId="0" borderId="0" xfId="1192" applyAlignment="1">
      <alignment vertical="top" wrapText="1"/>
    </xf>
    <xf numFmtId="0" fontId="37" fillId="0" borderId="0" xfId="569" applyFont="1" applyAlignment="1">
      <alignment horizontal="center"/>
    </xf>
    <xf numFmtId="0" fontId="26" fillId="0" borderId="0" xfId="569" applyFont="1" applyAlignment="1">
      <alignment horizontal="center"/>
    </xf>
    <xf numFmtId="0" fontId="19" fillId="0" borderId="0" xfId="569" applyAlignment="1">
      <alignment horizontal="left" vertical="top" wrapText="1"/>
    </xf>
    <xf numFmtId="0" fontId="19" fillId="0" borderId="0" xfId="569" applyAlignment="1">
      <alignment horizontal="left"/>
    </xf>
    <xf numFmtId="0" fontId="37" fillId="0" borderId="0" xfId="569" applyFont="1" applyAlignment="1">
      <alignment horizontal="left" vertical="top" wrapText="1"/>
    </xf>
    <xf numFmtId="0" fontId="26" fillId="0" borderId="4" xfId="569" applyFont="1" applyBorder="1" applyAlignment="1">
      <alignment horizontal="left"/>
    </xf>
    <xf numFmtId="4" fontId="19" fillId="0" borderId="0" xfId="1192" applyNumberFormat="1" applyAlignment="1">
      <alignment horizontal="left" vertical="top" wrapText="1"/>
    </xf>
    <xf numFmtId="49" fontId="19" fillId="0" borderId="0" xfId="0" applyNumberFormat="1" applyFont="1" applyAlignment="1">
      <alignment horizontal="left" vertical="top" wrapText="1"/>
    </xf>
    <xf numFmtId="0" fontId="19" fillId="0" borderId="0" xfId="569" applyAlignment="1">
      <alignment horizontal="left" vertical="top"/>
    </xf>
    <xf numFmtId="0" fontId="26" fillId="0" borderId="4" xfId="569" applyFont="1" applyBorder="1" applyAlignment="1">
      <alignment horizontal="left" vertical="top"/>
    </xf>
    <xf numFmtId="0" fontId="37" fillId="0" borderId="0" xfId="569" applyFont="1" applyAlignment="1">
      <alignment horizontal="left"/>
    </xf>
    <xf numFmtId="4" fontId="19" fillId="0" borderId="0" xfId="569" applyNumberFormat="1" applyAlignment="1">
      <alignment horizontal="left"/>
    </xf>
    <xf numFmtId="0" fontId="19" fillId="0" borderId="0" xfId="1192" applyAlignment="1" applyProtection="1">
      <alignment horizontal="left" vertical="top" wrapText="1"/>
      <protection locked="0"/>
    </xf>
    <xf numFmtId="0" fontId="19" fillId="0" borderId="27" xfId="569" applyBorder="1" applyAlignment="1">
      <alignment horizontal="left"/>
    </xf>
    <xf numFmtId="0" fontId="19" fillId="0" borderId="0" xfId="1192" applyAlignment="1">
      <alignment horizontal="left"/>
    </xf>
    <xf numFmtId="0" fontId="26" fillId="0" borderId="16" xfId="569" applyFont="1" applyBorder="1" applyAlignment="1">
      <alignment horizontal="left"/>
    </xf>
    <xf numFmtId="0" fontId="20" fillId="0" borderId="0" xfId="244" applyAlignment="1" applyProtection="1">
      <alignment horizontal="left" vertical="top" wrapText="1"/>
    </xf>
    <xf numFmtId="0" fontId="26" fillId="0" borderId="0" xfId="569" applyFont="1" applyAlignment="1">
      <alignment horizontal="left"/>
    </xf>
    <xf numFmtId="0" fontId="37" fillId="0" borderId="0" xfId="1192" applyFont="1" applyAlignment="1">
      <alignment horizontal="left"/>
    </xf>
    <xf numFmtId="0" fontId="19" fillId="0" borderId="0" xfId="0" applyFont="1" applyAlignment="1">
      <alignment horizontal="left"/>
    </xf>
    <xf numFmtId="0" fontId="19" fillId="0" borderId="0" xfId="0" applyFont="1" applyAlignment="1">
      <alignment horizontal="left" vertical="top"/>
    </xf>
    <xf numFmtId="0" fontId="26" fillId="0" borderId="0" xfId="0" applyFont="1" applyAlignment="1">
      <alignment horizontal="left" vertical="top"/>
    </xf>
    <xf numFmtId="49" fontId="19" fillId="0" borderId="0" xfId="1192" applyNumberFormat="1" applyAlignment="1">
      <alignment horizontal="left" vertical="top" wrapText="1"/>
    </xf>
    <xf numFmtId="0" fontId="20" fillId="0" borderId="0" xfId="244" applyNumberFormat="1" applyFill="1" applyAlignment="1" applyProtection="1">
      <alignment horizontal="left"/>
    </xf>
    <xf numFmtId="0" fontId="37" fillId="0" borderId="0" xfId="569" applyFont="1" applyAlignment="1">
      <alignment horizontal="left" wrapText="1"/>
    </xf>
    <xf numFmtId="0" fontId="37" fillId="0" borderId="0" xfId="569" applyFont="1" applyAlignment="1">
      <alignment horizontal="center" wrapText="1"/>
    </xf>
    <xf numFmtId="0" fontId="19" fillId="0" borderId="0" xfId="569" applyAlignment="1">
      <alignment horizontal="left" vertical="center" wrapText="1"/>
    </xf>
    <xf numFmtId="4" fontId="19" fillId="0" borderId="0" xfId="569" applyNumberFormat="1" applyAlignment="1">
      <alignment horizontal="left" vertical="top" wrapText="1"/>
    </xf>
    <xf numFmtId="0" fontId="26" fillId="0" borderId="4" xfId="0" applyFont="1" applyBorder="1" applyAlignment="1">
      <alignment horizontal="left"/>
    </xf>
    <xf numFmtId="0" fontId="0" fillId="0" borderId="0" xfId="0" applyAlignment="1">
      <alignment horizontal="left" vertical="top" wrapText="1"/>
    </xf>
    <xf numFmtId="0" fontId="37" fillId="0" borderId="0" xfId="1192" applyFont="1" applyAlignment="1">
      <alignment horizontal="left" vertical="top" wrapText="1"/>
    </xf>
    <xf numFmtId="0" fontId="19" fillId="0" borderId="0" xfId="569" applyAlignment="1">
      <alignment vertical="top" wrapText="1"/>
    </xf>
    <xf numFmtId="0" fontId="37" fillId="0" borderId="0" xfId="0" applyFont="1" applyAlignment="1">
      <alignment horizontal="left" vertical="top" wrapText="1"/>
    </xf>
    <xf numFmtId="4" fontId="37" fillId="0" borderId="0" xfId="0" applyNumberFormat="1" applyFont="1" applyAlignment="1">
      <alignment horizontal="left" vertical="top" wrapText="1"/>
    </xf>
    <xf numFmtId="0" fontId="26" fillId="0" borderId="4" xfId="0" applyFont="1" applyBorder="1" applyAlignment="1">
      <alignment horizontal="left" vertical="top"/>
    </xf>
    <xf numFmtId="4" fontId="19" fillId="0" borderId="0" xfId="0" applyNumberFormat="1" applyFont="1" applyAlignment="1">
      <alignment horizontal="left" vertical="top" wrapText="1"/>
    </xf>
    <xf numFmtId="0" fontId="19" fillId="0" borderId="0" xfId="0" quotePrefix="1" applyFont="1" applyAlignment="1">
      <alignment horizontal="left" vertical="top"/>
    </xf>
    <xf numFmtId="0" fontId="19" fillId="0" borderId="0" xfId="0" quotePrefix="1" applyFont="1" applyAlignment="1">
      <alignment horizontal="left" vertical="top" wrapText="1"/>
    </xf>
    <xf numFmtId="0" fontId="26" fillId="0" borderId="0" xfId="1192" applyFont="1" applyAlignment="1">
      <alignment horizontal="left" vertical="top" wrapText="1"/>
    </xf>
    <xf numFmtId="4" fontId="37" fillId="0" borderId="0" xfId="569" applyNumberFormat="1" applyFont="1" applyAlignment="1">
      <alignment horizontal="left" vertical="top" wrapText="1"/>
    </xf>
    <xf numFmtId="0" fontId="20" fillId="0" borderId="0" xfId="244" quotePrefix="1" applyAlignment="1" applyProtection="1">
      <alignment horizontal="left"/>
    </xf>
    <xf numFmtId="0" fontId="37" fillId="0" borderId="0" xfId="0" applyFont="1" applyAlignment="1">
      <alignment horizontal="left"/>
    </xf>
    <xf numFmtId="4" fontId="19" fillId="0" borderId="0" xfId="0" applyNumberFormat="1" applyFont="1" applyAlignment="1">
      <alignment horizontal="left"/>
    </xf>
    <xf numFmtId="0" fontId="26" fillId="0" borderId="0" xfId="0" applyFont="1" applyAlignment="1">
      <alignment vertical="top" wrapText="1"/>
    </xf>
    <xf numFmtId="4" fontId="37" fillId="0" borderId="0" xfId="0" applyNumberFormat="1" applyFont="1" applyAlignment="1">
      <alignment horizontal="left"/>
    </xf>
    <xf numFmtId="0" fontId="19" fillId="0" borderId="0" xfId="0" applyFont="1" applyAlignment="1">
      <alignment horizontal="left" vertical="center" wrapText="1"/>
    </xf>
    <xf numFmtId="0" fontId="19" fillId="0" borderId="0" xfId="569" applyAlignment="1">
      <alignment horizontal="left" wrapText="1"/>
    </xf>
    <xf numFmtId="0" fontId="19" fillId="0" borderId="0" xfId="0" applyFont="1" applyAlignment="1">
      <alignment vertical="top" wrapText="1"/>
    </xf>
    <xf numFmtId="0" fontId="20" fillId="0" borderId="0" xfId="244" applyFill="1" applyBorder="1" applyAlignment="1">
      <alignment horizontal="left" vertical="top" wrapText="1"/>
    </xf>
    <xf numFmtId="0" fontId="37" fillId="0" borderId="0" xfId="569" applyFont="1" applyAlignment="1">
      <alignment horizontal="left" vertical="top"/>
    </xf>
    <xf numFmtId="0" fontId="37" fillId="0" borderId="0" xfId="0" applyFont="1" applyAlignment="1">
      <alignment horizontal="left" vertical="top"/>
    </xf>
    <xf numFmtId="0" fontId="28" fillId="45" borderId="3" xfId="0" applyFont="1" applyFill="1" applyBorder="1" applyAlignment="1">
      <alignment horizontal="center"/>
    </xf>
    <xf numFmtId="0" fontId="28" fillId="45" borderId="4" xfId="0" applyFont="1" applyFill="1" applyBorder="1" applyAlignment="1">
      <alignment horizontal="center"/>
    </xf>
    <xf numFmtId="0" fontId="28" fillId="45" borderId="5" xfId="0" applyFont="1" applyFill="1" applyBorder="1" applyAlignment="1">
      <alignment horizontal="center"/>
    </xf>
    <xf numFmtId="0" fontId="28" fillId="0" borderId="3" xfId="0" applyFont="1" applyBorder="1" applyAlignment="1">
      <alignment horizontal="center"/>
    </xf>
    <xf numFmtId="0" fontId="28" fillId="0" borderId="4" xfId="0" applyFont="1" applyBorder="1" applyAlignment="1">
      <alignment horizontal="center"/>
    </xf>
    <xf numFmtId="0" fontId="28" fillId="0" borderId="5" xfId="0" applyFont="1" applyBorder="1" applyAlignment="1">
      <alignment horizontal="center"/>
    </xf>
    <xf numFmtId="0" fontId="42" fillId="0" borderId="3" xfId="0" applyFont="1" applyBorder="1" applyAlignment="1">
      <alignment horizontal="center"/>
    </xf>
    <xf numFmtId="0" fontId="42" fillId="0" borderId="4" xfId="0" applyFont="1" applyBorder="1" applyAlignment="1">
      <alignment horizontal="center"/>
    </xf>
    <xf numFmtId="0" fontId="42" fillId="0" borderId="5" xfId="0" applyFont="1" applyBorder="1" applyAlignment="1">
      <alignment horizontal="center"/>
    </xf>
    <xf numFmtId="0" fontId="0" fillId="5" borderId="4" xfId="0" applyFill="1" applyBorder="1" applyAlignment="1" applyProtection="1">
      <alignment horizontal="left"/>
      <protection locked="0"/>
    </xf>
    <xf numFmtId="0" fontId="0" fillId="5" borderId="6" xfId="0" applyFill="1" applyBorder="1" applyAlignment="1" applyProtection="1">
      <alignment horizontal="left"/>
      <protection locked="0"/>
    </xf>
    <xf numFmtId="168" fontId="186" fillId="0" borderId="105" xfId="543" applyNumberFormat="1" applyFont="1" applyBorder="1" applyAlignment="1">
      <alignment horizontal="right" vertical="center" wrapText="1"/>
    </xf>
    <xf numFmtId="175" fontId="186" fillId="0" borderId="107" xfId="543" applyNumberFormat="1" applyFont="1" applyBorder="1" applyAlignment="1">
      <alignment horizontal="center" vertical="center" wrapText="1"/>
    </xf>
    <xf numFmtId="175" fontId="186" fillId="0" borderId="108" xfId="543" applyNumberFormat="1" applyFont="1" applyBorder="1" applyAlignment="1">
      <alignment horizontal="center" vertical="center" wrapText="1"/>
    </xf>
    <xf numFmtId="175" fontId="186" fillId="0" borderId="109" xfId="543" applyNumberFormat="1" applyFont="1" applyBorder="1" applyAlignment="1">
      <alignment horizontal="center" vertical="center" wrapText="1"/>
    </xf>
    <xf numFmtId="0" fontId="185"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19" fillId="0" borderId="3" xfId="0" applyFont="1" applyBorder="1" applyAlignment="1">
      <alignment horizontal="center"/>
    </xf>
    <xf numFmtId="0" fontId="19" fillId="0" borderId="4" xfId="0" applyFont="1" applyBorder="1" applyAlignment="1">
      <alignment horizontal="center"/>
    </xf>
    <xf numFmtId="0" fontId="19" fillId="0" borderId="5" xfId="0" applyFont="1" applyBorder="1" applyAlignment="1">
      <alignment horizontal="center"/>
    </xf>
    <xf numFmtId="0" fontId="28" fillId="45" borderId="11" xfId="0" applyFont="1" applyFill="1" applyBorder="1" applyAlignment="1">
      <alignment horizontal="center"/>
    </xf>
    <xf numFmtId="0" fontId="28" fillId="5" borderId="3" xfId="0" applyFont="1" applyFill="1" applyBorder="1" applyAlignment="1" applyProtection="1">
      <alignment horizontal="center"/>
      <protection locked="0"/>
    </xf>
    <xf numFmtId="0" fontId="28" fillId="5" borderId="4" xfId="0" applyFont="1" applyFill="1" applyBorder="1" applyAlignment="1" applyProtection="1">
      <alignment horizontal="center"/>
      <protection locked="0"/>
    </xf>
    <xf numFmtId="0" fontId="28" fillId="5" borderId="5" xfId="0" applyFont="1" applyFill="1" applyBorder="1" applyAlignment="1" applyProtection="1">
      <alignment horizontal="center"/>
      <protection locked="0"/>
    </xf>
    <xf numFmtId="0" fontId="19" fillId="0" borderId="11" xfId="0" applyFont="1" applyBorder="1" applyAlignment="1">
      <alignment horizontal="center"/>
    </xf>
    <xf numFmtId="0" fontId="28" fillId="2" borderId="11" xfId="0" applyFont="1" applyFill="1" applyBorder="1" applyAlignment="1">
      <alignment horizontal="center"/>
    </xf>
    <xf numFmtId="0" fontId="0" fillId="0" borderId="11" xfId="0" applyBorder="1" applyAlignment="1">
      <alignment horizontal="center"/>
    </xf>
    <xf numFmtId="3" fontId="28" fillId="5" borderId="11" xfId="0" applyNumberFormat="1" applyFont="1" applyFill="1" applyBorder="1" applyAlignment="1" applyProtection="1">
      <alignment horizontal="center"/>
      <protection locked="0"/>
    </xf>
    <xf numFmtId="10" fontId="28" fillId="0" borderId="11" xfId="0" applyNumberFormat="1" applyFont="1" applyBorder="1" applyAlignment="1">
      <alignment horizontal="center"/>
    </xf>
    <xf numFmtId="0" fontId="28" fillId="5" borderId="9" xfId="0" applyFont="1" applyFill="1" applyBorder="1" applyAlignment="1" applyProtection="1">
      <alignment horizontal="center"/>
      <protection locked="0"/>
    </xf>
    <xf numFmtId="0" fontId="28" fillId="5" borderId="6" xfId="0" applyFont="1" applyFill="1" applyBorder="1" applyAlignment="1" applyProtection="1">
      <alignment horizontal="center"/>
      <protection locked="0"/>
    </xf>
    <xf numFmtId="0" fontId="19" fillId="0" borderId="3" xfId="0" applyFont="1" applyBorder="1" applyAlignment="1">
      <alignment horizontal="left"/>
    </xf>
    <xf numFmtId="0" fontId="19" fillId="0" borderId="4" xfId="0" applyFont="1" applyBorder="1" applyAlignment="1">
      <alignment horizontal="left"/>
    </xf>
    <xf numFmtId="0" fontId="19" fillId="0" borderId="5" xfId="0" applyFont="1" applyBorder="1" applyAlignment="1">
      <alignment horizontal="left"/>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28" fillId="0" borderId="11" xfId="0" applyNumberFormat="1" applyFont="1" applyBorder="1" applyAlignment="1">
      <alignment horizontal="center"/>
    </xf>
    <xf numFmtId="168" fontId="158" fillId="0" borderId="0" xfId="0" applyNumberFormat="1" applyFont="1" applyAlignment="1">
      <alignment horizontal="center" vertical="center" wrapText="1"/>
    </xf>
    <xf numFmtId="168" fontId="28" fillId="0" borderId="3" xfId="0" applyNumberFormat="1" applyFont="1" applyBorder="1" applyAlignment="1">
      <alignment horizontal="left" vertical="top"/>
    </xf>
    <xf numFmtId="168" fontId="28" fillId="0" borderId="4" xfId="0" applyNumberFormat="1" applyFont="1" applyBorder="1" applyAlignment="1">
      <alignment horizontal="left" vertical="top"/>
    </xf>
    <xf numFmtId="168" fontId="28" fillId="0" borderId="5" xfId="0" applyNumberFormat="1" applyFont="1" applyBorder="1" applyAlignment="1">
      <alignment horizontal="left" vertical="top"/>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68" fontId="19" fillId="0" borderId="3" xfId="0" applyNumberFormat="1" applyFont="1" applyBorder="1" applyAlignment="1">
      <alignment horizontal="left" vertical="top"/>
    </xf>
    <xf numFmtId="0" fontId="28" fillId="5" borderId="11" xfId="0" applyFont="1" applyFill="1" applyBorder="1" applyAlignment="1" applyProtection="1">
      <alignment horizontal="center"/>
      <protection locked="0"/>
    </xf>
    <xf numFmtId="0" fontId="26" fillId="0" borderId="3" xfId="0" applyFont="1" applyBorder="1" applyAlignment="1">
      <alignment horizontal="center"/>
    </xf>
    <xf numFmtId="0" fontId="26" fillId="0" borderId="4" xfId="0" applyFont="1" applyBorder="1" applyAlignment="1">
      <alignment horizontal="center"/>
    </xf>
    <xf numFmtId="0" fontId="26" fillId="0" borderId="5" xfId="0" applyFont="1" applyBorder="1" applyAlignment="1">
      <alignment horizontal="center"/>
    </xf>
    <xf numFmtId="1" fontId="28" fillId="5" borderId="3" xfId="0" applyNumberFormat="1" applyFont="1" applyFill="1" applyBorder="1" applyAlignment="1" applyProtection="1">
      <alignment horizontal="right" vertical="top"/>
      <protection locked="0"/>
    </xf>
    <xf numFmtId="1" fontId="28" fillId="5" borderId="4" xfId="0" applyNumberFormat="1" applyFont="1" applyFill="1" applyBorder="1" applyAlignment="1" applyProtection="1">
      <alignment horizontal="right" vertical="top"/>
      <protection locked="0"/>
    </xf>
    <xf numFmtId="1" fontId="28" fillId="5" borderId="5" xfId="0" applyNumberFormat="1" applyFont="1" applyFill="1" applyBorder="1" applyAlignment="1" applyProtection="1">
      <alignment horizontal="right" vertical="top"/>
      <protection locked="0"/>
    </xf>
    <xf numFmtId="168" fontId="28" fillId="0" borderId="3" xfId="0" applyNumberFormat="1" applyFont="1" applyBorder="1" applyAlignment="1">
      <alignment horizontal="center"/>
    </xf>
    <xf numFmtId="168" fontId="28" fillId="0" borderId="4" xfId="0" applyNumberFormat="1" applyFont="1" applyBorder="1" applyAlignment="1">
      <alignment horizontal="center"/>
    </xf>
    <xf numFmtId="168" fontId="28" fillId="0" borderId="5" xfId="0" applyNumberFormat="1" applyFont="1" applyBorder="1" applyAlignment="1">
      <alignment horizontal="center"/>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0" fillId="0" borderId="0" xfId="0" applyAlignment="1">
      <alignment horizontal="center"/>
    </xf>
    <xf numFmtId="0" fontId="0" fillId="0" borderId="12" xfId="0" applyBorder="1" applyAlignment="1">
      <alignment horizontal="center"/>
    </xf>
    <xf numFmtId="1" fontId="0" fillId="5" borderId="3" xfId="0" applyNumberFormat="1" applyFill="1" applyBorder="1" applyAlignment="1" applyProtection="1">
      <alignment horizontal="center" vertic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9"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19" fillId="5" borderId="11" xfId="0" applyFont="1" applyFill="1" applyBorder="1" applyAlignment="1" applyProtection="1">
      <alignment vertical="center" wrapText="1"/>
      <protection locked="0"/>
    </xf>
    <xf numFmtId="0" fontId="26" fillId="0" borderId="1" xfId="0" applyFont="1" applyBorder="1" applyAlignment="1">
      <alignment horizontal="center" vertical="center" wrapText="1"/>
    </xf>
    <xf numFmtId="0" fontId="26" fillId="0" borderId="2" xfId="0" applyFont="1" applyBorder="1" applyAlignment="1">
      <alignment horizontal="center" vertical="center" wrapText="1"/>
    </xf>
    <xf numFmtId="0" fontId="26" fillId="0" borderId="7" xfId="0" applyFont="1" applyBorder="1" applyAlignment="1">
      <alignment horizontal="center" vertical="center" wrapText="1"/>
    </xf>
    <xf numFmtId="0" fontId="26" fillId="0" borderId="8" xfId="0" applyFont="1" applyBorder="1" applyAlignment="1">
      <alignment horizontal="center" vertical="center" wrapText="1"/>
    </xf>
    <xf numFmtId="0" fontId="26" fillId="0" borderId="0" xfId="0" applyFont="1" applyAlignment="1">
      <alignment horizontal="center" vertical="center" wrapText="1"/>
    </xf>
    <xf numFmtId="0" fontId="26" fillId="0" borderId="12" xfId="0" applyFont="1" applyBorder="1" applyAlignment="1">
      <alignment horizontal="center" vertical="center" wrapText="1"/>
    </xf>
    <xf numFmtId="0" fontId="26" fillId="0" borderId="9" xfId="0" applyFont="1" applyBorder="1" applyAlignment="1">
      <alignment horizontal="center" vertical="center" wrapText="1"/>
    </xf>
    <xf numFmtId="0" fontId="26" fillId="0" borderId="6" xfId="0" applyFont="1" applyBorder="1" applyAlignment="1">
      <alignment horizontal="center" vertical="center" wrapText="1"/>
    </xf>
    <xf numFmtId="0" fontId="26" fillId="0" borderId="10" xfId="0" applyFont="1" applyBorder="1" applyAlignment="1">
      <alignment horizontal="center" vertical="center" wrapText="1"/>
    </xf>
    <xf numFmtId="180" fontId="27" fillId="43" borderId="3" xfId="0" applyNumberFormat="1" applyFont="1" applyFill="1" applyBorder="1" applyAlignment="1" applyProtection="1">
      <alignment horizontal="center" vertical="center"/>
      <protection locked="0"/>
    </xf>
    <xf numFmtId="180" fontId="27" fillId="43" borderId="4" xfId="0" applyNumberFormat="1" applyFont="1" applyFill="1" applyBorder="1" applyAlignment="1" applyProtection="1">
      <alignment horizontal="center" vertical="center"/>
      <protection locked="0"/>
    </xf>
    <xf numFmtId="180" fontId="27" fillId="43" borderId="5" xfId="0" applyNumberFormat="1" applyFont="1" applyFill="1" applyBorder="1" applyAlignment="1" applyProtection="1">
      <alignment horizontal="center" vertical="center"/>
      <protection locked="0"/>
    </xf>
    <xf numFmtId="168" fontId="19" fillId="0" borderId="4" xfId="0" applyNumberFormat="1" applyFont="1" applyBorder="1" applyAlignment="1">
      <alignment horizontal="left" vertical="top"/>
    </xf>
    <xf numFmtId="168" fontId="19" fillId="0" borderId="5" xfId="0" applyNumberFormat="1" applyFont="1" applyBorder="1" applyAlignment="1">
      <alignment horizontal="left" vertical="top"/>
    </xf>
    <xf numFmtId="168" fontId="19" fillId="43" borderId="3" xfId="0" applyNumberFormat="1" applyFont="1" applyFill="1" applyBorder="1" applyAlignment="1" applyProtection="1">
      <alignment horizontal="center" vertical="center"/>
      <protection locked="0"/>
    </xf>
    <xf numFmtId="168" fontId="19" fillId="43" borderId="4" xfId="0" applyNumberFormat="1" applyFont="1" applyFill="1" applyBorder="1" applyAlignment="1" applyProtection="1">
      <alignment horizontal="center" vertical="center"/>
      <protection locked="0"/>
    </xf>
    <xf numFmtId="168" fontId="19" fillId="43" borderId="5" xfId="0" applyNumberFormat="1" applyFont="1" applyFill="1" applyBorder="1" applyAlignment="1" applyProtection="1">
      <alignment horizontal="center" vertical="center"/>
      <protection locked="0"/>
    </xf>
    <xf numFmtId="175" fontId="19" fillId="43" borderId="3" xfId="0" applyNumberFormat="1" applyFont="1" applyFill="1" applyBorder="1" applyAlignment="1" applyProtection="1">
      <alignment horizontal="center" vertical="center"/>
      <protection locked="0"/>
    </xf>
    <xf numFmtId="175" fontId="19" fillId="43" borderId="4" xfId="0" applyNumberFormat="1" applyFont="1" applyFill="1" applyBorder="1" applyAlignment="1" applyProtection="1">
      <alignment horizontal="center" vertical="center"/>
      <protection locked="0"/>
    </xf>
    <xf numFmtId="175" fontId="19" fillId="43" borderId="5" xfId="0" applyNumberFormat="1" applyFont="1" applyFill="1" applyBorder="1" applyAlignment="1" applyProtection="1">
      <alignment horizontal="center" vertical="center"/>
      <protection locked="0"/>
    </xf>
    <xf numFmtId="0" fontId="19" fillId="5" borderId="11" xfId="0" applyFont="1" applyFill="1" applyBorder="1" applyAlignment="1" applyProtection="1">
      <alignment horizontal="left" vertical="center" wrapText="1"/>
      <protection locked="0"/>
    </xf>
    <xf numFmtId="0" fontId="0" fillId="5" borderId="6" xfId="0" applyFill="1" applyBorder="1" applyAlignment="1" applyProtection="1">
      <alignment horizontal="center"/>
      <protection locked="0"/>
    </xf>
    <xf numFmtId="0" fontId="28" fillId="5" borderId="6" xfId="0" applyFont="1" applyFill="1" applyBorder="1" applyAlignment="1" applyProtection="1">
      <alignment horizontal="left"/>
      <protection locked="0"/>
    </xf>
    <xf numFmtId="166" fontId="28" fillId="5" borderId="4" xfId="0" applyNumberFormat="1" applyFont="1" applyFill="1" applyBorder="1" applyAlignment="1" applyProtection="1">
      <alignment horizontal="left"/>
      <protection locked="0"/>
    </xf>
    <xf numFmtId="0" fontId="28" fillId="5" borderId="0" xfId="0" applyFont="1" applyFill="1" applyAlignment="1" applyProtection="1">
      <alignment horizontal="left" vertical="top" wrapText="1"/>
      <protection locked="0"/>
    </xf>
    <xf numFmtId="0" fontId="28" fillId="5" borderId="6" xfId="0" applyFont="1" applyFill="1" applyBorder="1" applyAlignment="1" applyProtection="1">
      <alignment horizontal="left" vertical="top" wrapText="1"/>
      <protection locked="0"/>
    </xf>
    <xf numFmtId="1" fontId="0" fillId="5" borderId="6" xfId="0" applyNumberFormat="1" applyFill="1" applyBorder="1" applyAlignment="1" applyProtection="1">
      <alignment horizontal="center"/>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0" fillId="0" borderId="6" xfId="0" applyBorder="1" applyAlignment="1" applyProtection="1">
      <alignment horizontal="center"/>
      <protection locked="0"/>
    </xf>
    <xf numFmtId="0" fontId="19" fillId="5" borderId="4" xfId="0" applyFont="1" applyFill="1" applyBorder="1" applyAlignment="1" applyProtection="1">
      <alignment horizontal="left"/>
      <protection locked="0"/>
    </xf>
    <xf numFmtId="3" fontId="0" fillId="0" borderId="6" xfId="0" applyNumberFormat="1" applyBorder="1" applyAlignment="1">
      <alignment horizontal="right"/>
    </xf>
    <xf numFmtId="1" fontId="28" fillId="5" borderId="11" xfId="0" quotePrefix="1" applyNumberFormat="1" applyFont="1" applyFill="1" applyBorder="1" applyAlignment="1" applyProtection="1">
      <alignment horizontal="center"/>
      <protection locked="0"/>
    </xf>
    <xf numFmtId="1" fontId="28" fillId="5" borderId="11" xfId="0" applyNumberFormat="1" applyFont="1" applyFill="1" applyBorder="1" applyAlignment="1" applyProtection="1">
      <alignment horizontal="center"/>
      <protection locked="0"/>
    </xf>
    <xf numFmtId="0" fontId="19" fillId="43" borderId="4" xfId="0" applyFont="1" applyFill="1" applyBorder="1" applyAlignment="1" applyProtection="1">
      <alignment horizontal="left" wrapText="1"/>
      <protection locked="0"/>
    </xf>
    <xf numFmtId="1" fontId="28" fillId="5" borderId="6" xfId="0" applyNumberFormat="1" applyFont="1" applyFill="1" applyBorder="1" applyAlignment="1" applyProtection="1">
      <alignment horizontal="right"/>
      <protection locked="0"/>
    </xf>
    <xf numFmtId="0" fontId="27" fillId="5" borderId="3" xfId="0" applyFont="1" applyFill="1" applyBorder="1" applyAlignment="1" applyProtection="1">
      <alignment horizontal="center"/>
      <protection locked="0"/>
    </xf>
    <xf numFmtId="0" fontId="27" fillId="5" borderId="4" xfId="0" applyFont="1" applyFill="1" applyBorder="1" applyAlignment="1" applyProtection="1">
      <alignment horizontal="center"/>
      <protection locked="0"/>
    </xf>
    <xf numFmtId="0" fontId="27" fillId="5" borderId="5" xfId="0" applyFont="1" applyFill="1" applyBorder="1" applyAlignment="1" applyProtection="1">
      <alignment horizontal="center"/>
      <protection locked="0"/>
    </xf>
    <xf numFmtId="175" fontId="0" fillId="5" borderId="4" xfId="0" applyNumberFormat="1" applyFill="1" applyBorder="1" applyAlignment="1" applyProtection="1">
      <alignment horizontal="left" vertical="center" wrapText="1"/>
      <protection locked="0"/>
    </xf>
    <xf numFmtId="0" fontId="19" fillId="5" borderId="4" xfId="0" applyFont="1" applyFill="1" applyBorder="1" applyAlignment="1" applyProtection="1">
      <alignment wrapText="1"/>
      <protection locked="0"/>
    </xf>
    <xf numFmtId="0" fontId="28" fillId="5" borderId="4" xfId="0" applyFont="1" applyFill="1" applyBorder="1" applyAlignment="1" applyProtection="1">
      <alignment wrapText="1"/>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75" fontId="19" fillId="43" borderId="3" xfId="0" applyNumberFormat="1" applyFont="1" applyFill="1" applyBorder="1" applyAlignment="1" applyProtection="1">
      <alignment horizontal="center"/>
      <protection locked="0"/>
    </xf>
    <xf numFmtId="175" fontId="19" fillId="43" borderId="4" xfId="0" applyNumberFormat="1" applyFont="1" applyFill="1" applyBorder="1" applyAlignment="1" applyProtection="1">
      <alignment horizontal="center"/>
      <protection locked="0"/>
    </xf>
    <xf numFmtId="175" fontId="19" fillId="43" borderId="5" xfId="0" applyNumberFormat="1" applyFont="1" applyFill="1" applyBorder="1" applyAlignment="1" applyProtection="1">
      <alignment horizontal="center"/>
      <protection locked="0"/>
    </xf>
    <xf numFmtId="0" fontId="0" fillId="0" borderId="6" xfId="0" applyBorder="1" applyAlignment="1">
      <alignment horizontal="left"/>
    </xf>
    <xf numFmtId="0" fontId="26" fillId="0" borderId="11" xfId="0" applyFont="1" applyBorder="1" applyAlignment="1">
      <alignment horizontal="center" vertic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19" fillId="0" borderId="3" xfId="543" applyBorder="1" applyAlignment="1">
      <alignment horizontal="center"/>
    </xf>
    <xf numFmtId="0" fontId="19" fillId="0" borderId="4" xfId="543" applyBorder="1" applyAlignment="1">
      <alignment horizontal="center"/>
    </xf>
    <xf numFmtId="0" fontId="19" fillId="0" borderId="5" xfId="543" applyBorder="1" applyAlignment="1">
      <alignment horizontal="center"/>
    </xf>
    <xf numFmtId="165" fontId="28" fillId="0" borderId="1" xfId="0" applyNumberFormat="1" applyFont="1" applyBorder="1" applyAlignment="1">
      <alignment horizontal="right"/>
    </xf>
    <xf numFmtId="165" fontId="28" fillId="0" borderId="2" xfId="0" applyNumberFormat="1" applyFont="1" applyBorder="1" applyAlignment="1">
      <alignment horizontal="right"/>
    </xf>
    <xf numFmtId="165" fontId="28" fillId="0" borderId="7" xfId="0" applyNumberFormat="1" applyFont="1" applyBorder="1" applyAlignment="1">
      <alignment horizontal="right"/>
    </xf>
    <xf numFmtId="168" fontId="28" fillId="5" borderId="3" xfId="0" applyNumberFormat="1" applyFont="1" applyFill="1" applyBorder="1" applyAlignment="1" applyProtection="1">
      <alignment horizontal="center"/>
      <protection locked="0"/>
    </xf>
    <xf numFmtId="168" fontId="28" fillId="5" borderId="4" xfId="0" applyNumberFormat="1" applyFont="1" applyFill="1" applyBorder="1" applyAlignment="1" applyProtection="1">
      <alignment horizontal="center"/>
      <protection locked="0"/>
    </xf>
    <xf numFmtId="168" fontId="28" fillId="5" borderId="5" xfId="0" applyNumberFormat="1" applyFont="1" applyFill="1" applyBorder="1" applyAlignment="1" applyProtection="1">
      <alignment horizontal="center"/>
      <protection locked="0"/>
    </xf>
    <xf numFmtId="0" fontId="28" fillId="5" borderId="4" xfId="0" applyFont="1" applyFill="1" applyBorder="1" applyAlignment="1" applyProtection="1">
      <alignment horizontal="left"/>
      <protection locked="0"/>
    </xf>
    <xf numFmtId="0" fontId="19" fillId="5" borderId="6" xfId="0" applyFont="1" applyFill="1" applyBorder="1" applyAlignment="1" applyProtection="1">
      <alignment horizontal="left"/>
      <protection locked="0"/>
    </xf>
    <xf numFmtId="0" fontId="26" fillId="0" borderId="3" xfId="0" applyFont="1" applyBorder="1" applyAlignment="1">
      <alignment horizontal="right"/>
    </xf>
    <xf numFmtId="0" fontId="26" fillId="0" borderId="4" xfId="0" applyFont="1" applyBorder="1" applyAlignment="1">
      <alignment horizontal="right"/>
    </xf>
    <xf numFmtId="0" fontId="26" fillId="0" borderId="6" xfId="0" applyFont="1" applyBorder="1" applyAlignment="1">
      <alignment horizontal="right"/>
    </xf>
    <xf numFmtId="0" fontId="26" fillId="0" borderId="5" xfId="0" applyFont="1" applyBorder="1" applyAlignment="1">
      <alignment horizontal="right"/>
    </xf>
    <xf numFmtId="0" fontId="19"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9" fontId="28" fillId="5" borderId="3" xfId="0" applyNumberFormat="1" applyFont="1" applyFill="1" applyBorder="1" applyAlignment="1" applyProtection="1">
      <alignment horizontal="center"/>
      <protection locked="0"/>
    </xf>
    <xf numFmtId="9" fontId="28" fillId="5" borderId="4" xfId="0" applyNumberFormat="1" applyFont="1" applyFill="1" applyBorder="1" applyAlignment="1" applyProtection="1">
      <alignment horizontal="center"/>
      <protection locked="0"/>
    </xf>
    <xf numFmtId="9" fontId="28" fillId="5" borderId="5" xfId="0" applyNumberFormat="1" applyFont="1" applyFill="1" applyBorder="1" applyAlignment="1" applyProtection="1">
      <alignment horizontal="center"/>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9" fillId="5" borderId="11" xfId="0" applyFont="1" applyFill="1" applyBorder="1" applyAlignment="1" applyProtection="1">
      <alignment horizontal="left" wrapText="1"/>
      <protection locked="0"/>
    </xf>
    <xf numFmtId="168" fontId="28" fillId="5" borderId="6" xfId="0" applyNumberFormat="1" applyFont="1" applyFill="1" applyBorder="1" applyAlignment="1" applyProtection="1">
      <alignment horizontal="right"/>
      <protection locked="0"/>
    </xf>
    <xf numFmtId="0" fontId="38" fillId="5" borderId="6" xfId="0" applyFont="1" applyFill="1" applyBorder="1" applyAlignment="1" applyProtection="1">
      <alignment horizontal="left"/>
      <protection locked="0"/>
    </xf>
    <xf numFmtId="168" fontId="0" fillId="43" borderId="6" xfId="0" applyNumberFormat="1" applyFill="1" applyBorder="1" applyAlignment="1" applyProtection="1">
      <alignment horizontal="right"/>
      <protection locked="0"/>
    </xf>
    <xf numFmtId="0" fontId="27" fillId="43" borderId="6" xfId="0" applyFont="1" applyFill="1" applyBorder="1" applyAlignment="1" applyProtection="1">
      <alignment horizontal="left"/>
      <protection locked="0"/>
    </xf>
    <xf numFmtId="14" fontId="19" fillId="5" borderId="4" xfId="0" applyNumberFormat="1" applyFont="1" applyFill="1" applyBorder="1" applyAlignment="1" applyProtection="1">
      <alignment horizontal="right"/>
      <protection locked="0"/>
    </xf>
    <xf numFmtId="0" fontId="0" fillId="5" borderId="4" xfId="0" applyFill="1" applyBorder="1" applyAlignment="1" applyProtection="1">
      <alignment horizontal="right"/>
      <protection locked="0"/>
    </xf>
    <xf numFmtId="172" fontId="0" fillId="5" borderId="6" xfId="0" applyNumberFormat="1" applyFill="1" applyBorder="1" applyAlignment="1" applyProtection="1">
      <alignment horizontal="center"/>
      <protection locked="0"/>
    </xf>
    <xf numFmtId="3" fontId="28" fillId="0" borderId="11" xfId="0" applyNumberFormat="1" applyFont="1" applyBorder="1" applyAlignment="1">
      <alignment horizontal="center"/>
    </xf>
    <xf numFmtId="2" fontId="0" fillId="0" borderId="6" xfId="0" applyNumberFormat="1" applyBorder="1" applyAlignment="1">
      <alignment horizontal="center"/>
    </xf>
    <xf numFmtId="178" fontId="28" fillId="5" borderId="4" xfId="0" applyNumberFormat="1" applyFon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49" fontId="0" fillId="5" borderId="6" xfId="0" applyNumberFormat="1" applyFill="1" applyBorder="1" applyAlignment="1" applyProtection="1">
      <alignment horizontal="center"/>
      <protection locked="0"/>
    </xf>
    <xf numFmtId="0" fontId="28" fillId="5" borderId="4" xfId="0" applyFont="1" applyFill="1" applyBorder="1" applyAlignment="1" applyProtection="1">
      <alignment horizontal="right"/>
      <protection locked="0"/>
    </xf>
    <xf numFmtId="168" fontId="28" fillId="5" borderId="4" xfId="0" applyNumberFormat="1" applyFont="1" applyFill="1" applyBorder="1" applyAlignment="1" applyProtection="1">
      <alignment horizontal="right"/>
      <protection locked="0"/>
    </xf>
    <xf numFmtId="14" fontId="0" fillId="5" borderId="6" xfId="0" applyNumberFormat="1" applyFill="1" applyBorder="1" applyAlignment="1" applyProtection="1">
      <alignment horizontal="center"/>
      <protection locked="0"/>
    </xf>
    <xf numFmtId="0" fontId="19" fillId="5" borderId="6" xfId="244" applyFont="1" applyFill="1" applyBorder="1" applyAlignment="1" applyProtection="1">
      <alignment horizontal="left"/>
      <protection locked="0"/>
    </xf>
    <xf numFmtId="0" fontId="19" fillId="5" borderId="0" xfId="244" applyFont="1" applyFill="1" applyBorder="1" applyAlignment="1" applyProtection="1">
      <alignment horizontal="left"/>
      <protection locked="0"/>
    </xf>
    <xf numFmtId="0" fontId="28" fillId="5" borderId="6" xfId="0" applyFont="1" applyFill="1" applyBorder="1" applyAlignment="1" applyProtection="1">
      <alignment horizontal="left" wrapText="1"/>
      <protection locked="0"/>
    </xf>
    <xf numFmtId="166" fontId="28" fillId="5" borderId="6" xfId="0" applyNumberFormat="1" applyFont="1" applyFill="1" applyBorder="1" applyAlignment="1" applyProtection="1">
      <alignment horizontal="left"/>
      <protection locked="0"/>
    </xf>
    <xf numFmtId="166" fontId="19" fillId="5" borderId="4" xfId="0" applyNumberFormat="1" applyFont="1" applyFill="1" applyBorder="1" applyAlignment="1" applyProtection="1">
      <alignment horizontal="left"/>
      <protection locked="0"/>
    </xf>
    <xf numFmtId="0" fontId="0" fillId="0" borderId="0" xfId="0" applyAlignment="1">
      <alignment wrapText="1"/>
    </xf>
    <xf numFmtId="0" fontId="28" fillId="0" borderId="0" xfId="0" applyFont="1" applyAlignment="1">
      <alignment horizontal="left" vertical="top" wrapText="1"/>
    </xf>
    <xf numFmtId="0" fontId="155" fillId="0" borderId="0" xfId="0" applyFont="1" applyAlignment="1" applyProtection="1">
      <alignment horizontal="left" vertical="top" wrapText="1"/>
      <protection locked="0"/>
    </xf>
    <xf numFmtId="0" fontId="19" fillId="0" borderId="6" xfId="0" applyFont="1" applyBorder="1" applyAlignment="1" applyProtection="1">
      <alignment horizontal="center"/>
      <protection locked="0"/>
    </xf>
    <xf numFmtId="0" fontId="19" fillId="0" borderId="6" xfId="0" applyFont="1" applyBorder="1" applyAlignment="1" applyProtection="1">
      <alignment horizontal="left"/>
      <protection locked="0"/>
    </xf>
    <xf numFmtId="0" fontId="20" fillId="0" borderId="0" xfId="244" applyFill="1" applyAlignment="1" applyProtection="1">
      <alignment horizontal="left"/>
      <protection locked="0"/>
    </xf>
    <xf numFmtId="168" fontId="19" fillId="0" borderId="6" xfId="0" applyNumberFormat="1" applyFont="1" applyBorder="1" applyAlignment="1">
      <alignment horizontal="center"/>
    </xf>
    <xf numFmtId="168" fontId="0" fillId="0" borderId="6" xfId="0" applyNumberFormat="1" applyBorder="1" applyAlignment="1">
      <alignment horizontal="center"/>
    </xf>
    <xf numFmtId="0" fontId="0" fillId="43" borderId="6" xfId="0" applyFill="1" applyBorder="1" applyAlignment="1" applyProtection="1">
      <alignment horizontal="left" vertical="top" wrapText="1"/>
      <protection locked="0"/>
    </xf>
    <xf numFmtId="0" fontId="28" fillId="43" borderId="6" xfId="0" applyFont="1" applyFill="1" applyBorder="1" applyAlignment="1" applyProtection="1">
      <alignment horizontal="left"/>
      <protection locked="0"/>
    </xf>
    <xf numFmtId="0" fontId="19" fillId="0" borderId="6" xfId="0" applyFont="1" applyBorder="1" applyAlignment="1">
      <alignment horizontal="left"/>
    </xf>
    <xf numFmtId="0" fontId="0" fillId="0" borderId="0" xfId="0" applyAlignment="1">
      <alignment vertical="top" wrapText="1"/>
    </xf>
    <xf numFmtId="0" fontId="19" fillId="0" borderId="0" xfId="271" applyFont="1" applyAlignment="1">
      <alignment horizontal="left" vertical="top" wrapText="1"/>
    </xf>
    <xf numFmtId="174" fontId="0" fillId="5" borderId="4" xfId="0" applyNumberFormat="1" applyFill="1" applyBorder="1" applyAlignment="1" applyProtection="1">
      <alignment horizontal="left"/>
      <protection locked="0"/>
    </xf>
    <xf numFmtId="0" fontId="28"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25" fillId="3" borderId="0" xfId="0" applyFont="1" applyFill="1" applyAlignment="1">
      <alignment horizontal="center" vertical="center"/>
    </xf>
    <xf numFmtId="0" fontId="19" fillId="0" borderId="4" xfId="0" applyFont="1" applyBorder="1" applyAlignment="1" applyProtection="1">
      <alignment horizontal="left"/>
      <protection locked="0"/>
    </xf>
    <xf numFmtId="0" fontId="28" fillId="0" borderId="4" xfId="0" applyFont="1" applyBorder="1" applyAlignment="1" applyProtection="1">
      <alignment horizontal="left"/>
      <protection locked="0"/>
    </xf>
    <xf numFmtId="0" fontId="19" fillId="43" borderId="6" xfId="0" applyFont="1" applyFill="1" applyBorder="1" applyAlignment="1" applyProtection="1">
      <alignment vertical="center"/>
      <protection locked="0"/>
    </xf>
    <xf numFmtId="0" fontId="19" fillId="0" borderId="0" xfId="0" applyFont="1" applyAlignment="1">
      <alignment wrapText="1"/>
    </xf>
    <xf numFmtId="0" fontId="19" fillId="0" borderId="0" xfId="0" applyFont="1" applyAlignment="1" applyProtection="1">
      <alignment horizontal="left"/>
      <protection locked="0"/>
    </xf>
    <xf numFmtId="166" fontId="19" fillId="5" borderId="6" xfId="271" applyNumberFormat="1" applyFont="1" applyFill="1" applyBorder="1" applyAlignment="1" applyProtection="1">
      <alignment horizontal="left"/>
      <protection locked="0"/>
    </xf>
    <xf numFmtId="166" fontId="28" fillId="5" borderId="6" xfId="271"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9" fontId="27" fillId="0" borderId="3" xfId="4494" applyFont="1" applyBorder="1" applyAlignment="1" applyProtection="1">
      <alignment horizontal="center"/>
    </xf>
    <xf numFmtId="9" fontId="27" fillId="0" borderId="5" xfId="4494" applyFont="1" applyBorder="1" applyAlignment="1" applyProtection="1">
      <alignment horizontal="center"/>
    </xf>
    <xf numFmtId="0" fontId="0" fillId="5" borderId="6" xfId="0" applyFill="1" applyBorder="1" applyProtection="1">
      <protection locked="0"/>
    </xf>
    <xf numFmtId="166" fontId="0" fillId="5" borderId="6" xfId="0" applyNumberFormat="1" applyFill="1" applyBorder="1" applyAlignment="1" applyProtection="1">
      <alignment horizontal="left"/>
      <protection locked="0"/>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19" fillId="5" borderId="6" xfId="0" applyFont="1" applyFill="1" applyBorder="1" applyAlignment="1" applyProtection="1">
      <alignment horizontal="left" wrapText="1"/>
      <protection locked="0"/>
    </xf>
    <xf numFmtId="166" fontId="19" fillId="5" borderId="6" xfId="0" applyNumberFormat="1" applyFont="1" applyFill="1" applyBorder="1" applyAlignment="1" applyProtection="1">
      <alignment horizontal="left"/>
      <protection locked="0"/>
    </xf>
    <xf numFmtId="0" fontId="19" fillId="5" borderId="4" xfId="569" applyFill="1" applyBorder="1" applyAlignment="1" applyProtection="1">
      <alignment horizontal="left"/>
      <protection locked="0"/>
    </xf>
    <xf numFmtId="0" fontId="19" fillId="5" borderId="6" xfId="569" applyFill="1" applyBorder="1" applyAlignment="1" applyProtection="1">
      <alignment horizontal="left"/>
      <protection locked="0"/>
    </xf>
    <xf numFmtId="166" fontId="28" fillId="5" borderId="4" xfId="271" applyNumberFormat="1" applyFill="1" applyBorder="1" applyAlignment="1" applyProtection="1">
      <alignment horizontal="left"/>
      <protection locked="0"/>
    </xf>
    <xf numFmtId="0" fontId="28" fillId="0" borderId="6" xfId="0" applyFont="1" applyBorder="1" applyAlignment="1">
      <alignment horizontal="left"/>
    </xf>
    <xf numFmtId="0" fontId="19" fillId="0" borderId="3" xfId="271" applyFont="1" applyBorder="1" applyAlignment="1">
      <alignment horizontal="left"/>
    </xf>
    <xf numFmtId="0" fontId="19" fillId="0" borderId="4" xfId="271" applyFont="1" applyBorder="1" applyAlignment="1">
      <alignment horizontal="left"/>
    </xf>
    <xf numFmtId="0" fontId="19" fillId="0" borderId="5" xfId="271" applyFont="1" applyBorder="1" applyAlignment="1">
      <alignment horizontal="left"/>
    </xf>
    <xf numFmtId="165" fontId="28" fillId="5" borderId="3" xfId="0" applyNumberFormat="1" applyFont="1" applyFill="1" applyBorder="1" applyAlignment="1" applyProtection="1">
      <alignment horizontal="center"/>
      <protection locked="0"/>
    </xf>
    <xf numFmtId="165" fontId="28" fillId="5" borderId="4" xfId="0" applyNumberFormat="1" applyFont="1" applyFill="1" applyBorder="1" applyAlignment="1" applyProtection="1">
      <alignment horizontal="center"/>
      <protection locked="0"/>
    </xf>
    <xf numFmtId="165" fontId="28" fillId="5" borderId="5" xfId="0" applyNumberFormat="1" applyFont="1" applyFill="1" applyBorder="1" applyAlignment="1" applyProtection="1">
      <alignment horizontal="center"/>
      <protection locked="0"/>
    </xf>
    <xf numFmtId="0" fontId="26" fillId="0" borderId="6" xfId="0" applyFont="1" applyBorder="1" applyAlignment="1">
      <alignment horizontal="center"/>
    </xf>
    <xf numFmtId="0" fontId="26" fillId="0" borderId="10" xfId="0" applyFont="1" applyBorder="1" applyAlignment="1">
      <alignment horizontal="center"/>
    </xf>
    <xf numFmtId="0" fontId="0" fillId="43" borderId="10" xfId="0" applyFill="1" applyBorder="1" applyAlignment="1" applyProtection="1">
      <alignment horizontal="left"/>
      <protection locked="0"/>
    </xf>
    <xf numFmtId="168" fontId="55" fillId="0" borderId="2" xfId="0" applyNumberFormat="1" applyFont="1" applyBorder="1" applyAlignment="1">
      <alignment horizontal="left" vertical="top" wrapText="1"/>
    </xf>
    <xf numFmtId="168" fontId="55" fillId="0" borderId="0" xfId="0" applyNumberFormat="1" applyFont="1" applyAlignment="1">
      <alignment horizontal="left" vertical="top" wrapText="1"/>
    </xf>
    <xf numFmtId="10" fontId="28" fillId="5" borderId="4" xfId="0" applyNumberFormat="1" applyFont="1" applyFill="1" applyBorder="1" applyAlignment="1" applyProtection="1">
      <alignment horizontal="right"/>
      <protection locked="0"/>
    </xf>
    <xf numFmtId="0" fontId="27"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80" fontId="0" fillId="0" borderId="6" xfId="0" applyNumberFormat="1" applyBorder="1" applyAlignment="1">
      <alignment horizontal="center"/>
    </xf>
    <xf numFmtId="2" fontId="0" fillId="5" borderId="6" xfId="0" applyNumberFormat="1" applyFill="1" applyBorder="1" applyAlignment="1" applyProtection="1">
      <alignment horizontal="center"/>
      <protection locked="0"/>
    </xf>
    <xf numFmtId="168" fontId="28" fillId="5" borderId="3" xfId="0" applyNumberFormat="1" applyFont="1" applyFill="1" applyBorder="1" applyAlignment="1" applyProtection="1">
      <alignment horizontal="left" vertical="top"/>
      <protection locked="0"/>
    </xf>
    <xf numFmtId="168" fontId="28" fillId="5" borderId="4" xfId="0" applyNumberFormat="1" applyFont="1" applyFill="1" applyBorder="1" applyAlignment="1" applyProtection="1">
      <alignment horizontal="left" vertical="top"/>
      <protection locked="0"/>
    </xf>
    <xf numFmtId="168" fontId="28" fillId="5" borderId="5" xfId="0" applyNumberFormat="1" applyFont="1" applyFill="1" applyBorder="1" applyAlignment="1" applyProtection="1">
      <alignment horizontal="left" vertical="top"/>
      <protection locked="0"/>
    </xf>
    <xf numFmtId="0" fontId="0" fillId="0" borderId="6" xfId="0" applyBorder="1" applyAlignment="1">
      <alignment horizontal="center"/>
    </xf>
    <xf numFmtId="0" fontId="0" fillId="0" borderId="10" xfId="0" applyBorder="1" applyAlignment="1">
      <alignment horizontal="center"/>
    </xf>
    <xf numFmtId="172" fontId="26" fillId="0" borderId="11" xfId="0" applyNumberFormat="1" applyFont="1" applyBorder="1" applyAlignment="1">
      <alignment horizontal="center" vertical="center" wrapText="1"/>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26" fillId="0" borderId="11" xfId="0" applyFont="1" applyBorder="1" applyAlignment="1">
      <alignment horizontal="center" vertical="center" wrapText="1"/>
    </xf>
    <xf numFmtId="168" fontId="0" fillId="5" borderId="11" xfId="0" applyNumberFormat="1" applyFill="1" applyBorder="1" applyAlignment="1" applyProtection="1">
      <alignment horizontal="center"/>
      <protection locked="0"/>
    </xf>
    <xf numFmtId="1" fontId="28" fillId="5" borderId="3" xfId="0" applyNumberFormat="1" applyFont="1" applyFill="1" applyBorder="1" applyAlignment="1" applyProtection="1">
      <alignment horizontal="center"/>
      <protection locked="0"/>
    </xf>
    <xf numFmtId="1" fontId="28" fillId="5" borderId="4" xfId="0" applyNumberFormat="1" applyFont="1" applyFill="1" applyBorder="1" applyAlignment="1" applyProtection="1">
      <alignment horizontal="center"/>
      <protection locked="0"/>
    </xf>
    <xf numFmtId="1" fontId="28" fillId="5" borderId="5" xfId="0" applyNumberFormat="1" applyFont="1" applyFill="1" applyBorder="1" applyAlignment="1" applyProtection="1">
      <alignment horizontal="center"/>
      <protection locked="0"/>
    </xf>
    <xf numFmtId="168" fontId="0" fillId="0" borderId="11" xfId="0" applyNumberFormat="1" applyBorder="1" applyAlignment="1">
      <alignment horizontal="right"/>
    </xf>
    <xf numFmtId="0" fontId="19" fillId="43" borderId="11" xfId="0"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26" fillId="0" borderId="11" xfId="0" applyFont="1" applyBorder="1" applyAlignment="1">
      <alignment horizontal="center"/>
    </xf>
    <xf numFmtId="1" fontId="19" fillId="0" borderId="3" xfId="0" applyNumberFormat="1" applyFont="1" applyBorder="1" applyAlignment="1">
      <alignment horizontal="center"/>
    </xf>
    <xf numFmtId="1" fontId="28" fillId="0" borderId="4" xfId="0" applyNumberFormat="1" applyFont="1" applyBorder="1" applyAlignment="1">
      <alignment horizontal="center"/>
    </xf>
    <xf numFmtId="1" fontId="28" fillId="0" borderId="5" xfId="0" applyNumberFormat="1" applyFont="1" applyBorder="1" applyAlignment="1">
      <alignment horizontal="center"/>
    </xf>
    <xf numFmtId="0" fontId="28" fillId="5" borderId="6" xfId="271" applyFill="1" applyBorder="1" applyProtection="1">
      <protection locked="0"/>
    </xf>
    <xf numFmtId="0" fontId="28" fillId="0" borderId="1" xfId="0" applyFont="1" applyBorder="1" applyAlignment="1">
      <alignment horizontal="center" vertical="top" wrapText="1"/>
    </xf>
    <xf numFmtId="0" fontId="28" fillId="0" borderId="2" xfId="0" applyFont="1" applyBorder="1" applyAlignment="1">
      <alignment horizontal="center" vertical="top" wrapText="1"/>
    </xf>
    <xf numFmtId="0" fontId="28" fillId="0" borderId="7" xfId="0" applyFont="1" applyBorder="1" applyAlignment="1">
      <alignment horizontal="center" vertical="top" wrapText="1"/>
    </xf>
    <xf numFmtId="0" fontId="28" fillId="0" borderId="8" xfId="0" applyFont="1" applyBorder="1" applyAlignment="1">
      <alignment horizontal="center" vertical="top" wrapText="1"/>
    </xf>
    <xf numFmtId="0" fontId="28" fillId="0" borderId="0" xfId="0" applyFont="1" applyAlignment="1">
      <alignment horizontal="center" vertical="top" wrapText="1"/>
    </xf>
    <xf numFmtId="0" fontId="28" fillId="0" borderId="12" xfId="0" applyFont="1" applyBorder="1" applyAlignment="1">
      <alignment horizontal="center" vertical="top" wrapText="1"/>
    </xf>
    <xf numFmtId="0" fontId="28" fillId="0" borderId="9" xfId="0" applyFont="1" applyBorder="1" applyAlignment="1">
      <alignment horizontal="center" vertical="top" wrapText="1"/>
    </xf>
    <xf numFmtId="0" fontId="28" fillId="0" borderId="6" xfId="0" applyFont="1" applyBorder="1" applyAlignment="1">
      <alignment horizontal="center" vertical="top" wrapText="1"/>
    </xf>
    <xf numFmtId="0" fontId="28" fillId="0" borderId="10" xfId="0" applyFont="1" applyBorder="1" applyAlignment="1">
      <alignment horizontal="center" vertical="top"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0" fontId="26" fillId="0" borderId="2" xfId="0" applyFont="1" applyBorder="1" applyAlignment="1">
      <alignment horizontal="center" wrapText="1"/>
    </xf>
    <xf numFmtId="0" fontId="26" fillId="0" borderId="7" xfId="0" applyFont="1" applyBorder="1" applyAlignment="1">
      <alignment horizontal="center" wrapText="1"/>
    </xf>
    <xf numFmtId="0" fontId="26" fillId="0" borderId="6" xfId="0" applyFont="1" applyBorder="1" applyAlignment="1">
      <alignment horizontal="center" wrapText="1"/>
    </xf>
    <xf numFmtId="0" fontId="26" fillId="0" borderId="10" xfId="0" applyFont="1" applyBorder="1" applyAlignment="1">
      <alignment horizontal="center" wrapText="1"/>
    </xf>
    <xf numFmtId="0" fontId="28" fillId="0" borderId="11" xfId="0" applyFont="1" applyBorder="1" applyAlignment="1">
      <alignment horizontal="center"/>
    </xf>
    <xf numFmtId="0" fontId="0" fillId="5" borderId="3" xfId="0"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26" fillId="5" borderId="11" xfId="0" applyFont="1" applyFill="1" applyBorder="1" applyAlignment="1" applyProtection="1">
      <alignment horizontal="center"/>
      <protection locked="0"/>
    </xf>
    <xf numFmtId="165" fontId="26" fillId="0" borderId="3" xfId="271" applyNumberFormat="1" applyFont="1" applyBorder="1" applyAlignment="1">
      <alignment horizontal="center"/>
    </xf>
    <xf numFmtId="165" fontId="26" fillId="0" borderId="4" xfId="271" applyNumberFormat="1" applyFont="1" applyBorder="1" applyAlignment="1">
      <alignment horizontal="center"/>
    </xf>
    <xf numFmtId="165" fontId="26" fillId="0" borderId="5" xfId="271" applyNumberFormat="1" applyFont="1" applyBorder="1" applyAlignment="1">
      <alignment horizontal="center"/>
    </xf>
    <xf numFmtId="9" fontId="19" fillId="0" borderId="0" xfId="543" applyNumberFormat="1" applyAlignment="1">
      <alignment horizontal="center" vertic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164" fontId="27" fillId="5" borderId="3" xfId="0" applyNumberFormat="1" applyFont="1" applyFill="1" applyBorder="1" applyAlignment="1" applyProtection="1">
      <alignment horizontal="left"/>
      <protection locked="0"/>
    </xf>
    <xf numFmtId="164" fontId="27" fillId="5" borderId="4" xfId="0" applyNumberFormat="1" applyFont="1" applyFill="1" applyBorder="1" applyAlignment="1" applyProtection="1">
      <alignment horizontal="left"/>
      <protection locked="0"/>
    </xf>
    <xf numFmtId="164" fontId="27" fillId="5" borderId="5" xfId="0" applyNumberFormat="1" applyFont="1" applyFill="1" applyBorder="1" applyAlignment="1" applyProtection="1">
      <alignment horizontal="left"/>
      <protection locked="0"/>
    </xf>
    <xf numFmtId="168" fontId="0" fillId="5" borderId="11" xfId="0" applyNumberFormat="1" applyFill="1" applyBorder="1" applyProtection="1">
      <protection locked="0"/>
    </xf>
    <xf numFmtId="168" fontId="0" fillId="0" borderId="11" xfId="0" applyNumberFormat="1" applyBorder="1"/>
    <xf numFmtId="0" fontId="28" fillId="5" borderId="3" xfId="0" applyFont="1" applyFill="1" applyBorder="1" applyProtection="1">
      <protection locked="0"/>
    </xf>
    <xf numFmtId="0" fontId="28" fillId="0" borderId="4" xfId="0" applyFont="1" applyBorder="1" applyProtection="1">
      <protection locked="0"/>
    </xf>
    <xf numFmtId="0" fontId="28" fillId="0" borderId="5" xfId="0" applyFont="1" applyBorder="1" applyProtection="1">
      <protection locked="0"/>
    </xf>
    <xf numFmtId="168" fontId="0" fillId="5" borderId="11" xfId="0" applyNumberFormat="1" applyFill="1" applyBorder="1" applyAlignment="1" applyProtection="1">
      <alignment horizontal="right"/>
      <protection locked="0"/>
    </xf>
    <xf numFmtId="0" fontId="28" fillId="0" borderId="11" xfId="0" applyFont="1" applyBorder="1" applyAlignment="1">
      <alignment horizontal="center" vertical="top" wrapText="1"/>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0" fillId="0" borderId="9" xfId="0" applyBorder="1" applyAlignment="1">
      <alignment horizontal="left"/>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5" borderId="3" xfId="0" quotePrefix="1" applyFill="1" applyBorder="1" applyAlignment="1" applyProtection="1">
      <alignment horizontal="right"/>
      <protection locked="0"/>
    </xf>
    <xf numFmtId="0" fontId="19" fillId="0" borderId="0" xfId="543" applyAlignment="1">
      <alignment horizontal="center"/>
    </xf>
    <xf numFmtId="2" fontId="19" fillId="0" borderId="0" xfId="543" applyNumberFormat="1" applyAlignment="1">
      <alignment horizontal="center"/>
    </xf>
    <xf numFmtId="0" fontId="0" fillId="43" borderId="3" xfId="0" applyFill="1" applyBorder="1" applyAlignment="1" applyProtection="1">
      <alignment horizontal="center"/>
      <protection locked="0"/>
    </xf>
    <xf numFmtId="0" fontId="0" fillId="43" borderId="4"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3" fontId="0" fillId="0" borderId="4" xfId="0" applyNumberFormat="1" applyBorder="1" applyAlignment="1">
      <alignment horizontal="right"/>
    </xf>
    <xf numFmtId="3" fontId="0" fillId="0" borderId="5" xfId="0" applyNumberFormat="1" applyBorder="1" applyAlignment="1">
      <alignment horizontal="right"/>
    </xf>
    <xf numFmtId="168" fontId="19" fillId="5" borderId="10" xfId="0" applyNumberFormat="1" applyFont="1" applyFill="1" applyBorder="1" applyAlignment="1" applyProtection="1">
      <alignment horizontal="right"/>
      <protection locked="0"/>
    </xf>
    <xf numFmtId="168" fontId="19" fillId="5" borderId="13" xfId="0" applyNumberFormat="1" applyFont="1" applyFill="1" applyBorder="1" applyAlignment="1" applyProtection="1">
      <alignment horizontal="right"/>
      <protection locked="0"/>
    </xf>
    <xf numFmtId="168" fontId="0" fillId="0" borderId="11" xfId="0" applyNumberFormat="1" applyBorder="1" applyAlignment="1">
      <alignment horizontal="center"/>
    </xf>
    <xf numFmtId="0" fontId="19" fillId="0" borderId="1" xfId="0" applyFont="1" applyBorder="1" applyAlignment="1">
      <alignment horizontal="center" vertical="top" wrapText="1"/>
    </xf>
    <xf numFmtId="14" fontId="0" fillId="5" borderId="4" xfId="0" applyNumberFormat="1" applyFill="1" applyBorder="1" applyAlignment="1" applyProtection="1">
      <alignment horizontal="center"/>
      <protection locked="0"/>
    </xf>
    <xf numFmtId="0" fontId="35" fillId="0" borderId="1" xfId="0" applyFont="1" applyBorder="1" applyAlignment="1">
      <alignment horizontal="center" vertical="center" wrapText="1"/>
    </xf>
    <xf numFmtId="0" fontId="35" fillId="0" borderId="2" xfId="0" applyFont="1" applyBorder="1" applyAlignment="1">
      <alignment horizontal="center" vertical="center" wrapText="1"/>
    </xf>
    <xf numFmtId="0" fontId="35" fillId="0" borderId="7" xfId="0" applyFont="1" applyBorder="1" applyAlignment="1">
      <alignment horizontal="center" vertical="center" wrapText="1"/>
    </xf>
    <xf numFmtId="0" fontId="35" fillId="0" borderId="8" xfId="0" applyFont="1" applyBorder="1" applyAlignment="1">
      <alignment horizontal="center" vertical="center" wrapText="1"/>
    </xf>
    <xf numFmtId="0" fontId="35" fillId="0" borderId="0" xfId="0" applyFont="1" applyAlignment="1">
      <alignment horizontal="center" vertical="center" wrapText="1"/>
    </xf>
    <xf numFmtId="0" fontId="35" fillId="0" borderId="12" xfId="0" applyFont="1" applyBorder="1" applyAlignment="1">
      <alignment horizontal="center" vertical="center" wrapText="1"/>
    </xf>
    <xf numFmtId="0" fontId="35" fillId="0" borderId="9" xfId="0" applyFont="1" applyBorder="1" applyAlignment="1">
      <alignment horizontal="center" vertical="center" wrapText="1"/>
    </xf>
    <xf numFmtId="0" fontId="35" fillId="0" borderId="6" xfId="0" applyFont="1" applyBorder="1" applyAlignment="1">
      <alignment horizontal="center" vertical="center" wrapText="1"/>
    </xf>
    <xf numFmtId="0" fontId="35" fillId="0" borderId="10" xfId="0" applyFont="1" applyBorder="1" applyAlignment="1">
      <alignment horizontal="center" vertical="center" wrapText="1"/>
    </xf>
    <xf numFmtId="0" fontId="56" fillId="0" borderId="1" xfId="0" applyFont="1" applyBorder="1" applyAlignment="1">
      <alignment horizontal="center" vertical="center" wrapText="1"/>
    </xf>
    <xf numFmtId="0" fontId="56" fillId="0" borderId="2" xfId="0" applyFont="1" applyBorder="1" applyAlignment="1">
      <alignment horizontal="center" vertical="center" wrapText="1"/>
    </xf>
    <xf numFmtId="0" fontId="56" fillId="0" borderId="7" xfId="0" applyFont="1" applyBorder="1" applyAlignment="1">
      <alignment horizontal="center" vertical="center" wrapText="1"/>
    </xf>
    <xf numFmtId="0" fontId="56" fillId="0" borderId="8" xfId="0" applyFont="1" applyBorder="1" applyAlignment="1">
      <alignment horizontal="center" vertical="center" wrapText="1"/>
    </xf>
    <xf numFmtId="0" fontId="56" fillId="0" borderId="0" xfId="0" applyFont="1" applyAlignment="1">
      <alignment horizontal="center" vertical="center" wrapText="1"/>
    </xf>
    <xf numFmtId="0" fontId="56" fillId="0" borderId="12" xfId="0" applyFont="1" applyBorder="1" applyAlignment="1">
      <alignment horizontal="center" vertical="center" wrapText="1"/>
    </xf>
    <xf numFmtId="0" fontId="56" fillId="0" borderId="9" xfId="0" applyFont="1" applyBorder="1" applyAlignment="1">
      <alignment horizontal="center" vertical="center" wrapText="1"/>
    </xf>
    <xf numFmtId="0" fontId="56" fillId="0" borderId="6" xfId="0" applyFont="1" applyBorder="1" applyAlignment="1">
      <alignment horizontal="center" vertical="center" wrapText="1"/>
    </xf>
    <xf numFmtId="0" fontId="56" fillId="0" borderId="10" xfId="0" applyFont="1" applyBorder="1" applyAlignment="1">
      <alignment horizontal="center" vertical="center" wrapText="1"/>
    </xf>
    <xf numFmtId="0" fontId="19" fillId="0" borderId="11" xfId="543" applyBorder="1" applyAlignment="1">
      <alignment horizontal="center"/>
    </xf>
    <xf numFmtId="0" fontId="19" fillId="5" borderId="9" xfId="0" applyFon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38" fillId="5" borderId="3" xfId="543" applyFont="1" applyFill="1" applyBorder="1" applyAlignment="1">
      <alignment horizontal="center"/>
    </xf>
    <xf numFmtId="0" fontId="38" fillId="5" borderId="4" xfId="543" applyFont="1" applyFill="1" applyBorder="1" applyAlignment="1">
      <alignment horizontal="center"/>
    </xf>
    <xf numFmtId="0" fontId="38" fillId="5" borderId="5" xfId="543" applyFont="1" applyFill="1" applyBorder="1" applyAlignment="1">
      <alignment horizontal="center"/>
    </xf>
    <xf numFmtId="49" fontId="19" fillId="5" borderId="3" xfId="543" applyNumberFormat="1" applyFill="1" applyBorder="1" applyAlignment="1">
      <alignment horizontal="center"/>
    </xf>
    <xf numFmtId="49" fontId="19" fillId="5" borderId="5" xfId="543" applyNumberFormat="1" applyFill="1" applyBorder="1" applyAlignment="1">
      <alignment horizontal="center"/>
    </xf>
    <xf numFmtId="0" fontId="26" fillId="5" borderId="3" xfId="0" applyFont="1" applyFill="1" applyBorder="1" applyAlignment="1" applyProtection="1">
      <alignment horizontal="right"/>
      <protection locked="0"/>
    </xf>
    <xf numFmtId="0" fontId="26" fillId="5" borderId="4" xfId="0" applyFont="1" applyFill="1" applyBorder="1" applyAlignment="1" applyProtection="1">
      <alignment horizontal="right"/>
      <protection locked="0"/>
    </xf>
    <xf numFmtId="0" fontId="26" fillId="5" borderId="5" xfId="0" applyFont="1" applyFill="1" applyBorder="1" applyAlignment="1" applyProtection="1">
      <alignment horizontal="right"/>
      <protection locked="0"/>
    </xf>
    <xf numFmtId="171" fontId="19" fillId="0" borderId="0" xfId="543" applyNumberFormat="1" applyAlignment="1">
      <alignment horizontal="center"/>
    </xf>
    <xf numFmtId="171" fontId="19" fillId="0" borderId="0" xfId="543" applyNumberFormat="1" applyAlignment="1">
      <alignment horizontal="right"/>
    </xf>
    <xf numFmtId="0" fontId="28" fillId="0" borderId="3" xfId="0" applyFont="1" applyBorder="1" applyAlignment="1">
      <alignment horizontal="left"/>
    </xf>
    <xf numFmtId="0" fontId="0" fillId="0" borderId="3" xfId="0" applyBorder="1"/>
    <xf numFmtId="0" fontId="0" fillId="0" borderId="4" xfId="0" applyBorder="1"/>
    <xf numFmtId="0" fontId="0" fillId="0" borderId="5" xfId="0" applyBorder="1"/>
    <xf numFmtId="164" fontId="38" fillId="5" borderId="3" xfId="0" applyNumberFormat="1" applyFont="1" applyFill="1" applyBorder="1" applyAlignment="1" applyProtection="1">
      <alignment horizontal="left"/>
      <protection locked="0"/>
    </xf>
    <xf numFmtId="164" fontId="38" fillId="5" borderId="4" xfId="0" applyNumberFormat="1" applyFont="1" applyFill="1" applyBorder="1" applyAlignment="1" applyProtection="1">
      <alignment horizontal="left"/>
      <protection locked="0"/>
    </xf>
    <xf numFmtId="164" fontId="38" fillId="5" borderId="5" xfId="0" applyNumberFormat="1" applyFont="1" applyFill="1" applyBorder="1" applyAlignment="1" applyProtection="1">
      <alignment horizontal="left"/>
      <protection locked="0"/>
    </xf>
    <xf numFmtId="0" fontId="19" fillId="0" borderId="3" xfId="0" applyFont="1" applyBorder="1"/>
    <xf numFmtId="0" fontId="19" fillId="0" borderId="4" xfId="0" applyFont="1" applyBorder="1"/>
    <xf numFmtId="0" fontId="19" fillId="0" borderId="5" xfId="0" applyFont="1" applyBorder="1"/>
    <xf numFmtId="0" fontId="26" fillId="0" borderId="2" xfId="0" applyFont="1" applyBorder="1" applyAlignment="1">
      <alignment horizontal="right"/>
    </xf>
    <xf numFmtId="0" fontId="26" fillId="0" borderId="7" xfId="0" applyFont="1" applyBorder="1" applyAlignment="1">
      <alignment horizontal="right"/>
    </xf>
    <xf numFmtId="0" fontId="26" fillId="0" borderId="1" xfId="0" applyFont="1" applyBorder="1" applyAlignment="1">
      <alignment horizontal="center"/>
    </xf>
    <xf numFmtId="0" fontId="26" fillId="0" borderId="2" xfId="0" applyFont="1" applyBorder="1" applyAlignment="1">
      <alignment horizontal="center"/>
    </xf>
    <xf numFmtId="0" fontId="26" fillId="0" borderId="7" xfId="0" applyFont="1" applyBorder="1" applyAlignment="1">
      <alignment horizontal="center"/>
    </xf>
    <xf numFmtId="168" fontId="19" fillId="5" borderId="3" xfId="0" applyNumberFormat="1" applyFont="1" applyFill="1" applyBorder="1" applyAlignment="1" applyProtection="1">
      <alignment horizontal="right"/>
      <protection locked="0"/>
    </xf>
    <xf numFmtId="168" fontId="19" fillId="5" borderId="4" xfId="0" applyNumberFormat="1" applyFont="1" applyFill="1" applyBorder="1" applyAlignment="1" applyProtection="1">
      <alignment horizontal="right"/>
      <protection locked="0"/>
    </xf>
    <xf numFmtId="168" fontId="19" fillId="5" borderId="5" xfId="0" applyNumberFormat="1" applyFon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0" fontId="19" fillId="5" borderId="3" xfId="0" applyFont="1" applyFill="1" applyBorder="1" applyAlignment="1" applyProtection="1">
      <alignment horizontal="left"/>
      <protection locked="0"/>
    </xf>
    <xf numFmtId="0" fontId="19" fillId="5" borderId="5" xfId="0" applyFont="1" applyFill="1" applyBorder="1" applyAlignment="1" applyProtection="1">
      <alignment horizontal="left"/>
      <protection locked="0"/>
    </xf>
    <xf numFmtId="0" fontId="26" fillId="0" borderId="1" xfId="0" applyFont="1" applyBorder="1" applyAlignment="1">
      <alignment horizontal="center" wrapText="1"/>
    </xf>
    <xf numFmtId="0" fontId="26" fillId="0" borderId="8" xfId="0" applyFont="1" applyBorder="1" applyAlignment="1">
      <alignment horizontal="center" wrapText="1"/>
    </xf>
    <xf numFmtId="0" fontId="26" fillId="0" borderId="0" xfId="0" applyFont="1" applyAlignment="1">
      <alignment horizontal="center" wrapText="1"/>
    </xf>
    <xf numFmtId="0" fontId="26" fillId="0" borderId="9" xfId="0" applyFont="1" applyBorder="1" applyAlignment="1">
      <alignment horizontal="center" wrapText="1"/>
    </xf>
    <xf numFmtId="0" fontId="55" fillId="5" borderId="3" xfId="0" applyFont="1" applyFill="1" applyBorder="1" applyAlignment="1" applyProtection="1">
      <alignment horizontal="right"/>
      <protection locked="0"/>
    </xf>
    <xf numFmtId="0" fontId="55" fillId="5" borderId="4" xfId="0" applyFont="1" applyFill="1" applyBorder="1" applyAlignment="1" applyProtection="1">
      <alignment horizontal="right"/>
      <protection locked="0"/>
    </xf>
    <xf numFmtId="0" fontId="55" fillId="5" borderId="5" xfId="0" applyFont="1" applyFill="1" applyBorder="1" applyAlignment="1" applyProtection="1">
      <alignment horizontal="right"/>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6" fillId="0" borderId="12" xfId="0" applyFont="1" applyBorder="1" applyAlignment="1">
      <alignment horizontal="center" wrapText="1"/>
    </xf>
    <xf numFmtId="168" fontId="19" fillId="10" borderId="3" xfId="543" applyNumberFormat="1" applyFill="1" applyBorder="1" applyAlignment="1">
      <alignment horizontal="center"/>
    </xf>
    <xf numFmtId="168" fontId="19" fillId="10" borderId="4" xfId="543" applyNumberFormat="1" applyFill="1" applyBorder="1" applyAlignment="1">
      <alignment horizontal="center"/>
    </xf>
    <xf numFmtId="168" fontId="19" fillId="10" borderId="5" xfId="543" applyNumberFormat="1" applyFill="1" applyBorder="1" applyAlignment="1">
      <alignment horizontal="center"/>
    </xf>
    <xf numFmtId="0" fontId="26" fillId="0" borderId="0" xfId="0" applyFont="1" applyAlignment="1">
      <alignment horizontal="center" vertical="center"/>
    </xf>
    <xf numFmtId="1" fontId="19" fillId="0" borderId="3" xfId="543" applyNumberFormat="1" applyBorder="1" applyAlignment="1">
      <alignment horizontal="center"/>
    </xf>
    <xf numFmtId="1" fontId="19" fillId="0" borderId="4" xfId="543" applyNumberFormat="1" applyBorder="1" applyAlignment="1">
      <alignment horizontal="center"/>
    </xf>
    <xf numFmtId="1" fontId="19" fillId="0" borderId="5" xfId="543" applyNumberFormat="1" applyBorder="1" applyAlignment="1">
      <alignment horizontal="center"/>
    </xf>
    <xf numFmtId="168" fontId="19" fillId="0" borderId="11" xfId="543" applyNumberFormat="1" applyBorder="1" applyAlignment="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26" fillId="0" borderId="3" xfId="543" applyFont="1" applyBorder="1" applyAlignment="1">
      <alignment horizontal="right"/>
    </xf>
    <xf numFmtId="0" fontId="26" fillId="0" borderId="4" xfId="543" applyFont="1" applyBorder="1" applyAlignment="1">
      <alignment horizontal="right"/>
    </xf>
    <xf numFmtId="0" fontId="26" fillId="0" borderId="5" xfId="543" applyFont="1" applyBorder="1" applyAlignment="1">
      <alignment horizontal="right"/>
    </xf>
    <xf numFmtId="0" fontId="26" fillId="0" borderId="1" xfId="543" applyFont="1" applyBorder="1" applyAlignment="1">
      <alignment horizontal="left" vertical="center" wrapText="1"/>
    </xf>
    <xf numFmtId="0" fontId="26" fillId="0" borderId="2" xfId="543" applyFont="1" applyBorder="1" applyAlignment="1">
      <alignment horizontal="left" vertical="center" wrapText="1"/>
    </xf>
    <xf numFmtId="0" fontId="26" fillId="0" borderId="7" xfId="543" applyFont="1" applyBorder="1" applyAlignment="1">
      <alignment horizontal="left" vertical="center" wrapText="1"/>
    </xf>
    <xf numFmtId="0" fontId="19" fillId="5" borderId="3" xfId="543" applyFill="1" applyBorder="1" applyAlignment="1" applyProtection="1">
      <alignment horizontal="left" vertical="top" wrapText="1"/>
      <protection locked="0"/>
    </xf>
    <xf numFmtId="0" fontId="28" fillId="5" borderId="4" xfId="543" applyFont="1" applyFill="1" applyBorder="1" applyAlignment="1" applyProtection="1">
      <alignment horizontal="left" vertical="top" wrapText="1"/>
      <protection locked="0"/>
    </xf>
    <xf numFmtId="0" fontId="28" fillId="5" borderId="5" xfId="543" applyFont="1" applyFill="1" applyBorder="1" applyAlignment="1" applyProtection="1">
      <alignment horizontal="left" vertical="top" wrapText="1"/>
      <protection locked="0"/>
    </xf>
    <xf numFmtId="168" fontId="19" fillId="5" borderId="3" xfId="0" applyNumberFormat="1" applyFont="1" applyFill="1" applyBorder="1" applyAlignment="1" applyProtection="1">
      <alignment horizontal="left"/>
      <protection locked="0"/>
    </xf>
    <xf numFmtId="168" fontId="19" fillId="5" borderId="4" xfId="0" applyNumberFormat="1" applyFont="1" applyFill="1" applyBorder="1" applyAlignment="1" applyProtection="1">
      <alignment horizontal="left"/>
      <protection locked="0"/>
    </xf>
    <xf numFmtId="168" fontId="19" fillId="5" borderId="5" xfId="0" applyNumberFormat="1" applyFont="1" applyFill="1" applyBorder="1" applyAlignment="1" applyProtection="1">
      <alignment horizontal="left"/>
      <protection locked="0"/>
    </xf>
    <xf numFmtId="168" fontId="19" fillId="0" borderId="1" xfId="543" applyNumberFormat="1" applyBorder="1" applyAlignment="1">
      <alignment horizontal="center" vertical="center"/>
    </xf>
    <xf numFmtId="168" fontId="19" fillId="0" borderId="2" xfId="543" applyNumberFormat="1" applyBorder="1" applyAlignment="1">
      <alignment horizontal="center" vertical="center"/>
    </xf>
    <xf numFmtId="168" fontId="19" fillId="0" borderId="7" xfId="543" applyNumberFormat="1" applyBorder="1" applyAlignment="1">
      <alignment horizontal="center" vertical="center"/>
    </xf>
    <xf numFmtId="168" fontId="19" fillId="0" borderId="8" xfId="543" applyNumberFormat="1" applyBorder="1" applyAlignment="1">
      <alignment horizontal="center" vertical="center"/>
    </xf>
    <xf numFmtId="168" fontId="19" fillId="0" borderId="0" xfId="543" applyNumberFormat="1" applyAlignment="1">
      <alignment horizontal="center" vertical="center"/>
    </xf>
    <xf numFmtId="168" fontId="19" fillId="0" borderId="12" xfId="543" applyNumberFormat="1" applyBorder="1" applyAlignment="1">
      <alignment horizontal="center" vertical="center"/>
    </xf>
    <xf numFmtId="168" fontId="19" fillId="0" borderId="9" xfId="543" applyNumberFormat="1" applyBorder="1" applyAlignment="1">
      <alignment horizontal="center" vertical="center"/>
    </xf>
    <xf numFmtId="168" fontId="19" fillId="0" borderId="6" xfId="543" applyNumberFormat="1" applyBorder="1" applyAlignment="1">
      <alignment horizontal="center" vertical="center"/>
    </xf>
    <xf numFmtId="168" fontId="19" fillId="0" borderId="10" xfId="543" applyNumberFormat="1" applyBorder="1" applyAlignment="1">
      <alignment horizontal="center" vertical="center"/>
    </xf>
    <xf numFmtId="168" fontId="26" fillId="0" borderId="3" xfId="543" applyNumberFormat="1" applyFont="1" applyBorder="1" applyAlignment="1">
      <alignment horizontal="center" vertical="center"/>
    </xf>
    <xf numFmtId="168" fontId="26" fillId="0" borderId="4" xfId="543" applyNumberFormat="1" applyFont="1" applyBorder="1" applyAlignment="1">
      <alignment horizontal="center" vertical="center"/>
    </xf>
    <xf numFmtId="168" fontId="26" fillId="0" borderId="5" xfId="543" applyNumberFormat="1" applyFont="1" applyBorder="1" applyAlignment="1">
      <alignment horizontal="center" vertical="center"/>
    </xf>
    <xf numFmtId="0" fontId="38" fillId="5" borderId="3" xfId="543" applyFont="1" applyFill="1" applyBorder="1" applyAlignment="1" applyProtection="1">
      <alignment horizontal="center"/>
      <protection locked="0"/>
    </xf>
    <xf numFmtId="0" fontId="38" fillId="5" borderId="5" xfId="543" applyFont="1" applyFill="1" applyBorder="1" applyAlignment="1" applyProtection="1">
      <alignment horizontal="center"/>
      <protection locked="0"/>
    </xf>
    <xf numFmtId="0" fontId="19" fillId="0" borderId="8" xfId="0" applyFont="1" applyBorder="1" applyAlignment="1">
      <alignment horizontal="left" wrapText="1"/>
    </xf>
    <xf numFmtId="0" fontId="19" fillId="0" borderId="12" xfId="0" applyFont="1" applyBorder="1" applyAlignment="1">
      <alignment horizontal="left" wrapText="1"/>
    </xf>
    <xf numFmtId="0" fontId="19" fillId="0" borderId="9" xfId="0" applyFont="1" applyBorder="1" applyAlignment="1">
      <alignment horizontal="left" wrapText="1"/>
    </xf>
    <xf numFmtId="0" fontId="19" fillId="0" borderId="6" xfId="0" applyFont="1" applyBorder="1" applyAlignment="1">
      <alignment horizontal="left" wrapText="1"/>
    </xf>
    <xf numFmtId="0" fontId="19" fillId="0" borderId="10" xfId="0" applyFont="1" applyBorder="1" applyAlignment="1">
      <alignment horizontal="left" wrapText="1"/>
    </xf>
    <xf numFmtId="0" fontId="26" fillId="0" borderId="8" xfId="543" applyFont="1" applyBorder="1" applyAlignment="1">
      <alignment horizontal="left" vertical="center" wrapText="1"/>
    </xf>
    <xf numFmtId="0" fontId="26" fillId="0" borderId="0" xfId="543" applyFont="1" applyAlignment="1">
      <alignment horizontal="left" vertical="center" wrapText="1"/>
    </xf>
    <xf numFmtId="0" fontId="26" fillId="0" borderId="12" xfId="543" applyFont="1" applyBorder="1" applyAlignment="1">
      <alignment horizontal="left" vertical="center" wrapText="1"/>
    </xf>
    <xf numFmtId="0" fontId="19" fillId="0" borderId="8" xfId="543" applyBorder="1" applyAlignment="1">
      <alignment horizontal="left" vertical="top" wrapText="1"/>
    </xf>
    <xf numFmtId="0" fontId="19" fillId="0" borderId="0" xfId="543" applyAlignment="1">
      <alignment horizontal="left" vertical="top" wrapText="1"/>
    </xf>
    <xf numFmtId="0" fontId="19" fillId="0" borderId="12" xfId="543" applyBorder="1" applyAlignment="1">
      <alignment horizontal="left" vertical="top" wrapText="1"/>
    </xf>
    <xf numFmtId="0" fontId="19" fillId="0" borderId="9" xfId="543" applyBorder="1" applyAlignment="1">
      <alignment horizontal="left" vertical="top" wrapText="1"/>
    </xf>
    <xf numFmtId="0" fontId="19" fillId="0" borderId="6" xfId="543" applyBorder="1" applyAlignment="1">
      <alignment horizontal="left" vertical="top" wrapText="1"/>
    </xf>
    <xf numFmtId="0" fontId="19" fillId="0" borderId="10" xfId="543" applyBorder="1" applyAlignment="1">
      <alignment horizontal="left" vertical="top" wrapText="1"/>
    </xf>
    <xf numFmtId="0" fontId="19" fillId="2" borderId="3" xfId="543" applyFill="1" applyBorder="1" applyAlignment="1">
      <alignment horizontal="center"/>
    </xf>
    <xf numFmtId="0" fontId="19" fillId="2" borderId="4" xfId="543" applyFill="1" applyBorder="1" applyAlignment="1">
      <alignment horizontal="center"/>
    </xf>
    <xf numFmtId="0" fontId="19" fillId="2" borderId="5" xfId="543" applyFill="1" applyBorder="1" applyAlignment="1">
      <alignment horizontal="center"/>
    </xf>
    <xf numFmtId="0" fontId="38" fillId="0" borderId="3" xfId="543" applyFont="1" applyBorder="1" applyAlignment="1">
      <alignment horizontal="center"/>
    </xf>
    <xf numFmtId="0" fontId="38" fillId="0" borderId="5" xfId="543" applyFont="1" applyBorder="1" applyAlignment="1">
      <alignment horizontal="center"/>
    </xf>
    <xf numFmtId="0" fontId="38" fillId="5" borderId="9" xfId="543" applyFont="1" applyFill="1" applyBorder="1" applyAlignment="1" applyProtection="1">
      <alignment horizontal="center"/>
      <protection locked="0"/>
    </xf>
    <xf numFmtId="0" fontId="38" fillId="5" borderId="10" xfId="543" applyFont="1" applyFill="1" applyBorder="1" applyAlignment="1" applyProtection="1">
      <alignment horizontal="center"/>
      <protection locked="0"/>
    </xf>
    <xf numFmtId="0" fontId="19" fillId="0" borderId="8" xfId="543" applyBorder="1" applyAlignment="1">
      <alignment horizontal="left" vertical="center" wrapText="1"/>
    </xf>
    <xf numFmtId="0" fontId="19" fillId="0" borderId="0" xfId="543" applyAlignment="1">
      <alignment horizontal="left" vertical="center" wrapText="1"/>
    </xf>
    <xf numFmtId="0" fontId="19" fillId="0" borderId="12" xfId="543" applyBorder="1" applyAlignment="1">
      <alignment horizontal="left" vertical="center" wrapText="1"/>
    </xf>
    <xf numFmtId="0" fontId="19" fillId="0" borderId="9" xfId="543" applyBorder="1" applyAlignment="1">
      <alignment horizontal="left" vertical="center" wrapText="1"/>
    </xf>
    <xf numFmtId="0" fontId="19" fillId="0" borderId="6" xfId="543" applyBorder="1" applyAlignment="1">
      <alignment horizontal="left" vertical="center" wrapText="1"/>
    </xf>
    <xf numFmtId="0" fontId="19" fillId="0" borderId="10" xfId="543" applyBorder="1" applyAlignment="1">
      <alignment horizontal="left" vertical="center" wrapText="1"/>
    </xf>
    <xf numFmtId="182" fontId="27" fillId="43" borderId="11" xfId="8721" applyNumberFormat="1" applyFont="1" applyFill="1" applyBorder="1" applyAlignment="1" applyProtection="1">
      <alignment horizontal="center" vertical="center" wrapText="1"/>
      <protection locked="0"/>
    </xf>
    <xf numFmtId="0" fontId="27" fillId="5" borderId="3" xfId="0" applyFont="1" applyFill="1" applyBorder="1" applyAlignment="1" applyProtection="1">
      <alignment horizontal="left"/>
      <protection locked="0"/>
    </xf>
    <xf numFmtId="0" fontId="27" fillId="5" borderId="4" xfId="0" applyFont="1" applyFill="1" applyBorder="1" applyAlignment="1" applyProtection="1">
      <alignment horizontal="left"/>
      <protection locked="0"/>
    </xf>
    <xf numFmtId="0" fontId="27" fillId="5" borderId="5" xfId="0" applyFont="1" applyFill="1" applyBorder="1" applyAlignment="1" applyProtection="1">
      <alignment horizontal="left"/>
      <protection locked="0"/>
    </xf>
    <xf numFmtId="9" fontId="19" fillId="5" borderId="3" xfId="0" applyNumberFormat="1" applyFont="1" applyFill="1" applyBorder="1" applyAlignment="1" applyProtection="1">
      <alignment horizontal="right"/>
      <protection locked="0"/>
    </xf>
    <xf numFmtId="0" fontId="40" fillId="0" borderId="3" xfId="543" applyFont="1" applyBorder="1" applyAlignment="1">
      <alignment horizontal="center"/>
    </xf>
    <xf numFmtId="0" fontId="40" fillId="0" borderId="4" xfId="543" applyFont="1" applyBorder="1" applyAlignment="1">
      <alignment horizontal="center"/>
    </xf>
    <xf numFmtId="0" fontId="40" fillId="0" borderId="5" xfId="543" applyFont="1" applyBorder="1" applyAlignment="1">
      <alignment horizontal="center"/>
    </xf>
    <xf numFmtId="0" fontId="39" fillId="0" borderId="1" xfId="543" applyFont="1" applyBorder="1" applyAlignment="1">
      <alignment horizontal="right"/>
    </xf>
    <xf numFmtId="0" fontId="39" fillId="0" borderId="2" xfId="543" applyFont="1" applyBorder="1" applyAlignment="1">
      <alignment horizontal="right"/>
    </xf>
    <xf numFmtId="0" fontId="39" fillId="0" borderId="7" xfId="543" applyFont="1" applyBorder="1" applyAlignment="1">
      <alignment horizontal="right"/>
    </xf>
    <xf numFmtId="168" fontId="19"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26" fillId="0" borderId="1" xfId="543" applyFont="1" applyBorder="1" applyAlignment="1">
      <alignment horizontal="left" vertical="top" wrapText="1"/>
    </xf>
    <xf numFmtId="0" fontId="26" fillId="0" borderId="2" xfId="543" applyFont="1" applyBorder="1" applyAlignment="1">
      <alignment horizontal="left" vertical="top" wrapText="1"/>
    </xf>
    <xf numFmtId="0" fontId="26" fillId="0" borderId="7" xfId="543" applyFont="1" applyBorder="1" applyAlignment="1">
      <alignment horizontal="left" vertical="top" wrapText="1"/>
    </xf>
    <xf numFmtId="0" fontId="26" fillId="0" borderId="8" xfId="543" applyFont="1" applyBorder="1" applyAlignment="1">
      <alignment horizontal="left" vertical="top" wrapText="1"/>
    </xf>
    <xf numFmtId="0" fontId="26" fillId="0" borderId="0" xfId="543" applyFont="1" applyAlignment="1">
      <alignment horizontal="left" vertical="top" wrapText="1"/>
    </xf>
    <xf numFmtId="0" fontId="26" fillId="0" borderId="12" xfId="543" applyFont="1" applyBorder="1" applyAlignment="1">
      <alignment horizontal="left" vertical="top" wrapText="1"/>
    </xf>
    <xf numFmtId="0" fontId="154" fillId="0" borderId="8" xfId="543" applyFont="1" applyBorder="1" applyAlignment="1">
      <alignment horizontal="center" vertical="center" wrapText="1"/>
    </xf>
    <xf numFmtId="0" fontId="154" fillId="0" borderId="0" xfId="543" applyFont="1" applyAlignment="1">
      <alignment horizontal="center" vertical="center" wrapText="1"/>
    </xf>
    <xf numFmtId="0" fontId="154" fillId="0" borderId="12" xfId="543" applyFont="1" applyBorder="1" applyAlignment="1">
      <alignment horizontal="center" vertical="center" wrapText="1"/>
    </xf>
    <xf numFmtId="0" fontId="27" fillId="5" borderId="3" xfId="543" applyFont="1" applyFill="1" applyBorder="1" applyAlignment="1" applyProtection="1">
      <alignment horizontal="left" vertical="top" wrapText="1"/>
      <protection locked="0"/>
    </xf>
    <xf numFmtId="0" fontId="27" fillId="5" borderId="4" xfId="543" applyFont="1" applyFill="1" applyBorder="1" applyAlignment="1" applyProtection="1">
      <alignment horizontal="left" vertical="top" wrapText="1"/>
      <protection locked="0"/>
    </xf>
    <xf numFmtId="0" fontId="27" fillId="5" borderId="5" xfId="543" applyFont="1" applyFill="1" applyBorder="1" applyAlignment="1" applyProtection="1">
      <alignment horizontal="left" vertical="top" wrapText="1"/>
      <protection locked="0"/>
    </xf>
    <xf numFmtId="0" fontId="26" fillId="10" borderId="3" xfId="543" applyFont="1" applyFill="1" applyBorder="1" applyAlignment="1">
      <alignment horizontal="center"/>
    </xf>
    <xf numFmtId="0" fontId="26" fillId="10" borderId="4" xfId="543" applyFont="1" applyFill="1" applyBorder="1" applyAlignment="1">
      <alignment horizontal="center"/>
    </xf>
    <xf numFmtId="0" fontId="26" fillId="10" borderId="5" xfId="543" applyFont="1" applyFill="1" applyBorder="1" applyAlignment="1">
      <alignment horizontal="center"/>
    </xf>
    <xf numFmtId="0" fontId="38" fillId="5" borderId="3" xfId="543" applyFont="1" applyFill="1" applyBorder="1" applyAlignment="1" applyProtection="1">
      <alignment horizontal="center" vertical="top"/>
      <protection locked="0"/>
    </xf>
    <xf numFmtId="0" fontId="38" fillId="5" borderId="5" xfId="543" applyFont="1" applyFill="1" applyBorder="1" applyAlignment="1" applyProtection="1">
      <alignment horizontal="center" vertical="top"/>
      <protection locked="0"/>
    </xf>
    <xf numFmtId="0" fontId="46" fillId="0" borderId="8" xfId="543" applyFont="1" applyBorder="1" applyAlignment="1">
      <alignment horizontal="center" vertical="center" wrapText="1"/>
    </xf>
    <xf numFmtId="0" fontId="46" fillId="0" borderId="0" xfId="543" applyFont="1" applyAlignment="1">
      <alignment horizontal="center" vertical="center" wrapText="1"/>
    </xf>
    <xf numFmtId="0" fontId="46" fillId="0" borderId="12" xfId="543" applyFont="1" applyBorder="1" applyAlignment="1">
      <alignment horizontal="center" vertical="center" wrapText="1"/>
    </xf>
    <xf numFmtId="0" fontId="26" fillId="0" borderId="9" xfId="0" applyFont="1" applyBorder="1" applyAlignment="1">
      <alignment horizontal="right"/>
    </xf>
    <xf numFmtId="0" fontId="26" fillId="0" borderId="10" xfId="0" applyFont="1" applyBorder="1" applyAlignment="1">
      <alignment horizontal="right"/>
    </xf>
    <xf numFmtId="0" fontId="52" fillId="0" borderId="0" xfId="0" applyFont="1" applyAlignment="1">
      <alignment horizontal="center"/>
    </xf>
    <xf numFmtId="0" fontId="26" fillId="0" borderId="0" xfId="0" applyFont="1" applyAlignment="1">
      <alignment horizontal="center"/>
    </xf>
    <xf numFmtId="0" fontId="19" fillId="0" borderId="0" xfId="0" applyFont="1" applyAlignment="1">
      <alignment horizontal="center"/>
    </xf>
    <xf numFmtId="0" fontId="34" fillId="0" borderId="0" xfId="0" applyFont="1" applyAlignment="1">
      <alignment horizontal="center"/>
    </xf>
    <xf numFmtId="0" fontId="19" fillId="0" borderId="0" xfId="0" applyFont="1" applyAlignment="1">
      <alignment horizontal="center" vertical="top"/>
    </xf>
    <xf numFmtId="168" fontId="28" fillId="0" borderId="6" xfId="0" applyNumberFormat="1" applyFont="1" applyBorder="1" applyAlignment="1">
      <alignment horizontal="center"/>
    </xf>
    <xf numFmtId="0" fontId="27" fillId="0" borderId="0" xfId="0" applyFont="1" applyAlignment="1">
      <alignment horizontal="center"/>
    </xf>
    <xf numFmtId="0" fontId="161" fillId="0" borderId="8" xfId="543" applyFont="1" applyBorder="1" applyAlignment="1">
      <alignment horizontal="center" wrapText="1"/>
    </xf>
    <xf numFmtId="0" fontId="161" fillId="0" borderId="0" xfId="543" applyFont="1" applyAlignment="1">
      <alignment horizontal="center" wrapText="1"/>
    </xf>
    <xf numFmtId="0" fontId="161" fillId="0" borderId="12" xfId="543" applyFont="1" applyBorder="1" applyAlignment="1">
      <alignment horizontal="center" wrapText="1"/>
    </xf>
    <xf numFmtId="0" fontId="161" fillId="0" borderId="9" xfId="543" applyFont="1" applyBorder="1" applyAlignment="1">
      <alignment horizontal="center" wrapText="1"/>
    </xf>
    <xf numFmtId="0" fontId="161" fillId="0" borderId="6" xfId="543" applyFont="1" applyBorder="1" applyAlignment="1">
      <alignment horizontal="center" wrapText="1"/>
    </xf>
    <xf numFmtId="0" fontId="161" fillId="0" borderId="10" xfId="543" applyFont="1" applyBorder="1" applyAlignment="1">
      <alignment horizontal="center" wrapText="1"/>
    </xf>
    <xf numFmtId="0" fontId="161" fillId="0" borderId="8" xfId="543" applyFont="1" applyBorder="1" applyAlignment="1">
      <alignment horizontal="center" vertical="top" wrapText="1"/>
    </xf>
    <xf numFmtId="0" fontId="161" fillId="0" borderId="0" xfId="543" applyFont="1" applyAlignment="1">
      <alignment horizontal="center" vertical="top" wrapText="1"/>
    </xf>
    <xf numFmtId="0" fontId="161" fillId="0" borderId="12" xfId="543" applyFont="1" applyBorder="1" applyAlignment="1">
      <alignment horizontal="center" vertical="top" wrapText="1"/>
    </xf>
    <xf numFmtId="0" fontId="161" fillId="0" borderId="9" xfId="543" applyFont="1" applyBorder="1" applyAlignment="1">
      <alignment horizontal="center" vertical="top" wrapText="1"/>
    </xf>
    <xf numFmtId="0" fontId="161" fillId="0" borderId="6" xfId="543" applyFont="1" applyBorder="1" applyAlignment="1">
      <alignment horizontal="center" vertical="top" wrapText="1"/>
    </xf>
    <xf numFmtId="0" fontId="161" fillId="0" borderId="10" xfId="543" applyFont="1" applyBorder="1" applyAlignment="1">
      <alignment horizontal="center" vertical="top" wrapText="1"/>
    </xf>
    <xf numFmtId="0" fontId="158" fillId="0" borderId="0" xfId="0" applyFont="1" applyAlignment="1">
      <alignment horizontal="center" vertical="center" wrapText="1"/>
    </xf>
    <xf numFmtId="0" fontId="39" fillId="0" borderId="4" xfId="543" applyFont="1" applyBorder="1" applyAlignment="1">
      <alignment horizontal="right" vertical="top" wrapText="1"/>
    </xf>
    <xf numFmtId="0" fontId="39" fillId="0" borderId="5" xfId="543" applyFont="1" applyBorder="1" applyAlignment="1">
      <alignment horizontal="right" vertical="top" wrapText="1"/>
    </xf>
    <xf numFmtId="0" fontId="27" fillId="0" borderId="3" xfId="543" applyFont="1" applyBorder="1" applyAlignment="1">
      <alignment horizontal="center"/>
    </xf>
    <xf numFmtId="0" fontId="27" fillId="0" borderId="5" xfId="543" applyFont="1" applyBorder="1" applyAlignment="1">
      <alignment horizontal="center"/>
    </xf>
    <xf numFmtId="1" fontId="27" fillId="0" borderId="3" xfId="543" applyNumberFormat="1" applyFont="1" applyBorder="1" applyAlignment="1">
      <alignment horizontal="center"/>
    </xf>
    <xf numFmtId="1" fontId="27" fillId="0" borderId="5" xfId="543" applyNumberFormat="1" applyFont="1" applyBorder="1" applyAlignment="1">
      <alignment horizontal="center"/>
    </xf>
    <xf numFmtId="0" fontId="28" fillId="0" borderId="0" xfId="543" applyFont="1" applyAlignment="1">
      <alignment horizontal="center"/>
    </xf>
    <xf numFmtId="0" fontId="19" fillId="0" borderId="0" xfId="0" applyFont="1" applyAlignment="1">
      <alignment vertical="center" wrapText="1"/>
    </xf>
    <xf numFmtId="0" fontId="19" fillId="0" borderId="0" xfId="543" applyAlignment="1">
      <alignment wrapText="1"/>
    </xf>
    <xf numFmtId="0" fontId="19" fillId="43" borderId="4" xfId="0" applyFont="1" applyFill="1" applyBorder="1" applyAlignment="1" applyProtection="1">
      <alignment horizontal="center"/>
      <protection locked="0"/>
    </xf>
    <xf numFmtId="0" fontId="26" fillId="0" borderId="9" xfId="0" applyFont="1" applyBorder="1" applyAlignment="1">
      <alignment horizontal="center"/>
    </xf>
    <xf numFmtId="14" fontId="28" fillId="5" borderId="4" xfId="0" applyNumberFormat="1" applyFont="1" applyFill="1" applyBorder="1" applyAlignment="1" applyProtection="1">
      <alignment horizontal="right"/>
      <protection locked="0"/>
    </xf>
    <xf numFmtId="0" fontId="28" fillId="0" borderId="2" xfId="0" applyFont="1" applyBorder="1" applyAlignment="1">
      <alignment horizontal="left" vertical="top" wrapText="1"/>
    </xf>
    <xf numFmtId="177" fontId="28" fillId="5" borderId="6" xfId="0" applyNumberFormat="1" applyFont="1" applyFill="1" applyBorder="1" applyAlignment="1" applyProtection="1">
      <alignment horizontal="left" vertical="top" wrapText="1"/>
      <protection locked="0"/>
    </xf>
    <xf numFmtId="0" fontId="56" fillId="0" borderId="0" xfId="0" applyFont="1" applyAlignment="1">
      <alignment vertical="top" wrapText="1"/>
    </xf>
    <xf numFmtId="0" fontId="28" fillId="0" borderId="0" xfId="0" applyFont="1" applyAlignment="1">
      <alignment vertical="top" wrapText="1"/>
    </xf>
    <xf numFmtId="0" fontId="28" fillId="0" borderId="6" xfId="0" applyFont="1" applyBorder="1" applyAlignment="1">
      <alignment horizontal="right" vertical="top" wrapText="1"/>
    </xf>
    <xf numFmtId="0" fontId="28" fillId="0" borderId="6" xfId="0" applyFont="1" applyBorder="1" applyAlignment="1">
      <alignment vertical="top" wrapText="1"/>
    </xf>
    <xf numFmtId="0" fontId="60" fillId="2" borderId="3" xfId="0" applyFont="1" applyFill="1" applyBorder="1" applyAlignment="1">
      <alignment horizontal="center" vertical="top"/>
    </xf>
    <xf numFmtId="0" fontId="60" fillId="2" borderId="4" xfId="0" applyFont="1" applyFill="1" applyBorder="1" applyAlignment="1">
      <alignment horizontal="center" vertical="top"/>
    </xf>
    <xf numFmtId="0" fontId="60" fillId="2" borderId="5" xfId="0" applyFont="1" applyFill="1" applyBorder="1" applyAlignment="1">
      <alignment horizontal="center" vertical="top"/>
    </xf>
    <xf numFmtId="0" fontId="28" fillId="0" borderId="2" xfId="0" applyFont="1" applyBorder="1" applyAlignment="1">
      <alignment vertical="top" wrapText="1"/>
    </xf>
    <xf numFmtId="0" fontId="55" fillId="0" borderId="0" xfId="0" applyFont="1" applyAlignment="1">
      <alignment vertical="top" wrapText="1"/>
    </xf>
    <xf numFmtId="0" fontId="56" fillId="0" borderId="0" xfId="569" applyFont="1" applyAlignment="1">
      <alignment vertical="top" wrapText="1"/>
    </xf>
    <xf numFmtId="0" fontId="19" fillId="0" borderId="0" xfId="569" applyAlignment="1">
      <alignment horizontal="right" vertical="top" wrapText="1"/>
    </xf>
    <xf numFmtId="0" fontId="25" fillId="3" borderId="3" xfId="0" applyFont="1" applyFill="1" applyBorder="1" applyAlignment="1">
      <alignment horizontal="left" vertical="top"/>
    </xf>
    <xf numFmtId="0" fontId="25" fillId="3" borderId="4" xfId="0" applyFont="1" applyFill="1" applyBorder="1" applyAlignment="1">
      <alignment horizontal="left" vertical="top"/>
    </xf>
    <xf numFmtId="0" fontId="25" fillId="3" borderId="5" xfId="0" applyFont="1" applyFill="1" applyBorder="1" applyAlignment="1">
      <alignment horizontal="left" vertical="top"/>
    </xf>
    <xf numFmtId="0" fontId="171" fillId="44" borderId="80" xfId="8733" applyFont="1" applyFill="1" applyBorder="1" applyAlignment="1">
      <alignment horizontal="left"/>
    </xf>
    <xf numFmtId="0" fontId="171" fillId="44" borderId="79" xfId="8733" applyFont="1" applyFill="1" applyBorder="1" applyAlignment="1">
      <alignment horizontal="left"/>
    </xf>
    <xf numFmtId="0" fontId="171" fillId="44" borderId="78" xfId="8733" applyFont="1" applyFill="1" applyBorder="1" applyAlignment="1">
      <alignment horizontal="left"/>
    </xf>
    <xf numFmtId="0" fontId="172" fillId="45" borderId="11" xfId="8733" applyFont="1" applyFill="1" applyBorder="1" applyAlignment="1">
      <alignment horizontal="right"/>
    </xf>
    <xf numFmtId="1" fontId="171" fillId="48" borderId="11" xfId="8733" applyNumberFormat="1" applyFont="1" applyFill="1" applyBorder="1" applyAlignment="1" applyProtection="1">
      <alignment horizontal="center"/>
      <protection locked="0"/>
    </xf>
    <xf numFmtId="0" fontId="4" fillId="44" borderId="80" xfId="8733" applyFill="1" applyBorder="1" applyAlignment="1">
      <alignment horizontal="center"/>
    </xf>
    <xf numFmtId="0" fontId="4" fillId="44" borderId="79" xfId="8733" applyFill="1" applyBorder="1" applyAlignment="1">
      <alignment horizontal="center"/>
    </xf>
    <xf numFmtId="0" fontId="4" fillId="44" borderId="78" xfId="8733" applyFill="1" applyBorder="1" applyAlignment="1">
      <alignment horizontal="center"/>
    </xf>
    <xf numFmtId="0" fontId="183" fillId="51" borderId="65" xfId="8733" applyFont="1" applyFill="1" applyBorder="1" applyAlignment="1">
      <alignment horizontal="center"/>
    </xf>
    <xf numFmtId="0" fontId="183" fillId="51" borderId="29" xfId="8733" applyFont="1" applyFill="1" applyBorder="1" applyAlignment="1">
      <alignment horizontal="center"/>
    </xf>
    <xf numFmtId="0" fontId="183" fillId="51" borderId="31" xfId="8733" applyFont="1" applyFill="1" applyBorder="1" applyAlignment="1">
      <alignment horizontal="center"/>
    </xf>
    <xf numFmtId="0" fontId="168" fillId="48" borderId="66" xfId="8733" applyFont="1" applyFill="1" applyBorder="1" applyAlignment="1">
      <alignment horizontal="center"/>
    </xf>
    <xf numFmtId="0" fontId="168" fillId="48" borderId="0" xfId="8733" applyFont="1" applyFill="1" applyAlignment="1">
      <alignment horizontal="center"/>
    </xf>
    <xf numFmtId="0" fontId="168" fillId="48" borderId="41" xfId="8733" applyFont="1" applyFill="1" applyBorder="1" applyAlignment="1">
      <alignment horizontal="center"/>
    </xf>
    <xf numFmtId="0" fontId="178" fillId="45" borderId="11" xfId="8733" applyFont="1" applyFill="1" applyBorder="1" applyAlignment="1">
      <alignment horizontal="right"/>
    </xf>
    <xf numFmtId="14" fontId="171" fillId="48" borderId="11" xfId="8733" applyNumberFormat="1" applyFont="1" applyFill="1" applyBorder="1" applyAlignment="1" applyProtection="1">
      <alignment horizontal="center"/>
      <protection locked="0"/>
    </xf>
    <xf numFmtId="0" fontId="171" fillId="48" borderId="11" xfId="8733" applyFont="1" applyFill="1" applyBorder="1" applyAlignment="1" applyProtection="1">
      <alignment horizontal="center"/>
      <protection locked="0"/>
    </xf>
    <xf numFmtId="0" fontId="104" fillId="45" borderId="80" xfId="8733" applyFont="1" applyFill="1" applyBorder="1" applyAlignment="1">
      <alignment horizontal="center"/>
    </xf>
    <xf numFmtId="0" fontId="104" fillId="45" borderId="79" xfId="8733" applyFont="1" applyFill="1" applyBorder="1" applyAlignment="1">
      <alignment horizontal="center"/>
    </xf>
    <xf numFmtId="0" fontId="104" fillId="45" borderId="78" xfId="8733" applyFont="1" applyFill="1" applyBorder="1" applyAlignment="1">
      <alignment horizontal="center"/>
    </xf>
    <xf numFmtId="0" fontId="171" fillId="48" borderId="80" xfId="8733" applyFont="1" applyFill="1" applyBorder="1" applyAlignment="1" applyProtection="1">
      <alignment horizontal="center"/>
      <protection locked="0"/>
    </xf>
    <xf numFmtId="0" fontId="171" fillId="48" borderId="79" xfId="8733" applyFont="1" applyFill="1" applyBorder="1" applyAlignment="1" applyProtection="1">
      <alignment horizontal="center"/>
      <protection locked="0"/>
    </xf>
    <xf numFmtId="0" fontId="171" fillId="48" borderId="78" xfId="8733" applyFont="1" applyFill="1" applyBorder="1" applyAlignment="1" applyProtection="1">
      <alignment horizontal="center"/>
      <protection locked="0"/>
    </xf>
    <xf numFmtId="0" fontId="175" fillId="45" borderId="11" xfId="8733" applyFont="1" applyFill="1" applyBorder="1" applyAlignment="1">
      <alignment horizontal="right"/>
    </xf>
    <xf numFmtId="1" fontId="4" fillId="44" borderId="11" xfId="8733" applyNumberFormat="1" applyFill="1" applyBorder="1" applyAlignment="1">
      <alignment horizontal="center"/>
    </xf>
    <xf numFmtId="0" fontId="4" fillId="44" borderId="11" xfId="8733" applyFill="1" applyBorder="1" applyAlignment="1">
      <alignment horizontal="center"/>
    </xf>
    <xf numFmtId="0" fontId="172" fillId="45" borderId="11" xfId="8733" applyFont="1" applyFill="1" applyBorder="1" applyAlignment="1">
      <alignment horizontal="right" wrapText="1"/>
    </xf>
    <xf numFmtId="14" fontId="171" fillId="48" borderId="11" xfId="8733" applyNumberFormat="1" applyFont="1" applyFill="1" applyBorder="1" applyAlignment="1" applyProtection="1">
      <alignment horizontal="center" vertical="center"/>
      <protection locked="0"/>
    </xf>
    <xf numFmtId="0" fontId="171" fillId="48" borderId="11" xfId="8733" applyFont="1" applyFill="1" applyBorder="1" applyAlignment="1" applyProtection="1">
      <alignment horizontal="center" vertical="center"/>
      <protection locked="0"/>
    </xf>
    <xf numFmtId="168" fontId="176" fillId="44" borderId="11" xfId="8734" applyNumberFormat="1" applyFont="1" applyFill="1" applyBorder="1" applyAlignment="1" applyProtection="1">
      <alignment horizontal="left"/>
    </xf>
    <xf numFmtId="0" fontId="104" fillId="45" borderId="80" xfId="8733" applyFont="1" applyFill="1" applyBorder="1" applyAlignment="1">
      <alignment horizontal="right"/>
    </xf>
    <xf numFmtId="0" fontId="104" fillId="45" borderId="79" xfId="8733" applyFont="1" applyFill="1" applyBorder="1" applyAlignment="1">
      <alignment horizontal="right"/>
    </xf>
    <xf numFmtId="0" fontId="104" fillId="45" borderId="103" xfId="8733" applyFont="1" applyFill="1" applyBorder="1" applyAlignment="1">
      <alignment horizontal="right"/>
    </xf>
    <xf numFmtId="0" fontId="4" fillId="44" borderId="84" xfId="8733" applyFill="1" applyBorder="1" applyAlignment="1">
      <alignment horizontal="center"/>
    </xf>
    <xf numFmtId="0" fontId="4" fillId="44" borderId="102" xfId="8733" applyFill="1" applyBorder="1" applyAlignment="1">
      <alignment horizontal="center"/>
    </xf>
    <xf numFmtId="0" fontId="168" fillId="45" borderId="93" xfId="8733" applyFont="1" applyFill="1" applyBorder="1" applyAlignment="1">
      <alignment horizontal="center"/>
    </xf>
    <xf numFmtId="0" fontId="168" fillId="45" borderId="92" xfId="8733" applyFont="1" applyFill="1" applyBorder="1" applyAlignment="1">
      <alignment horizontal="center"/>
    </xf>
    <xf numFmtId="0" fontId="168" fillId="45" borderId="91" xfId="8733" applyFont="1" applyFill="1" applyBorder="1" applyAlignment="1">
      <alignment horizontal="center"/>
    </xf>
    <xf numFmtId="0" fontId="175" fillId="45" borderId="97" xfId="8733" applyFont="1" applyFill="1" applyBorder="1" applyAlignment="1">
      <alignment horizontal="center"/>
    </xf>
    <xf numFmtId="0" fontId="175" fillId="45" borderId="2" xfId="8733" applyFont="1" applyFill="1" applyBorder="1" applyAlignment="1">
      <alignment horizontal="center"/>
    </xf>
    <xf numFmtId="0" fontId="175" fillId="45" borderId="7" xfId="8733" applyFont="1" applyFill="1" applyBorder="1" applyAlignment="1">
      <alignment horizontal="center"/>
    </xf>
    <xf numFmtId="0" fontId="175" fillId="45" borderId="3" xfId="8733" applyFont="1" applyFill="1" applyBorder="1" applyAlignment="1">
      <alignment horizontal="center"/>
    </xf>
    <xf numFmtId="0" fontId="175" fillId="45" borderId="4" xfId="8733" applyFont="1" applyFill="1" applyBorder="1" applyAlignment="1">
      <alignment horizontal="center"/>
    </xf>
    <xf numFmtId="0" fontId="175" fillId="45" borderId="5" xfId="8733" applyFont="1" applyFill="1" applyBorder="1" applyAlignment="1">
      <alignment horizontal="center"/>
    </xf>
    <xf numFmtId="0" fontId="175" fillId="45" borderId="81" xfId="8733" applyFont="1" applyFill="1" applyBorder="1" applyAlignment="1">
      <alignment horizontal="center"/>
    </xf>
    <xf numFmtId="9" fontId="174" fillId="48" borderId="90" xfId="8733" applyNumberFormat="1" applyFont="1" applyFill="1" applyBorder="1" applyAlignment="1" applyProtection="1">
      <alignment horizontal="center"/>
      <protection locked="0"/>
    </xf>
    <xf numFmtId="9" fontId="174" fillId="48" borderId="4" xfId="8733" applyNumberFormat="1" applyFont="1" applyFill="1" applyBorder="1" applyAlignment="1" applyProtection="1">
      <alignment horizontal="center"/>
      <protection locked="0"/>
    </xf>
    <xf numFmtId="9" fontId="174" fillId="48" borderId="5" xfId="8733" applyNumberFormat="1" applyFont="1" applyFill="1" applyBorder="1" applyAlignment="1" applyProtection="1">
      <alignment horizontal="center"/>
      <protection locked="0"/>
    </xf>
    <xf numFmtId="0" fontId="174" fillId="44" borderId="3" xfId="8733" applyFont="1" applyFill="1" applyBorder="1" applyAlignment="1">
      <alignment horizontal="center"/>
    </xf>
    <xf numFmtId="0" fontId="174" fillId="44" borderId="4" xfId="8733" applyFont="1" applyFill="1" applyBorder="1" applyAlignment="1">
      <alignment horizontal="center"/>
    </xf>
    <xf numFmtId="0" fontId="174" fillId="44" borderId="5" xfId="8733" applyFont="1" applyFill="1" applyBorder="1" applyAlignment="1">
      <alignment horizontal="center"/>
    </xf>
    <xf numFmtId="9" fontId="175" fillId="44" borderId="3" xfId="8733" applyNumberFormat="1" applyFont="1" applyFill="1" applyBorder="1" applyAlignment="1">
      <alignment horizontal="center"/>
    </xf>
    <xf numFmtId="9" fontId="175" fillId="44" borderId="4" xfId="8733" applyNumberFormat="1" applyFont="1" applyFill="1" applyBorder="1" applyAlignment="1">
      <alignment horizontal="center"/>
    </xf>
    <xf numFmtId="9" fontId="175" fillId="44" borderId="81" xfId="8733" applyNumberFormat="1" applyFont="1" applyFill="1" applyBorder="1" applyAlignment="1">
      <alignment horizontal="center"/>
    </xf>
    <xf numFmtId="0" fontId="174" fillId="48" borderId="3" xfId="8733" applyFont="1" applyFill="1" applyBorder="1" applyAlignment="1" applyProtection="1">
      <alignment horizontal="center"/>
      <protection locked="0"/>
    </xf>
    <xf numFmtId="0" fontId="174" fillId="48" borderId="4" xfId="8733" applyFont="1" applyFill="1" applyBorder="1" applyAlignment="1" applyProtection="1">
      <alignment horizontal="center"/>
      <protection locked="0"/>
    </xf>
    <xf numFmtId="0" fontId="174" fillId="48" borderId="5" xfId="8733" applyFont="1" applyFill="1" applyBorder="1" applyAlignment="1" applyProtection="1">
      <alignment horizontal="center"/>
      <protection locked="0"/>
    </xf>
    <xf numFmtId="0" fontId="175" fillId="44" borderId="87" xfId="8733" applyFont="1" applyFill="1" applyBorder="1" applyAlignment="1">
      <alignment horizontal="center"/>
    </xf>
    <xf numFmtId="0" fontId="175" fillId="44" borderId="86" xfId="8733" applyFont="1" applyFill="1" applyBorder="1" applyAlignment="1">
      <alignment horizontal="center"/>
    </xf>
    <xf numFmtId="0" fontId="175" fillId="44" borderId="95" xfId="8733" applyFont="1" applyFill="1" applyBorder="1" applyAlignment="1">
      <alignment horizontal="center"/>
    </xf>
    <xf numFmtId="0" fontId="174" fillId="44" borderId="94" xfId="8733" applyFont="1" applyFill="1" applyBorder="1" applyAlignment="1">
      <alignment horizontal="center"/>
    </xf>
    <xf numFmtId="0" fontId="174" fillId="44" borderId="86" xfId="8733" applyFont="1" applyFill="1" applyBorder="1" applyAlignment="1">
      <alignment horizontal="center"/>
    </xf>
    <xf numFmtId="0" fontId="174" fillId="44" borderId="95" xfId="8733" applyFont="1" applyFill="1" applyBorder="1" applyAlignment="1">
      <alignment horizontal="center"/>
    </xf>
    <xf numFmtId="9" fontId="175" fillId="44" borderId="94" xfId="8733" applyNumberFormat="1" applyFont="1" applyFill="1" applyBorder="1" applyAlignment="1">
      <alignment horizontal="center"/>
    </xf>
    <xf numFmtId="9" fontId="175" fillId="44" borderId="86" xfId="8733" applyNumberFormat="1" applyFont="1" applyFill="1" applyBorder="1" applyAlignment="1">
      <alignment horizontal="center"/>
    </xf>
    <xf numFmtId="9" fontId="175" fillId="44" borderId="85" xfId="8733" applyNumberFormat="1" applyFont="1" applyFill="1" applyBorder="1" applyAlignment="1">
      <alignment horizontal="center"/>
    </xf>
    <xf numFmtId="0" fontId="175" fillId="44" borderId="101" xfId="8733" applyFont="1" applyFill="1" applyBorder="1" applyAlignment="1">
      <alignment horizontal="center"/>
    </xf>
    <xf numFmtId="0" fontId="175" fillId="44" borderId="42" xfId="8733" applyFont="1" applyFill="1" applyBorder="1" applyAlignment="1">
      <alignment horizontal="center"/>
    </xf>
    <xf numFmtId="0" fontId="175" fillId="44" borderId="96" xfId="8733" applyFont="1" applyFill="1" applyBorder="1" applyAlignment="1">
      <alignment horizontal="center"/>
    </xf>
    <xf numFmtId="9" fontId="175" fillId="44" borderId="101" xfId="1022" applyFont="1" applyFill="1" applyBorder="1" applyAlignment="1">
      <alignment horizontal="center"/>
    </xf>
    <xf numFmtId="9" fontId="175" fillId="44" borderId="42" xfId="1022" applyFont="1" applyFill="1" applyBorder="1" applyAlignment="1">
      <alignment horizontal="center"/>
    </xf>
    <xf numFmtId="9" fontId="175" fillId="44" borderId="44" xfId="1022" applyFont="1" applyFill="1" applyBorder="1" applyAlignment="1">
      <alignment horizontal="center"/>
    </xf>
    <xf numFmtId="0" fontId="168" fillId="45" borderId="80" xfId="8733" applyFont="1" applyFill="1" applyBorder="1" applyAlignment="1">
      <alignment horizontal="center"/>
    </xf>
    <xf numFmtId="0" fontId="168" fillId="45" borderId="79" xfId="8733" applyFont="1" applyFill="1" applyBorder="1" applyAlignment="1">
      <alignment horizontal="center"/>
    </xf>
    <xf numFmtId="0" fontId="168" fillId="45" borderId="78" xfId="8733" applyFont="1" applyFill="1" applyBorder="1" applyAlignment="1">
      <alignment horizontal="center"/>
    </xf>
    <xf numFmtId="0" fontId="167" fillId="45" borderId="98" xfId="8733" applyFont="1" applyFill="1" applyBorder="1" applyAlignment="1">
      <alignment horizontal="center" vertical="center" wrapText="1"/>
    </xf>
    <xf numFmtId="0" fontId="167" fillId="45" borderId="13" xfId="8733" applyFont="1" applyFill="1" applyBorder="1" applyAlignment="1">
      <alignment horizontal="center" vertical="center"/>
    </xf>
    <xf numFmtId="0" fontId="167" fillId="45" borderId="72" xfId="8733" applyFont="1" applyFill="1" applyBorder="1" applyAlignment="1">
      <alignment horizontal="center" vertical="center"/>
    </xf>
    <xf numFmtId="0" fontId="167" fillId="45" borderId="11" xfId="8733" applyFont="1" applyFill="1" applyBorder="1" applyAlignment="1">
      <alignment horizontal="center" vertical="center"/>
    </xf>
    <xf numFmtId="0" fontId="175" fillId="45" borderId="13" xfId="8733" applyFont="1" applyFill="1" applyBorder="1" applyAlignment="1">
      <alignment horizontal="center" vertical="center" wrapText="1"/>
    </xf>
    <xf numFmtId="0" fontId="175" fillId="45" borderId="13" xfId="8733" applyFont="1" applyFill="1" applyBorder="1" applyAlignment="1">
      <alignment horizontal="center" vertical="center"/>
    </xf>
    <xf numFmtId="0" fontId="175" fillId="45" borderId="11" xfId="8733" applyFont="1" applyFill="1" applyBorder="1" applyAlignment="1">
      <alignment horizontal="center" vertical="center"/>
    </xf>
    <xf numFmtId="0" fontId="175" fillId="45" borderId="9" xfId="8733" applyFont="1" applyFill="1" applyBorder="1" applyAlignment="1">
      <alignment horizontal="center" vertical="center"/>
    </xf>
    <xf numFmtId="0" fontId="175" fillId="45" borderId="3" xfId="8733" applyFont="1" applyFill="1" applyBorder="1" applyAlignment="1">
      <alignment horizontal="center" vertical="center"/>
    </xf>
    <xf numFmtId="0" fontId="167" fillId="45" borderId="80" xfId="8733" applyFont="1" applyFill="1" applyBorder="1" applyAlignment="1">
      <alignment horizontal="center"/>
    </xf>
    <xf numFmtId="0" fontId="167" fillId="45" borderId="79" xfId="8733" applyFont="1" applyFill="1" applyBorder="1" applyAlignment="1">
      <alignment horizontal="center"/>
    </xf>
    <xf numFmtId="0" fontId="167" fillId="45" borderId="78" xfId="8733" applyFont="1" applyFill="1" applyBorder="1" applyAlignment="1">
      <alignment horizontal="center"/>
    </xf>
    <xf numFmtId="0" fontId="167" fillId="45" borderId="65" xfId="8733" applyFont="1" applyFill="1" applyBorder="1" applyAlignment="1">
      <alignment horizontal="center" vertical="center" wrapText="1"/>
    </xf>
    <xf numFmtId="0" fontId="167" fillId="45" borderId="29" xfId="8733" applyFont="1" applyFill="1" applyBorder="1" applyAlignment="1">
      <alignment horizontal="center" vertical="center" wrapText="1"/>
    </xf>
    <xf numFmtId="0" fontId="167" fillId="45" borderId="31" xfId="8733" applyFont="1" applyFill="1" applyBorder="1" applyAlignment="1">
      <alignment horizontal="center" vertical="center" wrapText="1"/>
    </xf>
    <xf numFmtId="0" fontId="167" fillId="45" borderId="73" xfId="8733" applyFont="1" applyFill="1" applyBorder="1" applyAlignment="1">
      <alignment horizontal="center" vertical="center" wrapText="1"/>
    </xf>
    <xf numFmtId="0" fontId="167" fillId="45" borderId="42" xfId="8733" applyFont="1" applyFill="1" applyBorder="1" applyAlignment="1">
      <alignment horizontal="center" vertical="center" wrapText="1"/>
    </xf>
    <xf numFmtId="0" fontId="167" fillId="45" borderId="44" xfId="8733" applyFont="1" applyFill="1" applyBorder="1" applyAlignment="1">
      <alignment horizontal="center" vertical="center" wrapText="1"/>
    </xf>
    <xf numFmtId="9" fontId="175" fillId="48" borderId="13" xfId="8733" applyNumberFormat="1" applyFont="1" applyFill="1" applyBorder="1" applyAlignment="1" applyProtection="1">
      <alignment horizontal="center"/>
      <protection locked="0"/>
    </xf>
    <xf numFmtId="0" fontId="175" fillId="44" borderId="73" xfId="8733" applyFont="1" applyFill="1" applyBorder="1" applyAlignment="1">
      <alignment horizontal="center"/>
    </xf>
    <xf numFmtId="0" fontId="167" fillId="44" borderId="9" xfId="8733" applyFont="1" applyFill="1" applyBorder="1" applyAlignment="1">
      <alignment horizontal="center"/>
    </xf>
    <xf numFmtId="0" fontId="167" fillId="44" borderId="6" xfId="8733" applyFont="1" applyFill="1" applyBorder="1" applyAlignment="1">
      <alignment horizontal="center"/>
    </xf>
    <xf numFmtId="0" fontId="167" fillId="44" borderId="82" xfId="8733" applyFont="1" applyFill="1" applyBorder="1" applyAlignment="1">
      <alignment horizontal="center"/>
    </xf>
    <xf numFmtId="9" fontId="175" fillId="48" borderId="9" xfId="8733" applyNumberFormat="1" applyFont="1" applyFill="1" applyBorder="1" applyAlignment="1" applyProtection="1">
      <alignment horizontal="center"/>
      <protection locked="0"/>
    </xf>
    <xf numFmtId="9" fontId="175" fillId="48" borderId="6" xfId="8733" applyNumberFormat="1" applyFont="1" applyFill="1" applyBorder="1" applyAlignment="1" applyProtection="1">
      <alignment horizontal="center"/>
      <protection locked="0"/>
    </xf>
    <xf numFmtId="9" fontId="175" fillId="48" borderId="10" xfId="8733" applyNumberFormat="1" applyFont="1" applyFill="1" applyBorder="1" applyAlignment="1" applyProtection="1">
      <alignment horizontal="center"/>
      <protection locked="0"/>
    </xf>
    <xf numFmtId="9" fontId="167" fillId="48" borderId="9" xfId="8733" applyNumberFormat="1" applyFont="1" applyFill="1" applyBorder="1" applyAlignment="1" applyProtection="1">
      <alignment horizontal="center"/>
      <protection locked="0"/>
    </xf>
    <xf numFmtId="9" fontId="167" fillId="48" borderId="6" xfId="8733" applyNumberFormat="1" applyFont="1" applyFill="1" applyBorder="1" applyAlignment="1" applyProtection="1">
      <alignment horizontal="center"/>
      <protection locked="0"/>
    </xf>
    <xf numFmtId="9" fontId="167" fillId="48" borderId="10" xfId="8733" applyNumberFormat="1" applyFont="1" applyFill="1" applyBorder="1" applyAlignment="1" applyProtection="1">
      <alignment horizontal="center"/>
      <protection locked="0"/>
    </xf>
    <xf numFmtId="0" fontId="167" fillId="44" borderId="10" xfId="8733" applyFont="1" applyFill="1" applyBorder="1" applyAlignment="1">
      <alignment horizontal="center"/>
    </xf>
    <xf numFmtId="1" fontId="179" fillId="48" borderId="3" xfId="8733" applyNumberFormat="1" applyFont="1" applyFill="1" applyBorder="1" applyAlignment="1" applyProtection="1">
      <alignment horizontal="center"/>
      <protection locked="0"/>
    </xf>
    <xf numFmtId="1" fontId="179" fillId="48" borderId="4" xfId="8733" applyNumberFormat="1" applyFont="1" applyFill="1" applyBorder="1" applyAlignment="1" applyProtection="1">
      <alignment horizontal="center"/>
      <protection locked="0"/>
    </xf>
    <xf numFmtId="1" fontId="179" fillId="48" borderId="5" xfId="8733" applyNumberFormat="1" applyFont="1" applyFill="1" applyBorder="1" applyAlignment="1" applyProtection="1">
      <alignment horizontal="center"/>
      <protection locked="0"/>
    </xf>
    <xf numFmtId="1" fontId="167" fillId="44" borderId="3" xfId="8733" applyNumberFormat="1" applyFont="1" applyFill="1" applyBorder="1" applyAlignment="1">
      <alignment horizontal="center"/>
    </xf>
    <xf numFmtId="1" fontId="167" fillId="44" borderId="4" xfId="8733" applyNumberFormat="1" applyFont="1" applyFill="1" applyBorder="1" applyAlignment="1">
      <alignment horizontal="center"/>
    </xf>
    <xf numFmtId="1" fontId="167" fillId="44" borderId="5" xfId="8733" applyNumberFormat="1" applyFont="1" applyFill="1" applyBorder="1" applyAlignment="1">
      <alignment horizontal="center"/>
    </xf>
    <xf numFmtId="9" fontId="167" fillId="44" borderId="3" xfId="8735" applyFont="1" applyFill="1" applyBorder="1" applyAlignment="1">
      <alignment horizontal="center"/>
    </xf>
    <xf numFmtId="9" fontId="167" fillId="44" borderId="4" xfId="8735" applyFont="1" applyFill="1" applyBorder="1" applyAlignment="1">
      <alignment horizontal="center"/>
    </xf>
    <xf numFmtId="9" fontId="167" fillId="44" borderId="81" xfId="8735" applyFont="1" applyFill="1" applyBorder="1" applyAlignment="1">
      <alignment horizontal="center"/>
    </xf>
    <xf numFmtId="0" fontId="176" fillId="48" borderId="72" xfId="8733" applyFont="1" applyFill="1" applyBorder="1" applyAlignment="1" applyProtection="1">
      <alignment horizontal="right"/>
      <protection locked="0"/>
    </xf>
    <xf numFmtId="0" fontId="176" fillId="48" borderId="11" xfId="8733" applyFont="1" applyFill="1" applyBorder="1" applyAlignment="1" applyProtection="1">
      <alignment horizontal="right"/>
      <protection locked="0"/>
    </xf>
    <xf numFmtId="0" fontId="179" fillId="48" borderId="11" xfId="8733" applyFont="1" applyFill="1" applyBorder="1" applyAlignment="1" applyProtection="1">
      <alignment horizontal="center"/>
      <protection locked="0"/>
    </xf>
    <xf numFmtId="1" fontId="179" fillId="48" borderId="11" xfId="8733" applyNumberFormat="1" applyFont="1" applyFill="1" applyBorder="1" applyAlignment="1" applyProtection="1">
      <alignment horizontal="center"/>
      <protection locked="0"/>
    </xf>
    <xf numFmtId="0" fontId="174" fillId="48" borderId="72" xfId="8733" applyFont="1" applyFill="1" applyBorder="1" applyAlignment="1" applyProtection="1">
      <alignment horizontal="right"/>
      <protection locked="0"/>
    </xf>
    <xf numFmtId="0" fontId="174" fillId="48" borderId="11" xfId="8733" applyFont="1" applyFill="1" applyBorder="1" applyAlignment="1" applyProtection="1">
      <alignment horizontal="right"/>
      <protection locked="0"/>
    </xf>
    <xf numFmtId="0" fontId="174" fillId="48" borderId="69" xfId="8733" applyFont="1" applyFill="1" applyBorder="1" applyAlignment="1" applyProtection="1">
      <alignment horizontal="right"/>
      <protection locked="0"/>
    </xf>
    <xf numFmtId="0" fontId="174" fillId="48" borderId="70" xfId="8733" applyFont="1" applyFill="1" applyBorder="1" applyAlignment="1" applyProtection="1">
      <alignment horizontal="right"/>
      <protection locked="0"/>
    </xf>
    <xf numFmtId="0" fontId="179" fillId="48" borderId="70" xfId="8733" applyFont="1" applyFill="1" applyBorder="1" applyAlignment="1" applyProtection="1">
      <alignment horizontal="center"/>
      <protection locked="0"/>
    </xf>
    <xf numFmtId="1" fontId="179" fillId="48" borderId="70" xfId="8733" applyNumberFormat="1" applyFont="1" applyFill="1" applyBorder="1" applyAlignment="1" applyProtection="1">
      <alignment horizontal="center"/>
      <protection locked="0"/>
    </xf>
    <xf numFmtId="9" fontId="167" fillId="44" borderId="94" xfId="8735" applyFont="1" applyFill="1" applyBorder="1" applyAlignment="1">
      <alignment horizontal="center"/>
    </xf>
    <xf numFmtId="9" fontId="167" fillId="44" borderId="86" xfId="8735" applyFont="1" applyFill="1" applyBorder="1" applyAlignment="1">
      <alignment horizontal="center"/>
    </xf>
    <xf numFmtId="9" fontId="167" fillId="44" borderId="85" xfId="8735" applyFont="1" applyFill="1" applyBorder="1" applyAlignment="1">
      <alignment horizontal="center"/>
    </xf>
    <xf numFmtId="1" fontId="179" fillId="48" borderId="94" xfId="8733" applyNumberFormat="1" applyFont="1" applyFill="1" applyBorder="1" applyAlignment="1" applyProtection="1">
      <alignment horizontal="center"/>
      <protection locked="0"/>
    </xf>
    <xf numFmtId="1" fontId="179" fillId="48" borderId="86" xfId="8733" applyNumberFormat="1" applyFont="1" applyFill="1" applyBorder="1" applyAlignment="1" applyProtection="1">
      <alignment horizontal="center"/>
      <protection locked="0"/>
    </xf>
    <xf numFmtId="1" fontId="179" fillId="48" borderId="95" xfId="8733" applyNumberFormat="1" applyFont="1" applyFill="1" applyBorder="1" applyAlignment="1" applyProtection="1">
      <alignment horizontal="center"/>
      <protection locked="0"/>
    </xf>
    <xf numFmtId="0" fontId="168" fillId="45" borderId="67" xfId="8733" applyFont="1" applyFill="1" applyBorder="1" applyAlignment="1">
      <alignment horizontal="center"/>
    </xf>
    <xf numFmtId="0" fontId="168" fillId="45" borderId="68" xfId="8733" applyFont="1" applyFill="1" applyBorder="1" applyAlignment="1">
      <alignment horizontal="center"/>
    </xf>
    <xf numFmtId="0" fontId="168" fillId="45" borderId="71" xfId="8733" applyFont="1" applyFill="1" applyBorder="1" applyAlignment="1">
      <alignment horizontal="center"/>
    </xf>
    <xf numFmtId="0" fontId="175" fillId="45" borderId="72" xfId="8733" applyFont="1" applyFill="1" applyBorder="1" applyAlignment="1">
      <alignment horizontal="center"/>
    </xf>
    <xf numFmtId="0" fontId="175" fillId="45" borderId="11" xfId="8733" applyFont="1" applyFill="1" applyBorder="1" applyAlignment="1">
      <alignment horizontal="center"/>
    </xf>
    <xf numFmtId="0" fontId="167" fillId="45" borderId="11" xfId="8733" applyFont="1" applyFill="1" applyBorder="1" applyAlignment="1">
      <alignment horizontal="center" vertical="center" wrapText="1"/>
    </xf>
    <xf numFmtId="0" fontId="167" fillId="45" borderId="76" xfId="8733" applyFont="1" applyFill="1" applyBorder="1" applyAlignment="1">
      <alignment horizontal="center" vertical="center" wrapText="1"/>
    </xf>
    <xf numFmtId="0" fontId="174" fillId="48" borderId="11" xfId="8733" applyFont="1" applyFill="1" applyBorder="1" applyAlignment="1" applyProtection="1">
      <alignment horizontal="center"/>
      <protection locked="0"/>
    </xf>
    <xf numFmtId="168" fontId="174" fillId="48" borderId="11" xfId="8734" applyNumberFormat="1" applyFont="1" applyFill="1" applyBorder="1" applyAlignment="1" applyProtection="1">
      <alignment horizontal="center"/>
      <protection locked="0"/>
    </xf>
    <xf numFmtId="1" fontId="174" fillId="48" borderId="11" xfId="8733" applyNumberFormat="1" applyFont="1" applyFill="1" applyBorder="1" applyAlignment="1" applyProtection="1">
      <alignment horizontal="center"/>
      <protection locked="0"/>
    </xf>
    <xf numFmtId="0" fontId="174" fillId="48" borderId="11" xfId="700" applyNumberFormat="1" applyFont="1" applyFill="1" applyBorder="1" applyAlignment="1" applyProtection="1">
      <alignment horizontal="left"/>
      <protection locked="0"/>
    </xf>
    <xf numFmtId="0" fontId="174" fillId="48" borderId="76" xfId="700" applyNumberFormat="1" applyFont="1" applyFill="1" applyBorder="1" applyAlignment="1" applyProtection="1">
      <alignment horizontal="left"/>
      <protection locked="0"/>
    </xf>
    <xf numFmtId="0" fontId="168" fillId="45" borderId="65" xfId="8733" applyFont="1" applyFill="1" applyBorder="1" applyAlignment="1">
      <alignment horizontal="center"/>
    </xf>
    <xf numFmtId="0" fontId="168" fillId="45" borderId="29" xfId="8733" applyFont="1" applyFill="1" applyBorder="1" applyAlignment="1">
      <alignment horizontal="center"/>
    </xf>
    <xf numFmtId="0" fontId="168" fillId="45" borderId="31" xfId="8733" applyFont="1" applyFill="1" applyBorder="1" applyAlignment="1">
      <alignment horizontal="center"/>
    </xf>
    <xf numFmtId="0" fontId="174" fillId="44" borderId="72" xfId="8733" applyFont="1" applyFill="1" applyBorder="1" applyAlignment="1" applyProtection="1">
      <alignment horizontal="right"/>
      <protection locked="0"/>
    </xf>
    <xf numFmtId="0" fontId="174" fillId="44" borderId="11" xfId="8733" applyFont="1" applyFill="1" applyBorder="1" applyAlignment="1" applyProtection="1">
      <alignment horizontal="right"/>
      <protection locked="0"/>
    </xf>
    <xf numFmtId="0" fontId="174" fillId="44" borderId="76" xfId="8733" applyFont="1" applyFill="1" applyBorder="1" applyAlignment="1" applyProtection="1">
      <alignment horizontal="right"/>
      <protection locked="0"/>
    </xf>
    <xf numFmtId="0" fontId="174" fillId="48" borderId="5" xfId="8733" applyFont="1" applyFill="1" applyBorder="1" applyAlignment="1" applyProtection="1">
      <alignment horizontal="left"/>
      <protection locked="0"/>
    </xf>
    <xf numFmtId="0" fontId="174" fillId="48" borderId="11" xfId="8733" applyFont="1" applyFill="1" applyBorder="1" applyAlignment="1" applyProtection="1">
      <alignment horizontal="left"/>
      <protection locked="0"/>
    </xf>
    <xf numFmtId="0" fontId="174" fillId="48" borderId="76" xfId="8733" applyFont="1" applyFill="1" applyBorder="1" applyAlignment="1" applyProtection="1">
      <alignment horizontal="left"/>
      <protection locked="0"/>
    </xf>
    <xf numFmtId="0" fontId="175" fillId="45" borderId="69" xfId="8733" applyFont="1" applyFill="1" applyBorder="1" applyAlignment="1">
      <alignment horizontal="center"/>
    </xf>
    <xf numFmtId="0" fontId="175" fillId="45" borderId="70" xfId="8733" applyFont="1" applyFill="1" applyBorder="1" applyAlignment="1">
      <alignment horizontal="center"/>
    </xf>
    <xf numFmtId="168" fontId="175" fillId="45" borderId="70" xfId="8734" applyNumberFormat="1" applyFont="1" applyFill="1" applyBorder="1" applyAlignment="1">
      <alignment horizontal="center"/>
    </xf>
    <xf numFmtId="1" fontId="175" fillId="45" borderId="70" xfId="8734" applyNumberFormat="1" applyFont="1" applyFill="1" applyBorder="1" applyAlignment="1">
      <alignment horizontal="center"/>
    </xf>
    <xf numFmtId="0" fontId="175" fillId="45" borderId="70" xfId="8734" applyNumberFormat="1" applyFont="1" applyFill="1" applyBorder="1" applyAlignment="1">
      <alignment horizontal="center"/>
    </xf>
    <xf numFmtId="0" fontId="175" fillId="45" borderId="77" xfId="8734" applyNumberFormat="1" applyFont="1" applyFill="1" applyBorder="1" applyAlignment="1">
      <alignment horizontal="center"/>
    </xf>
    <xf numFmtId="0" fontId="171" fillId="48" borderId="74" xfId="8733" applyFont="1" applyFill="1" applyBorder="1" applyAlignment="1" applyProtection="1">
      <alignment horizontal="left"/>
      <protection locked="0"/>
    </xf>
    <xf numFmtId="0" fontId="171" fillId="48" borderId="68" xfId="8733" applyFont="1" applyFill="1" applyBorder="1" applyAlignment="1" applyProtection="1">
      <alignment horizontal="left"/>
      <protection locked="0"/>
    </xf>
    <xf numFmtId="0" fontId="171" fillId="48" borderId="71" xfId="8733" applyFont="1" applyFill="1" applyBorder="1" applyAlignment="1" applyProtection="1">
      <alignment horizontal="left"/>
      <protection locked="0"/>
    </xf>
    <xf numFmtId="0" fontId="168" fillId="45" borderId="72" xfId="8733" applyFont="1" applyFill="1" applyBorder="1" applyAlignment="1">
      <alignment horizontal="center"/>
    </xf>
    <xf numFmtId="0" fontId="168" fillId="45" borderId="11" xfId="8733" applyFont="1" applyFill="1" applyBorder="1" applyAlignment="1">
      <alignment horizontal="center"/>
    </xf>
    <xf numFmtId="0" fontId="168" fillId="45" borderId="3" xfId="8733" applyFont="1" applyFill="1" applyBorder="1" applyAlignment="1">
      <alignment horizontal="center"/>
    </xf>
    <xf numFmtId="0" fontId="168" fillId="45" borderId="4" xfId="8733" applyFont="1" applyFill="1" applyBorder="1" applyAlignment="1">
      <alignment horizontal="center"/>
    </xf>
    <xf numFmtId="0" fontId="168" fillId="45" borderId="81" xfId="8733" applyFont="1" applyFill="1" applyBorder="1" applyAlignment="1">
      <alignment horizontal="center"/>
    </xf>
    <xf numFmtId="0" fontId="104" fillId="45" borderId="69" xfId="8733" applyFont="1" applyFill="1" applyBorder="1" applyAlignment="1">
      <alignment horizontal="center"/>
    </xf>
    <xf numFmtId="0" fontId="104" fillId="45" borderId="70" xfId="8733" applyFont="1" applyFill="1" applyBorder="1" applyAlignment="1">
      <alignment horizontal="center"/>
    </xf>
    <xf numFmtId="0" fontId="174" fillId="44" borderId="69" xfId="8733" applyFont="1" applyFill="1" applyBorder="1" applyAlignment="1" applyProtection="1">
      <alignment horizontal="right"/>
      <protection locked="0"/>
    </xf>
    <xf numFmtId="0" fontId="174" fillId="44" borderId="70" xfId="8733" applyFont="1" applyFill="1" applyBorder="1" applyAlignment="1" applyProtection="1">
      <alignment horizontal="right"/>
      <protection locked="0"/>
    </xf>
    <xf numFmtId="0" fontId="174" fillId="44" borderId="77" xfId="8733" applyFont="1" applyFill="1" applyBorder="1" applyAlignment="1" applyProtection="1">
      <alignment horizontal="right"/>
      <protection locked="0"/>
    </xf>
    <xf numFmtId="0" fontId="174" fillId="48" borderId="95" xfId="8733" applyFont="1" applyFill="1" applyBorder="1" applyAlignment="1" applyProtection="1">
      <alignment horizontal="left"/>
      <protection locked="0"/>
    </xf>
    <xf numFmtId="0" fontId="174" fillId="48" borderId="70" xfId="8733" applyFont="1" applyFill="1" applyBorder="1" applyAlignment="1" applyProtection="1">
      <alignment horizontal="left"/>
      <protection locked="0"/>
    </xf>
    <xf numFmtId="0" fontId="174" fillId="48" borderId="77" xfId="8733" applyFont="1" applyFill="1" applyBorder="1" applyAlignment="1" applyProtection="1">
      <alignment horizontal="left"/>
      <protection locked="0"/>
    </xf>
    <xf numFmtId="168" fontId="176" fillId="48" borderId="11" xfId="700" applyNumberFormat="1" applyFont="1" applyFill="1" applyBorder="1" applyAlignment="1" applyProtection="1">
      <alignment horizontal="left"/>
      <protection locked="0"/>
    </xf>
    <xf numFmtId="168" fontId="176" fillId="48" borderId="76" xfId="700" applyNumberFormat="1" applyFont="1" applyFill="1" applyBorder="1" applyAlignment="1" applyProtection="1">
      <alignment horizontal="left"/>
      <protection locked="0"/>
    </xf>
    <xf numFmtId="0" fontId="174" fillId="48" borderId="68" xfId="8733" applyFont="1" applyFill="1" applyBorder="1" applyAlignment="1" applyProtection="1">
      <alignment horizontal="left"/>
      <protection locked="0"/>
    </xf>
    <xf numFmtId="0" fontId="174" fillId="48" borderId="71" xfId="8733" applyFont="1" applyFill="1" applyBorder="1" applyAlignment="1" applyProtection="1">
      <alignment horizontal="left"/>
      <protection locked="0"/>
    </xf>
    <xf numFmtId="0" fontId="168" fillId="45" borderId="69" xfId="8733" applyFont="1" applyFill="1" applyBorder="1" applyAlignment="1">
      <alignment horizontal="center"/>
    </xf>
    <xf numFmtId="0" fontId="168" fillId="45" borderId="70" xfId="8733" applyFont="1" applyFill="1" applyBorder="1" applyAlignment="1">
      <alignment horizontal="center"/>
    </xf>
    <xf numFmtId="0" fontId="104" fillId="45" borderId="67" xfId="8733" applyFont="1" applyFill="1" applyBorder="1" applyAlignment="1">
      <alignment horizontal="center"/>
    </xf>
    <xf numFmtId="0" fontId="104" fillId="45" borderId="68" xfId="8733" applyFont="1" applyFill="1" applyBorder="1" applyAlignment="1">
      <alignment horizontal="center"/>
    </xf>
    <xf numFmtId="0" fontId="4" fillId="48" borderId="9" xfId="8733" applyFill="1" applyBorder="1" applyAlignment="1" applyProtection="1">
      <alignment horizontal="center"/>
      <protection locked="0"/>
    </xf>
    <xf numFmtId="0" fontId="4" fillId="48" borderId="6" xfId="8733" applyFill="1" applyBorder="1" applyAlignment="1" applyProtection="1">
      <alignment horizontal="center"/>
      <protection locked="0"/>
    </xf>
    <xf numFmtId="0" fontId="4" fillId="48" borderId="82" xfId="8733" applyFill="1" applyBorder="1" applyAlignment="1" applyProtection="1">
      <alignment horizontal="center"/>
      <protection locked="0"/>
    </xf>
    <xf numFmtId="0" fontId="175" fillId="45" borderId="97" xfId="8733" applyFont="1" applyFill="1" applyBorder="1" applyAlignment="1">
      <alignment horizontal="left"/>
    </xf>
    <xf numFmtId="0" fontId="175" fillId="45" borderId="2" xfId="8733" applyFont="1" applyFill="1" applyBorder="1" applyAlignment="1">
      <alignment horizontal="left"/>
    </xf>
    <xf numFmtId="10" fontId="4" fillId="0" borderId="94" xfId="8733" applyNumberFormat="1" applyBorder="1" applyAlignment="1">
      <alignment horizontal="center"/>
    </xf>
    <xf numFmtId="10" fontId="4" fillId="0" borderId="86" xfId="8733" applyNumberFormat="1" applyBorder="1" applyAlignment="1">
      <alignment horizontal="center"/>
    </xf>
    <xf numFmtId="10" fontId="4" fillId="0" borderId="85" xfId="8733" applyNumberFormat="1" applyBorder="1" applyAlignment="1">
      <alignment horizontal="center"/>
    </xf>
    <xf numFmtId="0" fontId="175" fillId="45" borderId="73" xfId="8733" applyFont="1" applyFill="1" applyBorder="1" applyAlignment="1">
      <alignment horizontal="left"/>
    </xf>
    <xf numFmtId="0" fontId="175" fillId="45" borderId="42" xfId="8733" applyFont="1" applyFill="1" applyBorder="1" applyAlignment="1">
      <alignment horizontal="left"/>
    </xf>
    <xf numFmtId="10" fontId="4" fillId="48" borderId="94" xfId="8733" applyNumberFormat="1" applyFill="1" applyBorder="1" applyAlignment="1" applyProtection="1">
      <alignment horizontal="center"/>
      <protection locked="0"/>
    </xf>
    <xf numFmtId="10" fontId="4" fillId="48" borderId="86" xfId="8733" applyNumberFormat="1" applyFill="1" applyBorder="1" applyAlignment="1" applyProtection="1">
      <alignment horizontal="center"/>
      <protection locked="0"/>
    </xf>
    <xf numFmtId="10" fontId="4" fillId="48" borderId="85" xfId="8733" applyNumberFormat="1" applyFill="1" applyBorder="1" applyAlignment="1" applyProtection="1">
      <alignment horizontal="center"/>
      <protection locked="0"/>
    </xf>
    <xf numFmtId="0" fontId="104" fillId="45" borderId="67" xfId="8733" applyFont="1" applyFill="1" applyBorder="1" applyAlignment="1">
      <alignment horizontal="center" wrapText="1"/>
    </xf>
    <xf numFmtId="0" fontId="104" fillId="45" borderId="68" xfId="8733" applyFont="1" applyFill="1" applyBorder="1" applyAlignment="1">
      <alignment horizontal="center" wrapText="1"/>
    </xf>
    <xf numFmtId="0" fontId="104" fillId="45" borderId="71" xfId="8733" applyFont="1" applyFill="1" applyBorder="1" applyAlignment="1">
      <alignment horizontal="center" wrapText="1"/>
    </xf>
    <xf numFmtId="0" fontId="168" fillId="45" borderId="98" xfId="8733" applyFont="1" applyFill="1" applyBorder="1" applyAlignment="1">
      <alignment horizontal="center"/>
    </xf>
    <xf numFmtId="0" fontId="168" fillId="45" borderId="13" xfId="8733" applyFont="1" applyFill="1" applyBorder="1" applyAlignment="1">
      <alignment horizontal="center"/>
    </xf>
    <xf numFmtId="0" fontId="174" fillId="48" borderId="72" xfId="8733" applyFont="1" applyFill="1" applyBorder="1" applyAlignment="1" applyProtection="1">
      <alignment horizontal="left" vertical="top"/>
      <protection locked="0"/>
    </xf>
    <xf numFmtId="0" fontId="174" fillId="48" borderId="11" xfId="8733" applyFont="1" applyFill="1" applyBorder="1" applyAlignment="1" applyProtection="1">
      <alignment horizontal="left" vertical="top"/>
      <protection locked="0"/>
    </xf>
    <xf numFmtId="0" fontId="174" fillId="48" borderId="76" xfId="8733" applyFont="1" applyFill="1" applyBorder="1" applyAlignment="1" applyProtection="1">
      <alignment horizontal="left" vertical="top"/>
      <protection locked="0"/>
    </xf>
    <xf numFmtId="0" fontId="174" fillId="48" borderId="69" xfId="8733" applyFont="1" applyFill="1" applyBorder="1" applyAlignment="1" applyProtection="1">
      <alignment horizontal="left" vertical="top"/>
      <protection locked="0"/>
    </xf>
    <xf numFmtId="0" fontId="174" fillId="48" borderId="70" xfId="8733" applyFont="1" applyFill="1" applyBorder="1" applyAlignment="1" applyProtection="1">
      <alignment horizontal="left" vertical="top"/>
      <protection locked="0"/>
    </xf>
    <xf numFmtId="0" fontId="174" fillId="48" borderId="77" xfId="8733" applyFont="1" applyFill="1" applyBorder="1" applyAlignment="1" applyProtection="1">
      <alignment horizontal="left" vertical="top"/>
      <protection locked="0"/>
    </xf>
    <xf numFmtId="0" fontId="174" fillId="48" borderId="72" xfId="8733" applyFont="1" applyFill="1" applyBorder="1" applyAlignment="1" applyProtection="1">
      <alignment horizontal="center"/>
      <protection locked="0"/>
    </xf>
    <xf numFmtId="0" fontId="168" fillId="45" borderId="89" xfId="8733" applyFont="1" applyFill="1" applyBorder="1" applyAlignment="1">
      <alignment horizontal="right"/>
    </xf>
    <xf numFmtId="0" fontId="168" fillId="45" borderId="43" xfId="8733" applyFont="1" applyFill="1" applyBorder="1" applyAlignment="1">
      <alignment horizontal="right"/>
    </xf>
    <xf numFmtId="168" fontId="168" fillId="45" borderId="43" xfId="8733" applyNumberFormat="1" applyFont="1" applyFill="1" applyBorder="1" applyAlignment="1">
      <alignment horizontal="left"/>
    </xf>
    <xf numFmtId="168" fontId="168" fillId="45" borderId="88" xfId="8733" applyNumberFormat="1" applyFont="1" applyFill="1" applyBorder="1" applyAlignment="1">
      <alignment horizontal="left"/>
    </xf>
    <xf numFmtId="0" fontId="4" fillId="48" borderId="11" xfId="8733" applyFill="1" applyBorder="1" applyAlignment="1" applyProtection="1">
      <alignment horizontal="center"/>
      <protection locked="0"/>
    </xf>
    <xf numFmtId="0" fontId="4" fillId="48" borderId="76" xfId="8733" applyFill="1" applyBorder="1" applyAlignment="1" applyProtection="1">
      <alignment horizontal="center"/>
      <protection locked="0"/>
    </xf>
    <xf numFmtId="0" fontId="104" fillId="45" borderId="67" xfId="8733" applyFont="1" applyFill="1" applyBorder="1" applyAlignment="1">
      <alignment horizontal="left" wrapText="1"/>
    </xf>
    <xf numFmtId="0" fontId="104" fillId="45" borderId="68" xfId="8733" applyFont="1" applyFill="1" applyBorder="1" applyAlignment="1">
      <alignment horizontal="left" wrapText="1"/>
    </xf>
    <xf numFmtId="0" fontId="104" fillId="45" borderId="72" xfId="8733" applyFont="1" applyFill="1" applyBorder="1" applyAlignment="1">
      <alignment horizontal="left" wrapText="1"/>
    </xf>
    <xf numFmtId="0" fontId="104" fillId="45" borderId="11" xfId="8733" applyFont="1" applyFill="1" applyBorder="1" applyAlignment="1">
      <alignment horizontal="left" wrapText="1"/>
    </xf>
    <xf numFmtId="0" fontId="171" fillId="48" borderId="68" xfId="8733" applyFont="1" applyFill="1" applyBorder="1" applyAlignment="1" applyProtection="1">
      <alignment horizontal="left" wrapText="1"/>
      <protection locked="0"/>
    </xf>
    <xf numFmtId="0" fontId="171" fillId="48" borderId="71" xfId="8733" applyFont="1" applyFill="1" applyBorder="1" applyAlignment="1" applyProtection="1">
      <alignment horizontal="left" wrapText="1"/>
      <protection locked="0"/>
    </xf>
    <xf numFmtId="0" fontId="171" fillId="48" borderId="11" xfId="8733" applyFont="1" applyFill="1" applyBorder="1" applyAlignment="1" applyProtection="1">
      <alignment horizontal="left" wrapText="1"/>
      <protection locked="0"/>
    </xf>
    <xf numFmtId="0" fontId="171" fillId="48" borderId="76" xfId="8733" applyFont="1" applyFill="1" applyBorder="1" applyAlignment="1" applyProtection="1">
      <alignment horizontal="left" wrapText="1"/>
      <protection locked="0"/>
    </xf>
    <xf numFmtId="0" fontId="175" fillId="45" borderId="11" xfId="8733" applyFont="1" applyFill="1" applyBorder="1" applyAlignment="1">
      <alignment horizontal="center" wrapText="1"/>
    </xf>
    <xf numFmtId="0" fontId="167" fillId="45" borderId="11" xfId="8733" applyFont="1" applyFill="1" applyBorder="1" applyAlignment="1">
      <alignment horizontal="center"/>
    </xf>
    <xf numFmtId="0" fontId="167" fillId="45" borderId="76" xfId="8733" applyFont="1" applyFill="1" applyBorder="1" applyAlignment="1">
      <alignment horizontal="center"/>
    </xf>
    <xf numFmtId="0" fontId="175" fillId="45" borderId="7" xfId="8733" applyFont="1" applyFill="1" applyBorder="1" applyAlignment="1">
      <alignment horizontal="left"/>
    </xf>
    <xf numFmtId="0" fontId="175" fillId="45" borderId="96" xfId="8733" applyFont="1" applyFill="1" applyBorder="1" applyAlignment="1">
      <alignment horizontal="left"/>
    </xf>
    <xf numFmtId="0" fontId="4" fillId="48" borderId="70" xfId="8733" applyFill="1" applyBorder="1" applyAlignment="1" applyProtection="1">
      <alignment horizontal="center"/>
      <protection locked="0"/>
    </xf>
    <xf numFmtId="0" fontId="4" fillId="48" borderId="77" xfId="8733" applyFill="1" applyBorder="1" applyAlignment="1" applyProtection="1">
      <alignment horizontal="center"/>
      <protection locked="0"/>
    </xf>
    <xf numFmtId="0" fontId="171" fillId="48" borderId="3" xfId="8733" applyFont="1" applyFill="1" applyBorder="1" applyAlignment="1" applyProtection="1">
      <alignment horizontal="center"/>
      <protection locked="0"/>
    </xf>
    <xf numFmtId="0" fontId="171" fillId="48" borderId="4" xfId="8733" applyFont="1" applyFill="1" applyBorder="1" applyAlignment="1" applyProtection="1">
      <alignment horizontal="center"/>
      <protection locked="0"/>
    </xf>
    <xf numFmtId="0" fontId="171" fillId="48" borderId="81" xfId="8733" applyFont="1" applyFill="1" applyBorder="1" applyAlignment="1" applyProtection="1">
      <alignment horizontal="center"/>
      <protection locked="0"/>
    </xf>
    <xf numFmtId="0" fontId="104" fillId="45" borderId="71" xfId="8733" applyFont="1" applyFill="1" applyBorder="1" applyAlignment="1">
      <alignment horizontal="center"/>
    </xf>
    <xf numFmtId="0" fontId="171" fillId="48" borderId="3" xfId="8733" applyFont="1" applyFill="1" applyBorder="1" applyAlignment="1">
      <alignment horizontal="center"/>
    </xf>
    <xf numFmtId="0" fontId="171" fillId="48" borderId="4" xfId="8733" applyFont="1" applyFill="1" applyBorder="1" applyAlignment="1">
      <alignment horizontal="center"/>
    </xf>
    <xf numFmtId="0" fontId="171" fillId="48" borderId="81" xfId="8733" applyFont="1" applyFill="1" applyBorder="1" applyAlignment="1">
      <alignment horizontal="center"/>
    </xf>
    <xf numFmtId="0" fontId="181" fillId="45" borderId="11" xfId="8733" applyFont="1" applyFill="1" applyBorder="1" applyAlignment="1">
      <alignment horizontal="left"/>
    </xf>
    <xf numFmtId="0" fontId="181" fillId="45" borderId="76" xfId="8733" applyFont="1" applyFill="1" applyBorder="1" applyAlignment="1">
      <alignment horizontal="left"/>
    </xf>
    <xf numFmtId="0" fontId="178" fillId="45" borderId="72" xfId="8733" applyFont="1" applyFill="1" applyBorder="1" applyAlignment="1">
      <alignment horizontal="left"/>
    </xf>
    <xf numFmtId="0" fontId="178" fillId="45" borderId="11" xfId="8733" applyFont="1" applyFill="1" applyBorder="1" applyAlignment="1">
      <alignment horizontal="left"/>
    </xf>
    <xf numFmtId="0" fontId="178" fillId="45" borderId="69" xfId="8733" applyFont="1" applyFill="1" applyBorder="1" applyAlignment="1">
      <alignment horizontal="left"/>
    </xf>
    <xf numFmtId="0" fontId="178" fillId="45" borderId="70" xfId="8733" applyFont="1" applyFill="1" applyBorder="1" applyAlignment="1">
      <alignment horizontal="left"/>
    </xf>
    <xf numFmtId="0" fontId="4" fillId="51" borderId="70" xfId="8733" applyFill="1" applyBorder="1" applyAlignment="1" applyProtection="1">
      <alignment horizontal="center"/>
      <protection locked="0"/>
    </xf>
    <xf numFmtId="0" fontId="4" fillId="51" borderId="77" xfId="8733" applyFill="1" applyBorder="1" applyAlignment="1" applyProtection="1">
      <alignment horizontal="center"/>
      <protection locked="0"/>
    </xf>
    <xf numFmtId="0" fontId="104" fillId="45" borderId="67" xfId="8733" applyFont="1" applyFill="1" applyBorder="1" applyAlignment="1" applyProtection="1">
      <alignment horizontal="left" vertical="center" wrapText="1"/>
      <protection locked="0"/>
    </xf>
    <xf numFmtId="0" fontId="104" fillId="45" borderId="68" xfId="8733" applyFont="1" applyFill="1" applyBorder="1" applyAlignment="1" applyProtection="1">
      <alignment horizontal="left" vertical="center" wrapText="1"/>
      <protection locked="0"/>
    </xf>
    <xf numFmtId="0" fontId="104" fillId="45" borderId="72" xfId="8733" applyFont="1" applyFill="1" applyBorder="1" applyAlignment="1" applyProtection="1">
      <alignment horizontal="left" vertical="center" wrapText="1"/>
      <protection locked="0"/>
    </xf>
    <xf numFmtId="0" fontId="104" fillId="45" borderId="11" xfId="8733" applyFont="1" applyFill="1" applyBorder="1" applyAlignment="1" applyProtection="1">
      <alignment horizontal="left" vertical="center" wrapText="1"/>
      <protection locked="0"/>
    </xf>
    <xf numFmtId="0" fontId="171" fillId="48" borderId="68" xfId="8733" applyFont="1" applyFill="1" applyBorder="1" applyAlignment="1" applyProtection="1">
      <alignment horizontal="left" vertical="center" wrapText="1"/>
      <protection locked="0"/>
    </xf>
    <xf numFmtId="0" fontId="171" fillId="48" borderId="71" xfId="8733" applyFont="1" applyFill="1" applyBorder="1" applyAlignment="1" applyProtection="1">
      <alignment horizontal="left" vertical="center" wrapText="1"/>
      <protection locked="0"/>
    </xf>
    <xf numFmtId="0" fontId="171" fillId="48" borderId="11" xfId="8733" applyFont="1" applyFill="1" applyBorder="1" applyAlignment="1" applyProtection="1">
      <alignment horizontal="left" vertical="center" wrapText="1"/>
      <protection locked="0"/>
    </xf>
    <xf numFmtId="0" fontId="171" fillId="48" borderId="76" xfId="8733" applyFont="1" applyFill="1" applyBorder="1" applyAlignment="1" applyProtection="1">
      <alignment horizontal="left" vertical="center" wrapText="1"/>
      <protection locked="0"/>
    </xf>
    <xf numFmtId="0" fontId="174" fillId="48" borderId="72" xfId="8733" applyFont="1" applyFill="1" applyBorder="1" applyAlignment="1" applyProtection="1">
      <alignment horizontal="left" vertical="top" wrapText="1"/>
      <protection locked="0"/>
    </xf>
    <xf numFmtId="0" fontId="174" fillId="48" borderId="11" xfId="8733" applyFont="1" applyFill="1" applyBorder="1" applyAlignment="1" applyProtection="1">
      <alignment horizontal="left" vertical="top" wrapText="1"/>
      <protection locked="0"/>
    </xf>
    <xf numFmtId="0" fontId="174" fillId="48" borderId="69" xfId="8733" applyFont="1" applyFill="1" applyBorder="1" applyAlignment="1" applyProtection="1">
      <alignment horizontal="left" vertical="top" wrapText="1"/>
      <protection locked="0"/>
    </xf>
    <xf numFmtId="0" fontId="174" fillId="48" borderId="70" xfId="8733" applyFont="1" applyFill="1" applyBorder="1" applyAlignment="1" applyProtection="1">
      <alignment horizontal="left" vertical="top" wrapText="1"/>
      <protection locked="0"/>
    </xf>
    <xf numFmtId="0" fontId="171" fillId="48" borderId="11" xfId="8733" applyFont="1" applyFill="1" applyBorder="1" applyAlignment="1" applyProtection="1">
      <alignment horizontal="center" vertical="center" wrapText="1"/>
      <protection locked="0"/>
    </xf>
    <xf numFmtId="0" fontId="171" fillId="48" borderId="76" xfId="8733" applyFont="1" applyFill="1" applyBorder="1" applyAlignment="1" applyProtection="1">
      <alignment horizontal="center" vertical="center" wrapText="1"/>
      <protection locked="0"/>
    </xf>
    <xf numFmtId="0" fontId="171" fillId="48" borderId="70" xfId="8733" applyFont="1" applyFill="1" applyBorder="1" applyAlignment="1" applyProtection="1">
      <alignment horizontal="center" vertical="center" wrapText="1"/>
      <protection locked="0"/>
    </xf>
    <xf numFmtId="0" fontId="171" fillId="48" borderId="77" xfId="8733" applyFont="1" applyFill="1" applyBorder="1" applyAlignment="1" applyProtection="1">
      <alignment horizontal="center" vertical="center" wrapText="1"/>
      <protection locked="0"/>
    </xf>
    <xf numFmtId="0" fontId="104" fillId="45" borderId="71" xfId="8733" applyFont="1" applyFill="1" applyBorder="1" applyAlignment="1">
      <alignment horizontal="left" wrapText="1"/>
    </xf>
    <xf numFmtId="0" fontId="104" fillId="45" borderId="76" xfId="8733" applyFont="1" applyFill="1" applyBorder="1" applyAlignment="1">
      <alignment horizontal="left" wrapText="1"/>
    </xf>
    <xf numFmtId="0" fontId="104" fillId="45" borderId="65" xfId="8733" applyFont="1" applyFill="1" applyBorder="1" applyAlignment="1">
      <alignment horizontal="center"/>
    </xf>
    <xf numFmtId="0" fontId="104" fillId="45" borderId="29" xfId="8733" applyFont="1" applyFill="1" applyBorder="1" applyAlignment="1">
      <alignment horizontal="center"/>
    </xf>
    <xf numFmtId="0" fontId="104" fillId="45" borderId="31" xfId="8733" applyFont="1" applyFill="1" applyBorder="1" applyAlignment="1">
      <alignment horizontal="center"/>
    </xf>
    <xf numFmtId="0" fontId="167" fillId="48" borderId="90" xfId="8733" applyFont="1" applyFill="1" applyBorder="1" applyAlignment="1">
      <alignment horizontal="left"/>
    </xf>
    <xf numFmtId="0" fontId="167" fillId="48" borderId="4" xfId="8733" applyFont="1" applyFill="1" applyBorder="1" applyAlignment="1">
      <alignment horizontal="left"/>
    </xf>
    <xf numFmtId="0" fontId="167" fillId="48" borderId="5" xfId="8733" applyFont="1" applyFill="1" applyBorder="1" applyAlignment="1">
      <alignment horizontal="left"/>
    </xf>
    <xf numFmtId="0" fontId="167" fillId="45" borderId="72" xfId="8733" applyFont="1" applyFill="1" applyBorder="1" applyAlignment="1">
      <alignment horizontal="left"/>
    </xf>
    <xf numFmtId="0" fontId="167" fillId="45" borderId="11" xfId="8733" applyFont="1" applyFill="1" applyBorder="1" applyAlignment="1">
      <alignment horizontal="left"/>
    </xf>
    <xf numFmtId="0" fontId="179" fillId="48" borderId="11" xfId="8733" applyFont="1" applyFill="1" applyBorder="1" applyAlignment="1" applyProtection="1">
      <alignment horizontal="left"/>
      <protection locked="0"/>
    </xf>
    <xf numFmtId="0" fontId="179" fillId="48" borderId="76" xfId="8733" applyFont="1" applyFill="1" applyBorder="1" applyAlignment="1" applyProtection="1">
      <alignment horizontal="left"/>
      <protection locked="0"/>
    </xf>
    <xf numFmtId="0" fontId="176" fillId="48" borderId="72" xfId="8733" applyFont="1" applyFill="1" applyBorder="1" applyAlignment="1" applyProtection="1">
      <alignment horizontal="left" vertical="top"/>
      <protection locked="0"/>
    </xf>
    <xf numFmtId="0" fontId="176" fillId="48" borderId="11" xfId="8733" applyFont="1" applyFill="1" applyBorder="1" applyAlignment="1" applyProtection="1">
      <alignment horizontal="left" vertical="top"/>
      <protection locked="0"/>
    </xf>
    <xf numFmtId="0" fontId="176" fillId="48" borderId="76" xfId="8733" applyFont="1" applyFill="1" applyBorder="1" applyAlignment="1" applyProtection="1">
      <alignment horizontal="left" vertical="top"/>
      <protection locked="0"/>
    </xf>
    <xf numFmtId="0" fontId="176" fillId="48" borderId="69" xfId="8733" applyFont="1" applyFill="1" applyBorder="1" applyAlignment="1" applyProtection="1">
      <alignment horizontal="left" vertical="top"/>
      <protection locked="0"/>
    </xf>
    <xf numFmtId="0" fontId="176" fillId="48" borderId="70" xfId="8733" applyFont="1" applyFill="1" applyBorder="1" applyAlignment="1" applyProtection="1">
      <alignment horizontal="left" vertical="top"/>
      <protection locked="0"/>
    </xf>
    <xf numFmtId="0" fontId="176" fillId="48" borderId="77" xfId="8733" applyFont="1" applyFill="1" applyBorder="1" applyAlignment="1" applyProtection="1">
      <alignment horizontal="left" vertical="top"/>
      <protection locked="0"/>
    </xf>
    <xf numFmtId="0" fontId="167" fillId="45" borderId="67" xfId="8733" applyFont="1" applyFill="1" applyBorder="1" applyAlignment="1">
      <alignment horizontal="left"/>
    </xf>
    <xf numFmtId="0" fontId="167" fillId="45" borderId="68" xfId="8733" applyFont="1" applyFill="1" applyBorder="1" applyAlignment="1">
      <alignment horizontal="left"/>
    </xf>
    <xf numFmtId="0" fontId="104" fillId="45" borderId="72" xfId="8733" applyFont="1" applyFill="1" applyBorder="1" applyAlignment="1">
      <alignment horizontal="center"/>
    </xf>
    <xf numFmtId="0" fontId="104" fillId="45" borderId="11" xfId="8733" applyFont="1" applyFill="1" applyBorder="1" applyAlignment="1">
      <alignment horizontal="center"/>
    </xf>
    <xf numFmtId="0" fontId="167" fillId="45" borderId="11" xfId="8733" applyFont="1" applyFill="1" applyBorder="1" applyAlignment="1">
      <alignment horizontal="center" wrapText="1"/>
    </xf>
    <xf numFmtId="0" fontId="167" fillId="45" borderId="76" xfId="8733" applyFont="1" applyFill="1" applyBorder="1" applyAlignment="1">
      <alignment horizontal="center" wrapText="1"/>
    </xf>
    <xf numFmtId="0" fontId="173" fillId="45" borderId="72" xfId="8733" applyFont="1" applyFill="1" applyBorder="1" applyAlignment="1">
      <alignment horizontal="center"/>
    </xf>
    <xf numFmtId="0" fontId="173" fillId="45" borderId="11" xfId="8733" applyFont="1" applyFill="1" applyBorder="1" applyAlignment="1">
      <alignment horizontal="center"/>
    </xf>
    <xf numFmtId="0" fontId="176" fillId="48" borderId="11" xfId="8733" applyFont="1" applyFill="1" applyBorder="1" applyAlignment="1" applyProtection="1">
      <alignment horizontal="center"/>
      <protection locked="0"/>
    </xf>
    <xf numFmtId="14" fontId="174" fillId="48" borderId="11" xfId="8733" applyNumberFormat="1" applyFont="1" applyFill="1" applyBorder="1" applyAlignment="1" applyProtection="1">
      <alignment horizontal="center"/>
      <protection locked="0"/>
    </xf>
    <xf numFmtId="14" fontId="176" fillId="48" borderId="11" xfId="8733" applyNumberFormat="1" applyFont="1" applyFill="1" applyBorder="1" applyAlignment="1" applyProtection="1">
      <alignment horizontal="center"/>
      <protection locked="0"/>
    </xf>
    <xf numFmtId="0" fontId="104" fillId="45" borderId="76" xfId="8733" applyFont="1" applyFill="1" applyBorder="1" applyAlignment="1">
      <alignment horizontal="center"/>
    </xf>
    <xf numFmtId="168" fontId="176" fillId="48" borderId="11" xfId="8734" applyNumberFormat="1" applyFont="1" applyFill="1" applyBorder="1" applyAlignment="1" applyProtection="1">
      <alignment horizontal="center"/>
      <protection locked="0"/>
    </xf>
    <xf numFmtId="168" fontId="176" fillId="48" borderId="76" xfId="8734" applyNumberFormat="1" applyFont="1" applyFill="1" applyBorder="1" applyAlignment="1" applyProtection="1">
      <alignment horizontal="center"/>
      <protection locked="0"/>
    </xf>
    <xf numFmtId="0" fontId="177" fillId="48" borderId="11" xfId="8733" applyFont="1" applyFill="1" applyBorder="1" applyAlignment="1" applyProtection="1">
      <alignment horizontal="left"/>
      <protection locked="0"/>
    </xf>
    <xf numFmtId="0" fontId="173" fillId="45" borderId="69" xfId="8733" applyFont="1" applyFill="1" applyBorder="1" applyAlignment="1">
      <alignment horizontal="center"/>
    </xf>
    <xf numFmtId="0" fontId="173" fillId="45" borderId="70" xfId="8733" applyFont="1" applyFill="1" applyBorder="1" applyAlignment="1">
      <alignment horizontal="center"/>
    </xf>
    <xf numFmtId="0" fontId="177" fillId="48" borderId="70" xfId="8733" applyFont="1" applyFill="1" applyBorder="1" applyAlignment="1" applyProtection="1">
      <alignment horizontal="left"/>
      <protection locked="0"/>
    </xf>
    <xf numFmtId="0" fontId="176" fillId="48" borderId="70" xfId="8733" applyFont="1" applyFill="1" applyBorder="1" applyAlignment="1" applyProtection="1">
      <alignment horizontal="center"/>
      <protection locked="0"/>
    </xf>
    <xf numFmtId="14" fontId="176" fillId="48" borderId="70" xfId="8733" applyNumberFormat="1" applyFont="1" applyFill="1" applyBorder="1" applyAlignment="1" applyProtection="1">
      <alignment horizontal="center"/>
      <protection locked="0"/>
    </xf>
    <xf numFmtId="168" fontId="176" fillId="48" borderId="70" xfId="8734" applyNumberFormat="1" applyFont="1" applyFill="1" applyBorder="1" applyAlignment="1" applyProtection="1">
      <alignment horizontal="center"/>
      <protection locked="0"/>
    </xf>
    <xf numFmtId="168" fontId="176" fillId="48" borderId="77" xfId="8734" applyNumberFormat="1" applyFont="1" applyFill="1" applyBorder="1" applyAlignment="1" applyProtection="1">
      <alignment horizontal="center"/>
      <protection locked="0"/>
    </xf>
    <xf numFmtId="0" fontId="168" fillId="45" borderId="67" xfId="8733" applyFont="1" applyFill="1" applyBorder="1" applyAlignment="1">
      <alignment horizontal="left"/>
    </xf>
    <xf numFmtId="0" fontId="168" fillId="45" borderId="68" xfId="8733" applyFont="1" applyFill="1" applyBorder="1" applyAlignment="1">
      <alignment horizontal="left"/>
    </xf>
    <xf numFmtId="0" fontId="168" fillId="45" borderId="71" xfId="8733" applyFont="1" applyFill="1" applyBorder="1" applyAlignment="1">
      <alignment horizontal="left"/>
    </xf>
    <xf numFmtId="14" fontId="174" fillId="48" borderId="76" xfId="8733" applyNumberFormat="1" applyFont="1" applyFill="1" applyBorder="1" applyAlignment="1" applyProtection="1">
      <alignment horizontal="center"/>
      <protection locked="0"/>
    </xf>
    <xf numFmtId="0" fontId="174" fillId="48" borderId="69" xfId="8733" applyFont="1" applyFill="1" applyBorder="1" applyAlignment="1" applyProtection="1">
      <alignment horizontal="center"/>
      <protection locked="0"/>
    </xf>
    <xf numFmtId="0" fontId="174" fillId="48" borderId="70" xfId="8733" applyFont="1" applyFill="1" applyBorder="1" applyAlignment="1" applyProtection="1">
      <alignment horizontal="center"/>
      <protection locked="0"/>
    </xf>
    <xf numFmtId="14" fontId="174" fillId="48" borderId="70" xfId="8733" applyNumberFormat="1" applyFont="1" applyFill="1" applyBorder="1" applyAlignment="1" applyProtection="1">
      <alignment horizontal="center"/>
      <protection locked="0"/>
    </xf>
    <xf numFmtId="14" fontId="174" fillId="48" borderId="77" xfId="8733" applyNumberFormat="1" applyFont="1" applyFill="1" applyBorder="1" applyAlignment="1" applyProtection="1">
      <alignment horizontal="center"/>
      <protection locked="0"/>
    </xf>
    <xf numFmtId="0" fontId="174" fillId="45" borderId="72" xfId="8733" applyFont="1" applyFill="1" applyBorder="1" applyAlignment="1">
      <alignment horizontal="right"/>
    </xf>
    <xf numFmtId="0" fontId="174" fillId="45" borderId="11" xfId="8733" applyFont="1" applyFill="1" applyBorder="1" applyAlignment="1">
      <alignment horizontal="right"/>
    </xf>
    <xf numFmtId="168" fontId="176" fillId="44" borderId="11" xfId="700" applyNumberFormat="1" applyFont="1" applyFill="1" applyBorder="1" applyAlignment="1">
      <alignment horizontal="left"/>
    </xf>
    <xf numFmtId="0" fontId="104" fillId="45" borderId="65" xfId="8733" applyFont="1" applyFill="1" applyBorder="1" applyAlignment="1">
      <alignment horizontal="left" wrapText="1"/>
    </xf>
    <xf numFmtId="0" fontId="104" fillId="45" borderId="29" xfId="8733" applyFont="1" applyFill="1" applyBorder="1" applyAlignment="1">
      <alignment horizontal="left" wrapText="1"/>
    </xf>
    <xf numFmtId="0" fontId="104" fillId="45" borderId="31" xfId="8733" applyFont="1" applyFill="1" applyBorder="1" applyAlignment="1">
      <alignment horizontal="left" wrapText="1"/>
    </xf>
    <xf numFmtId="0" fontId="104" fillId="45" borderId="73" xfId="8733" applyFont="1" applyFill="1" applyBorder="1" applyAlignment="1">
      <alignment horizontal="left" wrapText="1"/>
    </xf>
    <xf numFmtId="0" fontId="104" fillId="45" borderId="42" xfId="8733" applyFont="1" applyFill="1" applyBorder="1" applyAlignment="1">
      <alignment horizontal="left" wrapText="1"/>
    </xf>
    <xf numFmtId="0" fontId="104" fillId="45" borderId="44" xfId="8733" applyFont="1" applyFill="1" applyBorder="1" applyAlignment="1">
      <alignment horizontal="left" wrapText="1"/>
    </xf>
    <xf numFmtId="168" fontId="174" fillId="48" borderId="11" xfId="700" applyNumberFormat="1" applyFont="1" applyFill="1" applyBorder="1" applyAlignment="1" applyProtection="1">
      <alignment horizontal="left"/>
      <protection locked="0"/>
    </xf>
    <xf numFmtId="43" fontId="171" fillId="50" borderId="72" xfId="698" applyFont="1" applyFill="1" applyBorder="1" applyAlignment="1" applyProtection="1">
      <alignment horizontal="left"/>
      <protection hidden="1"/>
    </xf>
    <xf numFmtId="43" fontId="171" fillId="50" borderId="11" xfId="698" applyFont="1" applyFill="1" applyBorder="1" applyAlignment="1" applyProtection="1">
      <alignment horizontal="left"/>
      <protection hidden="1"/>
    </xf>
    <xf numFmtId="44" fontId="4" fillId="48" borderId="11" xfId="700" applyFont="1" applyFill="1" applyBorder="1" applyAlignment="1" applyProtection="1">
      <alignment horizontal="center"/>
      <protection locked="0"/>
    </xf>
    <xf numFmtId="0" fontId="104" fillId="47" borderId="0" xfId="8733" applyFont="1" applyFill="1" applyAlignment="1">
      <alignment horizontal="center"/>
    </xf>
    <xf numFmtId="0" fontId="175" fillId="51" borderId="11" xfId="8733" applyFont="1" applyFill="1" applyBorder="1" applyAlignment="1">
      <alignment horizontal="center"/>
    </xf>
    <xf numFmtId="0" fontId="175" fillId="51" borderId="76" xfId="8733" applyFont="1" applyFill="1" applyBorder="1" applyAlignment="1">
      <alignment horizontal="center"/>
    </xf>
    <xf numFmtId="0" fontId="176" fillId="45" borderId="72" xfId="8733" applyFont="1" applyFill="1" applyBorder="1" applyAlignment="1">
      <alignment horizontal="right"/>
    </xf>
    <xf numFmtId="0" fontId="176" fillId="45" borderId="11" xfId="8733" applyFont="1" applyFill="1" applyBorder="1" applyAlignment="1">
      <alignment horizontal="right"/>
    </xf>
    <xf numFmtId="168" fontId="174" fillId="44" borderId="11" xfId="700" applyNumberFormat="1" applyFont="1" applyFill="1" applyBorder="1" applyAlignment="1" applyProtection="1">
      <alignment horizontal="left"/>
      <protection locked="0"/>
    </xf>
    <xf numFmtId="0" fontId="4" fillId="48" borderId="3" xfId="8733" applyFill="1" applyBorder="1" applyAlignment="1">
      <alignment horizontal="center"/>
    </xf>
    <xf numFmtId="0" fontId="4" fillId="48" borderId="4" xfId="8733" applyFill="1" applyBorder="1" applyAlignment="1">
      <alignment horizontal="center"/>
    </xf>
    <xf numFmtId="0" fontId="4" fillId="48" borderId="81" xfId="8733" applyFill="1" applyBorder="1" applyAlignment="1">
      <alignment horizontal="center"/>
    </xf>
    <xf numFmtId="43" fontId="168" fillId="50" borderId="111" xfId="698" applyFont="1" applyFill="1" applyBorder="1" applyAlignment="1" applyProtection="1">
      <alignment horizontal="center"/>
      <protection hidden="1"/>
    </xf>
    <xf numFmtId="43" fontId="168" fillId="50" borderId="84" xfId="698" applyFont="1" applyFill="1" applyBorder="1" applyAlignment="1" applyProtection="1">
      <alignment horizontal="center"/>
      <protection hidden="1"/>
    </xf>
    <xf numFmtId="43" fontId="168" fillId="50" borderId="102" xfId="698" applyFont="1" applyFill="1" applyBorder="1" applyAlignment="1" applyProtection="1">
      <alignment horizontal="center"/>
      <protection hidden="1"/>
    </xf>
    <xf numFmtId="43" fontId="171" fillId="50" borderId="98" xfId="698" applyFont="1" applyFill="1" applyBorder="1" applyAlignment="1" applyProtection="1">
      <alignment horizontal="left"/>
      <protection hidden="1"/>
    </xf>
    <xf numFmtId="43" fontId="171" fillId="50" borderId="13" xfId="698" applyFont="1" applyFill="1" applyBorder="1" applyAlignment="1" applyProtection="1">
      <alignment horizontal="left"/>
      <protection hidden="1"/>
    </xf>
    <xf numFmtId="44" fontId="4" fillId="48" borderId="13" xfId="700" applyFont="1" applyFill="1" applyBorder="1" applyAlignment="1" applyProtection="1">
      <alignment horizontal="center"/>
      <protection locked="0"/>
    </xf>
    <xf numFmtId="0" fontId="174" fillId="48" borderId="9" xfId="8733" applyFont="1" applyFill="1" applyBorder="1" applyAlignment="1">
      <alignment horizontal="center"/>
    </xf>
    <xf numFmtId="0" fontId="174" fillId="48" borderId="6" xfId="8733" applyFont="1" applyFill="1" applyBorder="1" applyAlignment="1">
      <alignment horizontal="center"/>
    </xf>
    <xf numFmtId="0" fontId="174" fillId="48" borderId="82" xfId="8733" applyFont="1" applyFill="1" applyBorder="1" applyAlignment="1">
      <alignment horizontal="center"/>
    </xf>
    <xf numFmtId="0" fontId="176" fillId="48" borderId="11" xfId="8733" applyFont="1" applyFill="1" applyBorder="1" applyAlignment="1" applyProtection="1">
      <alignment horizontal="left"/>
      <protection locked="0"/>
    </xf>
    <xf numFmtId="0" fontId="4" fillId="48" borderId="1" xfId="8733" applyFill="1" applyBorder="1" applyAlignment="1">
      <alignment horizontal="center"/>
    </xf>
    <xf numFmtId="0" fontId="4" fillId="48" borderId="2" xfId="8733" applyFill="1" applyBorder="1" applyAlignment="1">
      <alignment horizontal="center"/>
    </xf>
    <xf numFmtId="0" fontId="4" fillId="48" borderId="112" xfId="8733" applyFill="1" applyBorder="1" applyAlignment="1">
      <alignment horizontal="center"/>
    </xf>
    <xf numFmtId="0" fontId="176" fillId="48" borderId="72" xfId="8733" applyFont="1" applyFill="1" applyBorder="1" applyAlignment="1" applyProtection="1">
      <alignment horizontal="center"/>
      <protection locked="0"/>
    </xf>
    <xf numFmtId="43" fontId="171" fillId="50" borderId="72" xfId="698" applyFont="1" applyFill="1" applyBorder="1" applyAlignment="1" applyProtection="1">
      <alignment horizontal="left" wrapText="1"/>
      <protection hidden="1"/>
    </xf>
    <xf numFmtId="43" fontId="171" fillId="50" borderId="11" xfId="698" applyFont="1" applyFill="1" applyBorder="1" applyAlignment="1" applyProtection="1">
      <alignment horizontal="left" wrapText="1"/>
      <protection hidden="1"/>
    </xf>
    <xf numFmtId="44" fontId="4" fillId="48" borderId="11" xfId="700" applyFont="1" applyFill="1" applyBorder="1" applyAlignment="1" applyProtection="1">
      <alignment horizontal="center"/>
      <protection hidden="1"/>
    </xf>
    <xf numFmtId="0" fontId="176" fillId="45" borderId="67" xfId="8733" applyFont="1" applyFill="1" applyBorder="1" applyAlignment="1">
      <alignment horizontal="right"/>
    </xf>
    <xf numFmtId="0" fontId="176" fillId="45" borderId="68" xfId="8733" applyFont="1" applyFill="1" applyBorder="1" applyAlignment="1">
      <alignment horizontal="right"/>
    </xf>
    <xf numFmtId="168" fontId="171" fillId="44" borderId="68" xfId="700" applyNumberFormat="1" applyFont="1" applyFill="1" applyBorder="1" applyAlignment="1">
      <alignment horizontal="left"/>
    </xf>
    <xf numFmtId="168" fontId="171" fillId="44" borderId="71" xfId="700" applyNumberFormat="1" applyFont="1" applyFill="1" applyBorder="1" applyAlignment="1">
      <alignment horizontal="left"/>
    </xf>
    <xf numFmtId="0" fontId="173" fillId="48" borderId="66" xfId="8733" applyFont="1" applyFill="1" applyBorder="1" applyAlignment="1">
      <alignment horizontal="left" wrapText="1"/>
    </xf>
    <xf numFmtId="0" fontId="173" fillId="48" borderId="0" xfId="8733" applyFont="1" applyFill="1" applyAlignment="1">
      <alignment horizontal="left" wrapText="1"/>
    </xf>
    <xf numFmtId="0" fontId="173" fillId="48" borderId="41" xfId="8733" applyFont="1" applyFill="1" applyBorder="1" applyAlignment="1">
      <alignment horizontal="left" wrapText="1"/>
    </xf>
    <xf numFmtId="0" fontId="173" fillId="48" borderId="73" xfId="8733" applyFont="1" applyFill="1" applyBorder="1" applyAlignment="1">
      <alignment horizontal="left" wrapText="1"/>
    </xf>
    <xf numFmtId="0" fontId="173" fillId="48" borderId="42" xfId="8733" applyFont="1" applyFill="1" applyBorder="1" applyAlignment="1">
      <alignment horizontal="left" wrapText="1"/>
    </xf>
    <xf numFmtId="0" fontId="173" fillId="48" borderId="44" xfId="8733" applyFont="1" applyFill="1" applyBorder="1" applyAlignment="1">
      <alignment horizontal="left" wrapText="1"/>
    </xf>
    <xf numFmtId="0" fontId="175" fillId="45" borderId="69" xfId="8733" applyFont="1" applyFill="1" applyBorder="1" applyAlignment="1">
      <alignment horizontal="right"/>
    </xf>
    <xf numFmtId="0" fontId="175" fillId="45" borderId="70" xfId="8733" applyFont="1" applyFill="1" applyBorder="1" applyAlignment="1">
      <alignment horizontal="right"/>
    </xf>
    <xf numFmtId="0" fontId="167" fillId="44" borderId="70" xfId="700" applyNumberFormat="1" applyFont="1" applyFill="1" applyBorder="1" applyAlignment="1">
      <alignment horizontal="left"/>
    </xf>
    <xf numFmtId="168" fontId="167" fillId="44" borderId="70" xfId="700" applyNumberFormat="1" applyFont="1" applyFill="1" applyBorder="1" applyAlignment="1">
      <alignment horizontal="left"/>
    </xf>
    <xf numFmtId="168" fontId="167" fillId="44" borderId="77" xfId="700" applyNumberFormat="1" applyFont="1" applyFill="1" applyBorder="1" applyAlignment="1">
      <alignment horizontal="left"/>
    </xf>
    <xf numFmtId="0" fontId="168" fillId="47" borderId="0" xfId="8733" applyFont="1" applyFill="1" applyAlignment="1">
      <alignment horizontal="right"/>
    </xf>
    <xf numFmtId="168" fontId="172" fillId="47" borderId="0" xfId="700" applyNumberFormat="1" applyFont="1" applyFill="1" applyBorder="1" applyAlignment="1" applyProtection="1">
      <alignment horizontal="left"/>
      <protection locked="0"/>
    </xf>
    <xf numFmtId="0" fontId="174" fillId="48" borderId="87" xfId="8733" applyFont="1" applyFill="1" applyBorder="1" applyAlignment="1" applyProtection="1">
      <alignment horizontal="center"/>
      <protection locked="0"/>
    </xf>
    <xf numFmtId="0" fontId="174" fillId="48" borderId="86" xfId="8733" applyFont="1" applyFill="1" applyBorder="1" applyAlignment="1" applyProtection="1">
      <alignment horizontal="center"/>
      <protection locked="0"/>
    </xf>
    <xf numFmtId="0" fontId="176" fillId="48" borderId="70" xfId="8733" applyFont="1" applyFill="1" applyBorder="1" applyAlignment="1" applyProtection="1">
      <alignment horizontal="left"/>
      <protection locked="0"/>
    </xf>
    <xf numFmtId="0" fontId="176" fillId="48" borderId="77" xfId="8733" applyFont="1" applyFill="1" applyBorder="1" applyAlignment="1" applyProtection="1">
      <alignment horizontal="left"/>
      <protection locked="0"/>
    </xf>
    <xf numFmtId="168" fontId="174" fillId="48" borderId="86" xfId="700" applyNumberFormat="1" applyFont="1" applyFill="1" applyBorder="1" applyAlignment="1" applyProtection="1">
      <alignment horizontal="left"/>
      <protection locked="0"/>
    </xf>
    <xf numFmtId="168" fontId="174" fillId="48" borderId="85" xfId="700" applyNumberFormat="1" applyFont="1" applyFill="1" applyBorder="1" applyAlignment="1" applyProtection="1">
      <alignment horizontal="left"/>
      <protection locked="0"/>
    </xf>
    <xf numFmtId="0" fontId="174" fillId="48" borderId="87" xfId="8733" applyFont="1" applyFill="1" applyBorder="1" applyAlignment="1" applyProtection="1">
      <alignment horizontal="left"/>
      <protection locked="0"/>
    </xf>
    <xf numFmtId="0" fontId="174" fillId="48" borderId="86" xfId="8733" applyFont="1" applyFill="1" applyBorder="1" applyAlignment="1" applyProtection="1">
      <alignment horizontal="left"/>
      <protection locked="0"/>
    </xf>
    <xf numFmtId="0" fontId="174" fillId="48" borderId="85" xfId="8733" applyFont="1" applyFill="1" applyBorder="1" applyAlignment="1" applyProtection="1">
      <alignment horizontal="left"/>
      <protection locked="0"/>
    </xf>
    <xf numFmtId="0" fontId="104" fillId="48" borderId="80" xfId="8733" applyFont="1" applyFill="1" applyBorder="1" applyAlignment="1">
      <alignment horizontal="left"/>
    </xf>
    <xf numFmtId="0" fontId="104" fillId="48" borderId="79" xfId="8733" applyFont="1" applyFill="1" applyBorder="1" applyAlignment="1">
      <alignment horizontal="left"/>
    </xf>
    <xf numFmtId="44" fontId="4" fillId="48" borderId="84" xfId="700" applyFont="1" applyFill="1" applyBorder="1" applyAlignment="1" applyProtection="1">
      <alignment horizontal="center"/>
      <protection locked="0"/>
    </xf>
    <xf numFmtId="0" fontId="174" fillId="45" borderId="11" xfId="8733" applyFont="1" applyFill="1" applyBorder="1" applyAlignment="1">
      <alignment horizontal="left"/>
    </xf>
    <xf numFmtId="182" fontId="4" fillId="48" borderId="11" xfId="700" applyNumberFormat="1" applyFont="1" applyFill="1" applyBorder="1" applyAlignment="1" applyProtection="1">
      <alignment horizontal="center"/>
      <protection locked="0"/>
    </xf>
    <xf numFmtId="10" fontId="174" fillId="48" borderId="11" xfId="1022" applyNumberFormat="1" applyFont="1" applyFill="1" applyBorder="1" applyAlignment="1" applyProtection="1">
      <alignment horizontal="center"/>
      <protection locked="0"/>
    </xf>
    <xf numFmtId="182" fontId="4" fillId="0" borderId="13" xfId="8733" applyNumberFormat="1" applyBorder="1" applyAlignment="1">
      <alignment horizontal="center"/>
    </xf>
    <xf numFmtId="0" fontId="4" fillId="0" borderId="13" xfId="8733" applyBorder="1" applyAlignment="1">
      <alignment horizontal="center"/>
    </xf>
    <xf numFmtId="0" fontId="167" fillId="45" borderId="80" xfId="0" applyFont="1" applyFill="1" applyBorder="1" applyAlignment="1" applyProtection="1">
      <alignment horizontal="center" wrapText="1"/>
      <protection hidden="1"/>
    </xf>
    <xf numFmtId="0" fontId="167" fillId="45" borderId="79" xfId="0" applyFont="1" applyFill="1" applyBorder="1" applyAlignment="1" applyProtection="1">
      <alignment horizontal="center" wrapText="1"/>
      <protection hidden="1"/>
    </xf>
    <xf numFmtId="0" fontId="167" fillId="45" borderId="78" xfId="0" applyFont="1" applyFill="1" applyBorder="1" applyAlignment="1" applyProtection="1">
      <alignment horizontal="center" wrapText="1"/>
      <protection hidden="1"/>
    </xf>
    <xf numFmtId="0" fontId="167" fillId="45" borderId="13" xfId="0" applyFont="1" applyFill="1" applyBorder="1" applyAlignment="1" applyProtection="1">
      <alignment horizontal="left" wrapText="1"/>
      <protection hidden="1"/>
    </xf>
    <xf numFmtId="0" fontId="167" fillId="45" borderId="13" xfId="0" applyFont="1" applyFill="1" applyBorder="1" applyAlignment="1" applyProtection="1">
      <alignment horizontal="center" wrapText="1"/>
      <protection hidden="1"/>
    </xf>
    <xf numFmtId="0" fontId="173" fillId="45" borderId="11" xfId="8733" applyFont="1" applyFill="1" applyBorder="1" applyAlignment="1">
      <alignment horizontal="left" wrapText="1"/>
    </xf>
    <xf numFmtId="43" fontId="168" fillId="45" borderId="80" xfId="698" applyFont="1" applyFill="1" applyBorder="1" applyAlignment="1" applyProtection="1">
      <alignment horizontal="center"/>
      <protection hidden="1"/>
    </xf>
    <xf numFmtId="43" fontId="168" fillId="45" borderId="79" xfId="698" applyFont="1" applyFill="1" applyBorder="1" applyAlignment="1" applyProtection="1">
      <alignment horizontal="center"/>
      <protection hidden="1"/>
    </xf>
    <xf numFmtId="43" fontId="168" fillId="45" borderId="78" xfId="698" applyFont="1" applyFill="1" applyBorder="1" applyAlignment="1" applyProtection="1">
      <alignment horizontal="center"/>
      <protection hidden="1"/>
    </xf>
    <xf numFmtId="43" fontId="172" fillId="49" borderId="66" xfId="698" applyFont="1" applyFill="1" applyBorder="1" applyAlignment="1" applyProtection="1">
      <alignment horizontal="center" wrapText="1"/>
      <protection hidden="1"/>
    </xf>
    <xf numFmtId="43" fontId="172" fillId="49" borderId="0" xfId="698" applyFont="1" applyFill="1" applyBorder="1" applyAlignment="1" applyProtection="1">
      <alignment horizontal="center" wrapText="1"/>
      <protection hidden="1"/>
    </xf>
    <xf numFmtId="43" fontId="172" fillId="49" borderId="12" xfId="698" applyFont="1" applyFill="1" applyBorder="1" applyAlignment="1" applyProtection="1">
      <alignment horizontal="center" wrapText="1"/>
      <protection hidden="1"/>
    </xf>
    <xf numFmtId="43" fontId="172" fillId="49" borderId="83" xfId="698" applyFont="1" applyFill="1" applyBorder="1" applyAlignment="1" applyProtection="1">
      <alignment horizontal="center" wrapText="1"/>
      <protection hidden="1"/>
    </xf>
    <xf numFmtId="43" fontId="172" fillId="49" borderId="6" xfId="698" applyFont="1" applyFill="1" applyBorder="1" applyAlignment="1" applyProtection="1">
      <alignment horizontal="center" wrapText="1"/>
      <protection hidden="1"/>
    </xf>
    <xf numFmtId="43" fontId="172" fillId="49" borderId="10" xfId="698" applyFont="1" applyFill="1" applyBorder="1" applyAlignment="1" applyProtection="1">
      <alignment horizontal="center" wrapText="1"/>
      <protection hidden="1"/>
    </xf>
    <xf numFmtId="43" fontId="172" fillId="49" borderId="8" xfId="698" applyFont="1" applyFill="1" applyBorder="1" applyAlignment="1" applyProtection="1">
      <alignment horizontal="center" wrapText="1"/>
      <protection hidden="1"/>
    </xf>
    <xf numFmtId="43" fontId="172" fillId="49" borderId="9" xfId="698" applyFont="1" applyFill="1" applyBorder="1" applyAlignment="1" applyProtection="1">
      <alignment horizontal="center" wrapText="1"/>
      <protection hidden="1"/>
    </xf>
    <xf numFmtId="14" fontId="172" fillId="0" borderId="8" xfId="700" applyNumberFormat="1" applyFont="1" applyFill="1" applyBorder="1" applyAlignment="1" applyProtection="1">
      <alignment horizontal="center" wrapText="1"/>
      <protection hidden="1"/>
    </xf>
    <xf numFmtId="14" fontId="172" fillId="0" borderId="0" xfId="700" applyNumberFormat="1" applyFont="1" applyFill="1" applyBorder="1" applyAlignment="1" applyProtection="1">
      <alignment horizontal="center" wrapText="1"/>
      <protection hidden="1"/>
    </xf>
    <xf numFmtId="14" fontId="172" fillId="0" borderId="12" xfId="700" applyNumberFormat="1" applyFont="1" applyFill="1" applyBorder="1" applyAlignment="1" applyProtection="1">
      <alignment horizontal="center" wrapText="1"/>
      <protection hidden="1"/>
    </xf>
    <xf numFmtId="14" fontId="172" fillId="0" borderId="9" xfId="700" applyNumberFormat="1" applyFont="1" applyFill="1" applyBorder="1" applyAlignment="1" applyProtection="1">
      <alignment horizontal="center" wrapText="1"/>
      <protection hidden="1"/>
    </xf>
    <xf numFmtId="14" fontId="172" fillId="0" borderId="6" xfId="700" applyNumberFormat="1" applyFont="1" applyFill="1" applyBorder="1" applyAlignment="1" applyProtection="1">
      <alignment horizontal="center" wrapText="1"/>
      <protection hidden="1"/>
    </xf>
    <xf numFmtId="14" fontId="172" fillId="0" borderId="10" xfId="700" applyNumberFormat="1" applyFont="1" applyFill="1" applyBorder="1" applyAlignment="1" applyProtection="1">
      <alignment horizontal="center" wrapText="1"/>
      <protection hidden="1"/>
    </xf>
    <xf numFmtId="44" fontId="172" fillId="0" borderId="8" xfId="700" applyFont="1" applyBorder="1" applyAlignment="1" applyProtection="1">
      <alignment horizontal="center" wrapText="1"/>
      <protection hidden="1"/>
    </xf>
    <xf numFmtId="44" fontId="172" fillId="0" borderId="0" xfId="700" applyFont="1" applyBorder="1" applyAlignment="1" applyProtection="1">
      <alignment horizontal="center" wrapText="1"/>
      <protection hidden="1"/>
    </xf>
    <xf numFmtId="44" fontId="172" fillId="0" borderId="12" xfId="700" applyFont="1" applyBorder="1" applyAlignment="1" applyProtection="1">
      <alignment horizontal="center" wrapText="1"/>
      <protection hidden="1"/>
    </xf>
    <xf numFmtId="44" fontId="172" fillId="0" borderId="9" xfId="700" applyFont="1" applyBorder="1" applyAlignment="1" applyProtection="1">
      <alignment horizontal="center" wrapText="1"/>
      <protection hidden="1"/>
    </xf>
    <xf numFmtId="44" fontId="172" fillId="0" borderId="6" xfId="700" applyFont="1" applyBorder="1" applyAlignment="1" applyProtection="1">
      <alignment horizontal="center" wrapText="1"/>
      <protection hidden="1"/>
    </xf>
    <xf numFmtId="44" fontId="172" fillId="0" borderId="10" xfId="700" applyFont="1" applyBorder="1" applyAlignment="1" applyProtection="1">
      <alignment horizontal="center" wrapText="1"/>
      <protection hidden="1"/>
    </xf>
    <xf numFmtId="43" fontId="172" fillId="49" borderId="41" xfId="698" applyFont="1" applyFill="1" applyBorder="1" applyAlignment="1" applyProtection="1">
      <alignment horizontal="center" wrapText="1"/>
      <protection hidden="1"/>
    </xf>
    <xf numFmtId="43" fontId="172" fillId="49" borderId="82" xfId="698" applyFont="1" applyFill="1" applyBorder="1" applyAlignment="1" applyProtection="1">
      <alignment horizontal="center" wrapText="1"/>
      <protection hidden="1"/>
    </xf>
    <xf numFmtId="0" fontId="170" fillId="50" borderId="3" xfId="698" applyNumberFormat="1" applyFont="1" applyFill="1" applyBorder="1" applyAlignment="1" applyProtection="1">
      <alignment horizontal="center"/>
      <protection locked="0"/>
    </xf>
    <xf numFmtId="0" fontId="170" fillId="50" borderId="4" xfId="698" applyNumberFormat="1" applyFont="1" applyFill="1" applyBorder="1" applyAlignment="1" applyProtection="1">
      <alignment horizontal="center"/>
      <protection locked="0"/>
    </xf>
    <xf numFmtId="0" fontId="170" fillId="50" borderId="81" xfId="698" applyNumberFormat="1" applyFont="1" applyFill="1" applyBorder="1" applyAlignment="1" applyProtection="1">
      <alignment horizontal="center"/>
      <protection locked="0"/>
    </xf>
    <xf numFmtId="0" fontId="171" fillId="49" borderId="72" xfId="698" applyNumberFormat="1" applyFont="1" applyFill="1" applyBorder="1" applyAlignment="1" applyProtection="1">
      <alignment horizontal="center"/>
      <protection hidden="1"/>
    </xf>
    <xf numFmtId="0" fontId="171" fillId="49" borderId="11" xfId="698" applyNumberFormat="1" applyFont="1" applyFill="1" applyBorder="1" applyAlignment="1" applyProtection="1">
      <alignment horizontal="center"/>
      <protection hidden="1"/>
    </xf>
    <xf numFmtId="0" fontId="171" fillId="48" borderId="11" xfId="0" applyFont="1" applyFill="1" applyBorder="1" applyAlignment="1" applyProtection="1">
      <alignment horizontal="center"/>
      <protection locked="0"/>
    </xf>
    <xf numFmtId="14" fontId="170" fillId="48" borderId="11" xfId="700" applyNumberFormat="1" applyFont="1" applyFill="1" applyBorder="1" applyAlignment="1" applyProtection="1">
      <alignment horizontal="center"/>
      <protection locked="0"/>
    </xf>
    <xf numFmtId="164" fontId="171" fillId="48" borderId="11" xfId="700" applyNumberFormat="1" applyFont="1" applyFill="1" applyBorder="1" applyAlignment="1" applyProtection="1">
      <alignment horizontal="center"/>
      <protection locked="0"/>
    </xf>
    <xf numFmtId="9" fontId="171" fillId="48" borderId="11" xfId="1022" applyFont="1" applyFill="1" applyBorder="1" applyAlignment="1" applyProtection="1">
      <alignment horizontal="center"/>
      <protection locked="0"/>
    </xf>
    <xf numFmtId="44" fontId="170" fillId="48" borderId="11" xfId="700" applyFont="1" applyFill="1" applyBorder="1" applyAlignment="1" applyProtection="1">
      <alignment horizontal="center"/>
      <protection locked="0"/>
    </xf>
    <xf numFmtId="0" fontId="169" fillId="47" borderId="65" xfId="8733" applyFont="1" applyFill="1" applyBorder="1" applyAlignment="1">
      <alignment horizontal="center"/>
    </xf>
    <xf numFmtId="0" fontId="169" fillId="47" borderId="29" xfId="8733" applyFont="1" applyFill="1" applyBorder="1" applyAlignment="1">
      <alignment horizontal="center"/>
    </xf>
    <xf numFmtId="0" fontId="169" fillId="47" borderId="31" xfId="8733" applyFont="1" applyFill="1" applyBorder="1" applyAlignment="1">
      <alignment horizontal="center"/>
    </xf>
    <xf numFmtId="0" fontId="4" fillId="47" borderId="66" xfId="8733" applyFill="1" applyBorder="1" applyAlignment="1">
      <alignment horizontal="center"/>
    </xf>
    <xf numFmtId="0" fontId="4" fillId="47" borderId="0" xfId="8733" applyFill="1" applyAlignment="1">
      <alignment horizontal="center"/>
    </xf>
    <xf numFmtId="0" fontId="4" fillId="47" borderId="41" xfId="8733" applyFill="1" applyBorder="1" applyAlignment="1">
      <alignment horizontal="center"/>
    </xf>
    <xf numFmtId="0" fontId="168" fillId="47" borderId="66" xfId="8733" applyFont="1" applyFill="1" applyBorder="1" applyAlignment="1">
      <alignment horizontal="center"/>
    </xf>
    <xf numFmtId="0" fontId="168" fillId="47" borderId="0" xfId="8733" applyFont="1" applyFill="1" applyAlignment="1">
      <alignment horizontal="center"/>
    </xf>
    <xf numFmtId="0" fontId="168" fillId="47" borderId="41" xfId="8733" applyFont="1" applyFill="1" applyBorder="1" applyAlignment="1">
      <alignment horizontal="center"/>
    </xf>
    <xf numFmtId="0" fontId="104" fillId="47" borderId="66" xfId="8733" applyFont="1" applyFill="1" applyBorder="1" applyAlignment="1">
      <alignment horizontal="center"/>
    </xf>
    <xf numFmtId="0" fontId="104" fillId="47" borderId="41" xfId="8733" applyFont="1" applyFill="1" applyBorder="1" applyAlignment="1">
      <alignment horizontal="center"/>
    </xf>
    <xf numFmtId="0" fontId="104" fillId="47" borderId="0" xfId="8733" applyFont="1" applyFill="1" applyAlignment="1">
      <alignment horizontal="left"/>
    </xf>
    <xf numFmtId="43" fontId="168" fillId="49" borderId="72" xfId="698" applyFont="1" applyFill="1" applyBorder="1" applyAlignment="1" applyProtection="1">
      <alignment horizontal="right"/>
      <protection hidden="1"/>
    </xf>
    <xf numFmtId="43" fontId="168" fillId="49" borderId="11" xfId="698" applyFont="1" applyFill="1" applyBorder="1" applyAlignment="1" applyProtection="1">
      <alignment horizontal="right"/>
      <protection hidden="1"/>
    </xf>
    <xf numFmtId="44" fontId="168" fillId="0" borderId="11" xfId="700" applyFont="1" applyBorder="1" applyAlignment="1" applyProtection="1">
      <alignment horizontal="center"/>
      <protection hidden="1"/>
    </xf>
    <xf numFmtId="164" fontId="168" fillId="0" borderId="11" xfId="700" applyNumberFormat="1" applyFont="1" applyBorder="1" applyAlignment="1" applyProtection="1">
      <alignment horizontal="center"/>
      <protection hidden="1"/>
    </xf>
    <xf numFmtId="9" fontId="168" fillId="0" borderId="11" xfId="1022" applyFont="1" applyBorder="1" applyAlignment="1" applyProtection="1">
      <alignment horizontal="center"/>
      <protection hidden="1"/>
    </xf>
    <xf numFmtId="43" fontId="168" fillId="49" borderId="3" xfId="698" applyFont="1" applyFill="1" applyBorder="1" applyAlignment="1" applyProtection="1">
      <alignment horizontal="center"/>
      <protection hidden="1"/>
    </xf>
    <xf numFmtId="43" fontId="168" fillId="49" borderId="4" xfId="698" applyFont="1" applyFill="1" applyBorder="1" applyAlignment="1" applyProtection="1">
      <alignment horizontal="center"/>
      <protection hidden="1"/>
    </xf>
    <xf numFmtId="43" fontId="168" fillId="49" borderId="81" xfId="698" applyFont="1" applyFill="1" applyBorder="1" applyAlignment="1" applyProtection="1">
      <alignment horizontal="center"/>
      <protection hidden="1"/>
    </xf>
    <xf numFmtId="0" fontId="104" fillId="44" borderId="0" xfId="8733" applyFont="1" applyFill="1" applyAlignment="1">
      <alignment horizontal="left"/>
    </xf>
    <xf numFmtId="0" fontId="4" fillId="48" borderId="80" xfId="8733" applyFill="1" applyBorder="1" applyAlignment="1" applyProtection="1">
      <alignment horizontal="left"/>
      <protection locked="0"/>
    </xf>
    <xf numFmtId="0" fontId="4" fillId="48" borderId="79" xfId="8733" applyFill="1" applyBorder="1" applyAlignment="1" applyProtection="1">
      <alignment horizontal="left"/>
      <protection locked="0"/>
    </xf>
    <xf numFmtId="0" fontId="4" fillId="48" borderId="78" xfId="8733" applyFill="1" applyBorder="1" applyAlignment="1" applyProtection="1">
      <alignment horizontal="left"/>
      <protection locked="0"/>
    </xf>
    <xf numFmtId="0" fontId="167" fillId="44" borderId="0" xfId="8733" applyFont="1" applyFill="1" applyAlignment="1">
      <alignment horizontal="left" vertical="top"/>
    </xf>
    <xf numFmtId="0" fontId="104" fillId="44" borderId="0" xfId="8730" applyFont="1" applyFill="1" applyBorder="1" applyAlignment="1">
      <alignment horizontal="left" vertical="top"/>
    </xf>
    <xf numFmtId="14" fontId="4" fillId="48" borderId="80" xfId="8733" applyNumberFormat="1" applyFill="1" applyBorder="1" applyAlignment="1" applyProtection="1">
      <alignment horizontal="center"/>
      <protection locked="0"/>
    </xf>
    <xf numFmtId="14" fontId="4" fillId="48" borderId="79" xfId="8733" applyNumberFormat="1" applyFill="1" applyBorder="1" applyAlignment="1" applyProtection="1">
      <alignment horizontal="center"/>
      <protection locked="0"/>
    </xf>
    <xf numFmtId="14" fontId="4" fillId="48" borderId="78" xfId="8733" applyNumberFormat="1" applyFill="1" applyBorder="1" applyAlignment="1" applyProtection="1">
      <alignment horizontal="center"/>
      <protection locked="0"/>
    </xf>
    <xf numFmtId="0" fontId="168" fillId="47" borderId="0" xfId="8733" applyFont="1" applyFill="1" applyAlignment="1">
      <alignment horizontal="left" vertical="top" wrapText="1"/>
    </xf>
    <xf numFmtId="0" fontId="104" fillId="47" borderId="42" xfId="8733" applyFont="1" applyFill="1" applyBorder="1" applyAlignment="1">
      <alignment horizontal="center"/>
    </xf>
    <xf numFmtId="0" fontId="4" fillId="48" borderId="80" xfId="8733" applyFill="1" applyBorder="1" applyAlignment="1" applyProtection="1">
      <alignment horizontal="center"/>
      <protection locked="0"/>
    </xf>
    <xf numFmtId="0" fontId="4" fillId="48" borderId="79" xfId="8733" applyFill="1" applyBorder="1" applyAlignment="1" applyProtection="1">
      <alignment horizontal="center"/>
      <protection locked="0"/>
    </xf>
    <xf numFmtId="0" fontId="4" fillId="48" borderId="78" xfId="8733" applyFill="1" applyBorder="1" applyAlignment="1" applyProtection="1">
      <alignment horizontal="center"/>
      <protection locked="0"/>
    </xf>
    <xf numFmtId="168" fontId="19" fillId="2" borderId="3" xfId="569" applyNumberFormat="1" applyFill="1" applyBorder="1" applyAlignment="1">
      <alignment horizontal="center"/>
    </xf>
    <xf numFmtId="168" fontId="19" fillId="2" borderId="4" xfId="569" applyNumberFormat="1" applyFill="1" applyBorder="1" applyAlignment="1">
      <alignment horizontal="center"/>
    </xf>
    <xf numFmtId="168" fontId="19" fillId="2" borderId="5" xfId="569" applyNumberFormat="1" applyFill="1" applyBorder="1" applyAlignment="1">
      <alignment horizontal="center"/>
    </xf>
    <xf numFmtId="168" fontId="19" fillId="5" borderId="5" xfId="569" applyNumberFormat="1" applyFill="1" applyBorder="1" applyAlignment="1" applyProtection="1">
      <alignment horizontal="center"/>
      <protection locked="0"/>
    </xf>
    <xf numFmtId="168" fontId="19" fillId="5" borderId="11" xfId="569" applyNumberFormat="1" applyFill="1" applyBorder="1" applyAlignment="1" applyProtection="1">
      <alignment horizontal="center"/>
      <protection locked="0"/>
    </xf>
    <xf numFmtId="168" fontId="19" fillId="0" borderId="5" xfId="569" applyNumberFormat="1" applyBorder="1" applyAlignment="1">
      <alignment horizontal="center"/>
    </xf>
    <xf numFmtId="168" fontId="19" fillId="0" borderId="11" xfId="569" applyNumberFormat="1" applyBorder="1" applyAlignment="1">
      <alignment horizontal="center"/>
    </xf>
    <xf numFmtId="168" fontId="19" fillId="0" borderId="3" xfId="569" applyNumberFormat="1" applyBorder="1" applyAlignment="1">
      <alignment horizontal="center"/>
    </xf>
    <xf numFmtId="168" fontId="19" fillId="0" borderId="4" xfId="569" applyNumberFormat="1" applyBorder="1" applyAlignment="1">
      <alignment horizontal="center"/>
    </xf>
    <xf numFmtId="179" fontId="26" fillId="0" borderId="0" xfId="569" applyNumberFormat="1" applyFont="1" applyAlignment="1">
      <alignment horizontal="center" wrapText="1"/>
    </xf>
    <xf numFmtId="0" fontId="26" fillId="0" borderId="16" xfId="271" applyFont="1" applyBorder="1" applyAlignment="1">
      <alignment horizontal="center"/>
    </xf>
    <xf numFmtId="164" fontId="26" fillId="0" borderId="0" xfId="569" applyNumberFormat="1" applyFont="1" applyAlignment="1">
      <alignment horizontal="center" wrapText="1"/>
    </xf>
    <xf numFmtId="0" fontId="26" fillId="0" borderId="3" xfId="569" applyFont="1" applyBorder="1" applyAlignment="1">
      <alignment horizontal="right"/>
    </xf>
    <xf numFmtId="0" fontId="26" fillId="0" borderId="4" xfId="569" applyFont="1" applyBorder="1" applyAlignment="1">
      <alignment horizontal="right"/>
    </xf>
    <xf numFmtId="0" fontId="26" fillId="0" borderId="5" xfId="569" applyFont="1" applyBorder="1" applyAlignment="1">
      <alignment horizontal="right"/>
    </xf>
    <xf numFmtId="0" fontId="55" fillId="0" borderId="0" xfId="569" applyFont="1" applyAlignment="1">
      <alignment horizontal="left"/>
    </xf>
    <xf numFmtId="0" fontId="19" fillId="0" borderId="3" xfId="569" applyBorder="1" applyAlignment="1">
      <alignment horizontal="right"/>
    </xf>
    <xf numFmtId="0" fontId="19" fillId="0" borderId="4" xfId="569" applyBorder="1" applyAlignment="1">
      <alignment horizontal="right"/>
    </xf>
    <xf numFmtId="0" fontId="19" fillId="0" borderId="5" xfId="569" applyBorder="1" applyAlignment="1">
      <alignment horizontal="right"/>
    </xf>
    <xf numFmtId="0" fontId="27" fillId="0" borderId="3" xfId="569" applyFont="1" applyBorder="1" applyAlignment="1">
      <alignment horizontal="right"/>
    </xf>
    <xf numFmtId="0" fontId="27" fillId="0" borderId="4" xfId="569" applyFont="1" applyBorder="1" applyAlignment="1">
      <alignment horizontal="right"/>
    </xf>
    <xf numFmtId="0" fontId="27" fillId="0" borderId="5" xfId="569" applyFont="1" applyBorder="1" applyAlignment="1">
      <alignment horizontal="right"/>
    </xf>
    <xf numFmtId="168" fontId="19" fillId="0" borderId="3" xfId="569" applyNumberFormat="1" applyBorder="1" applyAlignment="1">
      <alignment horizontal="right"/>
    </xf>
    <xf numFmtId="168" fontId="19" fillId="0" borderId="4" xfId="569" applyNumberFormat="1" applyBorder="1" applyAlignment="1">
      <alignment horizontal="right"/>
    </xf>
    <xf numFmtId="168" fontId="19" fillId="0" borderId="5" xfId="569" applyNumberFormat="1" applyBorder="1" applyAlignment="1">
      <alignment horizontal="right"/>
    </xf>
    <xf numFmtId="9" fontId="19" fillId="0" borderId="5" xfId="569" applyNumberFormat="1" applyBorder="1" applyAlignment="1">
      <alignment horizontal="center"/>
    </xf>
    <xf numFmtId="9" fontId="19" fillId="0" borderId="11" xfId="569" applyNumberFormat="1" applyBorder="1" applyAlignment="1">
      <alignment horizontal="center"/>
    </xf>
    <xf numFmtId="0" fontId="26" fillId="0" borderId="3" xfId="569" applyFont="1" applyBorder="1" applyAlignment="1">
      <alignment horizontal="left"/>
    </xf>
    <xf numFmtId="0" fontId="26" fillId="0" borderId="5" xfId="569" applyFont="1" applyBorder="1" applyAlignment="1">
      <alignment horizontal="left"/>
    </xf>
    <xf numFmtId="0" fontId="27" fillId="0" borderId="4" xfId="569" applyFont="1" applyBorder="1" applyAlignment="1">
      <alignment horizontal="left"/>
    </xf>
    <xf numFmtId="0" fontId="27" fillId="0" borderId="5" xfId="569" applyFont="1" applyBorder="1" applyAlignment="1">
      <alignment horizontal="left"/>
    </xf>
    <xf numFmtId="0" fontId="25" fillId="3" borderId="2" xfId="569" applyFont="1" applyFill="1" applyBorder="1" applyAlignment="1">
      <alignment horizontal="center" vertical="center"/>
    </xf>
    <xf numFmtId="0" fontId="25" fillId="3" borderId="16" xfId="569" applyFont="1" applyFill="1" applyBorder="1" applyAlignment="1">
      <alignment horizontal="center" vertical="center"/>
    </xf>
    <xf numFmtId="0" fontId="26" fillId="0" borderId="11" xfId="569" applyFont="1" applyBorder="1" applyAlignment="1">
      <alignment horizontal="center" wrapText="1"/>
    </xf>
    <xf numFmtId="168" fontId="19" fillId="0" borderId="7" xfId="569" applyNumberFormat="1" applyBorder="1" applyAlignment="1">
      <alignment horizontal="center"/>
    </xf>
    <xf numFmtId="168" fontId="19" fillId="0" borderId="15" xfId="569" applyNumberFormat="1" applyBorder="1" applyAlignment="1">
      <alignment horizontal="center"/>
    </xf>
    <xf numFmtId="168" fontId="19" fillId="5" borderId="10" xfId="569" applyNumberFormat="1" applyFill="1" applyBorder="1" applyAlignment="1" applyProtection="1">
      <alignment horizontal="center"/>
      <protection locked="0"/>
    </xf>
    <xf numFmtId="168" fontId="19" fillId="5" borderId="13" xfId="569" applyNumberFormat="1" applyFill="1" applyBorder="1" applyAlignment="1" applyProtection="1">
      <alignment horizontal="center"/>
      <protection locked="0"/>
    </xf>
    <xf numFmtId="5" fontId="19" fillId="0" borderId="5" xfId="569" applyNumberFormat="1" applyBorder="1" applyAlignment="1">
      <alignment horizontal="center"/>
    </xf>
    <xf numFmtId="5" fontId="19" fillId="0" borderId="11" xfId="569" applyNumberFormat="1" applyBorder="1" applyAlignment="1">
      <alignment horizontal="center"/>
    </xf>
    <xf numFmtId="5" fontId="19" fillId="0" borderId="3" xfId="569" applyNumberFormat="1" applyBorder="1" applyAlignment="1">
      <alignment horizontal="center"/>
    </xf>
    <xf numFmtId="5" fontId="19" fillId="0" borderId="4" xfId="569" applyNumberFormat="1" applyBorder="1" applyAlignment="1">
      <alignment horizontal="center"/>
    </xf>
    <xf numFmtId="9" fontId="19" fillId="0" borderId="9" xfId="569" applyNumberFormat="1" applyBorder="1" applyAlignment="1">
      <alignment horizontal="center" vertical="center"/>
    </xf>
    <xf numFmtId="9" fontId="19" fillId="0" borderId="6" xfId="569" applyNumberFormat="1" applyBorder="1" applyAlignment="1">
      <alignment horizontal="center" vertical="center"/>
    </xf>
    <xf numFmtId="9" fontId="19" fillId="0" borderId="10" xfId="569" applyNumberFormat="1" applyBorder="1" applyAlignment="1">
      <alignment horizontal="center" vertical="center"/>
    </xf>
    <xf numFmtId="168" fontId="19" fillId="0" borderId="11" xfId="569" applyNumberFormat="1" applyBorder="1" applyAlignment="1">
      <alignment horizontal="right"/>
    </xf>
    <xf numFmtId="0" fontId="26" fillId="0" borderId="6" xfId="569" applyFont="1" applyBorder="1" applyAlignment="1">
      <alignment horizontal="center"/>
    </xf>
    <xf numFmtId="0" fontId="19" fillId="0" borderId="4" xfId="569" applyBorder="1" applyAlignment="1">
      <alignment horizontal="center"/>
    </xf>
    <xf numFmtId="0" fontId="19" fillId="0" borderId="5" xfId="569" applyBorder="1" applyAlignment="1">
      <alignment horizontal="center"/>
    </xf>
    <xf numFmtId="176" fontId="19" fillId="5" borderId="3" xfId="569" applyNumberFormat="1" applyFill="1" applyBorder="1" applyAlignment="1" applyProtection="1">
      <alignment horizontal="right"/>
      <protection locked="0"/>
    </xf>
    <xf numFmtId="176" fontId="19" fillId="5" borderId="4" xfId="569" applyNumberFormat="1" applyFill="1" applyBorder="1" applyAlignment="1" applyProtection="1">
      <alignment horizontal="right"/>
      <protection locked="0"/>
    </xf>
    <xf numFmtId="176" fontId="19" fillId="5" borderId="5" xfId="569" applyNumberFormat="1" applyFill="1" applyBorder="1" applyAlignment="1" applyProtection="1">
      <alignment horizontal="right"/>
      <protection locked="0"/>
    </xf>
    <xf numFmtId="0" fontId="109" fillId="0" borderId="0" xfId="569" applyFont="1" applyAlignment="1">
      <alignment horizontal="left" wrapText="1"/>
    </xf>
    <xf numFmtId="0" fontId="26" fillId="0" borderId="11" xfId="569" applyFont="1" applyBorder="1" applyAlignment="1">
      <alignment horizontal="center"/>
    </xf>
    <xf numFmtId="165" fontId="19" fillId="0" borderId="11" xfId="569" applyNumberFormat="1" applyBorder="1" applyAlignment="1" applyProtection="1">
      <alignment horizontal="center"/>
      <protection locked="0"/>
    </xf>
    <xf numFmtId="168" fontId="19" fillId="0" borderId="11" xfId="569" applyNumberFormat="1" applyBorder="1"/>
    <xf numFmtId="168" fontId="19" fillId="0" borderId="3" xfId="569" applyNumberFormat="1" applyBorder="1"/>
    <xf numFmtId="168" fontId="19" fillId="0" borderId="4" xfId="569" applyNumberFormat="1" applyBorder="1"/>
    <xf numFmtId="168" fontId="19" fillId="0" borderId="5" xfId="569" applyNumberFormat="1" applyBorder="1"/>
    <xf numFmtId="168" fontId="19" fillId="0" borderId="11" xfId="569" applyNumberFormat="1" applyBorder="1" applyAlignment="1">
      <alignment wrapText="1"/>
    </xf>
    <xf numFmtId="9" fontId="19" fillId="0" borderId="15" xfId="569" applyNumberFormat="1" applyBorder="1" applyAlignment="1">
      <alignment horizontal="center"/>
    </xf>
    <xf numFmtId="0" fontId="19" fillId="0" borderId="11" xfId="569" applyBorder="1" applyAlignment="1">
      <alignment horizontal="center"/>
    </xf>
    <xf numFmtId="0" fontId="109" fillId="0" borderId="0" xfId="0" applyFont="1" applyAlignment="1">
      <alignment horizontal="left" vertical="top" wrapText="1"/>
    </xf>
    <xf numFmtId="0" fontId="26" fillId="0" borderId="0" xfId="4495" applyFont="1" applyAlignment="1">
      <alignment horizontal="left" wrapText="1"/>
    </xf>
    <xf numFmtId="0" fontId="19" fillId="0" borderId="0" xfId="4495" applyFont="1" applyAlignment="1">
      <alignment wrapText="1"/>
    </xf>
    <xf numFmtId="0" fontId="19" fillId="0" borderId="0" xfId="4495" applyFont="1" applyAlignment="1">
      <alignment horizontal="left"/>
    </xf>
    <xf numFmtId="0" fontId="19" fillId="5" borderId="6" xfId="4495" applyFont="1" applyFill="1" applyBorder="1" applyAlignment="1" applyProtection="1">
      <alignment horizontal="center"/>
      <protection locked="0"/>
    </xf>
    <xf numFmtId="164" fontId="19" fillId="0" borderId="50" xfId="4495" applyNumberFormat="1" applyFont="1" applyBorder="1" applyAlignment="1">
      <alignment horizontal="left" vertical="top" wrapText="1"/>
    </xf>
    <xf numFmtId="164" fontId="19" fillId="0" borderId="51" xfId="4495" applyNumberFormat="1" applyFont="1" applyBorder="1" applyAlignment="1">
      <alignment horizontal="left" vertical="top" wrapText="1"/>
    </xf>
    <xf numFmtId="164" fontId="19" fillId="0" borderId="52" xfId="4495" applyNumberFormat="1" applyFont="1" applyBorder="1" applyAlignment="1">
      <alignment horizontal="left" vertical="top" wrapText="1"/>
    </xf>
    <xf numFmtId="164" fontId="19" fillId="0" borderId="53" xfId="4495" applyNumberFormat="1" applyFont="1" applyBorder="1" applyAlignment="1">
      <alignment horizontal="left" vertical="top" wrapText="1"/>
    </xf>
    <xf numFmtId="164" fontId="19" fillId="0" borderId="0" xfId="4495" applyNumberFormat="1" applyFont="1" applyAlignment="1">
      <alignment horizontal="left" vertical="top" wrapText="1"/>
    </xf>
    <xf numFmtId="164" fontId="19" fillId="0" borderId="54" xfId="4495" applyNumberFormat="1" applyFont="1" applyBorder="1" applyAlignment="1">
      <alignment horizontal="left" vertical="top" wrapText="1"/>
    </xf>
    <xf numFmtId="164" fontId="19" fillId="0" borderId="57" xfId="4495" applyNumberFormat="1" applyFont="1" applyBorder="1" applyAlignment="1">
      <alignment horizontal="left" vertical="top" wrapText="1"/>
    </xf>
    <xf numFmtId="164" fontId="19" fillId="0" borderId="58" xfId="4495" applyNumberFormat="1" applyFont="1" applyBorder="1" applyAlignment="1">
      <alignment horizontal="left" vertical="top" wrapText="1"/>
    </xf>
    <xf numFmtId="164" fontId="19" fillId="0" borderId="59" xfId="4495" applyNumberFormat="1" applyFont="1" applyBorder="1" applyAlignment="1">
      <alignment horizontal="left" vertical="top" wrapText="1"/>
    </xf>
    <xf numFmtId="0" fontId="19" fillId="45" borderId="11" xfId="4495" applyFont="1" applyFill="1" applyBorder="1" applyAlignment="1">
      <alignment horizontal="center"/>
    </xf>
    <xf numFmtId="4" fontId="27" fillId="0" borderId="3" xfId="4495" applyNumberFormat="1" applyFont="1" applyBorder="1" applyAlignment="1">
      <alignment horizontal="center"/>
    </xf>
    <xf numFmtId="4" fontId="27" fillId="0" borderId="4" xfId="4495" applyNumberFormat="1" applyFont="1" applyBorder="1" applyAlignment="1">
      <alignment horizontal="center"/>
    </xf>
    <xf numFmtId="4" fontId="27" fillId="0" borderId="5" xfId="4495" applyNumberFormat="1" applyFont="1" applyBorder="1" applyAlignment="1">
      <alignment horizontal="center"/>
    </xf>
    <xf numFmtId="165" fontId="124" fillId="0" borderId="3" xfId="4496" applyNumberFormat="1" applyFont="1" applyBorder="1" applyAlignment="1">
      <alignment horizontal="center" vertical="top" wrapText="1"/>
    </xf>
    <xf numFmtId="165" fontId="124" fillId="0" borderId="4" xfId="4496" applyNumberFormat="1" applyFont="1" applyBorder="1" applyAlignment="1">
      <alignment horizontal="center" vertical="top" wrapText="1"/>
    </xf>
    <xf numFmtId="165" fontId="124" fillId="0" borderId="5" xfId="4496" applyNumberFormat="1" applyFont="1" applyBorder="1" applyAlignment="1">
      <alignment horizontal="center" vertical="top" wrapText="1"/>
    </xf>
    <xf numFmtId="3" fontId="19" fillId="43" borderId="6" xfId="1192" applyNumberFormat="1" applyFill="1" applyBorder="1" applyAlignment="1" applyProtection="1">
      <alignment horizontal="right"/>
      <protection locked="0"/>
    </xf>
    <xf numFmtId="168" fontId="19" fillId="0" borderId="0" xfId="1192" applyNumberFormat="1" applyAlignment="1">
      <alignment horizontal="right"/>
    </xf>
    <xf numFmtId="0" fontId="144" fillId="0" borderId="0" xfId="1192" applyFont="1" applyAlignment="1">
      <alignment horizontal="center"/>
    </xf>
    <xf numFmtId="168" fontId="19" fillId="43" borderId="6" xfId="543" applyNumberFormat="1" applyFill="1" applyBorder="1" applyAlignment="1" applyProtection="1">
      <alignment horizontal="center"/>
      <protection locked="0"/>
    </xf>
    <xf numFmtId="168" fontId="19" fillId="5" borderId="4" xfId="1192" applyNumberFormat="1" applyFill="1" applyBorder="1" applyAlignment="1" applyProtection="1">
      <alignment horizontal="center"/>
      <protection locked="0"/>
    </xf>
    <xf numFmtId="4" fontId="27" fillId="0" borderId="6" xfId="4495" applyNumberFormat="1" applyFont="1" applyBorder="1" applyAlignment="1">
      <alignment horizontal="center"/>
    </xf>
    <xf numFmtId="1" fontId="19" fillId="5" borderId="2" xfId="1192" applyNumberFormat="1" applyFill="1" applyBorder="1" applyAlignment="1" applyProtection="1">
      <alignment horizontal="center"/>
      <protection locked="0"/>
    </xf>
    <xf numFmtId="168" fontId="19" fillId="0" borderId="6" xfId="1192" applyNumberFormat="1" applyBorder="1" applyAlignment="1">
      <alignment horizontal="right"/>
    </xf>
    <xf numFmtId="168" fontId="19" fillId="0" borderId="4" xfId="1192" applyNumberFormat="1" applyBorder="1" applyAlignment="1">
      <alignment horizontal="right"/>
    </xf>
    <xf numFmtId="4" fontId="27" fillId="0" borderId="0" xfId="4495" applyNumberFormat="1" applyFont="1" applyAlignment="1">
      <alignment horizontal="center"/>
    </xf>
    <xf numFmtId="0" fontId="19" fillId="0" borderId="53" xfId="4495" applyFont="1" applyBorder="1" applyAlignment="1">
      <alignment horizontal="left" vertical="top" wrapText="1"/>
    </xf>
    <xf numFmtId="0" fontId="19" fillId="0" borderId="0" xfId="4495" applyFont="1" applyAlignment="1">
      <alignment horizontal="left" vertical="top" wrapText="1"/>
    </xf>
    <xf numFmtId="0" fontId="19" fillId="0" borderId="54" xfId="4495" applyFont="1" applyBorder="1" applyAlignment="1">
      <alignment horizontal="left" vertical="top" wrapText="1"/>
    </xf>
    <xf numFmtId="0" fontId="19" fillId="0" borderId="57" xfId="4495" applyFont="1" applyBorder="1" applyAlignment="1">
      <alignment horizontal="left" vertical="top" wrapText="1"/>
    </xf>
    <xf numFmtId="0" fontId="19" fillId="0" borderId="58" xfId="4495" applyFont="1" applyBorder="1" applyAlignment="1">
      <alignment horizontal="left" vertical="top" wrapText="1"/>
    </xf>
    <xf numFmtId="168" fontId="19" fillId="0" borderId="6" xfId="4496" applyNumberFormat="1" applyFont="1" applyBorder="1" applyAlignment="1">
      <alignment horizontal="center"/>
    </xf>
    <xf numFmtId="168" fontId="19" fillId="0" borderId="4" xfId="4496" applyNumberFormat="1" applyFont="1" applyBorder="1" applyAlignment="1">
      <alignment horizontal="center"/>
    </xf>
    <xf numFmtId="9" fontId="19" fillId="0" borderId="4" xfId="4496" applyNumberFormat="1" applyFont="1" applyBorder="1" applyAlignment="1">
      <alignment horizontal="center"/>
    </xf>
    <xf numFmtId="0" fontId="19" fillId="0" borderId="3" xfId="4495" applyFont="1" applyBorder="1" applyAlignment="1">
      <alignment horizontal="center"/>
    </xf>
    <xf numFmtId="0" fontId="19" fillId="0" borderId="4" xfId="4495" applyFont="1" applyBorder="1" applyAlignment="1">
      <alignment horizontal="center"/>
    </xf>
    <xf numFmtId="0" fontId="19" fillId="0" borderId="5" xfId="4495" applyFont="1" applyBorder="1" applyAlignment="1">
      <alignment horizontal="center"/>
    </xf>
    <xf numFmtId="0" fontId="27" fillId="0" borderId="51" xfId="4495" applyFont="1" applyBorder="1" applyAlignment="1">
      <alignment horizontal="left" vertical="top" wrapText="1"/>
    </xf>
    <xf numFmtId="0" fontId="27" fillId="0" borderId="0" xfId="4495" applyFont="1" applyAlignment="1">
      <alignment horizontal="left" vertical="top" wrapText="1"/>
    </xf>
    <xf numFmtId="0" fontId="27" fillId="0" borderId="58" xfId="4495" applyFont="1" applyBorder="1" applyAlignment="1">
      <alignment horizontal="left" vertical="top" wrapText="1"/>
    </xf>
    <xf numFmtId="10" fontId="27" fillId="0" borderId="2" xfId="4495" applyNumberFormat="1" applyFont="1" applyBorder="1" applyAlignment="1">
      <alignment horizontal="center"/>
    </xf>
    <xf numFmtId="0" fontId="27" fillId="0" borderId="0" xfId="4495" applyFont="1" applyAlignment="1">
      <alignment horizontal="center"/>
    </xf>
    <xf numFmtId="9" fontId="27" fillId="5" borderId="6" xfId="4495" applyNumberFormat="1" applyFont="1" applyFill="1" applyBorder="1" applyAlignment="1">
      <alignment horizontal="left"/>
    </xf>
    <xf numFmtId="0" fontId="132" fillId="0" borderId="0" xfId="4495" applyFont="1" applyAlignment="1">
      <alignment horizontal="left" vertical="top" wrapText="1"/>
    </xf>
    <xf numFmtId="0" fontId="35" fillId="42" borderId="2" xfId="4495" applyFont="1" applyFill="1" applyBorder="1" applyAlignment="1">
      <alignment horizontal="center"/>
    </xf>
    <xf numFmtId="0" fontId="35" fillId="42" borderId="6" xfId="4495" applyFont="1" applyFill="1" applyBorder="1" applyAlignment="1">
      <alignment horizontal="center"/>
    </xf>
    <xf numFmtId="0" fontId="26" fillId="0" borderId="11" xfId="4495" applyFont="1" applyBorder="1" applyAlignment="1">
      <alignment horizontal="center"/>
    </xf>
    <xf numFmtId="0" fontId="122" fillId="5" borderId="55" xfId="4495" applyFill="1" applyBorder="1" applyAlignment="1" applyProtection="1">
      <alignment horizontal="center"/>
      <protection locked="0"/>
    </xf>
    <xf numFmtId="0" fontId="122" fillId="5" borderId="6" xfId="4495" applyFill="1" applyBorder="1" applyAlignment="1" applyProtection="1">
      <alignment horizontal="center"/>
      <protection locked="0"/>
    </xf>
    <xf numFmtId="0" fontId="26" fillId="0" borderId="0" xfId="4495" applyFont="1" applyAlignment="1">
      <alignment horizontal="center"/>
    </xf>
    <xf numFmtId="0" fontId="26" fillId="0" borderId="54" xfId="4495" applyFont="1" applyBorder="1" applyAlignment="1">
      <alignment horizontal="center"/>
    </xf>
    <xf numFmtId="0" fontId="19" fillId="5" borderId="6" xfId="4495" applyFont="1" applyFill="1" applyBorder="1" applyAlignment="1" applyProtection="1">
      <alignment horizontal="center" vertical="center" wrapText="1" shrinkToFit="1"/>
      <protection locked="0"/>
    </xf>
    <xf numFmtId="0" fontId="120" fillId="0" borderId="4" xfId="1192" applyFont="1" applyBorder="1" applyAlignment="1">
      <alignment horizontal="left"/>
    </xf>
    <xf numFmtId="0" fontId="144" fillId="0" borderId="6" xfId="1192" applyFont="1" applyBorder="1" applyAlignment="1">
      <alignment horizontal="center"/>
    </xf>
    <xf numFmtId="168" fontId="19" fillId="43" borderId="6" xfId="1192" applyNumberFormat="1" applyFill="1" applyBorder="1" applyAlignment="1" applyProtection="1">
      <alignment horizontal="right"/>
      <protection locked="0"/>
    </xf>
    <xf numFmtId="0" fontId="27" fillId="5" borderId="58" xfId="4495" applyFont="1" applyFill="1" applyBorder="1" applyAlignment="1">
      <alignment horizontal="left"/>
    </xf>
    <xf numFmtId="0" fontId="122" fillId="5" borderId="50" xfId="4495" applyFill="1" applyBorder="1" applyAlignment="1">
      <alignment horizontal="center"/>
    </xf>
    <xf numFmtId="0" fontId="122" fillId="5" borderId="51" xfId="4495" applyFill="1" applyBorder="1" applyAlignment="1">
      <alignment horizontal="center"/>
    </xf>
    <xf numFmtId="0" fontId="55" fillId="0" borderId="51" xfId="4495" applyFont="1" applyBorder="1" applyAlignment="1">
      <alignment horizontal="left" vertical="top" wrapText="1"/>
    </xf>
    <xf numFmtId="0" fontId="55" fillId="0" borderId="0" xfId="4495" applyFont="1" applyAlignment="1">
      <alignment horizontal="left" vertical="top" wrapText="1"/>
    </xf>
    <xf numFmtId="9" fontId="27" fillId="5" borderId="58" xfId="4495" applyNumberFormat="1" applyFont="1" applyFill="1" applyBorder="1" applyAlignment="1">
      <alignment horizontal="left"/>
    </xf>
    <xf numFmtId="0" fontId="122" fillId="0" borderId="0" xfId="4495" applyAlignment="1">
      <alignment horizontal="center"/>
    </xf>
    <xf numFmtId="0" fontId="27" fillId="5" borderId="6" xfId="4495" applyFont="1" applyFill="1" applyBorder="1" applyAlignment="1">
      <alignment horizontal="left"/>
    </xf>
    <xf numFmtId="0" fontId="122" fillId="5" borderId="62" xfId="4495" applyFill="1" applyBorder="1" applyAlignment="1">
      <alignment horizontal="center"/>
    </xf>
    <xf numFmtId="0" fontId="122" fillId="5" borderId="63" xfId="4495" applyFill="1" applyBorder="1" applyAlignment="1">
      <alignment horizontal="center"/>
    </xf>
    <xf numFmtId="0" fontId="26" fillId="0" borderId="51" xfId="4495" applyFont="1" applyBorder="1" applyAlignment="1">
      <alignment horizontal="center" vertical="top"/>
    </xf>
    <xf numFmtId="0" fontId="26" fillId="0" borderId="52" xfId="4495" applyFont="1" applyBorder="1" applyAlignment="1">
      <alignment horizontal="center" vertical="top"/>
    </xf>
    <xf numFmtId="0" fontId="26" fillId="0" borderId="0" xfId="4495" applyFont="1" applyAlignment="1">
      <alignment horizontal="right"/>
    </xf>
    <xf numFmtId="0" fontId="19" fillId="0" borderId="6" xfId="1192" applyBorder="1" applyAlignment="1">
      <alignment horizontal="right"/>
    </xf>
    <xf numFmtId="9" fontId="19" fillId="5" borderId="4" xfId="1192" applyNumberFormat="1" applyFill="1" applyBorder="1" applyAlignment="1" applyProtection="1">
      <alignment horizontal="left"/>
      <protection locked="0"/>
    </xf>
    <xf numFmtId="0" fontId="124" fillId="0" borderId="50" xfId="4496" applyFont="1" applyBorder="1" applyAlignment="1">
      <alignment horizontal="left" wrapText="1"/>
    </xf>
    <xf numFmtId="0" fontId="124" fillId="0" borderId="51" xfId="4496" applyFont="1" applyBorder="1" applyAlignment="1">
      <alignment horizontal="left" wrapText="1"/>
    </xf>
    <xf numFmtId="0" fontId="124" fillId="0" borderId="52" xfId="4496" applyFont="1" applyBorder="1" applyAlignment="1">
      <alignment horizontal="left" wrapText="1"/>
    </xf>
    <xf numFmtId="0" fontId="124" fillId="0" borderId="57" xfId="4496" applyFont="1" applyBorder="1" applyAlignment="1">
      <alignment horizontal="left" wrapText="1"/>
    </xf>
    <xf numFmtId="0" fontId="124" fillId="0" borderId="58" xfId="4496" applyFont="1" applyBorder="1" applyAlignment="1">
      <alignment horizontal="left" wrapText="1"/>
    </xf>
    <xf numFmtId="0" fontId="124" fillId="0" borderId="59" xfId="4496" applyFont="1" applyBorder="1" applyAlignment="1">
      <alignment horizontal="left" wrapText="1"/>
    </xf>
    <xf numFmtId="0" fontId="122" fillId="0" borderId="53" xfId="4495" applyBorder="1" applyAlignment="1">
      <alignment horizontal="center"/>
    </xf>
    <xf numFmtId="0" fontId="27" fillId="5" borderId="0" xfId="4495" applyFont="1" applyFill="1" applyAlignment="1">
      <alignment horizontal="left" vertical="top"/>
    </xf>
    <xf numFmtId="0" fontId="26" fillId="0" borderId="4" xfId="4495" applyFont="1" applyBorder="1" applyAlignment="1">
      <alignment horizontal="left"/>
    </xf>
    <xf numFmtId="0" fontId="26" fillId="0" borderId="5" xfId="4495" applyFont="1" applyBorder="1" applyAlignment="1">
      <alignment horizontal="left"/>
    </xf>
    <xf numFmtId="1" fontId="26" fillId="0" borderId="11" xfId="4495" applyNumberFormat="1" applyFont="1" applyBorder="1" applyAlignment="1">
      <alignment horizontal="center"/>
    </xf>
    <xf numFmtId="0" fontId="26" fillId="0" borderId="3" xfId="4495" applyFont="1" applyBorder="1" applyAlignment="1">
      <alignment horizontal="center" wrapText="1"/>
    </xf>
    <xf numFmtId="0" fontId="26" fillId="0" borderId="4" xfId="4495" applyFont="1" applyBorder="1" applyAlignment="1">
      <alignment horizontal="center" wrapText="1"/>
    </xf>
    <xf numFmtId="0" fontId="26" fillId="0" borderId="5" xfId="4495" applyFont="1" applyBorder="1" applyAlignment="1">
      <alignment horizontal="center" wrapText="1"/>
    </xf>
    <xf numFmtId="0" fontId="19" fillId="0" borderId="4" xfId="4495" applyFont="1" applyBorder="1" applyAlignment="1">
      <alignment horizontal="left"/>
    </xf>
    <xf numFmtId="0" fontId="19" fillId="0" borderId="5" xfId="4495" applyFont="1" applyBorder="1" applyAlignment="1">
      <alignment horizontal="left"/>
    </xf>
    <xf numFmtId="1" fontId="19" fillId="0" borderId="11" xfId="4495" applyNumberFormat="1" applyFont="1" applyBorder="1" applyAlignment="1">
      <alignment horizontal="center"/>
    </xf>
    <xf numFmtId="0" fontId="19" fillId="0" borderId="11" xfId="4495" applyFont="1" applyBorder="1" applyAlignment="1">
      <alignment horizontal="center"/>
    </xf>
    <xf numFmtId="1" fontId="19" fillId="46" borderId="11" xfId="4495" applyNumberFormat="1" applyFont="1" applyFill="1" applyBorder="1" applyAlignment="1">
      <alignment horizontal="center"/>
    </xf>
    <xf numFmtId="0" fontId="26" fillId="0" borderId="3" xfId="4495" applyFont="1" applyBorder="1" applyAlignment="1">
      <alignment horizontal="center"/>
    </xf>
    <xf numFmtId="0" fontId="26" fillId="0" borderId="4" xfId="4495" applyFont="1" applyBorder="1" applyAlignment="1">
      <alignment horizontal="center"/>
    </xf>
    <xf numFmtId="0" fontId="26" fillId="0" borderId="5" xfId="4495" applyFont="1" applyBorder="1" applyAlignment="1">
      <alignment horizontal="center"/>
    </xf>
    <xf numFmtId="0" fontId="26" fillId="0" borderId="3" xfId="4495" applyFont="1" applyBorder="1" applyAlignment="1">
      <alignment horizontal="left"/>
    </xf>
    <xf numFmtId="0" fontId="19" fillId="5" borderId="11" xfId="4495" applyFont="1" applyFill="1" applyBorder="1" applyAlignment="1" applyProtection="1">
      <alignment horizontal="center"/>
      <protection locked="0"/>
    </xf>
    <xf numFmtId="164" fontId="66" fillId="0" borderId="1" xfId="4495" applyNumberFormat="1" applyFont="1" applyBorder="1" applyAlignment="1">
      <alignment horizontal="right" vertical="center"/>
    </xf>
    <xf numFmtId="164" fontId="66" fillId="0" borderId="2" xfId="4495" applyNumberFormat="1" applyFont="1" applyBorder="1" applyAlignment="1">
      <alignment horizontal="right" vertical="center"/>
    </xf>
    <xf numFmtId="164" fontId="66" fillId="0" borderId="7" xfId="4495" applyNumberFormat="1" applyFont="1" applyBorder="1" applyAlignment="1">
      <alignment horizontal="right" vertical="center"/>
    </xf>
    <xf numFmtId="164" fontId="66" fillId="0" borderId="9" xfId="4495" applyNumberFormat="1" applyFont="1" applyBorder="1" applyAlignment="1">
      <alignment horizontal="right" vertical="center"/>
    </xf>
    <xf numFmtId="164" fontId="66" fillId="0" borderId="6" xfId="4495" applyNumberFormat="1" applyFont="1" applyBorder="1" applyAlignment="1">
      <alignment horizontal="right" vertical="center"/>
    </xf>
    <xf numFmtId="164" fontId="66" fillId="0" borderId="10" xfId="4495" applyNumberFormat="1" applyFont="1" applyBorder="1" applyAlignment="1">
      <alignment horizontal="right" vertical="center"/>
    </xf>
    <xf numFmtId="180" fontId="66" fillId="0" borderId="1" xfId="4495" applyNumberFormat="1" applyFont="1" applyBorder="1" applyAlignment="1">
      <alignment horizontal="center" vertical="center"/>
    </xf>
    <xf numFmtId="180" fontId="66" fillId="0" borderId="2" xfId="4495" applyNumberFormat="1" applyFont="1" applyBorder="1" applyAlignment="1">
      <alignment horizontal="center" vertical="center"/>
    </xf>
    <xf numFmtId="180" fontId="66" fillId="0" borderId="7" xfId="4495" applyNumberFormat="1" applyFont="1" applyBorder="1" applyAlignment="1">
      <alignment horizontal="center" vertical="center"/>
    </xf>
    <xf numFmtId="180" fontId="66" fillId="0" borderId="9" xfId="4495" applyNumberFormat="1" applyFont="1" applyBorder="1" applyAlignment="1">
      <alignment horizontal="center" vertical="center"/>
    </xf>
    <xf numFmtId="180" fontId="66" fillId="0" borderId="6" xfId="4495" applyNumberFormat="1" applyFont="1" applyBorder="1" applyAlignment="1">
      <alignment horizontal="center" vertical="center"/>
    </xf>
    <xf numFmtId="180" fontId="66" fillId="0" borderId="10" xfId="4495" applyNumberFormat="1" applyFont="1" applyBorder="1" applyAlignment="1">
      <alignment horizontal="center" vertical="center"/>
    </xf>
    <xf numFmtId="1" fontId="26" fillId="0" borderId="4" xfId="4495" applyNumberFormat="1" applyFont="1" applyBorder="1" applyAlignment="1">
      <alignment horizontal="center" wrapText="1"/>
    </xf>
    <xf numFmtId="0" fontId="19" fillId="0" borderId="50" xfId="4496" applyFont="1" applyBorder="1" applyAlignment="1">
      <alignment horizontal="left" wrapText="1"/>
    </xf>
    <xf numFmtId="0" fontId="19" fillId="0" borderId="51" xfId="4496" applyFont="1" applyBorder="1" applyAlignment="1">
      <alignment horizontal="left" wrapText="1"/>
    </xf>
    <xf numFmtId="0" fontId="19" fillId="0" borderId="52" xfId="4496" applyFont="1" applyBorder="1" applyAlignment="1">
      <alignment horizontal="left" wrapText="1"/>
    </xf>
    <xf numFmtId="0" fontId="19" fillId="0" borderId="53" xfId="4496" applyFont="1" applyBorder="1" applyAlignment="1">
      <alignment horizontal="left" wrapText="1"/>
    </xf>
    <xf numFmtId="0" fontId="19" fillId="0" borderId="0" xfId="4496" applyFont="1" applyAlignment="1">
      <alignment horizontal="left" wrapText="1"/>
    </xf>
    <xf numFmtId="0" fontId="19" fillId="0" borderId="54" xfId="4496" applyFont="1" applyBorder="1" applyAlignment="1">
      <alignment horizontal="left" wrapText="1"/>
    </xf>
    <xf numFmtId="0" fontId="19" fillId="0" borderId="57" xfId="4496" applyFont="1" applyBorder="1" applyAlignment="1">
      <alignment horizontal="left" wrapText="1"/>
    </xf>
    <xf numFmtId="0" fontId="19" fillId="0" borderId="58" xfId="4496" applyFont="1" applyBorder="1" applyAlignment="1">
      <alignment horizontal="left" wrapText="1"/>
    </xf>
    <xf numFmtId="0" fontId="19" fillId="0" borderId="59" xfId="4496" applyFont="1" applyBorder="1" applyAlignment="1">
      <alignment horizontal="left" wrapText="1"/>
    </xf>
    <xf numFmtId="1" fontId="19" fillId="0" borderId="4" xfId="4496" applyNumberFormat="1" applyFont="1" applyBorder="1" applyAlignment="1">
      <alignment horizontal="center"/>
    </xf>
    <xf numFmtId="1" fontId="19" fillId="0" borderId="5" xfId="4496" applyNumberFormat="1" applyFont="1" applyBorder="1" applyAlignment="1">
      <alignment horizontal="center"/>
    </xf>
    <xf numFmtId="49" fontId="25" fillId="3" borderId="2" xfId="4495" applyNumberFormat="1" applyFont="1" applyFill="1" applyBorder="1" applyAlignment="1">
      <alignment horizontal="center" vertical="center" wrapText="1"/>
    </xf>
    <xf numFmtId="49" fontId="25" fillId="3" borderId="2" xfId="4495" applyNumberFormat="1" applyFont="1" applyFill="1" applyBorder="1" applyAlignment="1">
      <alignment horizontal="center" vertical="center"/>
    </xf>
    <xf numFmtId="49" fontId="25" fillId="3" borderId="0" xfId="4495" applyNumberFormat="1" applyFont="1" applyFill="1" applyAlignment="1">
      <alignment horizontal="center" vertical="center"/>
    </xf>
    <xf numFmtId="0" fontId="26" fillId="0" borderId="1" xfId="4495" applyFont="1" applyBorder="1" applyAlignment="1">
      <alignment horizontal="center" wrapText="1"/>
    </xf>
    <xf numFmtId="0" fontId="26" fillId="0" borderId="2" xfId="4495" applyFont="1" applyBorder="1" applyAlignment="1">
      <alignment horizontal="center" wrapText="1"/>
    </xf>
    <xf numFmtId="0" fontId="26" fillId="0" borderId="7" xfId="4495" applyFont="1" applyBorder="1" applyAlignment="1">
      <alignment horizontal="center" wrapText="1"/>
    </xf>
    <xf numFmtId="0" fontId="26" fillId="0" borderId="9" xfId="4495" applyFont="1" applyBorder="1" applyAlignment="1">
      <alignment horizontal="center" wrapText="1"/>
    </xf>
    <xf numFmtId="0" fontId="26" fillId="0" borderId="6" xfId="4495" applyFont="1" applyBorder="1" applyAlignment="1">
      <alignment horizontal="center" wrapText="1"/>
    </xf>
    <xf numFmtId="0" fontId="26" fillId="0" borderId="10" xfId="4495" applyFont="1" applyBorder="1" applyAlignment="1">
      <alignment horizontal="center" wrapText="1"/>
    </xf>
    <xf numFmtId="0" fontId="26" fillId="0" borderId="0" xfId="4495" applyFont="1" applyAlignment="1">
      <alignment horizontal="center" vertical="top"/>
    </xf>
    <xf numFmtId="0" fontId="122" fillId="5" borderId="53" xfId="4495" applyFill="1" applyBorder="1" applyAlignment="1">
      <alignment horizontal="center"/>
    </xf>
    <xf numFmtId="0" fontId="122" fillId="5" borderId="0" xfId="4495" applyFill="1" applyAlignment="1">
      <alignment horizontal="center"/>
    </xf>
    <xf numFmtId="0" fontId="122" fillId="5" borderId="55" xfId="4495" applyFill="1" applyBorder="1" applyAlignment="1">
      <alignment horizontal="center"/>
    </xf>
    <xf numFmtId="0" fontId="122" fillId="5" borderId="6" xfId="4495" applyFill="1" applyBorder="1" applyAlignment="1">
      <alignment horizontal="center"/>
    </xf>
    <xf numFmtId="0" fontId="27" fillId="5" borderId="0" xfId="4495" applyFont="1" applyFill="1" applyAlignment="1">
      <alignment horizontal="left" vertical="top" wrapText="1"/>
    </xf>
    <xf numFmtId="0" fontId="27" fillId="5" borderId="58" xfId="4495" applyFont="1" applyFill="1" applyBorder="1" applyAlignment="1">
      <alignment horizontal="left" vertical="top" wrapText="1"/>
    </xf>
    <xf numFmtId="0" fontId="55" fillId="0" borderId="51" xfId="4495" applyFont="1" applyBorder="1" applyAlignment="1">
      <alignment horizontal="left" wrapText="1"/>
    </xf>
    <xf numFmtId="0" fontId="55" fillId="0" borderId="0" xfId="4495" applyFont="1" applyAlignment="1">
      <alignment horizontal="left" wrapText="1"/>
    </xf>
    <xf numFmtId="0" fontId="26" fillId="0" borderId="54" xfId="4495" applyFont="1" applyBorder="1" applyAlignment="1">
      <alignment horizontal="center" vertical="top"/>
    </xf>
    <xf numFmtId="0" fontId="132" fillId="0" borderId="0" xfId="4495" applyFont="1" applyAlignment="1">
      <alignment horizontal="left" vertical="center" wrapText="1"/>
    </xf>
    <xf numFmtId="0" fontId="26" fillId="0" borderId="0" xfId="4495" applyFont="1" applyAlignment="1">
      <alignment horizontal="left" vertical="top" wrapText="1"/>
    </xf>
    <xf numFmtId="0" fontId="19" fillId="0" borderId="0" xfId="4495" applyFont="1" applyAlignment="1">
      <alignment horizontal="left" vertical="top" wrapText="1" shrinkToFit="1"/>
    </xf>
    <xf numFmtId="44" fontId="19" fillId="0" borderId="0" xfId="707" applyFont="1" applyFill="1" applyBorder="1" applyAlignment="1" applyProtection="1">
      <alignment horizontal="left" vertical="top" wrapText="1"/>
    </xf>
    <xf numFmtId="0" fontId="19" fillId="0" borderId="0" xfId="4495" applyFont="1" applyAlignment="1">
      <alignment horizontal="left" vertical="center" wrapText="1" shrinkToFit="1"/>
    </xf>
    <xf numFmtId="0" fontId="19" fillId="5" borderId="6" xfId="4495" applyFont="1" applyFill="1" applyBorder="1" applyAlignment="1" applyProtection="1">
      <alignment horizontal="left" wrapText="1" shrinkToFit="1"/>
      <protection locked="0"/>
    </xf>
    <xf numFmtId="0" fontId="19" fillId="43" borderId="6" xfId="1192" applyFill="1" applyBorder="1" applyAlignment="1" applyProtection="1">
      <alignment horizontal="left" vertical="top"/>
      <protection locked="0"/>
    </xf>
    <xf numFmtId="0" fontId="159" fillId="0" borderId="0" xfId="0" applyFont="1" applyAlignment="1" applyProtection="1">
      <alignment horizontal="left"/>
      <protection locked="0"/>
    </xf>
    <xf numFmtId="168" fontId="158" fillId="0" borderId="0" xfId="0" applyNumberFormat="1" applyFont="1" applyAlignment="1">
      <alignment horizontal="center" vertical="top" wrapText="1"/>
    </xf>
    <xf numFmtId="168" fontId="158" fillId="0" borderId="12" xfId="0" applyNumberFormat="1" applyFont="1" applyBorder="1" applyAlignment="1">
      <alignment horizontal="center" vertical="top" wrapText="1"/>
    </xf>
    <xf numFmtId="0" fontId="19" fillId="0" borderId="50" xfId="4495" applyFont="1" applyBorder="1" applyAlignment="1">
      <alignment horizontal="left" vertical="center" wrapText="1"/>
    </xf>
    <xf numFmtId="0" fontId="19" fillId="0" borderId="51" xfId="4495" applyFont="1" applyBorder="1" applyAlignment="1">
      <alignment horizontal="left" vertical="center" wrapText="1"/>
    </xf>
    <xf numFmtId="0" fontId="19" fillId="0" borderId="52" xfId="4495" applyFont="1" applyBorder="1" applyAlignment="1">
      <alignment horizontal="left" vertical="center" wrapText="1"/>
    </xf>
    <xf numFmtId="0" fontId="19" fillId="0" borderId="53" xfId="4495" applyFont="1" applyBorder="1" applyAlignment="1">
      <alignment horizontal="left" vertical="center" wrapText="1"/>
    </xf>
    <xf numFmtId="0" fontId="19" fillId="0" borderId="0" xfId="4495" applyFont="1" applyAlignment="1">
      <alignment horizontal="left" vertical="center" wrapText="1"/>
    </xf>
    <xf numFmtId="0" fontId="19" fillId="0" borderId="54" xfId="4495" applyFont="1" applyBorder="1" applyAlignment="1">
      <alignment horizontal="left" vertical="center" wrapText="1"/>
    </xf>
    <xf numFmtId="0" fontId="19" fillId="43" borderId="53" xfId="4495" applyFont="1" applyFill="1" applyBorder="1" applyAlignment="1" applyProtection="1">
      <alignment vertical="top" wrapText="1"/>
      <protection locked="0"/>
    </xf>
    <xf numFmtId="0" fontId="19" fillId="43" borderId="0" xfId="4495" applyFont="1" applyFill="1" applyAlignment="1" applyProtection="1">
      <alignment vertical="top" wrapText="1"/>
      <protection locked="0"/>
    </xf>
    <xf numFmtId="0" fontId="19" fillId="43" borderId="54" xfId="4495" applyFont="1" applyFill="1" applyBorder="1" applyAlignment="1" applyProtection="1">
      <alignment vertical="top" wrapText="1"/>
      <protection locked="0"/>
    </xf>
    <xf numFmtId="0" fontId="19" fillId="43" borderId="55" xfId="4495" applyFont="1" applyFill="1" applyBorder="1" applyAlignment="1" applyProtection="1">
      <alignment vertical="top" wrapText="1"/>
      <protection locked="0"/>
    </xf>
    <xf numFmtId="0" fontId="19" fillId="43" borderId="6" xfId="4495" applyFont="1" applyFill="1" applyBorder="1" applyAlignment="1" applyProtection="1">
      <alignment vertical="top" wrapText="1"/>
      <protection locked="0"/>
    </xf>
    <xf numFmtId="0" fontId="19" fillId="43" borderId="56" xfId="4495" applyFont="1" applyFill="1" applyBorder="1" applyAlignment="1" applyProtection="1">
      <alignment vertical="top" wrapText="1"/>
      <protection locked="0"/>
    </xf>
    <xf numFmtId="0" fontId="19" fillId="43" borderId="0" xfId="4495" applyFont="1" applyFill="1" applyAlignment="1" applyProtection="1">
      <alignment horizontal="left" vertical="center" wrapText="1"/>
      <protection locked="0"/>
    </xf>
    <xf numFmtId="0" fontId="19" fillId="43" borderId="54" xfId="4495" applyFont="1" applyFill="1" applyBorder="1" applyAlignment="1" applyProtection="1">
      <alignment horizontal="left" vertical="center" wrapText="1"/>
      <protection locked="0"/>
    </xf>
    <xf numFmtId="0" fontId="19" fillId="43" borderId="6" xfId="4495" applyFont="1" applyFill="1" applyBorder="1" applyAlignment="1" applyProtection="1">
      <alignment horizontal="left" vertical="center" wrapText="1"/>
      <protection locked="0"/>
    </xf>
    <xf numFmtId="0" fontId="19" fillId="43" borderId="56" xfId="4495" applyFont="1" applyFill="1" applyBorder="1" applyAlignment="1" applyProtection="1">
      <alignment horizontal="left" vertical="center" wrapText="1"/>
      <protection locked="0"/>
    </xf>
    <xf numFmtId="0" fontId="122" fillId="5" borderId="62" xfId="4495" applyFill="1" applyBorder="1" applyAlignment="1" applyProtection="1">
      <alignment horizontal="center"/>
      <protection locked="0"/>
    </xf>
    <xf numFmtId="0" fontId="122" fillId="5" borderId="63" xfId="4495" applyFill="1" applyBorder="1" applyAlignment="1" applyProtection="1">
      <alignment horizontal="center"/>
      <protection locked="0"/>
    </xf>
    <xf numFmtId="0" fontId="19" fillId="0" borderId="59" xfId="4495" applyFont="1" applyBorder="1" applyAlignment="1">
      <alignment horizontal="left" vertical="top" wrapText="1"/>
    </xf>
    <xf numFmtId="0" fontId="19" fillId="0" borderId="4" xfId="4496" applyFont="1" applyBorder="1" applyAlignment="1">
      <alignment horizontal="center"/>
    </xf>
    <xf numFmtId="0" fontId="19" fillId="0" borderId="5" xfId="4496" applyFont="1" applyBorder="1" applyAlignment="1">
      <alignment horizontal="center"/>
    </xf>
    <xf numFmtId="0" fontId="19" fillId="0" borderId="50" xfId="4495" applyFont="1" applyBorder="1" applyAlignment="1">
      <alignment horizontal="left" vertical="top" wrapText="1"/>
    </xf>
    <xf numFmtId="0" fontId="19" fillId="0" borderId="51" xfId="4495" applyFont="1" applyBorder="1" applyAlignment="1">
      <alignment horizontal="left" vertical="top" wrapText="1"/>
    </xf>
    <xf numFmtId="0" fontId="19" fillId="0" borderId="52" xfId="4495" applyFont="1" applyBorder="1" applyAlignment="1">
      <alignment horizontal="left" vertical="top" wrapText="1"/>
    </xf>
    <xf numFmtId="0" fontId="26" fillId="0" borderId="0" xfId="4495" applyFont="1"/>
    <xf numFmtId="0" fontId="19" fillId="0" borderId="57" xfId="4495" applyFont="1" applyBorder="1" applyAlignment="1">
      <alignment horizontal="left" vertical="center" wrapText="1"/>
    </xf>
    <xf numFmtId="0" fontId="19" fillId="0" borderId="58" xfId="4495" applyFont="1" applyBorder="1" applyAlignment="1">
      <alignment horizontal="left" vertical="center" wrapText="1"/>
    </xf>
    <xf numFmtId="0" fontId="19" fillId="0" borderId="59" xfId="4495" applyFont="1" applyBorder="1" applyAlignment="1">
      <alignment horizontal="left" vertical="center" wrapText="1"/>
    </xf>
    <xf numFmtId="0" fontId="26" fillId="0" borderId="0" xfId="4495" applyFont="1" applyAlignment="1">
      <alignment horizontal="left" vertical="top"/>
    </xf>
    <xf numFmtId="0" fontId="122" fillId="0" borderId="0" xfId="4495" applyAlignment="1" applyProtection="1">
      <alignment horizontal="center"/>
      <protection locked="0"/>
    </xf>
    <xf numFmtId="9" fontId="19" fillId="0" borderId="4" xfId="543" applyNumberFormat="1" applyBorder="1" applyAlignment="1">
      <alignment horizontal="center"/>
    </xf>
    <xf numFmtId="168" fontId="19" fillId="0" borderId="6" xfId="4495" applyNumberFormat="1" applyFont="1" applyBorder="1" applyAlignment="1">
      <alignment horizontal="right"/>
    </xf>
    <xf numFmtId="168" fontId="120" fillId="0" borderId="6" xfId="4495" applyNumberFormat="1" applyFont="1" applyBorder="1" applyAlignment="1">
      <alignment horizontal="right"/>
    </xf>
    <xf numFmtId="168" fontId="19" fillId="43" borderId="6" xfId="4495" applyNumberFormat="1" applyFont="1" applyFill="1" applyBorder="1" applyAlignment="1" applyProtection="1">
      <alignment horizontal="right"/>
      <protection locked="0"/>
    </xf>
    <xf numFmtId="6" fontId="19" fillId="0" borderId="3" xfId="1192" applyNumberFormat="1" applyBorder="1" applyAlignment="1">
      <alignment horizontal="right"/>
    </xf>
    <xf numFmtId="6" fontId="19" fillId="0" borderId="4" xfId="1192" applyNumberFormat="1" applyBorder="1" applyAlignment="1">
      <alignment horizontal="right"/>
    </xf>
    <xf numFmtId="6" fontId="19" fillId="0" borderId="5" xfId="1192" applyNumberFormat="1" applyBorder="1" applyAlignment="1">
      <alignment horizontal="right"/>
    </xf>
    <xf numFmtId="168" fontId="19" fillId="0" borderId="4" xfId="4495" applyNumberFormat="1" applyFont="1" applyBorder="1" applyAlignment="1">
      <alignment horizontal="right"/>
    </xf>
    <xf numFmtId="165" fontId="19" fillId="43" borderId="3" xfId="4495" applyNumberFormat="1" applyFont="1" applyFill="1" applyBorder="1" applyAlignment="1" applyProtection="1">
      <alignment horizontal="center"/>
      <protection locked="0"/>
    </xf>
    <xf numFmtId="165" fontId="19" fillId="43" borderId="4" xfId="4495" applyNumberFormat="1" applyFont="1" applyFill="1" applyBorder="1" applyAlignment="1" applyProtection="1">
      <alignment horizontal="center"/>
      <protection locked="0"/>
    </xf>
    <xf numFmtId="165" fontId="19" fillId="43" borderId="5" xfId="4495" applyNumberFormat="1" applyFont="1" applyFill="1" applyBorder="1" applyAlignment="1" applyProtection="1">
      <alignment horizontal="center"/>
      <protection locked="0"/>
    </xf>
    <xf numFmtId="165" fontId="19" fillId="0" borderId="6" xfId="1192" applyNumberFormat="1" applyBorder="1" applyAlignment="1">
      <alignment horizontal="right"/>
    </xf>
    <xf numFmtId="168" fontId="19" fillId="0" borderId="2" xfId="1192" applyNumberFormat="1" applyBorder="1" applyAlignment="1">
      <alignment horizontal="right"/>
    </xf>
    <xf numFmtId="0" fontId="19" fillId="5" borderId="6" xfId="1192" applyFill="1" applyBorder="1" applyAlignment="1" applyProtection="1">
      <alignment horizontal="left"/>
      <protection locked="0"/>
    </xf>
    <xf numFmtId="165" fontId="19" fillId="0" borderId="0" xfId="1192" applyNumberFormat="1" applyAlignment="1">
      <alignment horizontal="right"/>
    </xf>
    <xf numFmtId="2" fontId="19" fillId="0" borderId="0" xfId="1192" applyNumberFormat="1" applyAlignment="1">
      <alignment horizontal="right"/>
    </xf>
    <xf numFmtId="1" fontId="19" fillId="0" borderId="3" xfId="4495" applyNumberFormat="1" applyFont="1" applyBorder="1" applyAlignment="1">
      <alignment horizontal="center"/>
    </xf>
    <xf numFmtId="1" fontId="19" fillId="0" borderId="4" xfId="4495" applyNumberFormat="1" applyFont="1" applyBorder="1" applyAlignment="1">
      <alignment horizontal="center"/>
    </xf>
    <xf numFmtId="1" fontId="19" fillId="0" borderId="5" xfId="4495" applyNumberFormat="1" applyFont="1" applyBorder="1" applyAlignment="1">
      <alignment horizontal="center"/>
    </xf>
    <xf numFmtId="0" fontId="27" fillId="5" borderId="6" xfId="4495" applyFont="1" applyFill="1" applyBorder="1" applyAlignment="1" applyProtection="1">
      <alignment horizontal="left"/>
      <protection locked="0"/>
    </xf>
    <xf numFmtId="0" fontId="19" fillId="5" borderId="6" xfId="4495" applyFont="1" applyFill="1" applyBorder="1" applyAlignment="1" applyProtection="1">
      <alignment horizontal="left"/>
      <protection locked="0"/>
    </xf>
    <xf numFmtId="0" fontId="55" fillId="5" borderId="6" xfId="4495" applyFont="1" applyFill="1" applyBorder="1" applyAlignment="1" applyProtection="1">
      <alignment horizontal="left"/>
      <protection locked="0"/>
    </xf>
    <xf numFmtId="0" fontId="19" fillId="44" borderId="6" xfId="4495" applyFont="1" applyFill="1" applyBorder="1" applyAlignment="1">
      <alignment horizontal="left"/>
    </xf>
    <xf numFmtId="0" fontId="19" fillId="0" borderId="0" xfId="1192" applyAlignment="1">
      <alignment horizontal="right"/>
    </xf>
    <xf numFmtId="9" fontId="19" fillId="0" borderId="6" xfId="1192" applyNumberFormat="1" applyBorder="1" applyAlignment="1">
      <alignment horizontal="center"/>
    </xf>
    <xf numFmtId="9" fontId="19" fillId="0" borderId="6" xfId="1192" quotePrefix="1" applyNumberFormat="1" applyBorder="1" applyAlignment="1">
      <alignment horizontal="center"/>
    </xf>
    <xf numFmtId="9" fontId="19" fillId="0" borderId="0" xfId="1192" quotePrefix="1" applyNumberFormat="1" applyAlignment="1">
      <alignment horizontal="center"/>
    </xf>
    <xf numFmtId="1" fontId="19" fillId="5" borderId="4" xfId="1192" applyNumberFormat="1" applyFill="1" applyBorder="1" applyAlignment="1" applyProtection="1">
      <alignment horizontal="center"/>
      <protection locked="0"/>
    </xf>
    <xf numFmtId="0" fontId="19" fillId="0" borderId="6" xfId="1192" applyBorder="1" applyAlignment="1">
      <alignment horizontal="left"/>
    </xf>
    <xf numFmtId="1" fontId="124" fillId="0" borderId="55" xfId="4496" applyNumberFormat="1" applyFont="1" applyBorder="1" applyAlignment="1">
      <alignment horizontal="center" vertical="top" wrapText="1"/>
    </xf>
    <xf numFmtId="1" fontId="124" fillId="0" borderId="6" xfId="4496" applyNumberFormat="1" applyFont="1" applyBorder="1" applyAlignment="1">
      <alignment horizontal="center" vertical="top" wrapText="1"/>
    </xf>
    <xf numFmtId="165" fontId="124" fillId="0" borderId="55" xfId="4496" applyNumberFormat="1" applyFont="1" applyBorder="1" applyAlignment="1">
      <alignment horizontal="center" vertical="top" wrapText="1"/>
    </xf>
    <xf numFmtId="165" fontId="124" fillId="0" borderId="6" xfId="4496" applyNumberFormat="1" applyFont="1" applyBorder="1" applyAlignment="1">
      <alignment horizontal="center" vertical="top" wrapText="1"/>
    </xf>
    <xf numFmtId="168" fontId="124" fillId="43" borderId="55" xfId="4496" applyNumberFormat="1" applyFont="1" applyFill="1" applyBorder="1" applyAlignment="1" applyProtection="1">
      <alignment horizontal="center" vertical="top" wrapText="1"/>
      <protection locked="0"/>
    </xf>
    <xf numFmtId="168" fontId="124" fillId="43" borderId="6" xfId="4496" applyNumberFormat="1" applyFont="1" applyFill="1" applyBorder="1" applyAlignment="1" applyProtection="1">
      <alignment horizontal="center" vertical="top" wrapText="1"/>
      <protection locked="0"/>
    </xf>
    <xf numFmtId="0" fontId="124" fillId="0" borderId="50" xfId="4496" applyFont="1" applyBorder="1" applyAlignment="1">
      <alignment horizontal="left" vertical="top" wrapText="1"/>
    </xf>
    <xf numFmtId="0" fontId="124" fillId="0" borderId="51" xfId="4496" applyFont="1" applyBorder="1" applyAlignment="1">
      <alignment horizontal="left" vertical="top" wrapText="1"/>
    </xf>
    <xf numFmtId="0" fontId="124" fillId="0" borderId="52" xfId="4496" applyFont="1" applyBorder="1" applyAlignment="1">
      <alignment horizontal="left" vertical="top" wrapText="1"/>
    </xf>
    <xf numFmtId="0" fontId="124" fillId="0" borderId="53" xfId="4496" applyFont="1" applyBorder="1" applyAlignment="1">
      <alignment horizontal="left" vertical="top" wrapText="1"/>
    </xf>
    <xf numFmtId="0" fontId="124" fillId="0" borderId="0" xfId="4496" applyFont="1" applyAlignment="1">
      <alignment horizontal="left" vertical="top" wrapText="1"/>
    </xf>
    <xf numFmtId="0" fontId="124" fillId="0" borderId="54" xfId="4496" applyFont="1" applyBorder="1" applyAlignment="1">
      <alignment horizontal="left" vertical="top" wrapText="1"/>
    </xf>
    <xf numFmtId="168" fontId="124" fillId="0" borderId="55" xfId="4496" applyNumberFormat="1" applyFont="1" applyBorder="1" applyAlignment="1">
      <alignment horizontal="center" vertical="top"/>
    </xf>
    <xf numFmtId="168" fontId="124" fillId="0" borderId="6" xfId="4496" applyNumberFormat="1" applyFont="1" applyBorder="1" applyAlignment="1">
      <alignment horizontal="center" vertical="top"/>
    </xf>
    <xf numFmtId="0" fontId="124" fillId="5" borderId="6" xfId="4496" applyFont="1" applyFill="1" applyBorder="1" applyAlignment="1" applyProtection="1">
      <alignment horizontal="center"/>
      <protection locked="0"/>
    </xf>
    <xf numFmtId="10" fontId="124" fillId="0" borderId="3" xfId="4496" applyNumberFormat="1" applyFont="1" applyBorder="1" applyAlignment="1">
      <alignment horizontal="center" vertical="top" wrapText="1"/>
    </xf>
    <xf numFmtId="10" fontId="124" fillId="0" borderId="4" xfId="4496" applyNumberFormat="1" applyFont="1" applyBorder="1" applyAlignment="1">
      <alignment horizontal="center" vertical="top" wrapText="1"/>
    </xf>
    <xf numFmtId="10" fontId="124" fillId="0" borderId="5" xfId="4496" applyNumberFormat="1" applyFont="1" applyBorder="1" applyAlignment="1">
      <alignment horizontal="center" vertical="top" wrapText="1"/>
    </xf>
    <xf numFmtId="0" fontId="124" fillId="0" borderId="55" xfId="4496" applyFont="1" applyBorder="1" applyAlignment="1">
      <alignment horizontal="center" vertical="top" wrapText="1"/>
    </xf>
    <xf numFmtId="0" fontId="124" fillId="0" borderId="6" xfId="4496" applyFont="1" applyBorder="1" applyAlignment="1">
      <alignment horizontal="center" vertical="top" wrapText="1"/>
    </xf>
    <xf numFmtId="0" fontId="25" fillId="3" borderId="2" xfId="4495" applyFont="1" applyFill="1" applyBorder="1" applyAlignment="1">
      <alignment horizontal="center" vertical="center"/>
    </xf>
    <xf numFmtId="0" fontId="25" fillId="3" borderId="16" xfId="4495" applyFont="1" applyFill="1" applyBorder="1" applyAlignment="1">
      <alignment horizontal="center" vertical="center"/>
    </xf>
    <xf numFmtId="0" fontId="26" fillId="0" borderId="48" xfId="4495" applyFont="1" applyBorder="1" applyAlignment="1">
      <alignment horizontal="left" vertical="top"/>
    </xf>
    <xf numFmtId="0" fontId="26" fillId="0" borderId="49" xfId="4495" applyFont="1" applyBorder="1" applyAlignment="1">
      <alignment horizontal="left" vertical="top"/>
    </xf>
    <xf numFmtId="0" fontId="19" fillId="0" borderId="50" xfId="4495" applyFont="1" applyBorder="1" applyAlignment="1">
      <alignment vertical="center" wrapText="1"/>
    </xf>
    <xf numFmtId="0" fontId="19" fillId="0" borderId="51" xfId="4495" applyFont="1" applyBorder="1" applyAlignment="1">
      <alignment vertical="center" wrapText="1"/>
    </xf>
    <xf numFmtId="0" fontId="19" fillId="0" borderId="52" xfId="4495" applyFont="1" applyBorder="1" applyAlignment="1">
      <alignment vertical="center" wrapText="1"/>
    </xf>
    <xf numFmtId="0" fontId="19" fillId="0" borderId="57" xfId="4495" applyFont="1" applyBorder="1" applyAlignment="1">
      <alignment vertical="center" wrapText="1"/>
    </xf>
    <xf numFmtId="0" fontId="19" fillId="0" borderId="58" xfId="4495" applyFont="1" applyBorder="1" applyAlignment="1">
      <alignment vertical="center" wrapText="1"/>
    </xf>
    <xf numFmtId="0" fontId="19" fillId="0" borderId="59" xfId="4495" applyFont="1" applyBorder="1" applyAlignment="1">
      <alignment vertical="center" wrapText="1"/>
    </xf>
    <xf numFmtId="0" fontId="124" fillId="43" borderId="55" xfId="4496" applyFont="1" applyFill="1" applyBorder="1" applyAlignment="1" applyProtection="1">
      <alignment horizontal="left" vertical="top" wrapText="1"/>
      <protection locked="0"/>
    </xf>
    <xf numFmtId="0" fontId="124" fillId="43" borderId="6" xfId="4496" applyFont="1" applyFill="1" applyBorder="1" applyAlignment="1" applyProtection="1">
      <alignment horizontal="left" vertical="top" wrapText="1"/>
      <protection locked="0"/>
    </xf>
    <xf numFmtId="0" fontId="124" fillId="43" borderId="56" xfId="4496" applyFont="1" applyFill="1" applyBorder="1" applyAlignment="1" applyProtection="1">
      <alignment horizontal="left" vertical="top" wrapText="1"/>
      <protection locked="0"/>
    </xf>
    <xf numFmtId="165" fontId="124" fillId="0" borderId="60" xfId="4496" applyNumberFormat="1" applyFont="1" applyBorder="1" applyAlignment="1">
      <alignment horizontal="center" vertical="top" wrapText="1"/>
    </xf>
    <xf numFmtId="0" fontId="124" fillId="5" borderId="60" xfId="4496" applyFont="1" applyFill="1" applyBorder="1" applyAlignment="1" applyProtection="1">
      <alignment horizontal="center"/>
      <protection locked="0"/>
    </xf>
    <xf numFmtId="0" fontId="124" fillId="5" borderId="4" xfId="4496" applyFont="1" applyFill="1" applyBorder="1" applyAlignment="1" applyProtection="1">
      <alignment horizontal="center"/>
      <protection locked="0"/>
    </xf>
    <xf numFmtId="0" fontId="124" fillId="0" borderId="57" xfId="4496" applyFont="1" applyBorder="1" applyAlignment="1">
      <alignment horizontal="left" vertical="top" wrapText="1"/>
    </xf>
    <xf numFmtId="0" fontId="124" fillId="0" borderId="58" xfId="4496" applyFont="1" applyBorder="1" applyAlignment="1">
      <alignment horizontal="left" vertical="top" wrapText="1"/>
    </xf>
    <xf numFmtId="0" fontId="124" fillId="0" borderId="59" xfId="4496" applyFont="1" applyBorder="1" applyAlignment="1">
      <alignment horizontal="left" vertical="top" wrapText="1"/>
    </xf>
    <xf numFmtId="0" fontId="124" fillId="5" borderId="55" xfId="4496" applyFont="1" applyFill="1" applyBorder="1" applyAlignment="1" applyProtection="1">
      <alignment horizontal="center"/>
      <protection locked="0"/>
    </xf>
    <xf numFmtId="0" fontId="124" fillId="0" borderId="47" xfId="4496" applyFont="1" applyBorder="1"/>
    <xf numFmtId="0" fontId="124" fillId="0" borderId="48" xfId="4496" applyFont="1" applyBorder="1"/>
    <xf numFmtId="0" fontId="124" fillId="0" borderId="49" xfId="4496" applyFont="1" applyBorder="1"/>
    <xf numFmtId="0" fontId="19" fillId="0" borderId="47" xfId="4495" applyFont="1" applyBorder="1" applyAlignment="1">
      <alignment horizontal="left" vertical="center" wrapText="1"/>
    </xf>
    <xf numFmtId="0" fontId="19" fillId="0" borderId="48" xfId="4495" applyFont="1" applyBorder="1" applyAlignment="1">
      <alignment horizontal="left" vertical="center" wrapText="1"/>
    </xf>
    <xf numFmtId="0" fontId="19" fillId="0" borderId="49" xfId="4495" applyFont="1" applyBorder="1" applyAlignment="1">
      <alignment horizontal="left" vertical="center" wrapText="1"/>
    </xf>
    <xf numFmtId="0" fontId="100" fillId="0" borderId="3" xfId="4496" applyFont="1" applyBorder="1" applyAlignment="1">
      <alignment horizontal="left" indent="2"/>
    </xf>
    <xf numFmtId="0" fontId="100" fillId="0" borderId="4" xfId="4496" applyFont="1" applyBorder="1" applyAlignment="1">
      <alignment horizontal="left" indent="2"/>
    </xf>
    <xf numFmtId="0" fontId="100" fillId="0" borderId="5" xfId="4496" applyFont="1" applyBorder="1" applyAlignment="1">
      <alignment horizontal="left" indent="2"/>
    </xf>
    <xf numFmtId="9" fontId="139" fillId="45" borderId="3" xfId="4499" applyFont="1" applyFill="1" applyBorder="1" applyAlignment="1" applyProtection="1">
      <alignment horizontal="center" vertical="center"/>
    </xf>
    <xf numFmtId="9" fontId="139" fillId="45" borderId="4" xfId="4499" applyFont="1" applyFill="1" applyBorder="1" applyAlignment="1" applyProtection="1">
      <alignment horizontal="center" vertical="center"/>
    </xf>
    <xf numFmtId="9" fontId="139" fillId="45" borderId="5" xfId="4499" applyFont="1" applyFill="1" applyBorder="1" applyAlignment="1" applyProtection="1">
      <alignment horizontal="center" vertical="center"/>
    </xf>
    <xf numFmtId="0" fontId="100" fillId="0" borderId="0" xfId="4496" applyFont="1" applyAlignment="1">
      <alignment wrapText="1"/>
    </xf>
    <xf numFmtId="49" fontId="100" fillId="45" borderId="15" xfId="4496" applyNumberFormat="1" applyFont="1" applyFill="1" applyBorder="1" applyAlignment="1">
      <alignment horizontal="center" vertical="center" wrapText="1"/>
    </xf>
    <xf numFmtId="49" fontId="100" fillId="45" borderId="13" xfId="4496" applyNumberFormat="1" applyFont="1" applyFill="1" applyBorder="1" applyAlignment="1">
      <alignment horizontal="center" vertical="center" wrapText="1"/>
    </xf>
    <xf numFmtId="0" fontId="139" fillId="0" borderId="75" xfId="4496" applyFont="1" applyBorder="1" applyAlignment="1">
      <alignment horizontal="center" vertical="top" wrapText="1"/>
    </xf>
    <xf numFmtId="0" fontId="139" fillId="0" borderId="74" xfId="4496" applyFont="1" applyBorder="1" applyAlignment="1">
      <alignment horizontal="center" vertical="top" wrapText="1"/>
    </xf>
    <xf numFmtId="0" fontId="100" fillId="0" borderId="0" xfId="4496" applyFont="1" applyAlignment="1">
      <alignment horizontal="left" wrapText="1"/>
    </xf>
    <xf numFmtId="0" fontId="100" fillId="0" borderId="0" xfId="4496" applyFont="1" applyAlignment="1">
      <alignment horizontal="center" vertical="center" wrapText="1"/>
    </xf>
    <xf numFmtId="0" fontId="100" fillId="43" borderId="0" xfId="4496" applyFont="1" applyFill="1" applyAlignment="1" applyProtection="1">
      <alignment horizontal="left" vertical="top" wrapText="1"/>
      <protection locked="0"/>
    </xf>
    <xf numFmtId="0" fontId="100" fillId="43" borderId="6" xfId="4496" applyFont="1" applyFill="1" applyBorder="1" applyAlignment="1" applyProtection="1">
      <alignment horizontal="left" vertical="top" wrapText="1"/>
      <protection locked="0"/>
    </xf>
    <xf numFmtId="168" fontId="100" fillId="0" borderId="13" xfId="4499" applyNumberFormat="1" applyFont="1" applyFill="1" applyBorder="1" applyAlignment="1" applyProtection="1">
      <alignment horizontal="left" vertical="center" indent="1"/>
    </xf>
    <xf numFmtId="168" fontId="100" fillId="0" borderId="11" xfId="4499" applyNumberFormat="1" applyFont="1" applyFill="1" applyBorder="1" applyAlignment="1" applyProtection="1">
      <alignment horizontal="left" vertical="center" indent="1"/>
    </xf>
    <xf numFmtId="0" fontId="100" fillId="0" borderId="3" xfId="4496" applyFont="1" applyBorder="1" applyAlignment="1">
      <alignment horizontal="left" indent="1"/>
    </xf>
    <xf numFmtId="0" fontId="100" fillId="0" borderId="4" xfId="4496" applyFont="1" applyBorder="1" applyAlignment="1">
      <alignment horizontal="left" indent="1"/>
    </xf>
    <xf numFmtId="0" fontId="100" fillId="0" borderId="5" xfId="4496" applyFont="1" applyBorder="1" applyAlignment="1">
      <alignment horizontal="left" indent="1"/>
    </xf>
    <xf numFmtId="0" fontId="100" fillId="0" borderId="67" xfId="4496" applyFont="1" applyBorder="1" applyAlignment="1">
      <alignment horizontal="right"/>
    </xf>
    <xf numFmtId="0" fontId="100" fillId="0" borderId="68" xfId="4496" applyFont="1" applyBorder="1" applyAlignment="1">
      <alignment horizontal="right"/>
    </xf>
    <xf numFmtId="0" fontId="100" fillId="0" borderId="0" xfId="4496" applyFont="1" applyAlignment="1">
      <alignment horizontal="left" wrapText="1" indent="1"/>
    </xf>
    <xf numFmtId="49" fontId="138" fillId="3" borderId="0" xfId="1192" applyNumberFormat="1" applyFont="1" applyFill="1" applyAlignment="1">
      <alignment horizontal="center" vertical="center"/>
    </xf>
    <xf numFmtId="0" fontId="100" fillId="0" borderId="11" xfId="4496" applyFont="1" applyBorder="1" applyAlignment="1">
      <alignment horizontal="left" indent="1"/>
    </xf>
    <xf numFmtId="0" fontId="100" fillId="0" borderId="11" xfId="4496" applyFont="1" applyBorder="1" applyAlignment="1">
      <alignment horizontal="left" indent="2"/>
    </xf>
    <xf numFmtId="0" fontId="139" fillId="45" borderId="3" xfId="4496" applyFont="1" applyFill="1" applyBorder="1" applyAlignment="1">
      <alignment horizontal="center" vertical="center"/>
    </xf>
    <xf numFmtId="0" fontId="139" fillId="45" borderId="4" xfId="4496" applyFont="1" applyFill="1" applyBorder="1" applyAlignment="1">
      <alignment horizontal="center" vertical="center"/>
    </xf>
    <xf numFmtId="0" fontId="139" fillId="45" borderId="5" xfId="4496" applyFont="1" applyFill="1" applyBorder="1" applyAlignment="1">
      <alignment horizontal="center" vertical="center"/>
    </xf>
    <xf numFmtId="0" fontId="139" fillId="0" borderId="68" xfId="4496" applyFont="1" applyBorder="1" applyAlignment="1">
      <alignment horizontal="left" indent="1"/>
    </xf>
    <xf numFmtId="168" fontId="100" fillId="0" borderId="70" xfId="4499" applyNumberFormat="1" applyFont="1" applyFill="1" applyBorder="1" applyAlignment="1" applyProtection="1">
      <alignment horizontal="left" vertical="center" indent="1"/>
    </xf>
    <xf numFmtId="0" fontId="100" fillId="0" borderId="72" xfId="4496" applyFont="1" applyBorder="1" applyAlignment="1">
      <alignment horizontal="right"/>
    </xf>
    <xf numFmtId="0" fontId="100" fillId="0" borderId="11" xfId="4496" applyFont="1" applyBorder="1" applyAlignment="1">
      <alignment horizontal="right"/>
    </xf>
    <xf numFmtId="0" fontId="100" fillId="0" borderId="69" xfId="4496" applyFont="1" applyBorder="1" applyAlignment="1">
      <alignment horizontal="right"/>
    </xf>
    <xf numFmtId="0" fontId="100" fillId="0" borderId="70" xfId="4496" applyFont="1" applyBorder="1" applyAlignment="1">
      <alignment horizontal="right"/>
    </xf>
    <xf numFmtId="0" fontId="100" fillId="0" borderId="11" xfId="4496" applyFont="1" applyBorder="1"/>
    <xf numFmtId="0" fontId="100" fillId="0" borderId="76" xfId="4496" applyFont="1" applyBorder="1"/>
    <xf numFmtId="0" fontId="100" fillId="0" borderId="70" xfId="4496" applyFont="1" applyBorder="1"/>
    <xf numFmtId="0" fontId="100" fillId="0" borderId="77" xfId="4496" applyFont="1" applyBorder="1"/>
    <xf numFmtId="0" fontId="100" fillId="0" borderId="68" xfId="4496" applyFont="1" applyBorder="1"/>
    <xf numFmtId="0" fontId="100" fillId="0" borderId="71" xfId="4496" applyFont="1" applyBorder="1"/>
    <xf numFmtId="0" fontId="24" fillId="0" borderId="6" xfId="271" applyFont="1" applyBorder="1" applyAlignment="1">
      <alignment horizontal="center"/>
    </xf>
    <xf numFmtId="0" fontId="24" fillId="0" borderId="0" xfId="0" applyFont="1" applyAlignment="1" applyProtection="1">
      <alignment wrapText="1"/>
      <protection locked="0"/>
    </xf>
    <xf numFmtId="3" fontId="19" fillId="0" borderId="0" xfId="0" applyNumberFormat="1" applyFont="1" applyAlignment="1">
      <alignment horizontal="left" vertical="top" wrapText="1"/>
    </xf>
    <xf numFmtId="3" fontId="28" fillId="0" borderId="0" xfId="0" applyNumberFormat="1" applyFont="1" applyAlignment="1">
      <alignment horizontal="left" vertical="top" wrapText="1"/>
    </xf>
    <xf numFmtId="0" fontId="19" fillId="43" borderId="0" xfId="0" applyFont="1" applyFill="1" applyAlignment="1">
      <alignment horizontal="left"/>
    </xf>
  </cellXfs>
  <cellStyles count="34057">
    <cellStyle name="20% - Accent1" xfId="1" builtinId="30" customBuiltin="1"/>
    <cellStyle name="20% - Accent1 10" xfId="4504" xr:uid="{00000000-0005-0000-0000-000001000000}"/>
    <cellStyle name="20% - Accent1 10 2" xfId="12954" xr:uid="{BC385410-53C3-461A-A047-8B2ED6194CB2}"/>
    <cellStyle name="20% - Accent1 10 3" xfId="21394" xr:uid="{16D6EE0A-EFF8-4C02-88BE-24ADCE7716F9}"/>
    <cellStyle name="20% - Accent1 10 4" xfId="29834" xr:uid="{8DFADCF6-9AFD-42F5-AE8D-DD702CF90CD5}"/>
    <cellStyle name="20% - Accent1 11" xfId="8736" xr:uid="{5DBB6D34-BC35-4642-B987-AC91AFAE0F5F}"/>
    <cellStyle name="20% - Accent1 12" xfId="17177" xr:uid="{DF19AA56-8A5D-467B-9B69-71E4F812EA27}"/>
    <cellStyle name="20% - Accent1 13" xfId="25617" xr:uid="{8579CC26-D05E-41E8-9E6B-592DBE577F0B}"/>
    <cellStyle name="20% - Accent1 2" xfId="2" xr:uid="{00000000-0005-0000-0000-000002000000}"/>
    <cellStyle name="20% - Accent1 2 10" xfId="8737" xr:uid="{CF339EBF-ABA3-4016-8C2B-241AEB6A2EED}"/>
    <cellStyle name="20% - Accent1 2 11" xfId="17178" xr:uid="{2E9981A6-5E05-40C9-A6A1-34748EEE381C}"/>
    <cellStyle name="20% - Accent1 2 12" xfId="25618" xr:uid="{2483402C-1E3A-4A5E-A227-61FE1D8A53DF}"/>
    <cellStyle name="20% - Accent1 2 2" xfId="3" xr:uid="{00000000-0005-0000-0000-000003000000}"/>
    <cellStyle name="20% - Accent1 2 2 10" xfId="17179" xr:uid="{28C0890B-E3D5-4317-A3FD-83B0FB8C8472}"/>
    <cellStyle name="20% - Accent1 2 2 11" xfId="25619" xr:uid="{BE262D26-CF7A-462D-82E7-20F8144DE47B}"/>
    <cellStyle name="20% - Accent1 2 2 2" xfId="4" xr:uid="{00000000-0005-0000-0000-000004000000}"/>
    <cellStyle name="20% - Accent1 2 2 2 10" xfId="25620" xr:uid="{2F4BAF9B-B21C-498B-BE85-87F0BBD085A2}"/>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2 2 2" xfId="15516" xr:uid="{E3CC5F63-1442-4735-9428-3D8925A2927E}"/>
    <cellStyle name="20% - Accent1 2 2 2 2 2 2 3" xfId="23956" xr:uid="{89CB0B18-083E-43A6-8723-4C2C9D2C0A70}"/>
    <cellStyle name="20% - Accent1 2 2 2 2 2 2 4" xfId="32396" xr:uid="{84B13B59-1B3D-4262-A51E-B8589F589460}"/>
    <cellStyle name="20% - Accent1 2 2 2 2 2 3" xfId="11298" xr:uid="{37F645AA-3420-4232-8EAB-B6F3DB952ADD}"/>
    <cellStyle name="20% - Accent1 2 2 2 2 2 4" xfId="19739" xr:uid="{CE8516FB-7C23-46B4-8C46-37624B0311E2}"/>
    <cellStyle name="20% - Accent1 2 2 2 2 2 5" xfId="28179" xr:uid="{4CEC608C-8A2A-492F-AFFD-D383029AA52C}"/>
    <cellStyle name="20% - Accent1 2 2 2 2 3" xfId="4921" xr:uid="{00000000-0005-0000-0000-000008000000}"/>
    <cellStyle name="20% - Accent1 2 2 2 2 3 2" xfId="13371" xr:uid="{5F5AB9C2-B5A9-4DA0-A045-2D20692CBC34}"/>
    <cellStyle name="20% - Accent1 2 2 2 2 3 3" xfId="21811" xr:uid="{BE0888DB-37FD-4C56-9F4C-F3B632EAE70F}"/>
    <cellStyle name="20% - Accent1 2 2 2 2 3 4" xfId="30251" xr:uid="{A8CF722D-DE8C-42DD-BA40-E4F11C521177}"/>
    <cellStyle name="20% - Accent1 2 2 2 2 4" xfId="9153" xr:uid="{BF383344-0E29-49E7-AA6F-D37B62C4FEC2}"/>
    <cellStyle name="20% - Accent1 2 2 2 2 5" xfId="17594" xr:uid="{77BDA3D2-62CE-4B45-AA92-B5EC15E26787}"/>
    <cellStyle name="20% - Accent1 2 2 2 2 6" xfId="26034" xr:uid="{7CEDCEC7-5844-4238-BB62-26EFEBE233AD}"/>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2 2 2" xfId="15929" xr:uid="{07DC8B57-E5ED-4D9F-88CC-7CC67436444E}"/>
    <cellStyle name="20% - Accent1 2 2 2 3 2 2 3" xfId="24369" xr:uid="{D20B1D6D-69B1-4854-AC2F-6327CA3ECF58}"/>
    <cellStyle name="20% - Accent1 2 2 2 3 2 2 4" xfId="32809" xr:uid="{35A5026E-57DA-4310-AB30-3D8F5162F5FD}"/>
    <cellStyle name="20% - Accent1 2 2 2 3 2 3" xfId="11711" xr:uid="{B533C962-3285-42DF-9D16-DBC7B6CE51EA}"/>
    <cellStyle name="20% - Accent1 2 2 2 3 2 4" xfId="20152" xr:uid="{F83BCE64-4061-4A02-A51C-9F4335194947}"/>
    <cellStyle name="20% - Accent1 2 2 2 3 2 5" xfId="28592" xr:uid="{8E38EEFD-4867-4320-85D4-35F51E29C972}"/>
    <cellStyle name="20% - Accent1 2 2 2 3 3" xfId="5334" xr:uid="{00000000-0005-0000-0000-00000C000000}"/>
    <cellStyle name="20% - Accent1 2 2 2 3 3 2" xfId="13784" xr:uid="{28F67AAF-2B11-43CB-A95D-F4754F187951}"/>
    <cellStyle name="20% - Accent1 2 2 2 3 3 3" xfId="22224" xr:uid="{09479144-B69D-4CC7-A4C8-70C2F05249B8}"/>
    <cellStyle name="20% - Accent1 2 2 2 3 3 4" xfId="30664" xr:uid="{D107D1EE-A182-44C3-B9B1-1C5835C28700}"/>
    <cellStyle name="20% - Accent1 2 2 2 3 4" xfId="9566" xr:uid="{0450AB0B-996A-4ACA-B013-1D15852A8885}"/>
    <cellStyle name="20% - Accent1 2 2 2 3 5" xfId="18007" xr:uid="{6D2D7F89-2EF3-47C7-AD19-DA492DDF220C}"/>
    <cellStyle name="20% - Accent1 2 2 2 3 6" xfId="26447" xr:uid="{F799BDEC-C1FD-46A7-8489-26FC980C4C86}"/>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2 2 2" xfId="16342" xr:uid="{56DEAE4A-553F-4FCD-A0F8-6420C8ACE62E}"/>
    <cellStyle name="20% - Accent1 2 2 2 4 2 2 3" xfId="24782" xr:uid="{49D0F2CB-7B12-4F42-8D68-F56046279EA4}"/>
    <cellStyle name="20% - Accent1 2 2 2 4 2 2 4" xfId="33222" xr:uid="{2E30D9C8-7887-4174-80EC-69D8553A5445}"/>
    <cellStyle name="20% - Accent1 2 2 2 4 2 3" xfId="12124" xr:uid="{4233BF54-6178-4B44-B229-9C80EF2C9840}"/>
    <cellStyle name="20% - Accent1 2 2 2 4 2 4" xfId="20565" xr:uid="{D4667F37-5625-4D1A-A4AC-90F87ED88653}"/>
    <cellStyle name="20% - Accent1 2 2 2 4 2 5" xfId="29005" xr:uid="{93C10685-41A5-42A6-8538-26E7FDBAF08E}"/>
    <cellStyle name="20% - Accent1 2 2 2 4 3" xfId="5747" xr:uid="{00000000-0005-0000-0000-000010000000}"/>
    <cellStyle name="20% - Accent1 2 2 2 4 3 2" xfId="14197" xr:uid="{5597985C-565E-45CF-8370-853A13E6CD7F}"/>
    <cellStyle name="20% - Accent1 2 2 2 4 3 3" xfId="22637" xr:uid="{ACBB9439-F98A-47F1-B7E3-399BEFF0AE43}"/>
    <cellStyle name="20% - Accent1 2 2 2 4 3 4" xfId="31077" xr:uid="{B5A2786B-6F69-44F7-8B62-D5711705BE5A}"/>
    <cellStyle name="20% - Accent1 2 2 2 4 4" xfId="9979" xr:uid="{38B567EB-A356-4260-8CE6-19A0117E75D0}"/>
    <cellStyle name="20% - Accent1 2 2 2 4 5" xfId="18420" xr:uid="{9EB42F99-4055-4C28-86F2-8BC26A033D6F}"/>
    <cellStyle name="20% - Accent1 2 2 2 4 6" xfId="26860" xr:uid="{C7B6616D-9BEC-4BD7-87DB-818D67404ACA}"/>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2 2 2" xfId="16755" xr:uid="{1E27D785-4598-4E62-97CB-3E54F2EFFCC0}"/>
    <cellStyle name="20% - Accent1 2 2 2 5 2 2 3" xfId="25195" xr:uid="{07E585C1-F186-461F-8AA7-2A15E9AA9730}"/>
    <cellStyle name="20% - Accent1 2 2 2 5 2 2 4" xfId="33635" xr:uid="{5FF0CF73-2992-4514-9306-627F04743297}"/>
    <cellStyle name="20% - Accent1 2 2 2 5 2 3" xfId="12537" xr:uid="{FDFA4CE8-1E9F-4EDC-ADE4-8FA37DECDFDC}"/>
    <cellStyle name="20% - Accent1 2 2 2 5 2 4" xfId="20978" xr:uid="{B939589E-5C52-4511-B99A-CC1ABC9AB8BB}"/>
    <cellStyle name="20% - Accent1 2 2 2 5 2 5" xfId="29418" xr:uid="{182C9CF0-A095-4319-A804-3FE5D6631AE3}"/>
    <cellStyle name="20% - Accent1 2 2 2 5 3" xfId="6160" xr:uid="{00000000-0005-0000-0000-000014000000}"/>
    <cellStyle name="20% - Accent1 2 2 2 5 3 2" xfId="14610" xr:uid="{92356332-8A08-4787-A2B1-4D7746D55DFF}"/>
    <cellStyle name="20% - Accent1 2 2 2 5 3 3" xfId="23050" xr:uid="{11EE4080-92BC-44CD-90CD-6919B5F4216F}"/>
    <cellStyle name="20% - Accent1 2 2 2 5 3 4" xfId="31490" xr:uid="{AA583DFE-C01E-4B08-A4C0-14120D1DA71B}"/>
    <cellStyle name="20% - Accent1 2 2 2 5 4" xfId="10392" xr:uid="{674D4035-C807-4274-B22D-C05F2B742BFF}"/>
    <cellStyle name="20% - Accent1 2 2 2 5 5" xfId="18833" xr:uid="{1E6D340E-02CA-44B9-A0D9-8D9E1398B4E9}"/>
    <cellStyle name="20% - Accent1 2 2 2 5 6" xfId="27273" xr:uid="{41C0E0C7-D713-4DDC-81E3-E4967312B908}"/>
    <cellStyle name="20% - Accent1 2 2 2 6" xfId="2267" xr:uid="{00000000-0005-0000-0000-000015000000}"/>
    <cellStyle name="20% - Accent1 2 2 2 6 2" xfId="6573" xr:uid="{00000000-0005-0000-0000-000016000000}"/>
    <cellStyle name="20% - Accent1 2 2 2 6 2 2" xfId="15023" xr:uid="{6491F7DF-4093-4A85-B2C7-1269BBEF4C84}"/>
    <cellStyle name="20% - Accent1 2 2 2 6 2 3" xfId="23463" xr:uid="{B7C1AF0D-C005-4E41-9DCC-68E7FA475414}"/>
    <cellStyle name="20% - Accent1 2 2 2 6 2 4" xfId="31903" xr:uid="{2E659CB5-FE22-4F3E-BDE8-B95B935ACD22}"/>
    <cellStyle name="20% - Accent1 2 2 2 6 3" xfId="10805" xr:uid="{D9286483-BD5D-4987-87D6-4E3E9E34D549}"/>
    <cellStyle name="20% - Accent1 2 2 2 6 4" xfId="19246" xr:uid="{261692B5-1BC3-46B3-9C1D-B583873A215E}"/>
    <cellStyle name="20% - Accent1 2 2 2 6 5" xfId="27686" xr:uid="{BCCF8B4A-DEC6-4459-94B8-EB5EE6ED3449}"/>
    <cellStyle name="20% - Accent1 2 2 2 7" xfId="4507" xr:uid="{00000000-0005-0000-0000-000017000000}"/>
    <cellStyle name="20% - Accent1 2 2 2 7 2" xfId="12957" xr:uid="{8212B0EA-A2E3-4A8E-8508-C6C8928A4A13}"/>
    <cellStyle name="20% - Accent1 2 2 2 7 3" xfId="21397" xr:uid="{FF5C9FD5-29F9-4A27-906F-41C52F7D3492}"/>
    <cellStyle name="20% - Accent1 2 2 2 7 4" xfId="29837" xr:uid="{2B6432FE-027E-4C56-A903-FDECA874B075}"/>
    <cellStyle name="20% - Accent1 2 2 2 8" xfId="8739" xr:uid="{88BD0053-7890-4BFA-9203-C800185F8724}"/>
    <cellStyle name="20% - Accent1 2 2 2 9" xfId="17180" xr:uid="{13293FAB-0008-470B-966E-3844A35EB828}"/>
    <cellStyle name="20% - Accent1 2 2 3" xfId="572" xr:uid="{00000000-0005-0000-0000-000018000000}"/>
    <cellStyle name="20% - Accent1 2 2 3 2" xfId="2843" xr:uid="{00000000-0005-0000-0000-000019000000}"/>
    <cellStyle name="20% - Accent1 2 2 3 2 2" xfId="7065" xr:uid="{00000000-0005-0000-0000-00001A000000}"/>
    <cellStyle name="20% - Accent1 2 2 3 2 2 2" xfId="15515" xr:uid="{034B4BA9-BF9C-4E92-8FC8-56CC091B7661}"/>
    <cellStyle name="20% - Accent1 2 2 3 2 2 3" xfId="23955" xr:uid="{0D3E6068-32A9-4EDA-9390-E75909CEE8A6}"/>
    <cellStyle name="20% - Accent1 2 2 3 2 2 4" xfId="32395" xr:uid="{5426131C-ADE1-4E6E-9F10-07F2CC1AC77A}"/>
    <cellStyle name="20% - Accent1 2 2 3 2 3" xfId="11297" xr:uid="{50A58FB2-DBC2-4DAA-9905-0F68C48B1F19}"/>
    <cellStyle name="20% - Accent1 2 2 3 2 4" xfId="19738" xr:uid="{77CFA9FF-37BD-46BC-A12E-CD9AB4568F47}"/>
    <cellStyle name="20% - Accent1 2 2 3 2 5" xfId="28178" xr:uid="{ADA1A448-696B-4E4A-834B-29A85F9DB50B}"/>
    <cellStyle name="20% - Accent1 2 2 3 3" xfId="4920" xr:uid="{00000000-0005-0000-0000-00001B000000}"/>
    <cellStyle name="20% - Accent1 2 2 3 3 2" xfId="13370" xr:uid="{53395FA9-0EA5-4BB2-B4BE-25212B6BE561}"/>
    <cellStyle name="20% - Accent1 2 2 3 3 3" xfId="21810" xr:uid="{72C6A152-C368-44AD-8746-BD4C064C210E}"/>
    <cellStyle name="20% - Accent1 2 2 3 3 4" xfId="30250" xr:uid="{03951CFB-289B-4F85-A10D-76E84DC40FDF}"/>
    <cellStyle name="20% - Accent1 2 2 3 4" xfId="9152" xr:uid="{F4BCC090-0CB3-4158-8F18-17441C685B04}"/>
    <cellStyle name="20% - Accent1 2 2 3 5" xfId="17593" xr:uid="{C6FC56EE-2D71-41DD-8B78-13248302EDC4}"/>
    <cellStyle name="20% - Accent1 2 2 3 6" xfId="26033" xr:uid="{73B62331-2D60-4207-BD09-C789C3354A92}"/>
    <cellStyle name="20% - Accent1 2 2 4" xfId="1025" xr:uid="{00000000-0005-0000-0000-00001C000000}"/>
    <cellStyle name="20% - Accent1 2 2 4 2" xfId="3256" xr:uid="{00000000-0005-0000-0000-00001D000000}"/>
    <cellStyle name="20% - Accent1 2 2 4 2 2" xfId="7478" xr:uid="{00000000-0005-0000-0000-00001E000000}"/>
    <cellStyle name="20% - Accent1 2 2 4 2 2 2" xfId="15928" xr:uid="{B13E1648-5AC5-43F4-8614-4DE354945307}"/>
    <cellStyle name="20% - Accent1 2 2 4 2 2 3" xfId="24368" xr:uid="{5E87B1BB-B4DF-4D06-A03D-6DC7DEE32523}"/>
    <cellStyle name="20% - Accent1 2 2 4 2 2 4" xfId="32808" xr:uid="{58437219-7B2B-4D84-8FA8-1199693825BC}"/>
    <cellStyle name="20% - Accent1 2 2 4 2 3" xfId="11710" xr:uid="{430B6152-867A-49CF-AABA-E74F0A17F1EE}"/>
    <cellStyle name="20% - Accent1 2 2 4 2 4" xfId="20151" xr:uid="{A79C0288-7F5E-4599-B188-49A2C6016595}"/>
    <cellStyle name="20% - Accent1 2 2 4 2 5" xfId="28591" xr:uid="{20DB0EFD-8E96-4214-8272-0FB0785E0C91}"/>
    <cellStyle name="20% - Accent1 2 2 4 3" xfId="5333" xr:uid="{00000000-0005-0000-0000-00001F000000}"/>
    <cellStyle name="20% - Accent1 2 2 4 3 2" xfId="13783" xr:uid="{3FD09190-C961-49E9-86A4-C07A65BAC718}"/>
    <cellStyle name="20% - Accent1 2 2 4 3 3" xfId="22223" xr:uid="{A261917D-4062-404D-AD7A-2CEFEB3A19D3}"/>
    <cellStyle name="20% - Accent1 2 2 4 3 4" xfId="30663" xr:uid="{EAAFBA72-A989-44E6-B963-A87830BA4641}"/>
    <cellStyle name="20% - Accent1 2 2 4 4" xfId="9565" xr:uid="{14129A61-F02B-4A89-AB9A-71E369A0F3F4}"/>
    <cellStyle name="20% - Accent1 2 2 4 5" xfId="18006" xr:uid="{72B83E22-2D27-4CB9-B10C-26B07A1781CD}"/>
    <cellStyle name="20% - Accent1 2 2 4 6" xfId="26446" xr:uid="{A1181C04-5240-476D-B08B-D88B650A5675}"/>
    <cellStyle name="20% - Accent1 2 2 5" xfId="1439" xr:uid="{00000000-0005-0000-0000-000020000000}"/>
    <cellStyle name="20% - Accent1 2 2 5 2" xfId="3669" xr:uid="{00000000-0005-0000-0000-000021000000}"/>
    <cellStyle name="20% - Accent1 2 2 5 2 2" xfId="7891" xr:uid="{00000000-0005-0000-0000-000022000000}"/>
    <cellStyle name="20% - Accent1 2 2 5 2 2 2" xfId="16341" xr:uid="{2DB1FA5C-045D-49A3-BC10-44646E75451F}"/>
    <cellStyle name="20% - Accent1 2 2 5 2 2 3" xfId="24781" xr:uid="{DA48D003-A1F5-4BE4-B3A1-1E805CEF2DCF}"/>
    <cellStyle name="20% - Accent1 2 2 5 2 2 4" xfId="33221" xr:uid="{E2B8C654-DFF1-44C7-AFE7-CBAD1ABCC62E}"/>
    <cellStyle name="20% - Accent1 2 2 5 2 3" xfId="12123" xr:uid="{1DE94364-8900-4316-9C19-287A524B5FBE}"/>
    <cellStyle name="20% - Accent1 2 2 5 2 4" xfId="20564" xr:uid="{14C5E729-6697-4EB0-AF84-04BBB2F1D91E}"/>
    <cellStyle name="20% - Accent1 2 2 5 2 5" xfId="29004" xr:uid="{FBF47B84-D952-49C5-A2DD-21B621093D84}"/>
    <cellStyle name="20% - Accent1 2 2 5 3" xfId="5746" xr:uid="{00000000-0005-0000-0000-000023000000}"/>
    <cellStyle name="20% - Accent1 2 2 5 3 2" xfId="14196" xr:uid="{EABBAE11-8617-48DB-A865-0B56F3A8FBEE}"/>
    <cellStyle name="20% - Accent1 2 2 5 3 3" xfId="22636" xr:uid="{6B1D1BD2-A0E3-4554-BDFE-BC71DC8056A4}"/>
    <cellStyle name="20% - Accent1 2 2 5 3 4" xfId="31076" xr:uid="{8B0279E3-A3AB-46C1-A150-D0869820641B}"/>
    <cellStyle name="20% - Accent1 2 2 5 4" xfId="9978" xr:uid="{5B377DA4-44EB-43F4-AEFA-D629D01D9115}"/>
    <cellStyle name="20% - Accent1 2 2 5 5" xfId="18419" xr:uid="{106AC82D-2A8B-4289-BC62-89DF91F903B3}"/>
    <cellStyle name="20% - Accent1 2 2 5 6" xfId="26859" xr:uid="{FB84A3C5-0892-49A1-B98E-7F0C81E97986}"/>
    <cellStyle name="20% - Accent1 2 2 6" xfId="1853" xr:uid="{00000000-0005-0000-0000-000024000000}"/>
    <cellStyle name="20% - Accent1 2 2 6 2" xfId="4082" xr:uid="{00000000-0005-0000-0000-000025000000}"/>
    <cellStyle name="20% - Accent1 2 2 6 2 2" xfId="8304" xr:uid="{00000000-0005-0000-0000-000026000000}"/>
    <cellStyle name="20% - Accent1 2 2 6 2 2 2" xfId="16754" xr:uid="{B3608AA8-8A01-4F72-9303-712100D5D4EE}"/>
    <cellStyle name="20% - Accent1 2 2 6 2 2 3" xfId="25194" xr:uid="{FD665A3C-2ECC-49DA-9915-D34FC5D700A1}"/>
    <cellStyle name="20% - Accent1 2 2 6 2 2 4" xfId="33634" xr:uid="{49DEFA74-FEFE-4E96-AF01-750614E03865}"/>
    <cellStyle name="20% - Accent1 2 2 6 2 3" xfId="12536" xr:uid="{9162A402-C361-4BD4-A40C-EB8DF566E515}"/>
    <cellStyle name="20% - Accent1 2 2 6 2 4" xfId="20977" xr:uid="{7AB0617D-CA66-4B96-AFF0-DF1FE6C75860}"/>
    <cellStyle name="20% - Accent1 2 2 6 2 5" xfId="29417" xr:uid="{522889BE-6C27-4796-B6B4-9A439AAF70A9}"/>
    <cellStyle name="20% - Accent1 2 2 6 3" xfId="6159" xr:uid="{00000000-0005-0000-0000-000027000000}"/>
    <cellStyle name="20% - Accent1 2 2 6 3 2" xfId="14609" xr:uid="{BBDDD797-5A6C-4029-8B4A-E9AEFF6A3B29}"/>
    <cellStyle name="20% - Accent1 2 2 6 3 3" xfId="23049" xr:uid="{2BB0C103-F48B-42A8-975F-6812F936257B}"/>
    <cellStyle name="20% - Accent1 2 2 6 3 4" xfId="31489" xr:uid="{3659A237-44C4-4A53-BC69-5510D1AC4569}"/>
    <cellStyle name="20% - Accent1 2 2 6 4" xfId="10391" xr:uid="{C47CA8C5-A47F-4062-947D-44F8DBE2D247}"/>
    <cellStyle name="20% - Accent1 2 2 6 5" xfId="18832" xr:uid="{9942D83E-B1F5-4626-9B8B-4A32B17D3DC6}"/>
    <cellStyle name="20% - Accent1 2 2 6 6" xfId="27272" xr:uid="{AA339791-147B-48FB-8753-8D5A14125558}"/>
    <cellStyle name="20% - Accent1 2 2 7" xfId="2266" xr:uid="{00000000-0005-0000-0000-000028000000}"/>
    <cellStyle name="20% - Accent1 2 2 7 2" xfId="6572" xr:uid="{00000000-0005-0000-0000-000029000000}"/>
    <cellStyle name="20% - Accent1 2 2 7 2 2" xfId="15022" xr:uid="{535DB3F4-E92A-4B28-ABB6-CB428E4CCD8D}"/>
    <cellStyle name="20% - Accent1 2 2 7 2 3" xfId="23462" xr:uid="{DD88A5A8-FF8A-4A64-B127-671E7F218118}"/>
    <cellStyle name="20% - Accent1 2 2 7 2 4" xfId="31902" xr:uid="{0D384E06-CE3D-4AAF-9AF0-6BF2DDBC33AF}"/>
    <cellStyle name="20% - Accent1 2 2 7 3" xfId="10804" xr:uid="{0275671A-3A31-4A92-93F6-CBF1B8CB1F17}"/>
    <cellStyle name="20% - Accent1 2 2 7 4" xfId="19245" xr:uid="{148E6752-9314-44D7-AD60-7A9B98A3E84E}"/>
    <cellStyle name="20% - Accent1 2 2 7 5" xfId="27685" xr:uid="{77673089-697D-4E58-A0F0-062D2D3763E6}"/>
    <cellStyle name="20% - Accent1 2 2 8" xfId="4506" xr:uid="{00000000-0005-0000-0000-00002A000000}"/>
    <cellStyle name="20% - Accent1 2 2 8 2" xfId="12956" xr:uid="{D2E9D792-A4BA-4ECA-A586-2CE110765BEA}"/>
    <cellStyle name="20% - Accent1 2 2 8 3" xfId="21396" xr:uid="{8887AC44-824F-4DDB-9140-F367D3009378}"/>
    <cellStyle name="20% - Accent1 2 2 8 4" xfId="29836" xr:uid="{AE8812CC-22B4-4ACD-A59C-EEB482B2692F}"/>
    <cellStyle name="20% - Accent1 2 2 9" xfId="8738" xr:uid="{DB128B23-48E1-4ACA-9A84-2618375E8B98}"/>
    <cellStyle name="20% - Accent1 2 3" xfId="5" xr:uid="{00000000-0005-0000-0000-00002B000000}"/>
    <cellStyle name="20% - Accent1 2 3 10" xfId="25621" xr:uid="{15E0017A-4BFC-4438-9043-37606EFC3700}"/>
    <cellStyle name="20% - Accent1 2 3 2" xfId="574" xr:uid="{00000000-0005-0000-0000-00002C000000}"/>
    <cellStyle name="20% - Accent1 2 3 2 2" xfId="2845" xr:uid="{00000000-0005-0000-0000-00002D000000}"/>
    <cellStyle name="20% - Accent1 2 3 2 2 2" xfId="7067" xr:uid="{00000000-0005-0000-0000-00002E000000}"/>
    <cellStyle name="20% - Accent1 2 3 2 2 2 2" xfId="15517" xr:uid="{E6E78A70-52F6-40D6-8C19-FCB3E606EAC1}"/>
    <cellStyle name="20% - Accent1 2 3 2 2 2 3" xfId="23957" xr:uid="{E0AB0EBA-CB1E-4A22-9DCE-3698DD0D8253}"/>
    <cellStyle name="20% - Accent1 2 3 2 2 2 4" xfId="32397" xr:uid="{A6F0B12F-79BB-4058-A84E-CD270D1C039F}"/>
    <cellStyle name="20% - Accent1 2 3 2 2 3" xfId="11299" xr:uid="{160AE0AB-E7AD-4DBD-9E91-61CDD6D0A010}"/>
    <cellStyle name="20% - Accent1 2 3 2 2 4" xfId="19740" xr:uid="{904AB998-11F5-42C6-809A-E6D2D4FE03C9}"/>
    <cellStyle name="20% - Accent1 2 3 2 2 5" xfId="28180" xr:uid="{8EE9CACF-6CA6-46DA-9525-DF1A6A9D12A2}"/>
    <cellStyle name="20% - Accent1 2 3 2 3" xfId="4922" xr:uid="{00000000-0005-0000-0000-00002F000000}"/>
    <cellStyle name="20% - Accent1 2 3 2 3 2" xfId="13372" xr:uid="{7186FCF9-B8BF-4682-BBFD-6451A4DB8F01}"/>
    <cellStyle name="20% - Accent1 2 3 2 3 3" xfId="21812" xr:uid="{E6CD113D-B525-49DA-8469-CCCC94B2CFD4}"/>
    <cellStyle name="20% - Accent1 2 3 2 3 4" xfId="30252" xr:uid="{40E4BA52-F97A-4178-A833-0FB7056DDCDC}"/>
    <cellStyle name="20% - Accent1 2 3 2 4" xfId="9154" xr:uid="{F5C3689C-53D1-485A-84B1-A9D1A6AAD2BD}"/>
    <cellStyle name="20% - Accent1 2 3 2 5" xfId="17595" xr:uid="{191AE1A6-DF3A-4545-9B4B-ED3FDF52742F}"/>
    <cellStyle name="20% - Accent1 2 3 2 6" xfId="26035" xr:uid="{192FC557-6572-418E-BC8C-6E9D230EBC28}"/>
    <cellStyle name="20% - Accent1 2 3 3" xfId="1027" xr:uid="{00000000-0005-0000-0000-000030000000}"/>
    <cellStyle name="20% - Accent1 2 3 3 2" xfId="3258" xr:uid="{00000000-0005-0000-0000-000031000000}"/>
    <cellStyle name="20% - Accent1 2 3 3 2 2" xfId="7480" xr:uid="{00000000-0005-0000-0000-000032000000}"/>
    <cellStyle name="20% - Accent1 2 3 3 2 2 2" xfId="15930" xr:uid="{84DA6CA4-F560-441F-B33F-47F5398EA330}"/>
    <cellStyle name="20% - Accent1 2 3 3 2 2 3" xfId="24370" xr:uid="{257A39F3-41F4-42B1-B0B9-D716F3D1C686}"/>
    <cellStyle name="20% - Accent1 2 3 3 2 2 4" xfId="32810" xr:uid="{D49A5A30-4872-4DA7-8BE3-9A06F6871A7E}"/>
    <cellStyle name="20% - Accent1 2 3 3 2 3" xfId="11712" xr:uid="{6C9B5DD4-6F3A-4442-8549-1D2D82812ECD}"/>
    <cellStyle name="20% - Accent1 2 3 3 2 4" xfId="20153" xr:uid="{49B0A34E-0994-432B-9281-871830ED2B69}"/>
    <cellStyle name="20% - Accent1 2 3 3 2 5" xfId="28593" xr:uid="{FD6A8A62-3B72-40E9-A286-13B7EC8EFE5D}"/>
    <cellStyle name="20% - Accent1 2 3 3 3" xfId="5335" xr:uid="{00000000-0005-0000-0000-000033000000}"/>
    <cellStyle name="20% - Accent1 2 3 3 3 2" xfId="13785" xr:uid="{30301C05-14FB-4C78-97FA-C5282BC9878C}"/>
    <cellStyle name="20% - Accent1 2 3 3 3 3" xfId="22225" xr:uid="{63A36EC3-02AE-47C0-A585-7368D8A5A4A5}"/>
    <cellStyle name="20% - Accent1 2 3 3 3 4" xfId="30665" xr:uid="{AA3772FE-8D9E-4538-A119-2EF61180F7F0}"/>
    <cellStyle name="20% - Accent1 2 3 3 4" xfId="9567" xr:uid="{49BF3E57-4A6D-44DF-B232-74D6C8AC2C43}"/>
    <cellStyle name="20% - Accent1 2 3 3 5" xfId="18008" xr:uid="{0BD43F4E-2478-4AA5-803D-772594674F96}"/>
    <cellStyle name="20% - Accent1 2 3 3 6" xfId="26448" xr:uid="{45A2BE07-0CE9-46FB-B197-C0A4947CFBE4}"/>
    <cellStyle name="20% - Accent1 2 3 4" xfId="1441" xr:uid="{00000000-0005-0000-0000-000034000000}"/>
    <cellStyle name="20% - Accent1 2 3 4 2" xfId="3671" xr:uid="{00000000-0005-0000-0000-000035000000}"/>
    <cellStyle name="20% - Accent1 2 3 4 2 2" xfId="7893" xr:uid="{00000000-0005-0000-0000-000036000000}"/>
    <cellStyle name="20% - Accent1 2 3 4 2 2 2" xfId="16343" xr:uid="{FA7C661F-9946-41FC-80B1-A2148C7F7072}"/>
    <cellStyle name="20% - Accent1 2 3 4 2 2 3" xfId="24783" xr:uid="{E753E0DD-EAE5-434F-9660-A318F9B96D47}"/>
    <cellStyle name="20% - Accent1 2 3 4 2 2 4" xfId="33223" xr:uid="{A8666090-A905-4E4B-A48A-C7C692156B14}"/>
    <cellStyle name="20% - Accent1 2 3 4 2 3" xfId="12125" xr:uid="{52BDC7E0-8BFF-42CF-9997-D0C409BDB461}"/>
    <cellStyle name="20% - Accent1 2 3 4 2 4" xfId="20566" xr:uid="{6A2485A6-CD88-4D10-99C8-92E8F6F257B5}"/>
    <cellStyle name="20% - Accent1 2 3 4 2 5" xfId="29006" xr:uid="{AD7A8A42-60C0-424B-A2C9-67E26A6964EB}"/>
    <cellStyle name="20% - Accent1 2 3 4 3" xfId="5748" xr:uid="{00000000-0005-0000-0000-000037000000}"/>
    <cellStyle name="20% - Accent1 2 3 4 3 2" xfId="14198" xr:uid="{ED103F8C-FE52-4F64-BE51-11B241C74690}"/>
    <cellStyle name="20% - Accent1 2 3 4 3 3" xfId="22638" xr:uid="{FF8C0DCC-F4C9-4F20-A80E-41501ACFBBEC}"/>
    <cellStyle name="20% - Accent1 2 3 4 3 4" xfId="31078" xr:uid="{A56AD576-8D54-4B2A-9AFF-B4755E4264C1}"/>
    <cellStyle name="20% - Accent1 2 3 4 4" xfId="9980" xr:uid="{029578C4-4D03-4EDB-9EC3-6C933122DC73}"/>
    <cellStyle name="20% - Accent1 2 3 4 5" xfId="18421" xr:uid="{E89DF6C4-EDC2-4F3A-97B4-ED22C06C7165}"/>
    <cellStyle name="20% - Accent1 2 3 4 6" xfId="26861" xr:uid="{346D06F4-50A3-44AA-8997-6EA847148B9D}"/>
    <cellStyle name="20% - Accent1 2 3 5" xfId="1855" xr:uid="{00000000-0005-0000-0000-000038000000}"/>
    <cellStyle name="20% - Accent1 2 3 5 2" xfId="4084" xr:uid="{00000000-0005-0000-0000-000039000000}"/>
    <cellStyle name="20% - Accent1 2 3 5 2 2" xfId="8306" xr:uid="{00000000-0005-0000-0000-00003A000000}"/>
    <cellStyle name="20% - Accent1 2 3 5 2 2 2" xfId="16756" xr:uid="{E8A09AE4-8FA5-4B79-8A61-FC2A576F5DF8}"/>
    <cellStyle name="20% - Accent1 2 3 5 2 2 3" xfId="25196" xr:uid="{D24A27FE-F2C3-4482-9B9E-5D9D0235EC34}"/>
    <cellStyle name="20% - Accent1 2 3 5 2 2 4" xfId="33636" xr:uid="{E15664D5-FF5C-49AE-B977-8A436070C46E}"/>
    <cellStyle name="20% - Accent1 2 3 5 2 3" xfId="12538" xr:uid="{C6B8C6C2-9FCC-4D20-8F22-B019C30E755F}"/>
    <cellStyle name="20% - Accent1 2 3 5 2 4" xfId="20979" xr:uid="{CDEF89E5-7D8B-4733-9FCE-CA47B330ADA8}"/>
    <cellStyle name="20% - Accent1 2 3 5 2 5" xfId="29419" xr:uid="{526EE49A-B6FE-450C-BAED-7BBAC58F850C}"/>
    <cellStyle name="20% - Accent1 2 3 5 3" xfId="6161" xr:uid="{00000000-0005-0000-0000-00003B000000}"/>
    <cellStyle name="20% - Accent1 2 3 5 3 2" xfId="14611" xr:uid="{C7A3259B-2756-4489-895D-085F8E664AE5}"/>
    <cellStyle name="20% - Accent1 2 3 5 3 3" xfId="23051" xr:uid="{B34333E0-E51C-4734-B34B-6C25CFB54687}"/>
    <cellStyle name="20% - Accent1 2 3 5 3 4" xfId="31491" xr:uid="{7EA69F7C-8BEC-45E6-8E73-6E70826C4440}"/>
    <cellStyle name="20% - Accent1 2 3 5 4" xfId="10393" xr:uid="{0A007CC7-32B4-48E4-B487-EDF7C5440E5C}"/>
    <cellStyle name="20% - Accent1 2 3 5 5" xfId="18834" xr:uid="{CE7076FF-CD84-4C67-89C9-4180A8B5AE92}"/>
    <cellStyle name="20% - Accent1 2 3 5 6" xfId="27274" xr:uid="{350823AF-0B4B-427B-8EBC-77D27D403D11}"/>
    <cellStyle name="20% - Accent1 2 3 6" xfId="2268" xr:uid="{00000000-0005-0000-0000-00003C000000}"/>
    <cellStyle name="20% - Accent1 2 3 6 2" xfId="6574" xr:uid="{00000000-0005-0000-0000-00003D000000}"/>
    <cellStyle name="20% - Accent1 2 3 6 2 2" xfId="15024" xr:uid="{666345DF-5C8C-4522-B758-331928D9162F}"/>
    <cellStyle name="20% - Accent1 2 3 6 2 3" xfId="23464" xr:uid="{E376F70A-C9FB-4909-8019-D74F56752070}"/>
    <cellStyle name="20% - Accent1 2 3 6 2 4" xfId="31904" xr:uid="{549E371A-412C-4363-8650-FA0936D09219}"/>
    <cellStyle name="20% - Accent1 2 3 6 3" xfId="10806" xr:uid="{D0F34129-349B-4C6F-8895-B3DBAFDFC2A5}"/>
    <cellStyle name="20% - Accent1 2 3 6 4" xfId="19247" xr:uid="{AD34C932-483A-4FB9-B19B-8E1632D3217D}"/>
    <cellStyle name="20% - Accent1 2 3 6 5" xfId="27687" xr:uid="{9D9A16EF-3199-45EB-9D76-C704327EA170}"/>
    <cellStyle name="20% - Accent1 2 3 7" xfId="4508" xr:uid="{00000000-0005-0000-0000-00003E000000}"/>
    <cellStyle name="20% - Accent1 2 3 7 2" xfId="12958" xr:uid="{00DFCC62-C0A8-45DE-9305-3046E9DC0677}"/>
    <cellStyle name="20% - Accent1 2 3 7 3" xfId="21398" xr:uid="{05961A5B-A607-42B1-98FD-6C60DF9BD0FC}"/>
    <cellStyle name="20% - Accent1 2 3 7 4" xfId="29838" xr:uid="{F369EB95-3BB6-4831-9920-E0B9066586DC}"/>
    <cellStyle name="20% - Accent1 2 3 8" xfId="8740" xr:uid="{1A8EC916-82DC-431E-B2C7-DB6C91E05EF4}"/>
    <cellStyle name="20% - Accent1 2 3 9" xfId="17181" xr:uid="{F118A791-ECD2-408D-8268-86A3A1848800}"/>
    <cellStyle name="20% - Accent1 2 4" xfId="571" xr:uid="{00000000-0005-0000-0000-00003F000000}"/>
    <cellStyle name="20% - Accent1 2 4 2" xfId="2842" xr:uid="{00000000-0005-0000-0000-000040000000}"/>
    <cellStyle name="20% - Accent1 2 4 2 2" xfId="7064" xr:uid="{00000000-0005-0000-0000-000041000000}"/>
    <cellStyle name="20% - Accent1 2 4 2 2 2" xfId="15514" xr:uid="{BF4B974B-3A38-4E9C-98C3-E5F9DB941DB5}"/>
    <cellStyle name="20% - Accent1 2 4 2 2 3" xfId="23954" xr:uid="{C1DB2E39-7312-49D8-B5B4-0143E8EB42D4}"/>
    <cellStyle name="20% - Accent1 2 4 2 2 4" xfId="32394" xr:uid="{6F16125A-BFA9-43C6-BCB7-394A045ECF1E}"/>
    <cellStyle name="20% - Accent1 2 4 2 3" xfId="11296" xr:uid="{476C6608-A1D2-4475-B9AA-80050019CC20}"/>
    <cellStyle name="20% - Accent1 2 4 2 4" xfId="19737" xr:uid="{CA195ABC-AC12-417F-A191-CC65BE844F49}"/>
    <cellStyle name="20% - Accent1 2 4 2 5" xfId="28177" xr:uid="{ECA33C4B-C92E-45AA-8B41-596B1DCE0FFD}"/>
    <cellStyle name="20% - Accent1 2 4 3" xfId="4919" xr:uid="{00000000-0005-0000-0000-000042000000}"/>
    <cellStyle name="20% - Accent1 2 4 3 2" xfId="13369" xr:uid="{2561C54C-5F06-430C-A2A6-531DDD59E804}"/>
    <cellStyle name="20% - Accent1 2 4 3 3" xfId="21809" xr:uid="{B7DF309F-C08F-4D71-9FD6-28B77F88EBFA}"/>
    <cellStyle name="20% - Accent1 2 4 3 4" xfId="30249" xr:uid="{47968269-86B6-4B97-B3C8-504DBC99A036}"/>
    <cellStyle name="20% - Accent1 2 4 4" xfId="9151" xr:uid="{145A0323-8691-4C1C-AA7B-E586EC9B014B}"/>
    <cellStyle name="20% - Accent1 2 4 5" xfId="17592" xr:uid="{2F8DA69A-44DC-4024-997F-1FB71945D39E}"/>
    <cellStyle name="20% - Accent1 2 4 6" xfId="26032" xr:uid="{C2384EBA-8550-4510-B005-9B87D3341973}"/>
    <cellStyle name="20% - Accent1 2 5" xfId="1024" xr:uid="{00000000-0005-0000-0000-000043000000}"/>
    <cellStyle name="20% - Accent1 2 5 2" xfId="3255" xr:uid="{00000000-0005-0000-0000-000044000000}"/>
    <cellStyle name="20% - Accent1 2 5 2 2" xfId="7477" xr:uid="{00000000-0005-0000-0000-000045000000}"/>
    <cellStyle name="20% - Accent1 2 5 2 2 2" xfId="15927" xr:uid="{DF732711-7A4A-4E3E-939D-15D6EE87F9BB}"/>
    <cellStyle name="20% - Accent1 2 5 2 2 3" xfId="24367" xr:uid="{ECC458E1-7163-4A5F-87B8-0171206C04F0}"/>
    <cellStyle name="20% - Accent1 2 5 2 2 4" xfId="32807" xr:uid="{A3136F5A-010A-403F-A05C-440F538FF992}"/>
    <cellStyle name="20% - Accent1 2 5 2 3" xfId="11709" xr:uid="{72BC16FF-85E1-4E65-A7E3-BA4309F8734A}"/>
    <cellStyle name="20% - Accent1 2 5 2 4" xfId="20150" xr:uid="{D8240BBE-6B1A-4C2D-A805-27593BD75693}"/>
    <cellStyle name="20% - Accent1 2 5 2 5" xfId="28590" xr:uid="{3E9FB5B0-3FAB-4CFB-A882-703BE696475E}"/>
    <cellStyle name="20% - Accent1 2 5 3" xfId="5332" xr:uid="{00000000-0005-0000-0000-000046000000}"/>
    <cellStyle name="20% - Accent1 2 5 3 2" xfId="13782" xr:uid="{2E760CD8-DDD6-4828-95F0-C5487ADE86E5}"/>
    <cellStyle name="20% - Accent1 2 5 3 3" xfId="22222" xr:uid="{9BDB6F84-ED8D-458C-A849-39AE2702CA6C}"/>
    <cellStyle name="20% - Accent1 2 5 3 4" xfId="30662" xr:uid="{0D0B2F17-5A3E-4175-8DA9-36B4D0630011}"/>
    <cellStyle name="20% - Accent1 2 5 4" xfId="9564" xr:uid="{6EDF7DA6-4ACA-444B-AEE6-168D0B28CC21}"/>
    <cellStyle name="20% - Accent1 2 5 5" xfId="18005" xr:uid="{EF81753B-949E-4603-968E-B4D63A515E8F}"/>
    <cellStyle name="20% - Accent1 2 5 6" xfId="26445" xr:uid="{B30B8930-8BEE-4BE6-A8FB-C050142AF3E9}"/>
    <cellStyle name="20% - Accent1 2 6" xfId="1438" xr:uid="{00000000-0005-0000-0000-000047000000}"/>
    <cellStyle name="20% - Accent1 2 6 2" xfId="3668" xr:uid="{00000000-0005-0000-0000-000048000000}"/>
    <cellStyle name="20% - Accent1 2 6 2 2" xfId="7890" xr:uid="{00000000-0005-0000-0000-000049000000}"/>
    <cellStyle name="20% - Accent1 2 6 2 2 2" xfId="16340" xr:uid="{035CC4C0-4DB8-4157-930E-FB32D5EA8956}"/>
    <cellStyle name="20% - Accent1 2 6 2 2 3" xfId="24780" xr:uid="{2ECEE735-D516-4DD3-90A7-FB3A81A68163}"/>
    <cellStyle name="20% - Accent1 2 6 2 2 4" xfId="33220" xr:uid="{280E89CE-34B7-46BA-A06D-49202BB5FA02}"/>
    <cellStyle name="20% - Accent1 2 6 2 3" xfId="12122" xr:uid="{189BA23F-0FF1-4C30-A3A3-F8E1489B201C}"/>
    <cellStyle name="20% - Accent1 2 6 2 4" xfId="20563" xr:uid="{F25E3134-40F7-4F52-A32D-9BA09F940057}"/>
    <cellStyle name="20% - Accent1 2 6 2 5" xfId="29003" xr:uid="{0EB3D529-DFF9-4AC9-8FAE-96ABC5F1FB05}"/>
    <cellStyle name="20% - Accent1 2 6 3" xfId="5745" xr:uid="{00000000-0005-0000-0000-00004A000000}"/>
    <cellStyle name="20% - Accent1 2 6 3 2" xfId="14195" xr:uid="{D0F3F9AA-AC38-492F-866C-EEB3519DAEA7}"/>
    <cellStyle name="20% - Accent1 2 6 3 3" xfId="22635" xr:uid="{CA07DB4B-F958-468E-AA3F-3DEB063EEB5A}"/>
    <cellStyle name="20% - Accent1 2 6 3 4" xfId="31075" xr:uid="{B5319B49-1581-4A47-9FC4-53F242331D2C}"/>
    <cellStyle name="20% - Accent1 2 6 4" xfId="9977" xr:uid="{4385A2EF-A1B1-4189-BDB2-FB6F65E1558B}"/>
    <cellStyle name="20% - Accent1 2 6 5" xfId="18418" xr:uid="{3BEE1835-87A4-48C1-AC84-F89CD847C76E}"/>
    <cellStyle name="20% - Accent1 2 6 6" xfId="26858" xr:uid="{08887610-D7EE-4598-AE29-E9AC8BFC818D}"/>
    <cellStyle name="20% - Accent1 2 7" xfId="1852" xr:uid="{00000000-0005-0000-0000-00004B000000}"/>
    <cellStyle name="20% - Accent1 2 7 2" xfId="4081" xr:uid="{00000000-0005-0000-0000-00004C000000}"/>
    <cellStyle name="20% - Accent1 2 7 2 2" xfId="8303" xr:uid="{00000000-0005-0000-0000-00004D000000}"/>
    <cellStyle name="20% - Accent1 2 7 2 2 2" xfId="16753" xr:uid="{B3BF569F-CB28-4C39-ADDC-8026656AA718}"/>
    <cellStyle name="20% - Accent1 2 7 2 2 3" xfId="25193" xr:uid="{F4A052A6-90B6-482B-866F-DF98C0E87F19}"/>
    <cellStyle name="20% - Accent1 2 7 2 2 4" xfId="33633" xr:uid="{E86CE05D-95C6-4E5E-8C91-6FD0B0C4E389}"/>
    <cellStyle name="20% - Accent1 2 7 2 3" xfId="12535" xr:uid="{8BD7BF91-564C-4B28-ABB1-C70A50CA129D}"/>
    <cellStyle name="20% - Accent1 2 7 2 4" xfId="20976" xr:uid="{E958EC7E-EFCE-40BA-9EAA-3139CC8EFA0A}"/>
    <cellStyle name="20% - Accent1 2 7 2 5" xfId="29416" xr:uid="{B7FCC1A1-4101-40D6-9DA8-6D44BAF2060E}"/>
    <cellStyle name="20% - Accent1 2 7 3" xfId="6158" xr:uid="{00000000-0005-0000-0000-00004E000000}"/>
    <cellStyle name="20% - Accent1 2 7 3 2" xfId="14608" xr:uid="{92510459-F525-43C5-8D38-3C47E9D91839}"/>
    <cellStyle name="20% - Accent1 2 7 3 3" xfId="23048" xr:uid="{72E2F4A6-CA33-4197-9AD5-0AD1160B6FFA}"/>
    <cellStyle name="20% - Accent1 2 7 3 4" xfId="31488" xr:uid="{D8DE50BD-9050-4199-8C99-42009AEBAF5B}"/>
    <cellStyle name="20% - Accent1 2 7 4" xfId="10390" xr:uid="{56482838-2199-45C6-B738-1E364C4B8B62}"/>
    <cellStyle name="20% - Accent1 2 7 5" xfId="18831" xr:uid="{1DCB92EF-E9D8-44F8-8CF2-6092E3F02495}"/>
    <cellStyle name="20% - Accent1 2 7 6" xfId="27271" xr:uid="{9D6BF80D-83A7-4205-BC2F-E60E2F1F9D93}"/>
    <cellStyle name="20% - Accent1 2 8" xfId="2265" xr:uid="{00000000-0005-0000-0000-00004F000000}"/>
    <cellStyle name="20% - Accent1 2 8 2" xfId="6571" xr:uid="{00000000-0005-0000-0000-000050000000}"/>
    <cellStyle name="20% - Accent1 2 8 2 2" xfId="15021" xr:uid="{A9B91EC9-3CB5-487F-84D8-527A3EEA902A}"/>
    <cellStyle name="20% - Accent1 2 8 2 3" xfId="23461" xr:uid="{35A9513C-F7DD-46F6-A396-788C400696D8}"/>
    <cellStyle name="20% - Accent1 2 8 2 4" xfId="31901" xr:uid="{13EA860D-60C2-4FBB-A8DF-785A85E3499A}"/>
    <cellStyle name="20% - Accent1 2 8 3" xfId="10803" xr:uid="{525FD019-815D-4068-B3C4-0577C549F70F}"/>
    <cellStyle name="20% - Accent1 2 8 4" xfId="19244" xr:uid="{2B663823-BE0F-4C80-8C89-BCF65BE6BE0A}"/>
    <cellStyle name="20% - Accent1 2 8 5" xfId="27684" xr:uid="{9B91F260-8A34-44A6-9108-0CDF26A1F54E}"/>
    <cellStyle name="20% - Accent1 2 9" xfId="4505" xr:uid="{00000000-0005-0000-0000-000051000000}"/>
    <cellStyle name="20% - Accent1 2 9 2" xfId="12955" xr:uid="{53DE3DB9-C348-49E1-AA23-6BB19463EE1C}"/>
    <cellStyle name="20% - Accent1 2 9 3" xfId="21395" xr:uid="{C478F914-77C5-484B-88F3-DC01351E9162}"/>
    <cellStyle name="20% - Accent1 2 9 4" xfId="29835" xr:uid="{8DFF53A1-F087-463F-B1F9-B67466EE47D2}"/>
    <cellStyle name="20% - Accent1 3" xfId="6" xr:uid="{00000000-0005-0000-0000-000052000000}"/>
    <cellStyle name="20% - Accent1 3 10" xfId="17182" xr:uid="{05F865C5-1DAC-4412-A0D1-063EE3FFBC99}"/>
    <cellStyle name="20% - Accent1 3 11" xfId="25622" xr:uid="{E5D4936E-C5B8-4743-B304-50DCBB5AB4C8}"/>
    <cellStyle name="20% - Accent1 3 2" xfId="7" xr:uid="{00000000-0005-0000-0000-000053000000}"/>
    <cellStyle name="20% - Accent1 3 2 10" xfId="25623" xr:uid="{4555E82C-EC36-4A7E-84EA-2C634ED5143E}"/>
    <cellStyle name="20% - Accent1 3 2 2" xfId="576" xr:uid="{00000000-0005-0000-0000-000054000000}"/>
    <cellStyle name="20% - Accent1 3 2 2 2" xfId="2847" xr:uid="{00000000-0005-0000-0000-000055000000}"/>
    <cellStyle name="20% - Accent1 3 2 2 2 2" xfId="7069" xr:uid="{00000000-0005-0000-0000-000056000000}"/>
    <cellStyle name="20% - Accent1 3 2 2 2 2 2" xfId="15519" xr:uid="{75B89CB2-F583-4A08-8AA3-8C42D2483C67}"/>
    <cellStyle name="20% - Accent1 3 2 2 2 2 3" xfId="23959" xr:uid="{39A77662-3149-4CC8-9B3E-BAB33672535C}"/>
    <cellStyle name="20% - Accent1 3 2 2 2 2 4" xfId="32399" xr:uid="{6B653BD1-56C2-40D5-ACB4-83766118734C}"/>
    <cellStyle name="20% - Accent1 3 2 2 2 3" xfId="11301" xr:uid="{9DB96F09-C9E7-4681-AC8E-4724CE7B9F2B}"/>
    <cellStyle name="20% - Accent1 3 2 2 2 4" xfId="19742" xr:uid="{C2902C86-62D9-4604-9536-EF9F6B50C211}"/>
    <cellStyle name="20% - Accent1 3 2 2 2 5" xfId="28182" xr:uid="{8F4B4201-36EF-47B4-BBC9-225E4766F5A3}"/>
    <cellStyle name="20% - Accent1 3 2 2 3" xfId="4924" xr:uid="{00000000-0005-0000-0000-000057000000}"/>
    <cellStyle name="20% - Accent1 3 2 2 3 2" xfId="13374" xr:uid="{8B6619FE-72EA-4057-85EB-B5FB14A0CBE3}"/>
    <cellStyle name="20% - Accent1 3 2 2 3 3" xfId="21814" xr:uid="{AC9DF2F0-54E9-47B9-A3E4-89EB2B2702B2}"/>
    <cellStyle name="20% - Accent1 3 2 2 3 4" xfId="30254" xr:uid="{179D174E-3353-49ED-BB42-FCA2A85D3824}"/>
    <cellStyle name="20% - Accent1 3 2 2 4" xfId="9156" xr:uid="{4FF9662D-2D44-4783-89AC-B2FB5F49145A}"/>
    <cellStyle name="20% - Accent1 3 2 2 5" xfId="17597" xr:uid="{DD2CB60B-5BC7-4061-AA37-630537EDA53C}"/>
    <cellStyle name="20% - Accent1 3 2 2 6" xfId="26037" xr:uid="{7C097925-953A-447A-AD63-797ADB5EA40F}"/>
    <cellStyle name="20% - Accent1 3 2 3" xfId="1029" xr:uid="{00000000-0005-0000-0000-000058000000}"/>
    <cellStyle name="20% - Accent1 3 2 3 2" xfId="3260" xr:uid="{00000000-0005-0000-0000-000059000000}"/>
    <cellStyle name="20% - Accent1 3 2 3 2 2" xfId="7482" xr:uid="{00000000-0005-0000-0000-00005A000000}"/>
    <cellStyle name="20% - Accent1 3 2 3 2 2 2" xfId="15932" xr:uid="{AD76432B-BF7E-4DE9-AEDA-4676A51D4436}"/>
    <cellStyle name="20% - Accent1 3 2 3 2 2 3" xfId="24372" xr:uid="{DBC396AA-1B60-4AC4-B604-3B75C5171890}"/>
    <cellStyle name="20% - Accent1 3 2 3 2 2 4" xfId="32812" xr:uid="{091299FB-A1DF-4509-AFD4-9075E4B8A667}"/>
    <cellStyle name="20% - Accent1 3 2 3 2 3" xfId="11714" xr:uid="{A6A4C8A9-E0BB-48A5-A65F-A687E2B5C6B9}"/>
    <cellStyle name="20% - Accent1 3 2 3 2 4" xfId="20155" xr:uid="{E2C453AD-24F9-4788-8C15-5CBAC6B6407A}"/>
    <cellStyle name="20% - Accent1 3 2 3 2 5" xfId="28595" xr:uid="{40A387F7-5F34-4641-BD83-0F1D9E079190}"/>
    <cellStyle name="20% - Accent1 3 2 3 3" xfId="5337" xr:uid="{00000000-0005-0000-0000-00005B000000}"/>
    <cellStyle name="20% - Accent1 3 2 3 3 2" xfId="13787" xr:uid="{05E4AA52-4CCC-4111-90AD-F2F4D816862F}"/>
    <cellStyle name="20% - Accent1 3 2 3 3 3" xfId="22227" xr:uid="{71EE34DD-11EC-4E16-9237-87A69C97A1ED}"/>
    <cellStyle name="20% - Accent1 3 2 3 3 4" xfId="30667" xr:uid="{E4164CFD-5C0E-4CEB-A6EC-190DD7B8261E}"/>
    <cellStyle name="20% - Accent1 3 2 3 4" xfId="9569" xr:uid="{3F4AB7B3-10FF-4560-AA5A-195495155922}"/>
    <cellStyle name="20% - Accent1 3 2 3 5" xfId="18010" xr:uid="{AF2FDB35-7710-498D-BDFC-C971EE09BAF9}"/>
    <cellStyle name="20% - Accent1 3 2 3 6" xfId="26450" xr:uid="{3B59D48D-56A1-4221-BC1B-DBF78417F0B5}"/>
    <cellStyle name="20% - Accent1 3 2 4" xfId="1443" xr:uid="{00000000-0005-0000-0000-00005C000000}"/>
    <cellStyle name="20% - Accent1 3 2 4 2" xfId="3673" xr:uid="{00000000-0005-0000-0000-00005D000000}"/>
    <cellStyle name="20% - Accent1 3 2 4 2 2" xfId="7895" xr:uid="{00000000-0005-0000-0000-00005E000000}"/>
    <cellStyle name="20% - Accent1 3 2 4 2 2 2" xfId="16345" xr:uid="{C32B9D14-EA6F-4ED2-B747-43E3387C5F64}"/>
    <cellStyle name="20% - Accent1 3 2 4 2 2 3" xfId="24785" xr:uid="{F40F79F2-B5C1-41B1-9776-DE61EBCAECF7}"/>
    <cellStyle name="20% - Accent1 3 2 4 2 2 4" xfId="33225" xr:uid="{7A18FE26-5B0E-4196-BFC7-DAD2C6EFDC79}"/>
    <cellStyle name="20% - Accent1 3 2 4 2 3" xfId="12127" xr:uid="{74EB39DB-EABE-42F0-896C-EAAE162BC6D0}"/>
    <cellStyle name="20% - Accent1 3 2 4 2 4" xfId="20568" xr:uid="{051CE100-3521-4EB3-B4E5-A2C795967922}"/>
    <cellStyle name="20% - Accent1 3 2 4 2 5" xfId="29008" xr:uid="{6FFB1078-B93C-4411-ABEB-9D8672944AAB}"/>
    <cellStyle name="20% - Accent1 3 2 4 3" xfId="5750" xr:uid="{00000000-0005-0000-0000-00005F000000}"/>
    <cellStyle name="20% - Accent1 3 2 4 3 2" xfId="14200" xr:uid="{82287D49-1F4C-4027-80EF-534C224F7636}"/>
    <cellStyle name="20% - Accent1 3 2 4 3 3" xfId="22640" xr:uid="{1B626DFC-1C48-4DE8-9448-FFFCD111A97D}"/>
    <cellStyle name="20% - Accent1 3 2 4 3 4" xfId="31080" xr:uid="{F210D32A-E5FA-4ACC-ACCF-E0670C145C96}"/>
    <cellStyle name="20% - Accent1 3 2 4 4" xfId="9982" xr:uid="{C9454C11-36CF-42BD-BB3C-E698C600C797}"/>
    <cellStyle name="20% - Accent1 3 2 4 5" xfId="18423" xr:uid="{965744A2-0B2B-4695-9B32-9CCBAFEE9E11}"/>
    <cellStyle name="20% - Accent1 3 2 4 6" xfId="26863" xr:uid="{9906B6C6-A495-4BD7-A1E8-7792AFCC1FF0}"/>
    <cellStyle name="20% - Accent1 3 2 5" xfId="1857" xr:uid="{00000000-0005-0000-0000-000060000000}"/>
    <cellStyle name="20% - Accent1 3 2 5 2" xfId="4086" xr:uid="{00000000-0005-0000-0000-000061000000}"/>
    <cellStyle name="20% - Accent1 3 2 5 2 2" xfId="8308" xr:uid="{00000000-0005-0000-0000-000062000000}"/>
    <cellStyle name="20% - Accent1 3 2 5 2 2 2" xfId="16758" xr:uid="{C829BBC6-B387-455E-A62F-F2A36F053B0B}"/>
    <cellStyle name="20% - Accent1 3 2 5 2 2 3" xfId="25198" xr:uid="{86B5449E-A71C-4452-B0AD-7706F0E6EF03}"/>
    <cellStyle name="20% - Accent1 3 2 5 2 2 4" xfId="33638" xr:uid="{9729733C-02F1-4E18-B6AA-570D0564F87A}"/>
    <cellStyle name="20% - Accent1 3 2 5 2 3" xfId="12540" xr:uid="{8E5C0B18-5033-48FE-BD9E-FB65F24F383C}"/>
    <cellStyle name="20% - Accent1 3 2 5 2 4" xfId="20981" xr:uid="{A8114F66-66C6-48B9-A147-355687E56FC4}"/>
    <cellStyle name="20% - Accent1 3 2 5 2 5" xfId="29421" xr:uid="{7BB763B0-871A-480B-BB05-DEC730013730}"/>
    <cellStyle name="20% - Accent1 3 2 5 3" xfId="6163" xr:uid="{00000000-0005-0000-0000-000063000000}"/>
    <cellStyle name="20% - Accent1 3 2 5 3 2" xfId="14613" xr:uid="{56515712-5A08-4734-B4D7-C2D2093152EC}"/>
    <cellStyle name="20% - Accent1 3 2 5 3 3" xfId="23053" xr:uid="{306AF9B4-31F7-4F74-A2D0-38DFAD7F2E34}"/>
    <cellStyle name="20% - Accent1 3 2 5 3 4" xfId="31493" xr:uid="{4A3E96B8-D9B1-47D0-86DA-30B7A1EB9B5A}"/>
    <cellStyle name="20% - Accent1 3 2 5 4" xfId="10395" xr:uid="{D1AB46AC-5C5D-434A-8D1F-A4F2CA4DF91C}"/>
    <cellStyle name="20% - Accent1 3 2 5 5" xfId="18836" xr:uid="{AB7861B3-C513-4A5F-A9C0-79804CDFC94C}"/>
    <cellStyle name="20% - Accent1 3 2 5 6" xfId="27276" xr:uid="{0FF51160-3B90-4CFB-877C-85BF19E737E0}"/>
    <cellStyle name="20% - Accent1 3 2 6" xfId="2270" xr:uid="{00000000-0005-0000-0000-000064000000}"/>
    <cellStyle name="20% - Accent1 3 2 6 2" xfId="6576" xr:uid="{00000000-0005-0000-0000-000065000000}"/>
    <cellStyle name="20% - Accent1 3 2 6 2 2" xfId="15026" xr:uid="{EB5F3B3B-1CED-4A8E-B644-88510E08CC20}"/>
    <cellStyle name="20% - Accent1 3 2 6 2 3" xfId="23466" xr:uid="{154ACE87-6D49-4791-A207-56FD403F6F2D}"/>
    <cellStyle name="20% - Accent1 3 2 6 2 4" xfId="31906" xr:uid="{45494770-3DA0-4243-BB73-54A095641036}"/>
    <cellStyle name="20% - Accent1 3 2 6 3" xfId="10808" xr:uid="{3067D736-BC6F-4BEF-8BF2-7250B51873D7}"/>
    <cellStyle name="20% - Accent1 3 2 6 4" xfId="19249" xr:uid="{01239624-1192-43C3-8AC0-17879265B392}"/>
    <cellStyle name="20% - Accent1 3 2 6 5" xfId="27689" xr:uid="{A6C39BBC-3192-4F76-8FAB-31F9F687069F}"/>
    <cellStyle name="20% - Accent1 3 2 7" xfId="4510" xr:uid="{00000000-0005-0000-0000-000066000000}"/>
    <cellStyle name="20% - Accent1 3 2 7 2" xfId="12960" xr:uid="{12AAC58A-8651-4F12-9010-825D70D8DC54}"/>
    <cellStyle name="20% - Accent1 3 2 7 3" xfId="21400" xr:uid="{B47B2B38-B32E-4A0F-8CA3-2DE32E95C5CE}"/>
    <cellStyle name="20% - Accent1 3 2 7 4" xfId="29840" xr:uid="{D8BAF2F5-464A-47DC-8035-F8DDC2A85808}"/>
    <cellStyle name="20% - Accent1 3 2 8" xfId="8742" xr:uid="{5C3BF765-C2C0-48F0-8016-89EDFFEB0880}"/>
    <cellStyle name="20% - Accent1 3 2 9" xfId="17183" xr:uid="{F31CE19E-7A16-405E-9D8F-099C81B1B1B5}"/>
    <cellStyle name="20% - Accent1 3 3" xfId="575" xr:uid="{00000000-0005-0000-0000-000067000000}"/>
    <cellStyle name="20% - Accent1 3 3 2" xfId="2846" xr:uid="{00000000-0005-0000-0000-000068000000}"/>
    <cellStyle name="20% - Accent1 3 3 2 2" xfId="7068" xr:uid="{00000000-0005-0000-0000-000069000000}"/>
    <cellStyle name="20% - Accent1 3 3 2 2 2" xfId="15518" xr:uid="{0B934436-A1E5-4EFF-B665-C261158C78B5}"/>
    <cellStyle name="20% - Accent1 3 3 2 2 3" xfId="23958" xr:uid="{180E1951-2672-46C4-81CC-A2ED8D8192CC}"/>
    <cellStyle name="20% - Accent1 3 3 2 2 4" xfId="32398" xr:uid="{6F8D6601-4023-4EC2-BAB0-EC4B24911601}"/>
    <cellStyle name="20% - Accent1 3 3 2 3" xfId="11300" xr:uid="{13510F30-E885-4981-815F-21A3D79EAF09}"/>
    <cellStyle name="20% - Accent1 3 3 2 4" xfId="19741" xr:uid="{36443BC8-0104-4412-8710-97A3352FAB29}"/>
    <cellStyle name="20% - Accent1 3 3 2 5" xfId="28181" xr:uid="{D06CE17A-CFFC-42E5-80C3-3170F4A02D73}"/>
    <cellStyle name="20% - Accent1 3 3 3" xfId="4923" xr:uid="{00000000-0005-0000-0000-00006A000000}"/>
    <cellStyle name="20% - Accent1 3 3 3 2" xfId="13373" xr:uid="{BE410F60-FC1A-4C8B-8965-9CDEEF2E26DD}"/>
    <cellStyle name="20% - Accent1 3 3 3 3" xfId="21813" xr:uid="{DACEE006-7339-4333-90F9-76E145B4C137}"/>
    <cellStyle name="20% - Accent1 3 3 3 4" xfId="30253" xr:uid="{F521177D-D279-4E0A-92D5-06052D3D90C4}"/>
    <cellStyle name="20% - Accent1 3 3 4" xfId="9155" xr:uid="{8BF89491-79D5-4E85-B748-EEC6A395EFDC}"/>
    <cellStyle name="20% - Accent1 3 3 5" xfId="17596" xr:uid="{5080FDF6-ECE0-49BC-BDE6-DDB60EA6BE36}"/>
    <cellStyle name="20% - Accent1 3 3 6" xfId="26036" xr:uid="{69D48A55-8A30-4BCB-ABB5-DE516CB1F6D5}"/>
    <cellStyle name="20% - Accent1 3 4" xfId="1028" xr:uid="{00000000-0005-0000-0000-00006B000000}"/>
    <cellStyle name="20% - Accent1 3 4 2" xfId="3259" xr:uid="{00000000-0005-0000-0000-00006C000000}"/>
    <cellStyle name="20% - Accent1 3 4 2 2" xfId="7481" xr:uid="{00000000-0005-0000-0000-00006D000000}"/>
    <cellStyle name="20% - Accent1 3 4 2 2 2" xfId="15931" xr:uid="{EDEF8AF2-B90B-43C5-9631-F6ECDBB55F6B}"/>
    <cellStyle name="20% - Accent1 3 4 2 2 3" xfId="24371" xr:uid="{127D3DA2-30EB-46F1-A1AF-9B264531F17C}"/>
    <cellStyle name="20% - Accent1 3 4 2 2 4" xfId="32811" xr:uid="{93A718EE-99F0-45E3-A065-1FACE66BA08D}"/>
    <cellStyle name="20% - Accent1 3 4 2 3" xfId="11713" xr:uid="{578AD7B2-21A3-4F96-B26D-F417665EC360}"/>
    <cellStyle name="20% - Accent1 3 4 2 4" xfId="20154" xr:uid="{8E77CF88-61EB-4EDD-AB5B-31D760762130}"/>
    <cellStyle name="20% - Accent1 3 4 2 5" xfId="28594" xr:uid="{C3342DA7-405A-49EE-82AF-3066BA884563}"/>
    <cellStyle name="20% - Accent1 3 4 3" xfId="5336" xr:uid="{00000000-0005-0000-0000-00006E000000}"/>
    <cellStyle name="20% - Accent1 3 4 3 2" xfId="13786" xr:uid="{ED014203-33A9-420B-AA0D-D24C5F75AFAE}"/>
    <cellStyle name="20% - Accent1 3 4 3 3" xfId="22226" xr:uid="{4C66A1A4-23F4-4987-A2A1-0DA06907664E}"/>
    <cellStyle name="20% - Accent1 3 4 3 4" xfId="30666" xr:uid="{1CE43A49-F721-4BFF-950D-E15CF3589FEE}"/>
    <cellStyle name="20% - Accent1 3 4 4" xfId="9568" xr:uid="{E175C60F-BCE4-49A8-8891-B2837310C315}"/>
    <cellStyle name="20% - Accent1 3 4 5" xfId="18009" xr:uid="{D6C3D6F9-47F5-41C1-AFE2-9A8F217FA078}"/>
    <cellStyle name="20% - Accent1 3 4 6" xfId="26449" xr:uid="{9DE893CA-96B8-4E6B-82B6-A5B739AC6250}"/>
    <cellStyle name="20% - Accent1 3 5" xfId="1442" xr:uid="{00000000-0005-0000-0000-00006F000000}"/>
    <cellStyle name="20% - Accent1 3 5 2" xfId="3672" xr:uid="{00000000-0005-0000-0000-000070000000}"/>
    <cellStyle name="20% - Accent1 3 5 2 2" xfId="7894" xr:uid="{00000000-0005-0000-0000-000071000000}"/>
    <cellStyle name="20% - Accent1 3 5 2 2 2" xfId="16344" xr:uid="{052A4EED-4DCE-4C12-927A-B43AC73B73E2}"/>
    <cellStyle name="20% - Accent1 3 5 2 2 3" xfId="24784" xr:uid="{AE409467-EBD9-4EE9-8694-C87C48DAA609}"/>
    <cellStyle name="20% - Accent1 3 5 2 2 4" xfId="33224" xr:uid="{7E9BC6E4-05DD-4E0A-BF01-1A5B56F30445}"/>
    <cellStyle name="20% - Accent1 3 5 2 3" xfId="12126" xr:uid="{31359BF4-85B9-4347-8CA1-3D0E6873ABEA}"/>
    <cellStyle name="20% - Accent1 3 5 2 4" xfId="20567" xr:uid="{6491C161-070F-42B2-9AD7-FA0B04E04692}"/>
    <cellStyle name="20% - Accent1 3 5 2 5" xfId="29007" xr:uid="{1C9A38F2-3AFC-4810-AC40-AC7935E8679C}"/>
    <cellStyle name="20% - Accent1 3 5 3" xfId="5749" xr:uid="{00000000-0005-0000-0000-000072000000}"/>
    <cellStyle name="20% - Accent1 3 5 3 2" xfId="14199" xr:uid="{8286096F-14D4-4E5F-BF01-73A31FEB81D2}"/>
    <cellStyle name="20% - Accent1 3 5 3 3" xfId="22639" xr:uid="{E2397CC8-4168-49BB-9FCF-CC104402EF3C}"/>
    <cellStyle name="20% - Accent1 3 5 3 4" xfId="31079" xr:uid="{FC4D55C3-5580-4912-8DE0-CC713F45FAA0}"/>
    <cellStyle name="20% - Accent1 3 5 4" xfId="9981" xr:uid="{9A5DF0EF-587C-45F0-9244-95E9A0A6E4F6}"/>
    <cellStyle name="20% - Accent1 3 5 5" xfId="18422" xr:uid="{4E8E1C5D-9214-4ED7-AE72-E8670BB12016}"/>
    <cellStyle name="20% - Accent1 3 5 6" xfId="26862" xr:uid="{3D1057B1-7DC5-451B-A322-E95EA7EFF87A}"/>
    <cellStyle name="20% - Accent1 3 6" xfId="1856" xr:uid="{00000000-0005-0000-0000-000073000000}"/>
    <cellStyle name="20% - Accent1 3 6 2" xfId="4085" xr:uid="{00000000-0005-0000-0000-000074000000}"/>
    <cellStyle name="20% - Accent1 3 6 2 2" xfId="8307" xr:uid="{00000000-0005-0000-0000-000075000000}"/>
    <cellStyle name="20% - Accent1 3 6 2 2 2" xfId="16757" xr:uid="{8622BE62-2A15-4447-A881-748B66FC2C6B}"/>
    <cellStyle name="20% - Accent1 3 6 2 2 3" xfId="25197" xr:uid="{CFEC4CAD-E077-4459-9D2D-A53CDCB19CEB}"/>
    <cellStyle name="20% - Accent1 3 6 2 2 4" xfId="33637" xr:uid="{1B211A0A-84D3-439A-9B4D-F9F49D5A474F}"/>
    <cellStyle name="20% - Accent1 3 6 2 3" xfId="12539" xr:uid="{E48FC34B-2383-4D51-B66E-A87A29E83FF0}"/>
    <cellStyle name="20% - Accent1 3 6 2 4" xfId="20980" xr:uid="{95A515C0-FA94-4D65-AF2A-DD5C5B497B70}"/>
    <cellStyle name="20% - Accent1 3 6 2 5" xfId="29420" xr:uid="{54F0621E-8A5B-4A22-B9C2-D449DB2F5B0F}"/>
    <cellStyle name="20% - Accent1 3 6 3" xfId="6162" xr:uid="{00000000-0005-0000-0000-000076000000}"/>
    <cellStyle name="20% - Accent1 3 6 3 2" xfId="14612" xr:uid="{912D8A63-ECB5-4D2F-9D2F-68F4E20A501D}"/>
    <cellStyle name="20% - Accent1 3 6 3 3" xfId="23052" xr:uid="{59E0157E-EBA9-4B5C-8D5B-02E352311674}"/>
    <cellStyle name="20% - Accent1 3 6 3 4" xfId="31492" xr:uid="{D61D8A76-5CE1-4FA3-9FF6-12136E363159}"/>
    <cellStyle name="20% - Accent1 3 6 4" xfId="10394" xr:uid="{4AE0EF3F-BD43-42AD-B7D9-3AB90AAFE69F}"/>
    <cellStyle name="20% - Accent1 3 6 5" xfId="18835" xr:uid="{99AE1835-8BC0-4CCE-AC27-FE1CC70DF2BC}"/>
    <cellStyle name="20% - Accent1 3 6 6" xfId="27275" xr:uid="{597F657A-CE4D-4D0D-9CBF-447A87E800A9}"/>
    <cellStyle name="20% - Accent1 3 7" xfId="2269" xr:uid="{00000000-0005-0000-0000-000077000000}"/>
    <cellStyle name="20% - Accent1 3 7 2" xfId="6575" xr:uid="{00000000-0005-0000-0000-000078000000}"/>
    <cellStyle name="20% - Accent1 3 7 2 2" xfId="15025" xr:uid="{E41F64ED-6DAE-4B5F-8080-14252602885D}"/>
    <cellStyle name="20% - Accent1 3 7 2 3" xfId="23465" xr:uid="{E3EFF6E9-9744-425C-BA49-39FA9B275A14}"/>
    <cellStyle name="20% - Accent1 3 7 2 4" xfId="31905" xr:uid="{590E2D2F-89B1-412F-B7DB-086C3A443082}"/>
    <cellStyle name="20% - Accent1 3 7 3" xfId="10807" xr:uid="{93961B6B-9DE8-4617-8B3E-621B73684C5F}"/>
    <cellStyle name="20% - Accent1 3 7 4" xfId="19248" xr:uid="{C13C4061-03D2-439F-A7CD-A997F99A07D7}"/>
    <cellStyle name="20% - Accent1 3 7 5" xfId="27688" xr:uid="{474EA793-DDE1-4905-8B4E-379E18BE8A8D}"/>
    <cellStyle name="20% - Accent1 3 8" xfId="4509" xr:uid="{00000000-0005-0000-0000-000079000000}"/>
    <cellStyle name="20% - Accent1 3 8 2" xfId="12959" xr:uid="{CA9AE792-FB29-4471-8AF6-8CD4A4C13079}"/>
    <cellStyle name="20% - Accent1 3 8 3" xfId="21399" xr:uid="{8C3F66E7-4985-4EA6-9C23-37A6084B046B}"/>
    <cellStyle name="20% - Accent1 3 8 4" xfId="29839" xr:uid="{0604E84A-D969-4915-A0D1-28B014C3AECB}"/>
    <cellStyle name="20% - Accent1 3 9" xfId="8741" xr:uid="{40E655B2-8FA6-4EDE-B98C-09F371150636}"/>
    <cellStyle name="20% - Accent1 4" xfId="8" xr:uid="{00000000-0005-0000-0000-00007A000000}"/>
    <cellStyle name="20% - Accent1 4 10" xfId="25624" xr:uid="{AD2C2B3D-E3EB-4513-9519-8265591D2BCC}"/>
    <cellStyle name="20% - Accent1 4 2" xfId="577" xr:uid="{00000000-0005-0000-0000-00007B000000}"/>
    <cellStyle name="20% - Accent1 4 2 2" xfId="2848" xr:uid="{00000000-0005-0000-0000-00007C000000}"/>
    <cellStyle name="20% - Accent1 4 2 2 2" xfId="7070" xr:uid="{00000000-0005-0000-0000-00007D000000}"/>
    <cellStyle name="20% - Accent1 4 2 2 2 2" xfId="15520" xr:uid="{9CED0F42-3BE4-4DF2-8ED3-5CB4E7E14E66}"/>
    <cellStyle name="20% - Accent1 4 2 2 2 3" xfId="23960" xr:uid="{849D5774-66A8-4222-AE38-469FBEA450E4}"/>
    <cellStyle name="20% - Accent1 4 2 2 2 4" xfId="32400" xr:uid="{CA4D6434-11D5-488D-AA94-8BF8195AFC62}"/>
    <cellStyle name="20% - Accent1 4 2 2 3" xfId="11302" xr:uid="{20688DDE-12D5-4392-BD75-6FEDC9937D4C}"/>
    <cellStyle name="20% - Accent1 4 2 2 4" xfId="19743" xr:uid="{EB9D3607-717D-4D94-977F-F460D5728090}"/>
    <cellStyle name="20% - Accent1 4 2 2 5" xfId="28183" xr:uid="{E9C12BF0-0689-4184-81FA-CDC278712B2D}"/>
    <cellStyle name="20% - Accent1 4 2 3" xfId="4925" xr:uid="{00000000-0005-0000-0000-00007E000000}"/>
    <cellStyle name="20% - Accent1 4 2 3 2" xfId="13375" xr:uid="{6D3732BC-222D-4880-ADC8-15160064E990}"/>
    <cellStyle name="20% - Accent1 4 2 3 3" xfId="21815" xr:uid="{06217545-3D16-4FF7-9672-9C2859D109DE}"/>
    <cellStyle name="20% - Accent1 4 2 3 4" xfId="30255" xr:uid="{6E1CAA8B-F607-495A-9231-DE603DAD6CA1}"/>
    <cellStyle name="20% - Accent1 4 2 4" xfId="9157" xr:uid="{B77F27C5-5536-48E9-BD9D-FFB7DCA13049}"/>
    <cellStyle name="20% - Accent1 4 2 5" xfId="17598" xr:uid="{B3C6959E-E50B-4948-833E-C279CFFC1AD1}"/>
    <cellStyle name="20% - Accent1 4 2 6" xfId="26038" xr:uid="{35639DA1-6FFD-442D-B5E0-2F4158B6CFCA}"/>
    <cellStyle name="20% - Accent1 4 3" xfId="1030" xr:uid="{00000000-0005-0000-0000-00007F000000}"/>
    <cellStyle name="20% - Accent1 4 3 2" xfId="3261" xr:uid="{00000000-0005-0000-0000-000080000000}"/>
    <cellStyle name="20% - Accent1 4 3 2 2" xfId="7483" xr:uid="{00000000-0005-0000-0000-000081000000}"/>
    <cellStyle name="20% - Accent1 4 3 2 2 2" xfId="15933" xr:uid="{A2EA2158-41EA-49E3-9720-4E87C4BB6541}"/>
    <cellStyle name="20% - Accent1 4 3 2 2 3" xfId="24373" xr:uid="{36ED414A-C268-4B5A-90E2-8952F0DDFF13}"/>
    <cellStyle name="20% - Accent1 4 3 2 2 4" xfId="32813" xr:uid="{34AB8FFB-D9D0-40A2-B82C-555AAD2E9327}"/>
    <cellStyle name="20% - Accent1 4 3 2 3" xfId="11715" xr:uid="{A16437C8-8CFB-4E01-9C58-575DE8F1275C}"/>
    <cellStyle name="20% - Accent1 4 3 2 4" xfId="20156" xr:uid="{78D13866-CE4C-4457-981C-EDC99C672802}"/>
    <cellStyle name="20% - Accent1 4 3 2 5" xfId="28596" xr:uid="{FEABA973-BA59-4212-AC90-F63BE29B20BF}"/>
    <cellStyle name="20% - Accent1 4 3 3" xfId="5338" xr:uid="{00000000-0005-0000-0000-000082000000}"/>
    <cellStyle name="20% - Accent1 4 3 3 2" xfId="13788" xr:uid="{4A0A4D07-0022-4152-B299-741C07CAB53C}"/>
    <cellStyle name="20% - Accent1 4 3 3 3" xfId="22228" xr:uid="{3AD79D3F-CCB8-419C-ACF8-4C4F5F411744}"/>
    <cellStyle name="20% - Accent1 4 3 3 4" xfId="30668" xr:uid="{9CE51506-E96B-4BBF-A19A-4EADDAB37F49}"/>
    <cellStyle name="20% - Accent1 4 3 4" xfId="9570" xr:uid="{E35BDDA4-06FB-42F7-8AF9-2A992F4722BB}"/>
    <cellStyle name="20% - Accent1 4 3 5" xfId="18011" xr:uid="{A059B2CB-5AC7-4376-B2B6-42CE9AA2844A}"/>
    <cellStyle name="20% - Accent1 4 3 6" xfId="26451" xr:uid="{EE692CB5-8083-4D4B-B258-2FD1827D3EF5}"/>
    <cellStyle name="20% - Accent1 4 4" xfId="1444" xr:uid="{00000000-0005-0000-0000-000083000000}"/>
    <cellStyle name="20% - Accent1 4 4 2" xfId="3674" xr:uid="{00000000-0005-0000-0000-000084000000}"/>
    <cellStyle name="20% - Accent1 4 4 2 2" xfId="7896" xr:uid="{00000000-0005-0000-0000-000085000000}"/>
    <cellStyle name="20% - Accent1 4 4 2 2 2" xfId="16346" xr:uid="{E02E21FA-6937-45F4-825F-9F487E10E633}"/>
    <cellStyle name="20% - Accent1 4 4 2 2 3" xfId="24786" xr:uid="{5E143348-A2E5-4ABE-985F-BFD96009EC4E}"/>
    <cellStyle name="20% - Accent1 4 4 2 2 4" xfId="33226" xr:uid="{94A84B29-E1EE-4978-B96D-031915E21F7A}"/>
    <cellStyle name="20% - Accent1 4 4 2 3" xfId="12128" xr:uid="{B253BD2A-A021-4F9A-BFCC-BD4585CC4686}"/>
    <cellStyle name="20% - Accent1 4 4 2 4" xfId="20569" xr:uid="{AA4CB7DC-982C-428C-B38A-02F9C4095632}"/>
    <cellStyle name="20% - Accent1 4 4 2 5" xfId="29009" xr:uid="{D8EB5115-8159-4B19-A67A-0E86F473C1D6}"/>
    <cellStyle name="20% - Accent1 4 4 3" xfId="5751" xr:uid="{00000000-0005-0000-0000-000086000000}"/>
    <cellStyle name="20% - Accent1 4 4 3 2" xfId="14201" xr:uid="{60C26EA0-DF50-47CD-93CA-6F412C06FC94}"/>
    <cellStyle name="20% - Accent1 4 4 3 3" xfId="22641" xr:uid="{0D0A69F4-45AB-42DB-96D7-352AB071E1C7}"/>
    <cellStyle name="20% - Accent1 4 4 3 4" xfId="31081" xr:uid="{FB397634-97C8-41D6-9756-9DE7598C1A6F}"/>
    <cellStyle name="20% - Accent1 4 4 4" xfId="9983" xr:uid="{05602D9A-96A2-40DD-9006-0D330AA16016}"/>
    <cellStyle name="20% - Accent1 4 4 5" xfId="18424" xr:uid="{A05EFBEC-91F2-4A88-B987-7F67F15229FF}"/>
    <cellStyle name="20% - Accent1 4 4 6" xfId="26864" xr:uid="{713C34C6-37B3-42A6-91A4-B2CC6CB6F0B4}"/>
    <cellStyle name="20% - Accent1 4 5" xfId="1858" xr:uid="{00000000-0005-0000-0000-000087000000}"/>
    <cellStyle name="20% - Accent1 4 5 2" xfId="4087" xr:uid="{00000000-0005-0000-0000-000088000000}"/>
    <cellStyle name="20% - Accent1 4 5 2 2" xfId="8309" xr:uid="{00000000-0005-0000-0000-000089000000}"/>
    <cellStyle name="20% - Accent1 4 5 2 2 2" xfId="16759" xr:uid="{22D34432-23D9-490A-B4DD-A7D3436AD5C4}"/>
    <cellStyle name="20% - Accent1 4 5 2 2 3" xfId="25199" xr:uid="{4466E98F-6D20-46BC-83B3-350634EF655F}"/>
    <cellStyle name="20% - Accent1 4 5 2 2 4" xfId="33639" xr:uid="{01C86CF5-620B-4D66-BEAD-D52ECEBF6C72}"/>
    <cellStyle name="20% - Accent1 4 5 2 3" xfId="12541" xr:uid="{A0528AE3-0B35-4BF6-832E-66095177F509}"/>
    <cellStyle name="20% - Accent1 4 5 2 4" xfId="20982" xr:uid="{0B0996C7-4466-4985-B9FB-A4F26E54B825}"/>
    <cellStyle name="20% - Accent1 4 5 2 5" xfId="29422" xr:uid="{3D3AF85F-C858-421F-9C5B-54C9323259FA}"/>
    <cellStyle name="20% - Accent1 4 5 3" xfId="6164" xr:uid="{00000000-0005-0000-0000-00008A000000}"/>
    <cellStyle name="20% - Accent1 4 5 3 2" xfId="14614" xr:uid="{AC40C134-656A-4EA8-B563-2E380B6A2BD4}"/>
    <cellStyle name="20% - Accent1 4 5 3 3" xfId="23054" xr:uid="{60B24F53-B223-49C1-BDDB-920F05059994}"/>
    <cellStyle name="20% - Accent1 4 5 3 4" xfId="31494" xr:uid="{17E23B62-CB95-487E-8B2C-12CCB9BDFF46}"/>
    <cellStyle name="20% - Accent1 4 5 4" xfId="10396" xr:uid="{D423E55D-3CD5-40F7-9AFC-9153ADD2D564}"/>
    <cellStyle name="20% - Accent1 4 5 5" xfId="18837" xr:uid="{D8B1C8BA-60AA-4C72-B5DC-326B0C97240E}"/>
    <cellStyle name="20% - Accent1 4 5 6" xfId="27277" xr:uid="{B8B6AEE5-4C00-4D34-9C4A-E6552D1F5D65}"/>
    <cellStyle name="20% - Accent1 4 6" xfId="2271" xr:uid="{00000000-0005-0000-0000-00008B000000}"/>
    <cellStyle name="20% - Accent1 4 6 2" xfId="6577" xr:uid="{00000000-0005-0000-0000-00008C000000}"/>
    <cellStyle name="20% - Accent1 4 6 2 2" xfId="15027" xr:uid="{A5CE70D6-AA73-4070-AF05-4F98E005C353}"/>
    <cellStyle name="20% - Accent1 4 6 2 3" xfId="23467" xr:uid="{D0CB4A6D-1739-4975-BC15-44F664866CC4}"/>
    <cellStyle name="20% - Accent1 4 6 2 4" xfId="31907" xr:uid="{74269311-F630-40AE-9B20-C10C151FF478}"/>
    <cellStyle name="20% - Accent1 4 6 3" xfId="10809" xr:uid="{5D3D1980-4167-4FF5-81A2-67B75D64327E}"/>
    <cellStyle name="20% - Accent1 4 6 4" xfId="19250" xr:uid="{A5CBDEBB-121B-4EA5-8726-B8283F712F96}"/>
    <cellStyle name="20% - Accent1 4 6 5" xfId="27690" xr:uid="{E9EA4389-761F-4A1E-A12D-AD99F9FE4EA6}"/>
    <cellStyle name="20% - Accent1 4 7" xfId="4511" xr:uid="{00000000-0005-0000-0000-00008D000000}"/>
    <cellStyle name="20% - Accent1 4 7 2" xfId="12961" xr:uid="{78B9E059-62E7-47DC-B885-39B13570D517}"/>
    <cellStyle name="20% - Accent1 4 7 3" xfId="21401" xr:uid="{829446DE-F639-43A6-9541-41B884DCAB75}"/>
    <cellStyle name="20% - Accent1 4 7 4" xfId="29841" xr:uid="{44561094-CC46-46D5-A5F6-B50C161EEA4E}"/>
    <cellStyle name="20% - Accent1 4 8" xfId="8743" xr:uid="{E8C9270E-EA42-4F4B-8B37-0813E9114E4A}"/>
    <cellStyle name="20% - Accent1 4 9" xfId="17184" xr:uid="{FDA80C1A-793A-4BCC-BFD6-C9B3B4B900DB}"/>
    <cellStyle name="20% - Accent1 5" xfId="570" xr:uid="{00000000-0005-0000-0000-00008E000000}"/>
    <cellStyle name="20% - Accent1 5 2" xfId="2841" xr:uid="{00000000-0005-0000-0000-00008F000000}"/>
    <cellStyle name="20% - Accent1 5 2 2" xfId="7063" xr:uid="{00000000-0005-0000-0000-000090000000}"/>
    <cellStyle name="20% - Accent1 5 2 2 2" xfId="15513" xr:uid="{C22DEA44-7851-4B82-A7C9-3D80F9510D98}"/>
    <cellStyle name="20% - Accent1 5 2 2 3" xfId="23953" xr:uid="{8DA46051-3A05-4A3A-87FA-C88AB187C0CB}"/>
    <cellStyle name="20% - Accent1 5 2 2 4" xfId="32393" xr:uid="{E13BEAD0-B4F4-4D2B-8D0D-5150420E7935}"/>
    <cellStyle name="20% - Accent1 5 2 3" xfId="11295" xr:uid="{7CCC27EE-0451-4D84-A599-2E651BA5C05E}"/>
    <cellStyle name="20% - Accent1 5 2 4" xfId="19736" xr:uid="{4ACBE38F-E8B2-4583-B91B-C13F1B9462BA}"/>
    <cellStyle name="20% - Accent1 5 2 5" xfId="28176" xr:uid="{C56B857D-CD3C-4795-96B5-3310B4EDD4D1}"/>
    <cellStyle name="20% - Accent1 5 3" xfId="4918" xr:uid="{00000000-0005-0000-0000-000091000000}"/>
    <cellStyle name="20% - Accent1 5 3 2" xfId="13368" xr:uid="{7B8E2C5B-A2A9-4335-A19A-420CFFF43AAE}"/>
    <cellStyle name="20% - Accent1 5 3 3" xfId="21808" xr:uid="{D8A5807C-7FF3-453D-B3C5-6E62EAAA1AF8}"/>
    <cellStyle name="20% - Accent1 5 3 4" xfId="30248" xr:uid="{1029DCDF-B87A-4CF7-858F-151AAC3046FD}"/>
    <cellStyle name="20% - Accent1 5 4" xfId="9150" xr:uid="{FE268DFF-6E69-4C7F-B75A-5D75C4AFAF47}"/>
    <cellStyle name="20% - Accent1 5 5" xfId="17591" xr:uid="{1E8909C8-D038-40B1-841E-B84815ED59E1}"/>
    <cellStyle name="20% - Accent1 5 6" xfId="26031" xr:uid="{C45EA112-49A1-4A0B-A720-2396BE10B324}"/>
    <cellStyle name="20% - Accent1 6" xfId="1023" xr:uid="{00000000-0005-0000-0000-000092000000}"/>
    <cellStyle name="20% - Accent1 6 2" xfId="3254" xr:uid="{00000000-0005-0000-0000-000093000000}"/>
    <cellStyle name="20% - Accent1 6 2 2" xfId="7476" xr:uid="{00000000-0005-0000-0000-000094000000}"/>
    <cellStyle name="20% - Accent1 6 2 2 2" xfId="15926" xr:uid="{402F37B7-09C9-4C83-90F1-EE83D0E9EF0F}"/>
    <cellStyle name="20% - Accent1 6 2 2 3" xfId="24366" xr:uid="{9A54A548-D802-4F2D-AE2F-B6F56A24EF07}"/>
    <cellStyle name="20% - Accent1 6 2 2 4" xfId="32806" xr:uid="{31C15836-547E-42B3-9EAC-E18D4D24EB6A}"/>
    <cellStyle name="20% - Accent1 6 2 3" xfId="11708" xr:uid="{5E0880E9-A49A-4EEE-986F-21DA2435BE26}"/>
    <cellStyle name="20% - Accent1 6 2 4" xfId="20149" xr:uid="{5760F541-A8D1-41FE-94DB-D31EC0046810}"/>
    <cellStyle name="20% - Accent1 6 2 5" xfId="28589" xr:uid="{4205E5E7-67A2-4A84-938B-15D387DA432A}"/>
    <cellStyle name="20% - Accent1 6 3" xfId="5331" xr:uid="{00000000-0005-0000-0000-000095000000}"/>
    <cellStyle name="20% - Accent1 6 3 2" xfId="13781" xr:uid="{1F5A3FFD-133A-4512-96D5-33C0D3CF6CF6}"/>
    <cellStyle name="20% - Accent1 6 3 3" xfId="22221" xr:uid="{62241EF4-412C-43B3-82BE-F11DF5F7B66B}"/>
    <cellStyle name="20% - Accent1 6 3 4" xfId="30661" xr:uid="{D04E4952-D9DA-4BCE-B556-1A0B1FBC655F}"/>
    <cellStyle name="20% - Accent1 6 4" xfId="9563" xr:uid="{4B3DBCF9-EFDF-471C-9C26-A792AFF8DF16}"/>
    <cellStyle name="20% - Accent1 6 5" xfId="18004" xr:uid="{7887F7E3-36FB-480A-BE00-0846BEF7675D}"/>
    <cellStyle name="20% - Accent1 6 6" xfId="26444" xr:uid="{5A06CCCE-06E6-4592-8958-FA8DFF02AB38}"/>
    <cellStyle name="20% - Accent1 7" xfId="1437" xr:uid="{00000000-0005-0000-0000-000096000000}"/>
    <cellStyle name="20% - Accent1 7 2" xfId="3667" xr:uid="{00000000-0005-0000-0000-000097000000}"/>
    <cellStyle name="20% - Accent1 7 2 2" xfId="7889" xr:uid="{00000000-0005-0000-0000-000098000000}"/>
    <cellStyle name="20% - Accent1 7 2 2 2" xfId="16339" xr:uid="{E8F49E85-6C4C-4E6F-8D2F-A1955F7635D4}"/>
    <cellStyle name="20% - Accent1 7 2 2 3" xfId="24779" xr:uid="{B24B54A7-1507-468B-ABCD-3FE1BF54BA16}"/>
    <cellStyle name="20% - Accent1 7 2 2 4" xfId="33219" xr:uid="{6272FA61-6D37-4F48-ABBE-D2FB387277A5}"/>
    <cellStyle name="20% - Accent1 7 2 3" xfId="12121" xr:uid="{170210DC-060F-4991-AAC5-82309DFAA339}"/>
    <cellStyle name="20% - Accent1 7 2 4" xfId="20562" xr:uid="{097CEB8C-2AE6-4324-9C65-5FADB4B89F38}"/>
    <cellStyle name="20% - Accent1 7 2 5" xfId="29002" xr:uid="{9CFE4257-34F5-4D01-A59D-CAFC189EE2E9}"/>
    <cellStyle name="20% - Accent1 7 3" xfId="5744" xr:uid="{00000000-0005-0000-0000-000099000000}"/>
    <cellStyle name="20% - Accent1 7 3 2" xfId="14194" xr:uid="{84903E96-B420-484D-AD1C-FDC652C9002D}"/>
    <cellStyle name="20% - Accent1 7 3 3" xfId="22634" xr:uid="{0C9FE812-345C-4395-9B3C-3778694186F0}"/>
    <cellStyle name="20% - Accent1 7 3 4" xfId="31074" xr:uid="{8286F230-4EA5-4D6A-8B87-6752B69CBB07}"/>
    <cellStyle name="20% - Accent1 7 4" xfId="9976" xr:uid="{1BACA91E-3CAA-4CBD-A91B-97C12E9EE13B}"/>
    <cellStyle name="20% - Accent1 7 5" xfId="18417" xr:uid="{F5C50D65-73B8-4D0C-AF65-F498EDF08110}"/>
    <cellStyle name="20% - Accent1 7 6" xfId="26857" xr:uid="{86FCFF3E-36F0-436E-8F74-07BD296A52E7}"/>
    <cellStyle name="20% - Accent1 8" xfId="1851" xr:uid="{00000000-0005-0000-0000-00009A000000}"/>
    <cellStyle name="20% - Accent1 8 2" xfId="4080" xr:uid="{00000000-0005-0000-0000-00009B000000}"/>
    <cellStyle name="20% - Accent1 8 2 2" xfId="8302" xr:uid="{00000000-0005-0000-0000-00009C000000}"/>
    <cellStyle name="20% - Accent1 8 2 2 2" xfId="16752" xr:uid="{34BDE978-DBDD-4130-9024-31737BB564E4}"/>
    <cellStyle name="20% - Accent1 8 2 2 3" xfId="25192" xr:uid="{A90AE746-BCA3-4E65-88DA-D1646E3A52A2}"/>
    <cellStyle name="20% - Accent1 8 2 2 4" xfId="33632" xr:uid="{2A95921D-CBD7-436A-B6B5-531F591876BC}"/>
    <cellStyle name="20% - Accent1 8 2 3" xfId="12534" xr:uid="{294E7600-E491-4A96-BF31-9305003EE3B6}"/>
    <cellStyle name="20% - Accent1 8 2 4" xfId="20975" xr:uid="{DD46C821-9D64-49FA-AAC9-9C7599512F84}"/>
    <cellStyle name="20% - Accent1 8 2 5" xfId="29415" xr:uid="{B8919850-6F09-4F83-9F7C-CDF0B7A581C7}"/>
    <cellStyle name="20% - Accent1 8 3" xfId="6157" xr:uid="{00000000-0005-0000-0000-00009D000000}"/>
    <cellStyle name="20% - Accent1 8 3 2" xfId="14607" xr:uid="{D870E2E0-0691-4CD0-B23F-051319D7000D}"/>
    <cellStyle name="20% - Accent1 8 3 3" xfId="23047" xr:uid="{2BCF6AD2-F47F-48B0-BCAA-283D90CB4A59}"/>
    <cellStyle name="20% - Accent1 8 3 4" xfId="31487" xr:uid="{F5CAC130-9056-4EE1-95E2-F5605495AB56}"/>
    <cellStyle name="20% - Accent1 8 4" xfId="10389" xr:uid="{6D30C903-84D2-4747-880A-CB9B32173692}"/>
    <cellStyle name="20% - Accent1 8 5" xfId="18830" xr:uid="{4230B818-0B3E-4D58-A557-ADC5B77E44B4}"/>
    <cellStyle name="20% - Accent1 8 6" xfId="27270" xr:uid="{1B403BD4-2F2D-4D28-8745-E99E4FDBF357}"/>
    <cellStyle name="20% - Accent1 9" xfId="2264" xr:uid="{00000000-0005-0000-0000-00009E000000}"/>
    <cellStyle name="20% - Accent1 9 2" xfId="6570" xr:uid="{00000000-0005-0000-0000-00009F000000}"/>
    <cellStyle name="20% - Accent1 9 2 2" xfId="15020" xr:uid="{118828F3-EB71-4407-94F5-5B6446A388C2}"/>
    <cellStyle name="20% - Accent1 9 2 3" xfId="23460" xr:uid="{2311B5EB-161F-43C9-911A-E54B7FEA1C1A}"/>
    <cellStyle name="20% - Accent1 9 2 4" xfId="31900" xr:uid="{BC129DAB-BE69-4EC4-8A06-AB4178CDBD2E}"/>
    <cellStyle name="20% - Accent1 9 3" xfId="10802" xr:uid="{4C196AB3-AFA8-4900-9614-6C6535A3A913}"/>
    <cellStyle name="20% - Accent1 9 4" xfId="19243" xr:uid="{0CEBBF0A-1A25-470A-B0D5-36437D0B62DF}"/>
    <cellStyle name="20% - Accent1 9 5" xfId="27683" xr:uid="{0EE71F6D-18B0-487F-BCCF-D545191E35AE}"/>
    <cellStyle name="20% - Accent2" xfId="9" builtinId="34" customBuiltin="1"/>
    <cellStyle name="20% - Accent2 10" xfId="4512" xr:uid="{00000000-0005-0000-0000-0000A1000000}"/>
    <cellStyle name="20% - Accent2 10 2" xfId="12962" xr:uid="{857D328C-A59D-47C6-B4D4-A72F3CAA4787}"/>
    <cellStyle name="20% - Accent2 10 3" xfId="21402" xr:uid="{8A5E65AD-AA03-49FE-8207-FC8FC6858665}"/>
    <cellStyle name="20% - Accent2 10 4" xfId="29842" xr:uid="{9BA23170-E270-4718-83F0-06EED87CF575}"/>
    <cellStyle name="20% - Accent2 11" xfId="8744" xr:uid="{3ABF99BF-FB1E-4D62-B09B-B03340F585D0}"/>
    <cellStyle name="20% - Accent2 12" xfId="17185" xr:uid="{522D9B33-F06B-4EFF-8F49-3ACD7ECF9142}"/>
    <cellStyle name="20% - Accent2 13" xfId="25625" xr:uid="{7A0FE361-DD47-45DB-BFA3-23C1813684CF}"/>
    <cellStyle name="20% - Accent2 2" xfId="10" xr:uid="{00000000-0005-0000-0000-0000A2000000}"/>
    <cellStyle name="20% - Accent2 2 10" xfId="8745" xr:uid="{2EB03756-589B-4A13-BCF6-F71C3EAA707D}"/>
    <cellStyle name="20% - Accent2 2 11" xfId="17186" xr:uid="{C1102210-7ED9-4605-AFB6-BC7790896CB1}"/>
    <cellStyle name="20% - Accent2 2 12" xfId="25626" xr:uid="{CC48FEEA-6DB3-4FE9-A8AD-5D6CB714ABA0}"/>
    <cellStyle name="20% - Accent2 2 2" xfId="11" xr:uid="{00000000-0005-0000-0000-0000A3000000}"/>
    <cellStyle name="20% - Accent2 2 2 10" xfId="17187" xr:uid="{C0561016-0C73-4B0C-9707-8040A4F07E3D}"/>
    <cellStyle name="20% - Accent2 2 2 11" xfId="25627" xr:uid="{9215683E-9FB1-483F-A460-8023CE18B793}"/>
    <cellStyle name="20% - Accent2 2 2 2" xfId="12" xr:uid="{00000000-0005-0000-0000-0000A4000000}"/>
    <cellStyle name="20% - Accent2 2 2 2 10" xfId="25628" xr:uid="{9B559E74-A1D2-4EC7-8D72-5B239153CF51}"/>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2 2 2" xfId="15524" xr:uid="{3F4FC8AE-235A-4D7F-BF7C-99138842513B}"/>
    <cellStyle name="20% - Accent2 2 2 2 2 2 2 3" xfId="23964" xr:uid="{43749B8F-C3A8-453C-B8A0-16ADAD1CBB75}"/>
    <cellStyle name="20% - Accent2 2 2 2 2 2 2 4" xfId="32404" xr:uid="{113019B8-D646-4ED7-BFBE-B76EC2D3C3BA}"/>
    <cellStyle name="20% - Accent2 2 2 2 2 2 3" xfId="11306" xr:uid="{8463FA67-5513-4C44-92B2-3BD06CA180C4}"/>
    <cellStyle name="20% - Accent2 2 2 2 2 2 4" xfId="19747" xr:uid="{D1327D67-C1A1-4573-AE05-35813D030427}"/>
    <cellStyle name="20% - Accent2 2 2 2 2 2 5" xfId="28187" xr:uid="{D05BCB0B-E536-49A4-AC4B-27DDE20AFCCE}"/>
    <cellStyle name="20% - Accent2 2 2 2 2 3" xfId="4929" xr:uid="{00000000-0005-0000-0000-0000A8000000}"/>
    <cellStyle name="20% - Accent2 2 2 2 2 3 2" xfId="13379" xr:uid="{E274F0E5-C5B6-4C8A-9678-637755C383F0}"/>
    <cellStyle name="20% - Accent2 2 2 2 2 3 3" xfId="21819" xr:uid="{B6DD3A1B-62BE-43DB-B02B-D69472116741}"/>
    <cellStyle name="20% - Accent2 2 2 2 2 3 4" xfId="30259" xr:uid="{E80CD201-FB44-4A04-9F35-96FA45C5123B}"/>
    <cellStyle name="20% - Accent2 2 2 2 2 4" xfId="9161" xr:uid="{F1FD76D0-9CA1-4B34-B98F-59AB19C4775D}"/>
    <cellStyle name="20% - Accent2 2 2 2 2 5" xfId="17602" xr:uid="{E63FDE0D-B19F-4EBE-B97D-FD33039443D2}"/>
    <cellStyle name="20% - Accent2 2 2 2 2 6" xfId="26042" xr:uid="{6E0523CB-A4F2-4009-B669-D91E22F15603}"/>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2 2 2" xfId="15937" xr:uid="{23106619-60FE-44CA-95AF-0A783F30ECBE}"/>
    <cellStyle name="20% - Accent2 2 2 2 3 2 2 3" xfId="24377" xr:uid="{5444E75F-597B-454E-AB27-AD2CB1BA488E}"/>
    <cellStyle name="20% - Accent2 2 2 2 3 2 2 4" xfId="32817" xr:uid="{CE6CDAE5-CBDA-437A-B020-D0EE2C460D3C}"/>
    <cellStyle name="20% - Accent2 2 2 2 3 2 3" xfId="11719" xr:uid="{B99AD033-8F1B-4088-82D5-35FE6D4DDFDA}"/>
    <cellStyle name="20% - Accent2 2 2 2 3 2 4" xfId="20160" xr:uid="{347C8F2F-7B23-4600-B26E-9754E0F187FF}"/>
    <cellStyle name="20% - Accent2 2 2 2 3 2 5" xfId="28600" xr:uid="{AC26209D-53E1-486C-9714-A8F4DAE91D19}"/>
    <cellStyle name="20% - Accent2 2 2 2 3 3" xfId="5342" xr:uid="{00000000-0005-0000-0000-0000AC000000}"/>
    <cellStyle name="20% - Accent2 2 2 2 3 3 2" xfId="13792" xr:uid="{8546475B-E617-4EA1-B3DB-8A473EB7551E}"/>
    <cellStyle name="20% - Accent2 2 2 2 3 3 3" xfId="22232" xr:uid="{D9154893-66B9-40A7-86DC-C9C08AFD83AD}"/>
    <cellStyle name="20% - Accent2 2 2 2 3 3 4" xfId="30672" xr:uid="{00ADC88E-1B88-444C-B172-607430643F47}"/>
    <cellStyle name="20% - Accent2 2 2 2 3 4" xfId="9574" xr:uid="{C2F22BC2-8297-4FF0-88AF-ABC1CD88F068}"/>
    <cellStyle name="20% - Accent2 2 2 2 3 5" xfId="18015" xr:uid="{06BCD8F0-07D9-4798-901A-CF465018A525}"/>
    <cellStyle name="20% - Accent2 2 2 2 3 6" xfId="26455" xr:uid="{AB797ECC-2E39-4230-8CDD-149B24ADC456}"/>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2 2 2" xfId="16350" xr:uid="{0A95AC92-A75D-4F34-AA7D-51175008EA94}"/>
    <cellStyle name="20% - Accent2 2 2 2 4 2 2 3" xfId="24790" xr:uid="{C92B8D33-BDAB-4C7F-90E1-8A519B2E58E7}"/>
    <cellStyle name="20% - Accent2 2 2 2 4 2 2 4" xfId="33230" xr:uid="{00E7B884-4668-4C2C-A50B-B052DE0F69A4}"/>
    <cellStyle name="20% - Accent2 2 2 2 4 2 3" xfId="12132" xr:uid="{A050EE4B-70E7-4E42-8E14-00EFA542CBBC}"/>
    <cellStyle name="20% - Accent2 2 2 2 4 2 4" xfId="20573" xr:uid="{DEAD0BC0-4877-4394-9096-218B646EB317}"/>
    <cellStyle name="20% - Accent2 2 2 2 4 2 5" xfId="29013" xr:uid="{A6406B7C-3EFB-45CE-A15E-1B735BE2BCD2}"/>
    <cellStyle name="20% - Accent2 2 2 2 4 3" xfId="5755" xr:uid="{00000000-0005-0000-0000-0000B0000000}"/>
    <cellStyle name="20% - Accent2 2 2 2 4 3 2" xfId="14205" xr:uid="{BEB8E724-02AE-4434-B046-4338F80CA3B8}"/>
    <cellStyle name="20% - Accent2 2 2 2 4 3 3" xfId="22645" xr:uid="{6C95B3F4-C418-4357-B26D-53B84176DA15}"/>
    <cellStyle name="20% - Accent2 2 2 2 4 3 4" xfId="31085" xr:uid="{981C3191-672B-4160-8AE8-160DC6953E05}"/>
    <cellStyle name="20% - Accent2 2 2 2 4 4" xfId="9987" xr:uid="{A23286AC-C1E5-4358-88D5-DDB0DC105CA7}"/>
    <cellStyle name="20% - Accent2 2 2 2 4 5" xfId="18428" xr:uid="{9D03C69E-6BA2-4B72-97EB-470028311B94}"/>
    <cellStyle name="20% - Accent2 2 2 2 4 6" xfId="26868" xr:uid="{7D43D0F2-60FB-4DA9-8CB5-923936050266}"/>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2 2 2" xfId="16763" xr:uid="{73671272-F31A-42AD-81D4-E32360165B07}"/>
    <cellStyle name="20% - Accent2 2 2 2 5 2 2 3" xfId="25203" xr:uid="{1750040C-C5CC-4765-B6F0-E58E88E5B532}"/>
    <cellStyle name="20% - Accent2 2 2 2 5 2 2 4" xfId="33643" xr:uid="{B2BBF424-CAEF-4544-9447-55A9FB8E9D9A}"/>
    <cellStyle name="20% - Accent2 2 2 2 5 2 3" xfId="12545" xr:uid="{DB4219B3-DD3A-45DE-8634-79301A39A3D2}"/>
    <cellStyle name="20% - Accent2 2 2 2 5 2 4" xfId="20986" xr:uid="{A20E72CE-07F2-4763-96DC-4D95E747E96E}"/>
    <cellStyle name="20% - Accent2 2 2 2 5 2 5" xfId="29426" xr:uid="{24942CB9-90BF-4C7C-85AC-F0E2034C0C28}"/>
    <cellStyle name="20% - Accent2 2 2 2 5 3" xfId="6168" xr:uid="{00000000-0005-0000-0000-0000B4000000}"/>
    <cellStyle name="20% - Accent2 2 2 2 5 3 2" xfId="14618" xr:uid="{CFB43D73-6938-4F49-839C-0B96D0115EDD}"/>
    <cellStyle name="20% - Accent2 2 2 2 5 3 3" xfId="23058" xr:uid="{7FD9EF1C-50EB-4B32-A0E0-B7A7256DA266}"/>
    <cellStyle name="20% - Accent2 2 2 2 5 3 4" xfId="31498" xr:uid="{917B2594-E943-4C9A-9F3E-B3444E642D1C}"/>
    <cellStyle name="20% - Accent2 2 2 2 5 4" xfId="10400" xr:uid="{843BF016-B5FF-4D30-A9FD-C4DE6EF88F9E}"/>
    <cellStyle name="20% - Accent2 2 2 2 5 5" xfId="18841" xr:uid="{B185AC88-03B9-439E-A28D-E481076911F5}"/>
    <cellStyle name="20% - Accent2 2 2 2 5 6" xfId="27281" xr:uid="{2B7FE24C-4A50-41CB-B54A-80418CCE908F}"/>
    <cellStyle name="20% - Accent2 2 2 2 6" xfId="2275" xr:uid="{00000000-0005-0000-0000-0000B5000000}"/>
    <cellStyle name="20% - Accent2 2 2 2 6 2" xfId="6581" xr:uid="{00000000-0005-0000-0000-0000B6000000}"/>
    <cellStyle name="20% - Accent2 2 2 2 6 2 2" xfId="15031" xr:uid="{1FB580B6-091F-44E8-A439-D7CE6B56FF04}"/>
    <cellStyle name="20% - Accent2 2 2 2 6 2 3" xfId="23471" xr:uid="{C85F202C-71CF-4F7F-90CD-84B698C94605}"/>
    <cellStyle name="20% - Accent2 2 2 2 6 2 4" xfId="31911" xr:uid="{2EFF55CA-97A5-42D0-8946-FBEB7D4D7445}"/>
    <cellStyle name="20% - Accent2 2 2 2 6 3" xfId="10813" xr:uid="{4C04B6DE-E4C5-4C31-8DCE-E898AD9D7E18}"/>
    <cellStyle name="20% - Accent2 2 2 2 6 4" xfId="19254" xr:uid="{E12BC712-CEA1-477F-A3C0-E7989B6AD078}"/>
    <cellStyle name="20% - Accent2 2 2 2 6 5" xfId="27694" xr:uid="{8E7F07F5-1BEA-4EDD-86B0-137A229A5AC5}"/>
    <cellStyle name="20% - Accent2 2 2 2 7" xfId="4515" xr:uid="{00000000-0005-0000-0000-0000B7000000}"/>
    <cellStyle name="20% - Accent2 2 2 2 7 2" xfId="12965" xr:uid="{F2E76FF0-A982-490A-BF48-5BB45662B4E5}"/>
    <cellStyle name="20% - Accent2 2 2 2 7 3" xfId="21405" xr:uid="{7ADEAD05-937D-4F04-BBB0-B2BE3333B9ED}"/>
    <cellStyle name="20% - Accent2 2 2 2 7 4" xfId="29845" xr:uid="{6ACDBBEB-D8D1-4D0C-963E-AAAE4C38A4C3}"/>
    <cellStyle name="20% - Accent2 2 2 2 8" xfId="8747" xr:uid="{F540DB3D-E961-45A4-9044-0B4E4AEE5D46}"/>
    <cellStyle name="20% - Accent2 2 2 2 9" xfId="17188" xr:uid="{CC8B5F67-192A-4718-9A14-EC2215741296}"/>
    <cellStyle name="20% - Accent2 2 2 3" xfId="580" xr:uid="{00000000-0005-0000-0000-0000B8000000}"/>
    <cellStyle name="20% - Accent2 2 2 3 2" xfId="2851" xr:uid="{00000000-0005-0000-0000-0000B9000000}"/>
    <cellStyle name="20% - Accent2 2 2 3 2 2" xfId="7073" xr:uid="{00000000-0005-0000-0000-0000BA000000}"/>
    <cellStyle name="20% - Accent2 2 2 3 2 2 2" xfId="15523" xr:uid="{70F01BD6-56D6-4F0D-8412-8C3A185770C2}"/>
    <cellStyle name="20% - Accent2 2 2 3 2 2 3" xfId="23963" xr:uid="{449E8B91-7AAA-487B-A76C-C8C18CEC3F39}"/>
    <cellStyle name="20% - Accent2 2 2 3 2 2 4" xfId="32403" xr:uid="{93149DF5-5BFC-48B7-88ED-829280B966D0}"/>
    <cellStyle name="20% - Accent2 2 2 3 2 3" xfId="11305" xr:uid="{9FAE4877-7BB0-446E-AF1E-B150CAD81F86}"/>
    <cellStyle name="20% - Accent2 2 2 3 2 4" xfId="19746" xr:uid="{99EA06BA-2618-4F0E-8114-51E80E4BCAC6}"/>
    <cellStyle name="20% - Accent2 2 2 3 2 5" xfId="28186" xr:uid="{01CBA68D-9086-41DE-ADDE-431292C12E98}"/>
    <cellStyle name="20% - Accent2 2 2 3 3" xfId="4928" xr:uid="{00000000-0005-0000-0000-0000BB000000}"/>
    <cellStyle name="20% - Accent2 2 2 3 3 2" xfId="13378" xr:uid="{9291399D-5C53-481A-A20C-9131AA45C99B}"/>
    <cellStyle name="20% - Accent2 2 2 3 3 3" xfId="21818" xr:uid="{AB867B41-57CA-4B6A-A382-7154B51AB192}"/>
    <cellStyle name="20% - Accent2 2 2 3 3 4" xfId="30258" xr:uid="{CF04D790-44FE-452B-8E50-AEFCF3C06024}"/>
    <cellStyle name="20% - Accent2 2 2 3 4" xfId="9160" xr:uid="{7844D07D-5528-42CE-B78F-8B45C87AFA63}"/>
    <cellStyle name="20% - Accent2 2 2 3 5" xfId="17601" xr:uid="{5368EBED-368A-4A26-95B1-2B104377607B}"/>
    <cellStyle name="20% - Accent2 2 2 3 6" xfId="26041" xr:uid="{F3218FF9-24B1-42BA-A7BA-AB7B52F09663}"/>
    <cellStyle name="20% - Accent2 2 2 4" xfId="1033" xr:uid="{00000000-0005-0000-0000-0000BC000000}"/>
    <cellStyle name="20% - Accent2 2 2 4 2" xfId="3264" xr:uid="{00000000-0005-0000-0000-0000BD000000}"/>
    <cellStyle name="20% - Accent2 2 2 4 2 2" xfId="7486" xr:uid="{00000000-0005-0000-0000-0000BE000000}"/>
    <cellStyle name="20% - Accent2 2 2 4 2 2 2" xfId="15936" xr:uid="{6770550D-127C-409F-839F-0D1FCCAC1155}"/>
    <cellStyle name="20% - Accent2 2 2 4 2 2 3" xfId="24376" xr:uid="{ACC2ADF1-32A8-4D4F-8A09-C91F15CA67E9}"/>
    <cellStyle name="20% - Accent2 2 2 4 2 2 4" xfId="32816" xr:uid="{12EBDDA6-02A6-4CF2-A0DF-B5C1F887D94D}"/>
    <cellStyle name="20% - Accent2 2 2 4 2 3" xfId="11718" xr:uid="{1F2BD181-A16B-4B57-A981-92A81C1E53AD}"/>
    <cellStyle name="20% - Accent2 2 2 4 2 4" xfId="20159" xr:uid="{9BE84360-2956-42B5-89FE-4B8BEA640A59}"/>
    <cellStyle name="20% - Accent2 2 2 4 2 5" xfId="28599" xr:uid="{9E5C3A6B-7BB4-4B87-A366-DEEFAEB0F25F}"/>
    <cellStyle name="20% - Accent2 2 2 4 3" xfId="5341" xr:uid="{00000000-0005-0000-0000-0000BF000000}"/>
    <cellStyle name="20% - Accent2 2 2 4 3 2" xfId="13791" xr:uid="{80652851-98A2-427B-82C6-E83AEAE16E85}"/>
    <cellStyle name="20% - Accent2 2 2 4 3 3" xfId="22231" xr:uid="{A6B4AB4C-E1A4-4BDD-B356-772BC0EFD682}"/>
    <cellStyle name="20% - Accent2 2 2 4 3 4" xfId="30671" xr:uid="{3AB0DDC1-1C6E-4034-AACA-97654C3E29C4}"/>
    <cellStyle name="20% - Accent2 2 2 4 4" xfId="9573" xr:uid="{22F44E30-B936-47F9-80F4-ACB8E065E65F}"/>
    <cellStyle name="20% - Accent2 2 2 4 5" xfId="18014" xr:uid="{C06366CB-C2B4-4511-9FF8-9FC7A32493F3}"/>
    <cellStyle name="20% - Accent2 2 2 4 6" xfId="26454" xr:uid="{DEF113A5-58E9-45D5-A2B9-F4DDEEECD774}"/>
    <cellStyle name="20% - Accent2 2 2 5" xfId="1447" xr:uid="{00000000-0005-0000-0000-0000C0000000}"/>
    <cellStyle name="20% - Accent2 2 2 5 2" xfId="3677" xr:uid="{00000000-0005-0000-0000-0000C1000000}"/>
    <cellStyle name="20% - Accent2 2 2 5 2 2" xfId="7899" xr:uid="{00000000-0005-0000-0000-0000C2000000}"/>
    <cellStyle name="20% - Accent2 2 2 5 2 2 2" xfId="16349" xr:uid="{B0168A77-AB4E-4889-83AC-4F0F8C097490}"/>
    <cellStyle name="20% - Accent2 2 2 5 2 2 3" xfId="24789" xr:uid="{9BA114C8-674B-4795-BA07-A38DAEBA4CFC}"/>
    <cellStyle name="20% - Accent2 2 2 5 2 2 4" xfId="33229" xr:uid="{3FEE0066-4202-4A13-B5D4-3DEFD62FFEEE}"/>
    <cellStyle name="20% - Accent2 2 2 5 2 3" xfId="12131" xr:uid="{1E665ECF-F231-42C6-B9A4-99C35DA5F169}"/>
    <cellStyle name="20% - Accent2 2 2 5 2 4" xfId="20572" xr:uid="{779800D1-737D-4767-BCC0-7A335D36F7E8}"/>
    <cellStyle name="20% - Accent2 2 2 5 2 5" xfId="29012" xr:uid="{97191616-1998-4B04-BFD8-1AF6F24787CB}"/>
    <cellStyle name="20% - Accent2 2 2 5 3" xfId="5754" xr:uid="{00000000-0005-0000-0000-0000C3000000}"/>
    <cellStyle name="20% - Accent2 2 2 5 3 2" xfId="14204" xr:uid="{E26B37DD-3FBD-400F-862E-98602A8A9930}"/>
    <cellStyle name="20% - Accent2 2 2 5 3 3" xfId="22644" xr:uid="{E6064CD6-1B0F-4048-87FF-3781413848D8}"/>
    <cellStyle name="20% - Accent2 2 2 5 3 4" xfId="31084" xr:uid="{EE808A15-113E-48FA-B7D0-0DF70EA17AE6}"/>
    <cellStyle name="20% - Accent2 2 2 5 4" xfId="9986" xr:uid="{A05520EA-0F1C-48AD-8632-B7F8D419988B}"/>
    <cellStyle name="20% - Accent2 2 2 5 5" xfId="18427" xr:uid="{A7F50E65-B73D-45BE-A43A-24DA2D4C83D5}"/>
    <cellStyle name="20% - Accent2 2 2 5 6" xfId="26867" xr:uid="{B15B1A6B-7707-4B0C-9DD1-64A6D979123B}"/>
    <cellStyle name="20% - Accent2 2 2 6" xfId="1861" xr:uid="{00000000-0005-0000-0000-0000C4000000}"/>
    <cellStyle name="20% - Accent2 2 2 6 2" xfId="4090" xr:uid="{00000000-0005-0000-0000-0000C5000000}"/>
    <cellStyle name="20% - Accent2 2 2 6 2 2" xfId="8312" xr:uid="{00000000-0005-0000-0000-0000C6000000}"/>
    <cellStyle name="20% - Accent2 2 2 6 2 2 2" xfId="16762" xr:uid="{B5AF8128-7206-4157-B91B-2A9A92BC63B7}"/>
    <cellStyle name="20% - Accent2 2 2 6 2 2 3" xfId="25202" xr:uid="{A043D74B-3438-4229-A027-74499D2CB028}"/>
    <cellStyle name="20% - Accent2 2 2 6 2 2 4" xfId="33642" xr:uid="{EEC258BE-9F0D-4C97-88C5-FFE6C0F17674}"/>
    <cellStyle name="20% - Accent2 2 2 6 2 3" xfId="12544" xr:uid="{B9C983E3-B172-449A-ADFD-0BAD567BC0AC}"/>
    <cellStyle name="20% - Accent2 2 2 6 2 4" xfId="20985" xr:uid="{40B3BF80-AAC3-45CD-BEF3-89B8100567E6}"/>
    <cellStyle name="20% - Accent2 2 2 6 2 5" xfId="29425" xr:uid="{3A050ECD-9875-4BD5-9B4F-77FE3473BBDC}"/>
    <cellStyle name="20% - Accent2 2 2 6 3" xfId="6167" xr:uid="{00000000-0005-0000-0000-0000C7000000}"/>
    <cellStyle name="20% - Accent2 2 2 6 3 2" xfId="14617" xr:uid="{9B805256-7631-44AA-A895-B6CEE3A0D0A9}"/>
    <cellStyle name="20% - Accent2 2 2 6 3 3" xfId="23057" xr:uid="{EC79F171-B24E-4E5A-B43D-34D503F36859}"/>
    <cellStyle name="20% - Accent2 2 2 6 3 4" xfId="31497" xr:uid="{18185057-E6DD-4F21-8F75-BF84437101F3}"/>
    <cellStyle name="20% - Accent2 2 2 6 4" xfId="10399" xr:uid="{D4A9DB29-9DCF-4859-B4D7-D67F38193EF5}"/>
    <cellStyle name="20% - Accent2 2 2 6 5" xfId="18840" xr:uid="{EAC2A140-B249-441D-AFA4-23DBA4351FF0}"/>
    <cellStyle name="20% - Accent2 2 2 6 6" xfId="27280" xr:uid="{0984937B-7486-48EE-95BA-D8445DE65B42}"/>
    <cellStyle name="20% - Accent2 2 2 7" xfId="2274" xr:uid="{00000000-0005-0000-0000-0000C8000000}"/>
    <cellStyle name="20% - Accent2 2 2 7 2" xfId="6580" xr:uid="{00000000-0005-0000-0000-0000C9000000}"/>
    <cellStyle name="20% - Accent2 2 2 7 2 2" xfId="15030" xr:uid="{87781614-20E2-4FF2-BD5F-558B7ABEEA9A}"/>
    <cellStyle name="20% - Accent2 2 2 7 2 3" xfId="23470" xr:uid="{3ED35C17-716F-41DD-B5F5-ABE6BAFA0F51}"/>
    <cellStyle name="20% - Accent2 2 2 7 2 4" xfId="31910" xr:uid="{F69BA2D8-F2F9-4E02-9EDD-1F364E4FD397}"/>
    <cellStyle name="20% - Accent2 2 2 7 3" xfId="10812" xr:uid="{AE8333EA-FCB0-4D86-92D4-B77F3EE3F703}"/>
    <cellStyle name="20% - Accent2 2 2 7 4" xfId="19253" xr:uid="{B187716D-BAEF-4B40-9009-50276069007F}"/>
    <cellStyle name="20% - Accent2 2 2 7 5" xfId="27693" xr:uid="{0E85C0C1-BD9D-4708-87AB-2C766F1F69E4}"/>
    <cellStyle name="20% - Accent2 2 2 8" xfId="4514" xr:uid="{00000000-0005-0000-0000-0000CA000000}"/>
    <cellStyle name="20% - Accent2 2 2 8 2" xfId="12964" xr:uid="{FCAC6868-EF3B-4912-8782-5551F505168D}"/>
    <cellStyle name="20% - Accent2 2 2 8 3" xfId="21404" xr:uid="{99214EC9-D0CE-4DB7-A21A-2206BA176100}"/>
    <cellStyle name="20% - Accent2 2 2 8 4" xfId="29844" xr:uid="{9EB71AA2-EB69-440F-B698-C7CD5F71CD1D}"/>
    <cellStyle name="20% - Accent2 2 2 9" xfId="8746" xr:uid="{F9754BF7-594C-4DDC-91FD-3FA229A839C8}"/>
    <cellStyle name="20% - Accent2 2 3" xfId="13" xr:uid="{00000000-0005-0000-0000-0000CB000000}"/>
    <cellStyle name="20% - Accent2 2 3 10" xfId="25629" xr:uid="{81BF1D89-1795-4463-9AFF-78A14D0C5752}"/>
    <cellStyle name="20% - Accent2 2 3 2" xfId="582" xr:uid="{00000000-0005-0000-0000-0000CC000000}"/>
    <cellStyle name="20% - Accent2 2 3 2 2" xfId="2853" xr:uid="{00000000-0005-0000-0000-0000CD000000}"/>
    <cellStyle name="20% - Accent2 2 3 2 2 2" xfId="7075" xr:uid="{00000000-0005-0000-0000-0000CE000000}"/>
    <cellStyle name="20% - Accent2 2 3 2 2 2 2" xfId="15525" xr:uid="{717EA455-D06D-4844-95DA-43B3D91B750B}"/>
    <cellStyle name="20% - Accent2 2 3 2 2 2 3" xfId="23965" xr:uid="{513A7BD8-CCAF-437B-86AC-FB9344C53C66}"/>
    <cellStyle name="20% - Accent2 2 3 2 2 2 4" xfId="32405" xr:uid="{93F05696-8B96-4B99-9308-7C77CE69F4D7}"/>
    <cellStyle name="20% - Accent2 2 3 2 2 3" xfId="11307" xr:uid="{1CBF81CB-5EA1-4617-B3A6-E183325266FB}"/>
    <cellStyle name="20% - Accent2 2 3 2 2 4" xfId="19748" xr:uid="{4BCD2A4F-8AE3-41FD-AC39-E976D516DE99}"/>
    <cellStyle name="20% - Accent2 2 3 2 2 5" xfId="28188" xr:uid="{4ADFBD31-5B98-4A30-983D-161C561674C1}"/>
    <cellStyle name="20% - Accent2 2 3 2 3" xfId="4930" xr:uid="{00000000-0005-0000-0000-0000CF000000}"/>
    <cellStyle name="20% - Accent2 2 3 2 3 2" xfId="13380" xr:uid="{3604815C-263C-43F7-857E-EDA54CA5660D}"/>
    <cellStyle name="20% - Accent2 2 3 2 3 3" xfId="21820" xr:uid="{7E5B5253-80FB-48A0-A9FB-D12ACE4853CA}"/>
    <cellStyle name="20% - Accent2 2 3 2 3 4" xfId="30260" xr:uid="{F30F0AAA-D7E6-4E39-A80A-F4D61F8616E1}"/>
    <cellStyle name="20% - Accent2 2 3 2 4" xfId="9162" xr:uid="{C29A3322-ADD6-4D0B-A97E-AA7BA739D6EF}"/>
    <cellStyle name="20% - Accent2 2 3 2 5" xfId="17603" xr:uid="{BB704FD1-9B18-4FF3-B3B6-8752BE077AAF}"/>
    <cellStyle name="20% - Accent2 2 3 2 6" xfId="26043" xr:uid="{2655EECB-2F41-4AD2-AA4D-8CEB4345BC42}"/>
    <cellStyle name="20% - Accent2 2 3 3" xfId="1035" xr:uid="{00000000-0005-0000-0000-0000D0000000}"/>
    <cellStyle name="20% - Accent2 2 3 3 2" xfId="3266" xr:uid="{00000000-0005-0000-0000-0000D1000000}"/>
    <cellStyle name="20% - Accent2 2 3 3 2 2" xfId="7488" xr:uid="{00000000-0005-0000-0000-0000D2000000}"/>
    <cellStyle name="20% - Accent2 2 3 3 2 2 2" xfId="15938" xr:uid="{5AA0AF11-540A-49F4-A30C-641007AD1AD3}"/>
    <cellStyle name="20% - Accent2 2 3 3 2 2 3" xfId="24378" xr:uid="{73CED321-9911-4EDC-B4A0-C2C93872B82F}"/>
    <cellStyle name="20% - Accent2 2 3 3 2 2 4" xfId="32818" xr:uid="{05B2B420-4040-4784-AFA8-9D4626E8D700}"/>
    <cellStyle name="20% - Accent2 2 3 3 2 3" xfId="11720" xr:uid="{30CA9989-DF04-43D6-8A60-512E948F9602}"/>
    <cellStyle name="20% - Accent2 2 3 3 2 4" xfId="20161" xr:uid="{0FE92115-744F-4D81-8234-DF91969E4ECB}"/>
    <cellStyle name="20% - Accent2 2 3 3 2 5" xfId="28601" xr:uid="{CCC7BDDE-893F-4E9D-81A1-4114E8FA5058}"/>
    <cellStyle name="20% - Accent2 2 3 3 3" xfId="5343" xr:uid="{00000000-0005-0000-0000-0000D3000000}"/>
    <cellStyle name="20% - Accent2 2 3 3 3 2" xfId="13793" xr:uid="{497ADDB2-2307-46A6-80D4-BF6CA257F6D0}"/>
    <cellStyle name="20% - Accent2 2 3 3 3 3" xfId="22233" xr:uid="{DCD166D4-BDAA-471D-84B5-3377AE3A3288}"/>
    <cellStyle name="20% - Accent2 2 3 3 3 4" xfId="30673" xr:uid="{CCCFFECB-50CF-4A23-A680-4E9970C978C0}"/>
    <cellStyle name="20% - Accent2 2 3 3 4" xfId="9575" xr:uid="{1E2354BC-2D04-4D4F-B21F-D1F07CA79C20}"/>
    <cellStyle name="20% - Accent2 2 3 3 5" xfId="18016" xr:uid="{1FB8AAD7-1E10-4950-8DA0-A37D904E4251}"/>
    <cellStyle name="20% - Accent2 2 3 3 6" xfId="26456" xr:uid="{99E9D7A1-E86E-4697-B582-4AE678F8C7B1}"/>
    <cellStyle name="20% - Accent2 2 3 4" xfId="1449" xr:uid="{00000000-0005-0000-0000-0000D4000000}"/>
    <cellStyle name="20% - Accent2 2 3 4 2" xfId="3679" xr:uid="{00000000-0005-0000-0000-0000D5000000}"/>
    <cellStyle name="20% - Accent2 2 3 4 2 2" xfId="7901" xr:uid="{00000000-0005-0000-0000-0000D6000000}"/>
    <cellStyle name="20% - Accent2 2 3 4 2 2 2" xfId="16351" xr:uid="{D5A4768D-AF37-4CEE-92CB-328EFE8093EF}"/>
    <cellStyle name="20% - Accent2 2 3 4 2 2 3" xfId="24791" xr:uid="{A6F63034-6EA9-4486-8477-6AFDD7FC9B43}"/>
    <cellStyle name="20% - Accent2 2 3 4 2 2 4" xfId="33231" xr:uid="{8C712F30-4285-4799-9D7A-163B5C155ED7}"/>
    <cellStyle name="20% - Accent2 2 3 4 2 3" xfId="12133" xr:uid="{6910FC20-DD7D-4C61-AF60-822FEF3A2EE5}"/>
    <cellStyle name="20% - Accent2 2 3 4 2 4" xfId="20574" xr:uid="{E81100FA-B952-402C-8185-CFE5D5D68516}"/>
    <cellStyle name="20% - Accent2 2 3 4 2 5" xfId="29014" xr:uid="{371942A7-A645-4237-A014-1F1B0553A851}"/>
    <cellStyle name="20% - Accent2 2 3 4 3" xfId="5756" xr:uid="{00000000-0005-0000-0000-0000D7000000}"/>
    <cellStyle name="20% - Accent2 2 3 4 3 2" xfId="14206" xr:uid="{F830B830-99B9-4E36-940E-33E20FE7078A}"/>
    <cellStyle name="20% - Accent2 2 3 4 3 3" xfId="22646" xr:uid="{E1780193-9BFB-47C5-9E5B-453EA2DFFB61}"/>
    <cellStyle name="20% - Accent2 2 3 4 3 4" xfId="31086" xr:uid="{10C4F5EE-94DF-4EEF-B243-7115DD1D9273}"/>
    <cellStyle name="20% - Accent2 2 3 4 4" xfId="9988" xr:uid="{4395701E-5919-4A7A-81B5-906CA7DEBB6F}"/>
    <cellStyle name="20% - Accent2 2 3 4 5" xfId="18429" xr:uid="{759DFF89-D686-44C4-98D3-575CD7787BF9}"/>
    <cellStyle name="20% - Accent2 2 3 4 6" xfId="26869" xr:uid="{37DDB909-1FA3-48C8-88F1-77FBC0947720}"/>
    <cellStyle name="20% - Accent2 2 3 5" xfId="1863" xr:uid="{00000000-0005-0000-0000-0000D8000000}"/>
    <cellStyle name="20% - Accent2 2 3 5 2" xfId="4092" xr:uid="{00000000-0005-0000-0000-0000D9000000}"/>
    <cellStyle name="20% - Accent2 2 3 5 2 2" xfId="8314" xr:uid="{00000000-0005-0000-0000-0000DA000000}"/>
    <cellStyle name="20% - Accent2 2 3 5 2 2 2" xfId="16764" xr:uid="{720A8380-16CC-4F01-8C37-BEEA3E4EFE68}"/>
    <cellStyle name="20% - Accent2 2 3 5 2 2 3" xfId="25204" xr:uid="{6F7EACA9-520B-4BFA-87D1-2B5C32469982}"/>
    <cellStyle name="20% - Accent2 2 3 5 2 2 4" xfId="33644" xr:uid="{8C1E81D4-F455-4F62-822E-B9ACBFE80FBE}"/>
    <cellStyle name="20% - Accent2 2 3 5 2 3" xfId="12546" xr:uid="{5E918E9C-B141-42D1-9D7A-F709D025B9B8}"/>
    <cellStyle name="20% - Accent2 2 3 5 2 4" xfId="20987" xr:uid="{F1E352EB-2184-4CD6-A1FA-F4BE0239AB27}"/>
    <cellStyle name="20% - Accent2 2 3 5 2 5" xfId="29427" xr:uid="{4B926150-C340-4AE3-99BA-5D7E50B936CA}"/>
    <cellStyle name="20% - Accent2 2 3 5 3" xfId="6169" xr:uid="{00000000-0005-0000-0000-0000DB000000}"/>
    <cellStyle name="20% - Accent2 2 3 5 3 2" xfId="14619" xr:uid="{3F23CBBE-5E06-4890-8739-DF27B925C247}"/>
    <cellStyle name="20% - Accent2 2 3 5 3 3" xfId="23059" xr:uid="{6B9934D3-88AB-4FBC-8608-4CB8E931A04B}"/>
    <cellStyle name="20% - Accent2 2 3 5 3 4" xfId="31499" xr:uid="{5C19E07E-0A4E-4AF6-A4F2-D6F0E7690F07}"/>
    <cellStyle name="20% - Accent2 2 3 5 4" xfId="10401" xr:uid="{7DC87B55-A181-416B-91C1-BCCCC182966F}"/>
    <cellStyle name="20% - Accent2 2 3 5 5" xfId="18842" xr:uid="{EE3265D4-584A-4C0B-9CA5-4BCD336240A2}"/>
    <cellStyle name="20% - Accent2 2 3 5 6" xfId="27282" xr:uid="{D24EF277-CC05-4FFA-BECB-DBE964E5F302}"/>
    <cellStyle name="20% - Accent2 2 3 6" xfId="2276" xr:uid="{00000000-0005-0000-0000-0000DC000000}"/>
    <cellStyle name="20% - Accent2 2 3 6 2" xfId="6582" xr:uid="{00000000-0005-0000-0000-0000DD000000}"/>
    <cellStyle name="20% - Accent2 2 3 6 2 2" xfId="15032" xr:uid="{CD8E1E0C-A844-4766-8C1B-2592E01934B6}"/>
    <cellStyle name="20% - Accent2 2 3 6 2 3" xfId="23472" xr:uid="{E3A90E49-C61F-4983-8716-D77FB757D9E2}"/>
    <cellStyle name="20% - Accent2 2 3 6 2 4" xfId="31912" xr:uid="{63254180-632F-41AF-9EDE-D7B2C07BB2DA}"/>
    <cellStyle name="20% - Accent2 2 3 6 3" xfId="10814" xr:uid="{54EF95A6-FCB5-4698-84D4-F4F75C9660B2}"/>
    <cellStyle name="20% - Accent2 2 3 6 4" xfId="19255" xr:uid="{9EC42F15-689C-4D80-A7D0-D484C6913353}"/>
    <cellStyle name="20% - Accent2 2 3 6 5" xfId="27695" xr:uid="{577FBC2A-8449-4FDF-BAF2-97D489CCE140}"/>
    <cellStyle name="20% - Accent2 2 3 7" xfId="4516" xr:uid="{00000000-0005-0000-0000-0000DE000000}"/>
    <cellStyle name="20% - Accent2 2 3 7 2" xfId="12966" xr:uid="{0C277006-9BF1-4EEC-B0F6-74D62B7AB8BD}"/>
    <cellStyle name="20% - Accent2 2 3 7 3" xfId="21406" xr:uid="{161B4A6D-3C1A-438E-BBB4-4BC23ED251C7}"/>
    <cellStyle name="20% - Accent2 2 3 7 4" xfId="29846" xr:uid="{C73DE844-EFCE-4C64-BBBD-FF697B2DB16A}"/>
    <cellStyle name="20% - Accent2 2 3 8" xfId="8748" xr:uid="{769D4184-279A-4A46-85E7-F184A85B5947}"/>
    <cellStyle name="20% - Accent2 2 3 9" xfId="17189" xr:uid="{F0CB641A-F564-4862-862A-C62C3410E8B7}"/>
    <cellStyle name="20% - Accent2 2 4" xfId="579" xr:uid="{00000000-0005-0000-0000-0000DF000000}"/>
    <cellStyle name="20% - Accent2 2 4 2" xfId="2850" xr:uid="{00000000-0005-0000-0000-0000E0000000}"/>
    <cellStyle name="20% - Accent2 2 4 2 2" xfId="7072" xr:uid="{00000000-0005-0000-0000-0000E1000000}"/>
    <cellStyle name="20% - Accent2 2 4 2 2 2" xfId="15522" xr:uid="{49A48CD4-0102-42E8-8635-47FA8F910AD5}"/>
    <cellStyle name="20% - Accent2 2 4 2 2 3" xfId="23962" xr:uid="{80D98CE7-C404-46D6-8ADB-4DC488516775}"/>
    <cellStyle name="20% - Accent2 2 4 2 2 4" xfId="32402" xr:uid="{3A923806-078E-40C2-9861-FB752F68AB2E}"/>
    <cellStyle name="20% - Accent2 2 4 2 3" xfId="11304" xr:uid="{2CAD40C2-C60A-47C0-ABB3-A245E3A83D80}"/>
    <cellStyle name="20% - Accent2 2 4 2 4" xfId="19745" xr:uid="{F4B2E15E-3B86-4666-86C0-BDC2CBAFD7EA}"/>
    <cellStyle name="20% - Accent2 2 4 2 5" xfId="28185" xr:uid="{7F74D8BD-4FF6-46CB-9364-AA0132796D7B}"/>
    <cellStyle name="20% - Accent2 2 4 3" xfId="4927" xr:uid="{00000000-0005-0000-0000-0000E2000000}"/>
    <cellStyle name="20% - Accent2 2 4 3 2" xfId="13377" xr:uid="{057C5107-9D80-45F7-B344-A710744FE1A0}"/>
    <cellStyle name="20% - Accent2 2 4 3 3" xfId="21817" xr:uid="{5FEC2E8E-868E-45A1-BA9D-AA5A7DB63881}"/>
    <cellStyle name="20% - Accent2 2 4 3 4" xfId="30257" xr:uid="{E1FC95B0-77CA-4496-A65D-1090E42B3BA1}"/>
    <cellStyle name="20% - Accent2 2 4 4" xfId="9159" xr:uid="{341BFCFC-0B3C-4B26-98F8-FD36EE09ACCA}"/>
    <cellStyle name="20% - Accent2 2 4 5" xfId="17600" xr:uid="{402B88BE-2344-4138-B943-75CC4582A61A}"/>
    <cellStyle name="20% - Accent2 2 4 6" xfId="26040" xr:uid="{8E82C74E-C54A-4CA4-94F9-41CCC15FB54F}"/>
    <cellStyle name="20% - Accent2 2 5" xfId="1032" xr:uid="{00000000-0005-0000-0000-0000E3000000}"/>
    <cellStyle name="20% - Accent2 2 5 2" xfId="3263" xr:uid="{00000000-0005-0000-0000-0000E4000000}"/>
    <cellStyle name="20% - Accent2 2 5 2 2" xfId="7485" xr:uid="{00000000-0005-0000-0000-0000E5000000}"/>
    <cellStyle name="20% - Accent2 2 5 2 2 2" xfId="15935" xr:uid="{4134BD9E-BEFD-4DB7-BB20-D9208A4EC4CB}"/>
    <cellStyle name="20% - Accent2 2 5 2 2 3" xfId="24375" xr:uid="{3F6FA262-B1A8-4023-B20E-CD5D69F2ECEA}"/>
    <cellStyle name="20% - Accent2 2 5 2 2 4" xfId="32815" xr:uid="{53B43160-34EC-4185-99DF-3F6A99683D6A}"/>
    <cellStyle name="20% - Accent2 2 5 2 3" xfId="11717" xr:uid="{7680E2F6-D03A-4F74-81C9-1F1E085DC496}"/>
    <cellStyle name="20% - Accent2 2 5 2 4" xfId="20158" xr:uid="{ECE3AC30-E44B-4262-B590-829223C1F39B}"/>
    <cellStyle name="20% - Accent2 2 5 2 5" xfId="28598" xr:uid="{644EF6BD-BB99-4B7A-87B6-B2869A78B97C}"/>
    <cellStyle name="20% - Accent2 2 5 3" xfId="5340" xr:uid="{00000000-0005-0000-0000-0000E6000000}"/>
    <cellStyle name="20% - Accent2 2 5 3 2" xfId="13790" xr:uid="{11C536BF-D4D4-481B-AAE2-BFB82BB3E74A}"/>
    <cellStyle name="20% - Accent2 2 5 3 3" xfId="22230" xr:uid="{2D87C258-8E2D-46C5-909B-0DAF0E2EBEB8}"/>
    <cellStyle name="20% - Accent2 2 5 3 4" xfId="30670" xr:uid="{B6EB03FE-F806-4824-95BB-77AA66FDD823}"/>
    <cellStyle name="20% - Accent2 2 5 4" xfId="9572" xr:uid="{8B7AE47B-0A84-4434-8E10-AA7CC07E15D3}"/>
    <cellStyle name="20% - Accent2 2 5 5" xfId="18013" xr:uid="{81A90B6E-DA35-4388-A8CB-199BA46E4C0A}"/>
    <cellStyle name="20% - Accent2 2 5 6" xfId="26453" xr:uid="{97E0A677-8D2A-4A27-8DE2-89E7C2486E68}"/>
    <cellStyle name="20% - Accent2 2 6" xfId="1446" xr:uid="{00000000-0005-0000-0000-0000E7000000}"/>
    <cellStyle name="20% - Accent2 2 6 2" xfId="3676" xr:uid="{00000000-0005-0000-0000-0000E8000000}"/>
    <cellStyle name="20% - Accent2 2 6 2 2" xfId="7898" xr:uid="{00000000-0005-0000-0000-0000E9000000}"/>
    <cellStyle name="20% - Accent2 2 6 2 2 2" xfId="16348" xr:uid="{8B85CE8B-A6BC-4FB9-8C25-130A3DCE05AF}"/>
    <cellStyle name="20% - Accent2 2 6 2 2 3" xfId="24788" xr:uid="{F1E0748D-ECE0-4618-AFDC-0C0DCD49BD5F}"/>
    <cellStyle name="20% - Accent2 2 6 2 2 4" xfId="33228" xr:uid="{5ABF9224-329D-49FA-97FE-416115E742BC}"/>
    <cellStyle name="20% - Accent2 2 6 2 3" xfId="12130" xr:uid="{42BC1F82-3A2D-4F76-BB35-922BCC00ECE5}"/>
    <cellStyle name="20% - Accent2 2 6 2 4" xfId="20571" xr:uid="{B284477A-CBF4-47E6-8D62-1FCD5C6845B3}"/>
    <cellStyle name="20% - Accent2 2 6 2 5" xfId="29011" xr:uid="{EE45CABD-41AC-4DC5-922F-1661BC9531AE}"/>
    <cellStyle name="20% - Accent2 2 6 3" xfId="5753" xr:uid="{00000000-0005-0000-0000-0000EA000000}"/>
    <cellStyle name="20% - Accent2 2 6 3 2" xfId="14203" xr:uid="{78CB9D91-D5CD-4AEE-A62D-3A90E26CE07A}"/>
    <cellStyle name="20% - Accent2 2 6 3 3" xfId="22643" xr:uid="{A08E44D6-292B-4066-8729-F64779333271}"/>
    <cellStyle name="20% - Accent2 2 6 3 4" xfId="31083" xr:uid="{BB5BC759-C1BC-4014-8F15-7FA4176B8145}"/>
    <cellStyle name="20% - Accent2 2 6 4" xfId="9985" xr:uid="{6091A5DB-575E-417A-918F-D2C3A1B8A808}"/>
    <cellStyle name="20% - Accent2 2 6 5" xfId="18426" xr:uid="{CD6E5B7C-7935-4EF4-9129-E6B36F997FE9}"/>
    <cellStyle name="20% - Accent2 2 6 6" xfId="26866" xr:uid="{77D23C3D-49A9-4FC8-A89E-05453180B79D}"/>
    <cellStyle name="20% - Accent2 2 7" xfId="1860" xr:uid="{00000000-0005-0000-0000-0000EB000000}"/>
    <cellStyle name="20% - Accent2 2 7 2" xfId="4089" xr:uid="{00000000-0005-0000-0000-0000EC000000}"/>
    <cellStyle name="20% - Accent2 2 7 2 2" xfId="8311" xr:uid="{00000000-0005-0000-0000-0000ED000000}"/>
    <cellStyle name="20% - Accent2 2 7 2 2 2" xfId="16761" xr:uid="{4FC94C9E-ED3F-4DB0-BE91-F5255E6256CF}"/>
    <cellStyle name="20% - Accent2 2 7 2 2 3" xfId="25201" xr:uid="{B95E1BA6-282F-4E2A-964B-9F2E70860C24}"/>
    <cellStyle name="20% - Accent2 2 7 2 2 4" xfId="33641" xr:uid="{A62E2463-3D8F-4713-BA81-3136F6545A76}"/>
    <cellStyle name="20% - Accent2 2 7 2 3" xfId="12543" xr:uid="{961276FB-3DA8-4033-8170-0E5C1BEEECE3}"/>
    <cellStyle name="20% - Accent2 2 7 2 4" xfId="20984" xr:uid="{8A84C288-A0CC-4672-9FCB-451C81956812}"/>
    <cellStyle name="20% - Accent2 2 7 2 5" xfId="29424" xr:uid="{1DF71FC5-67F2-44EB-80DA-C98C10765E83}"/>
    <cellStyle name="20% - Accent2 2 7 3" xfId="6166" xr:uid="{00000000-0005-0000-0000-0000EE000000}"/>
    <cellStyle name="20% - Accent2 2 7 3 2" xfId="14616" xr:uid="{64BB6C3E-5728-40E2-893E-82F756E46DAA}"/>
    <cellStyle name="20% - Accent2 2 7 3 3" xfId="23056" xr:uid="{4E7C188A-0421-48E7-8DC9-3517EC96F5D5}"/>
    <cellStyle name="20% - Accent2 2 7 3 4" xfId="31496" xr:uid="{473429D2-39E0-4FDD-8239-20F073C4A446}"/>
    <cellStyle name="20% - Accent2 2 7 4" xfId="10398" xr:uid="{87452325-2EB8-4110-BFF6-91676001513E}"/>
    <cellStyle name="20% - Accent2 2 7 5" xfId="18839" xr:uid="{4B80A2E4-DE7D-40E7-B458-1B4918BC3487}"/>
    <cellStyle name="20% - Accent2 2 7 6" xfId="27279" xr:uid="{357934AD-3CE2-41A5-A22C-48B7EEA7E90C}"/>
    <cellStyle name="20% - Accent2 2 8" xfId="2273" xr:uid="{00000000-0005-0000-0000-0000EF000000}"/>
    <cellStyle name="20% - Accent2 2 8 2" xfId="6579" xr:uid="{00000000-0005-0000-0000-0000F0000000}"/>
    <cellStyle name="20% - Accent2 2 8 2 2" xfId="15029" xr:uid="{C784CB25-89E2-4F2E-9D2B-3879AE43B240}"/>
    <cellStyle name="20% - Accent2 2 8 2 3" xfId="23469" xr:uid="{FDF45074-EAE9-4753-AE64-BE8244B4AE22}"/>
    <cellStyle name="20% - Accent2 2 8 2 4" xfId="31909" xr:uid="{F1931DF8-2073-4628-B489-C5308038A4D7}"/>
    <cellStyle name="20% - Accent2 2 8 3" xfId="10811" xr:uid="{4196DA19-93CD-43FF-A3A2-A38F6905EBFA}"/>
    <cellStyle name="20% - Accent2 2 8 4" xfId="19252" xr:uid="{F17649CF-F4FA-4832-9BA8-0EACE9C65C9F}"/>
    <cellStyle name="20% - Accent2 2 8 5" xfId="27692" xr:uid="{9EA355E0-9CE1-4922-90A8-B45C88EC8B3F}"/>
    <cellStyle name="20% - Accent2 2 9" xfId="4513" xr:uid="{00000000-0005-0000-0000-0000F1000000}"/>
    <cellStyle name="20% - Accent2 2 9 2" xfId="12963" xr:uid="{34235C83-8429-4E27-9862-43675CDCAAA7}"/>
    <cellStyle name="20% - Accent2 2 9 3" xfId="21403" xr:uid="{A2DF5D45-B408-4735-AACC-9E4262B1ABAB}"/>
    <cellStyle name="20% - Accent2 2 9 4" xfId="29843" xr:uid="{A891152C-5FBE-46E5-BBFC-179B8530F856}"/>
    <cellStyle name="20% - Accent2 3" xfId="14" xr:uid="{00000000-0005-0000-0000-0000F2000000}"/>
    <cellStyle name="20% - Accent2 3 10" xfId="17190" xr:uid="{6E48A2C0-FD31-4E67-B36D-CA4E6EAD97ED}"/>
    <cellStyle name="20% - Accent2 3 11" xfId="25630" xr:uid="{9F9F2A7F-3414-435A-AE5D-EE7FA4828CAC}"/>
    <cellStyle name="20% - Accent2 3 2" xfId="15" xr:uid="{00000000-0005-0000-0000-0000F3000000}"/>
    <cellStyle name="20% - Accent2 3 2 10" xfId="25631" xr:uid="{AEA35E90-C00C-4821-9F20-9B57C5F228AE}"/>
    <cellStyle name="20% - Accent2 3 2 2" xfId="584" xr:uid="{00000000-0005-0000-0000-0000F4000000}"/>
    <cellStyle name="20% - Accent2 3 2 2 2" xfId="2855" xr:uid="{00000000-0005-0000-0000-0000F5000000}"/>
    <cellStyle name="20% - Accent2 3 2 2 2 2" xfId="7077" xr:uid="{00000000-0005-0000-0000-0000F6000000}"/>
    <cellStyle name="20% - Accent2 3 2 2 2 2 2" xfId="15527" xr:uid="{3010D413-AE94-4715-AD32-93DF58FE4851}"/>
    <cellStyle name="20% - Accent2 3 2 2 2 2 3" xfId="23967" xr:uid="{A8B327D1-BA64-4D58-83D2-91D82CC4CFBD}"/>
    <cellStyle name="20% - Accent2 3 2 2 2 2 4" xfId="32407" xr:uid="{ADA0DF64-89C0-414E-B4CD-9D1391EB0605}"/>
    <cellStyle name="20% - Accent2 3 2 2 2 3" xfId="11309" xr:uid="{49C75570-8E5C-413E-8D94-812C8A99858F}"/>
    <cellStyle name="20% - Accent2 3 2 2 2 4" xfId="19750" xr:uid="{BF13927C-FDD5-4BCA-A6B1-F291C0BFACB6}"/>
    <cellStyle name="20% - Accent2 3 2 2 2 5" xfId="28190" xr:uid="{CCB048CD-2430-4415-8FD7-AC33A1836FF0}"/>
    <cellStyle name="20% - Accent2 3 2 2 3" xfId="4932" xr:uid="{00000000-0005-0000-0000-0000F7000000}"/>
    <cellStyle name="20% - Accent2 3 2 2 3 2" xfId="13382" xr:uid="{5EFF9C99-E7A2-4851-8086-F4F8FB9758BC}"/>
    <cellStyle name="20% - Accent2 3 2 2 3 3" xfId="21822" xr:uid="{C517E876-15CB-4750-ABF9-A0E8B85C13DD}"/>
    <cellStyle name="20% - Accent2 3 2 2 3 4" xfId="30262" xr:uid="{2361FDAB-4182-4480-8542-7B719A1C8FBD}"/>
    <cellStyle name="20% - Accent2 3 2 2 4" xfId="9164" xr:uid="{6210C146-EA51-4DA7-8722-F89EA2EB8517}"/>
    <cellStyle name="20% - Accent2 3 2 2 5" xfId="17605" xr:uid="{BD7FA8F8-5E4D-4F62-AA19-5959231FCBDB}"/>
    <cellStyle name="20% - Accent2 3 2 2 6" xfId="26045" xr:uid="{1137E00E-2FF1-4D0E-A180-3681047F24DA}"/>
    <cellStyle name="20% - Accent2 3 2 3" xfId="1037" xr:uid="{00000000-0005-0000-0000-0000F8000000}"/>
    <cellStyle name="20% - Accent2 3 2 3 2" xfId="3268" xr:uid="{00000000-0005-0000-0000-0000F9000000}"/>
    <cellStyle name="20% - Accent2 3 2 3 2 2" xfId="7490" xr:uid="{00000000-0005-0000-0000-0000FA000000}"/>
    <cellStyle name="20% - Accent2 3 2 3 2 2 2" xfId="15940" xr:uid="{CF50E615-5B9F-42AA-8C7E-3A9786D4C34E}"/>
    <cellStyle name="20% - Accent2 3 2 3 2 2 3" xfId="24380" xr:uid="{D1346393-3473-4E91-AD67-E1325A2EAC08}"/>
    <cellStyle name="20% - Accent2 3 2 3 2 2 4" xfId="32820" xr:uid="{E41FD77C-E3FC-46A8-8450-AEFA904C0192}"/>
    <cellStyle name="20% - Accent2 3 2 3 2 3" xfId="11722" xr:uid="{B9BFE14B-9B1F-4F70-BF75-C5F4CCBC3EC3}"/>
    <cellStyle name="20% - Accent2 3 2 3 2 4" xfId="20163" xr:uid="{8AC8BB66-32E7-4DAB-916D-42DEDB928C7C}"/>
    <cellStyle name="20% - Accent2 3 2 3 2 5" xfId="28603" xr:uid="{2B85371D-3D3A-4828-B77F-446BA540BA11}"/>
    <cellStyle name="20% - Accent2 3 2 3 3" xfId="5345" xr:uid="{00000000-0005-0000-0000-0000FB000000}"/>
    <cellStyle name="20% - Accent2 3 2 3 3 2" xfId="13795" xr:uid="{9EFCBE16-2CA3-410D-991E-E7DA0FB3F5A8}"/>
    <cellStyle name="20% - Accent2 3 2 3 3 3" xfId="22235" xr:uid="{3053748A-4C9F-4113-8CE1-F3975EFB1602}"/>
    <cellStyle name="20% - Accent2 3 2 3 3 4" xfId="30675" xr:uid="{B217F2F5-73BD-4C03-ABC5-697DBB79B167}"/>
    <cellStyle name="20% - Accent2 3 2 3 4" xfId="9577" xr:uid="{66B98F73-9D02-46F8-BD6C-E86344A1AABB}"/>
    <cellStyle name="20% - Accent2 3 2 3 5" xfId="18018" xr:uid="{44BC899A-69E9-4FD4-8E95-C76150C6A228}"/>
    <cellStyle name="20% - Accent2 3 2 3 6" xfId="26458" xr:uid="{0D3CF12A-4EEB-466D-A6A9-C1E6C3E6FE0C}"/>
    <cellStyle name="20% - Accent2 3 2 4" xfId="1451" xr:uid="{00000000-0005-0000-0000-0000FC000000}"/>
    <cellStyle name="20% - Accent2 3 2 4 2" xfId="3681" xr:uid="{00000000-0005-0000-0000-0000FD000000}"/>
    <cellStyle name="20% - Accent2 3 2 4 2 2" xfId="7903" xr:uid="{00000000-0005-0000-0000-0000FE000000}"/>
    <cellStyle name="20% - Accent2 3 2 4 2 2 2" xfId="16353" xr:uid="{1853AB28-37BE-4D4B-A447-A042ED348C2F}"/>
    <cellStyle name="20% - Accent2 3 2 4 2 2 3" xfId="24793" xr:uid="{1CB1E1A2-4B8A-4ACA-9868-D285D7E2E499}"/>
    <cellStyle name="20% - Accent2 3 2 4 2 2 4" xfId="33233" xr:uid="{0A6C32F0-092C-47A5-91DA-E347C89BCA5E}"/>
    <cellStyle name="20% - Accent2 3 2 4 2 3" xfId="12135" xr:uid="{CA7C2756-98D3-45FD-9E39-D5B293C712CE}"/>
    <cellStyle name="20% - Accent2 3 2 4 2 4" xfId="20576" xr:uid="{78FB4478-0DC6-473B-BFC8-2B18008A6CC5}"/>
    <cellStyle name="20% - Accent2 3 2 4 2 5" xfId="29016" xr:uid="{55C645F2-C3FB-4185-9594-8F6EE15D9676}"/>
    <cellStyle name="20% - Accent2 3 2 4 3" xfId="5758" xr:uid="{00000000-0005-0000-0000-0000FF000000}"/>
    <cellStyle name="20% - Accent2 3 2 4 3 2" xfId="14208" xr:uid="{DD8A88EF-3C25-4E89-BC9B-9B5A361165B6}"/>
    <cellStyle name="20% - Accent2 3 2 4 3 3" xfId="22648" xr:uid="{B89666B1-0557-4048-91A7-FE36D3DBCDFD}"/>
    <cellStyle name="20% - Accent2 3 2 4 3 4" xfId="31088" xr:uid="{3085B336-E058-4EF1-9688-5029BC59786D}"/>
    <cellStyle name="20% - Accent2 3 2 4 4" xfId="9990" xr:uid="{9EF9B8F6-A13D-43CA-B14A-4E0007FE1C13}"/>
    <cellStyle name="20% - Accent2 3 2 4 5" xfId="18431" xr:uid="{6C143684-4D2D-4DA5-8998-3927BD5DC6D3}"/>
    <cellStyle name="20% - Accent2 3 2 4 6" xfId="26871" xr:uid="{9E742E6C-299D-42DF-ABC7-7B0F9B6EB600}"/>
    <cellStyle name="20% - Accent2 3 2 5" xfId="1865" xr:uid="{00000000-0005-0000-0000-000000010000}"/>
    <cellStyle name="20% - Accent2 3 2 5 2" xfId="4094" xr:uid="{00000000-0005-0000-0000-000001010000}"/>
    <cellStyle name="20% - Accent2 3 2 5 2 2" xfId="8316" xr:uid="{00000000-0005-0000-0000-000002010000}"/>
    <cellStyle name="20% - Accent2 3 2 5 2 2 2" xfId="16766" xr:uid="{46687D41-542B-4C2A-9895-D9A3164EFFBE}"/>
    <cellStyle name="20% - Accent2 3 2 5 2 2 3" xfId="25206" xr:uid="{7235D028-7F52-48B5-A070-292B72A9A140}"/>
    <cellStyle name="20% - Accent2 3 2 5 2 2 4" xfId="33646" xr:uid="{10EA4356-4DB5-47F3-9DCE-D97BB6492762}"/>
    <cellStyle name="20% - Accent2 3 2 5 2 3" xfId="12548" xr:uid="{B908B6EB-72B5-40E1-9E85-B3E379B84A32}"/>
    <cellStyle name="20% - Accent2 3 2 5 2 4" xfId="20989" xr:uid="{D87F34AA-EADC-46CD-8136-11468DEB0558}"/>
    <cellStyle name="20% - Accent2 3 2 5 2 5" xfId="29429" xr:uid="{DC5C0911-9246-4581-8E30-0E9FCB534392}"/>
    <cellStyle name="20% - Accent2 3 2 5 3" xfId="6171" xr:uid="{00000000-0005-0000-0000-000003010000}"/>
    <cellStyle name="20% - Accent2 3 2 5 3 2" xfId="14621" xr:uid="{57884C1D-496E-441B-9F2B-0FE0A025C1AD}"/>
    <cellStyle name="20% - Accent2 3 2 5 3 3" xfId="23061" xr:uid="{A27D8B61-6B58-491C-B418-9B90FD8F4830}"/>
    <cellStyle name="20% - Accent2 3 2 5 3 4" xfId="31501" xr:uid="{BE860047-FD94-4936-9ADC-9F239F5E86F5}"/>
    <cellStyle name="20% - Accent2 3 2 5 4" xfId="10403" xr:uid="{784BB8B2-0935-4763-8DB5-F3A7E3A93E23}"/>
    <cellStyle name="20% - Accent2 3 2 5 5" xfId="18844" xr:uid="{471FC48E-A77A-4C06-9DD2-ECD7DAE65078}"/>
    <cellStyle name="20% - Accent2 3 2 5 6" xfId="27284" xr:uid="{B2E6381F-054A-48D4-A267-68528CDAC5E5}"/>
    <cellStyle name="20% - Accent2 3 2 6" xfId="2278" xr:uid="{00000000-0005-0000-0000-000004010000}"/>
    <cellStyle name="20% - Accent2 3 2 6 2" xfId="6584" xr:uid="{00000000-0005-0000-0000-000005010000}"/>
    <cellStyle name="20% - Accent2 3 2 6 2 2" xfId="15034" xr:uid="{E9C89B77-E752-4E4E-969E-F6610099CEB7}"/>
    <cellStyle name="20% - Accent2 3 2 6 2 3" xfId="23474" xr:uid="{E7111431-DB39-4A42-9B7C-D2AA2941CD1C}"/>
    <cellStyle name="20% - Accent2 3 2 6 2 4" xfId="31914" xr:uid="{F6F1B575-BC7C-48DC-B032-021BEBF1CCCC}"/>
    <cellStyle name="20% - Accent2 3 2 6 3" xfId="10816" xr:uid="{54E8C323-6DD3-4935-9853-91F05EB3FDA9}"/>
    <cellStyle name="20% - Accent2 3 2 6 4" xfId="19257" xr:uid="{6C659A74-D4C5-4EC7-BE90-B2095685DA01}"/>
    <cellStyle name="20% - Accent2 3 2 6 5" xfId="27697" xr:uid="{832360A8-5924-4903-ABF1-085EEE68938E}"/>
    <cellStyle name="20% - Accent2 3 2 7" xfId="4518" xr:uid="{00000000-0005-0000-0000-000006010000}"/>
    <cellStyle name="20% - Accent2 3 2 7 2" xfId="12968" xr:uid="{DB239944-8715-4113-80CF-903B14D68F59}"/>
    <cellStyle name="20% - Accent2 3 2 7 3" xfId="21408" xr:uid="{F4091E5A-9F7F-491E-B352-99BCDC4F14B5}"/>
    <cellStyle name="20% - Accent2 3 2 7 4" xfId="29848" xr:uid="{5EDA6AF3-A5D9-426A-A2BF-A15656CD822B}"/>
    <cellStyle name="20% - Accent2 3 2 8" xfId="8750" xr:uid="{5176E70E-FAC9-4D43-9707-02AD4BAA6E61}"/>
    <cellStyle name="20% - Accent2 3 2 9" xfId="17191" xr:uid="{E6521D22-3C74-487C-B79B-E62387FAB8E9}"/>
    <cellStyle name="20% - Accent2 3 3" xfId="583" xr:uid="{00000000-0005-0000-0000-000007010000}"/>
    <cellStyle name="20% - Accent2 3 3 2" xfId="2854" xr:uid="{00000000-0005-0000-0000-000008010000}"/>
    <cellStyle name="20% - Accent2 3 3 2 2" xfId="7076" xr:uid="{00000000-0005-0000-0000-000009010000}"/>
    <cellStyle name="20% - Accent2 3 3 2 2 2" xfId="15526" xr:uid="{E2448E69-BD80-4C44-982C-B73DAA5FF9AB}"/>
    <cellStyle name="20% - Accent2 3 3 2 2 3" xfId="23966" xr:uid="{3F416B32-F520-4F2B-AA6A-F87AAD85E284}"/>
    <cellStyle name="20% - Accent2 3 3 2 2 4" xfId="32406" xr:uid="{8B5FEB51-9972-4AFC-84D4-73928F32A633}"/>
    <cellStyle name="20% - Accent2 3 3 2 3" xfId="11308" xr:uid="{C0AF266F-A3DC-47AD-B1C8-03BAAAA26D44}"/>
    <cellStyle name="20% - Accent2 3 3 2 4" xfId="19749" xr:uid="{25CFFC80-0C64-4EF6-9362-94CC8AEA975E}"/>
    <cellStyle name="20% - Accent2 3 3 2 5" xfId="28189" xr:uid="{8376067D-F860-4224-A485-9EC514F6F2D9}"/>
    <cellStyle name="20% - Accent2 3 3 3" xfId="4931" xr:uid="{00000000-0005-0000-0000-00000A010000}"/>
    <cellStyle name="20% - Accent2 3 3 3 2" xfId="13381" xr:uid="{36B10625-D9A3-45B3-B94A-0DED866010B5}"/>
    <cellStyle name="20% - Accent2 3 3 3 3" xfId="21821" xr:uid="{D56C7EF4-2B9A-4EBD-A2F4-CCF684944D57}"/>
    <cellStyle name="20% - Accent2 3 3 3 4" xfId="30261" xr:uid="{F8A25F47-6E47-4A0A-ABCF-D456B7D4F811}"/>
    <cellStyle name="20% - Accent2 3 3 4" xfId="9163" xr:uid="{A4D46B8D-6FF6-4D87-BB03-24638864A910}"/>
    <cellStyle name="20% - Accent2 3 3 5" xfId="17604" xr:uid="{156706F8-3EF7-48A7-B0B8-F45EDDA4A8D3}"/>
    <cellStyle name="20% - Accent2 3 3 6" xfId="26044" xr:uid="{C74560F4-9135-4185-9135-50C4BD9FE8B0}"/>
    <cellStyle name="20% - Accent2 3 4" xfId="1036" xr:uid="{00000000-0005-0000-0000-00000B010000}"/>
    <cellStyle name="20% - Accent2 3 4 2" xfId="3267" xr:uid="{00000000-0005-0000-0000-00000C010000}"/>
    <cellStyle name="20% - Accent2 3 4 2 2" xfId="7489" xr:uid="{00000000-0005-0000-0000-00000D010000}"/>
    <cellStyle name="20% - Accent2 3 4 2 2 2" xfId="15939" xr:uid="{924A5899-396F-4FDA-B078-7D1CD859BB75}"/>
    <cellStyle name="20% - Accent2 3 4 2 2 3" xfId="24379" xr:uid="{002FEE2A-0A3A-40C1-A9D4-33C0782D066D}"/>
    <cellStyle name="20% - Accent2 3 4 2 2 4" xfId="32819" xr:uid="{1098D746-5CC7-4B4C-A73A-34D9191EBE75}"/>
    <cellStyle name="20% - Accent2 3 4 2 3" xfId="11721" xr:uid="{41B8BAEF-E887-4378-ADAF-32B6762B4E0C}"/>
    <cellStyle name="20% - Accent2 3 4 2 4" xfId="20162" xr:uid="{FABB27F5-6658-4377-B74D-9DD55B3EBAED}"/>
    <cellStyle name="20% - Accent2 3 4 2 5" xfId="28602" xr:uid="{1E1032CF-2C50-4CD5-B4A4-2A4607FFCEA8}"/>
    <cellStyle name="20% - Accent2 3 4 3" xfId="5344" xr:uid="{00000000-0005-0000-0000-00000E010000}"/>
    <cellStyle name="20% - Accent2 3 4 3 2" xfId="13794" xr:uid="{13ACE410-CAC1-4DFC-BEEF-A0FD5DCBE717}"/>
    <cellStyle name="20% - Accent2 3 4 3 3" xfId="22234" xr:uid="{97601488-B3D6-44AD-92CD-39C4592FC226}"/>
    <cellStyle name="20% - Accent2 3 4 3 4" xfId="30674" xr:uid="{1B260476-6208-4523-ADF8-4126BC696687}"/>
    <cellStyle name="20% - Accent2 3 4 4" xfId="9576" xr:uid="{0079DC4C-D5FD-46DE-8528-E830DDCE5A95}"/>
    <cellStyle name="20% - Accent2 3 4 5" xfId="18017" xr:uid="{CA85373D-A116-448C-B89E-5D1935EDFFDE}"/>
    <cellStyle name="20% - Accent2 3 4 6" xfId="26457" xr:uid="{7DB42730-062B-41D6-BDD0-546CFB69B23D}"/>
    <cellStyle name="20% - Accent2 3 5" xfId="1450" xr:uid="{00000000-0005-0000-0000-00000F010000}"/>
    <cellStyle name="20% - Accent2 3 5 2" xfId="3680" xr:uid="{00000000-0005-0000-0000-000010010000}"/>
    <cellStyle name="20% - Accent2 3 5 2 2" xfId="7902" xr:uid="{00000000-0005-0000-0000-000011010000}"/>
    <cellStyle name="20% - Accent2 3 5 2 2 2" xfId="16352" xr:uid="{71E0C400-3F5A-4D0B-A2CE-4594C43EE634}"/>
    <cellStyle name="20% - Accent2 3 5 2 2 3" xfId="24792" xr:uid="{B52AE64B-D0DE-4300-9E56-DB82CED06065}"/>
    <cellStyle name="20% - Accent2 3 5 2 2 4" xfId="33232" xr:uid="{E69F187F-7976-4133-9529-9CBDDD293D3A}"/>
    <cellStyle name="20% - Accent2 3 5 2 3" xfId="12134" xr:uid="{D036A405-5DBA-4CB8-A151-447DCE638B24}"/>
    <cellStyle name="20% - Accent2 3 5 2 4" xfId="20575" xr:uid="{2B2E22AF-1D68-47EA-AC63-FFA7D17054C3}"/>
    <cellStyle name="20% - Accent2 3 5 2 5" xfId="29015" xr:uid="{CB9E34D1-1F16-4FFC-858C-730644205F13}"/>
    <cellStyle name="20% - Accent2 3 5 3" xfId="5757" xr:uid="{00000000-0005-0000-0000-000012010000}"/>
    <cellStyle name="20% - Accent2 3 5 3 2" xfId="14207" xr:uid="{457383AC-2EF1-48BD-BE04-51E8BAFB13C5}"/>
    <cellStyle name="20% - Accent2 3 5 3 3" xfId="22647" xr:uid="{036434AB-6D44-48C4-9B04-5984A463E5F2}"/>
    <cellStyle name="20% - Accent2 3 5 3 4" xfId="31087" xr:uid="{705A6812-48A8-4D32-8E92-CABB0D3C808C}"/>
    <cellStyle name="20% - Accent2 3 5 4" xfId="9989" xr:uid="{D0356368-85B0-40B6-BE18-04D424B72916}"/>
    <cellStyle name="20% - Accent2 3 5 5" xfId="18430" xr:uid="{68D5FF44-F881-4062-8AB2-DA5E94CCD65D}"/>
    <cellStyle name="20% - Accent2 3 5 6" xfId="26870" xr:uid="{90CF6618-493E-44E6-A06F-E4F18B34110B}"/>
    <cellStyle name="20% - Accent2 3 6" xfId="1864" xr:uid="{00000000-0005-0000-0000-000013010000}"/>
    <cellStyle name="20% - Accent2 3 6 2" xfId="4093" xr:uid="{00000000-0005-0000-0000-000014010000}"/>
    <cellStyle name="20% - Accent2 3 6 2 2" xfId="8315" xr:uid="{00000000-0005-0000-0000-000015010000}"/>
    <cellStyle name="20% - Accent2 3 6 2 2 2" xfId="16765" xr:uid="{003AD567-405D-4418-B61A-C8651C0EE72E}"/>
    <cellStyle name="20% - Accent2 3 6 2 2 3" xfId="25205" xr:uid="{C6B5E25D-4346-44DF-B0FF-989CD86EBC93}"/>
    <cellStyle name="20% - Accent2 3 6 2 2 4" xfId="33645" xr:uid="{2B30C404-5FBF-4EBD-9127-1E6DDD2C8594}"/>
    <cellStyle name="20% - Accent2 3 6 2 3" xfId="12547" xr:uid="{4F24E975-3433-41EE-8907-98ABB42C64A3}"/>
    <cellStyle name="20% - Accent2 3 6 2 4" xfId="20988" xr:uid="{072FAD73-6974-4584-8436-8B2C928A16C9}"/>
    <cellStyle name="20% - Accent2 3 6 2 5" xfId="29428" xr:uid="{FBA32321-2854-4F91-B84F-88587F470768}"/>
    <cellStyle name="20% - Accent2 3 6 3" xfId="6170" xr:uid="{00000000-0005-0000-0000-000016010000}"/>
    <cellStyle name="20% - Accent2 3 6 3 2" xfId="14620" xr:uid="{3E09EDE8-3A1A-4F53-B789-D851816B1831}"/>
    <cellStyle name="20% - Accent2 3 6 3 3" xfId="23060" xr:uid="{CC12916A-3DA4-4FD3-830E-3B779C1FD298}"/>
    <cellStyle name="20% - Accent2 3 6 3 4" xfId="31500" xr:uid="{6E77FE92-8B6D-451F-BBC3-5B055C78FF9C}"/>
    <cellStyle name="20% - Accent2 3 6 4" xfId="10402" xr:uid="{C84BF251-F946-4C8E-8753-68D2597BE932}"/>
    <cellStyle name="20% - Accent2 3 6 5" xfId="18843" xr:uid="{94283B0F-E011-425F-9A5E-7D27ED542F96}"/>
    <cellStyle name="20% - Accent2 3 6 6" xfId="27283" xr:uid="{1D070DD2-5C43-4AEA-8768-46808DBCC15B}"/>
    <cellStyle name="20% - Accent2 3 7" xfId="2277" xr:uid="{00000000-0005-0000-0000-000017010000}"/>
    <cellStyle name="20% - Accent2 3 7 2" xfId="6583" xr:uid="{00000000-0005-0000-0000-000018010000}"/>
    <cellStyle name="20% - Accent2 3 7 2 2" xfId="15033" xr:uid="{4EA1F0EF-D003-41CE-997F-78E7E27F3C49}"/>
    <cellStyle name="20% - Accent2 3 7 2 3" xfId="23473" xr:uid="{5704036C-A64B-4007-9DD7-C39BD2A0B95D}"/>
    <cellStyle name="20% - Accent2 3 7 2 4" xfId="31913" xr:uid="{7FE9C104-D31B-4BB0-A7B0-70D732772365}"/>
    <cellStyle name="20% - Accent2 3 7 3" xfId="10815" xr:uid="{275B72B6-7352-4DF3-9F5C-1AFD7325CAA2}"/>
    <cellStyle name="20% - Accent2 3 7 4" xfId="19256" xr:uid="{1C8C6E9C-F3D9-4BF5-8881-CD7CFAC8FAEA}"/>
    <cellStyle name="20% - Accent2 3 7 5" xfId="27696" xr:uid="{DEF5CD20-34F9-4800-91A9-38B2C58ED9A0}"/>
    <cellStyle name="20% - Accent2 3 8" xfId="4517" xr:uid="{00000000-0005-0000-0000-000019010000}"/>
    <cellStyle name="20% - Accent2 3 8 2" xfId="12967" xr:uid="{15586C76-D5A2-47C6-AEC5-C6E3DB37B5CE}"/>
    <cellStyle name="20% - Accent2 3 8 3" xfId="21407" xr:uid="{E58FA077-12E4-45C5-8D00-B342FFD185BC}"/>
    <cellStyle name="20% - Accent2 3 8 4" xfId="29847" xr:uid="{781BDEA1-79AA-4863-9F16-DB9C04145FF5}"/>
    <cellStyle name="20% - Accent2 3 9" xfId="8749" xr:uid="{C59B9F7D-7549-4FCE-B5B1-165A42D4038D}"/>
    <cellStyle name="20% - Accent2 4" xfId="16" xr:uid="{00000000-0005-0000-0000-00001A010000}"/>
    <cellStyle name="20% - Accent2 4 10" xfId="25632" xr:uid="{3C8E2B7E-1FF6-479E-9071-8D9B0688CBC9}"/>
    <cellStyle name="20% - Accent2 4 2" xfId="585" xr:uid="{00000000-0005-0000-0000-00001B010000}"/>
    <cellStyle name="20% - Accent2 4 2 2" xfId="2856" xr:uid="{00000000-0005-0000-0000-00001C010000}"/>
    <cellStyle name="20% - Accent2 4 2 2 2" xfId="7078" xr:uid="{00000000-0005-0000-0000-00001D010000}"/>
    <cellStyle name="20% - Accent2 4 2 2 2 2" xfId="15528" xr:uid="{6F2E514F-C4DD-4F4E-80D3-9FE0F71F1CC8}"/>
    <cellStyle name="20% - Accent2 4 2 2 2 3" xfId="23968" xr:uid="{31B83672-14BD-4BAE-913E-062A99BC2E83}"/>
    <cellStyle name="20% - Accent2 4 2 2 2 4" xfId="32408" xr:uid="{F6D95B60-22B3-4FE8-94C5-5C56DEE4E016}"/>
    <cellStyle name="20% - Accent2 4 2 2 3" xfId="11310" xr:uid="{DE8DBA6B-9230-49D8-98AE-82D36B601BC2}"/>
    <cellStyle name="20% - Accent2 4 2 2 4" xfId="19751" xr:uid="{FF93DCD0-8721-445D-A2E4-03A9495AAEE0}"/>
    <cellStyle name="20% - Accent2 4 2 2 5" xfId="28191" xr:uid="{43CB4C6A-935B-4A6A-8C83-E99CD90B157C}"/>
    <cellStyle name="20% - Accent2 4 2 3" xfId="4933" xr:uid="{00000000-0005-0000-0000-00001E010000}"/>
    <cellStyle name="20% - Accent2 4 2 3 2" xfId="13383" xr:uid="{8690A33E-074D-49C6-84FE-1282831A7EA2}"/>
    <cellStyle name="20% - Accent2 4 2 3 3" xfId="21823" xr:uid="{45144AF0-0F94-4A33-BD55-12888435ACAA}"/>
    <cellStyle name="20% - Accent2 4 2 3 4" xfId="30263" xr:uid="{2D10B4E7-2D91-44EE-9377-A95B842A4977}"/>
    <cellStyle name="20% - Accent2 4 2 4" xfId="9165" xr:uid="{472EA43D-89E2-45C0-A61F-1B19A25395BA}"/>
    <cellStyle name="20% - Accent2 4 2 5" xfId="17606" xr:uid="{9C7C5E20-ECB9-4205-B9F5-6E6122E9A0DF}"/>
    <cellStyle name="20% - Accent2 4 2 6" xfId="26046" xr:uid="{BFF05177-AD0F-4645-9E57-4C2642BDCDC6}"/>
    <cellStyle name="20% - Accent2 4 3" xfId="1038" xr:uid="{00000000-0005-0000-0000-00001F010000}"/>
    <cellStyle name="20% - Accent2 4 3 2" xfId="3269" xr:uid="{00000000-0005-0000-0000-000020010000}"/>
    <cellStyle name="20% - Accent2 4 3 2 2" xfId="7491" xr:uid="{00000000-0005-0000-0000-000021010000}"/>
    <cellStyle name="20% - Accent2 4 3 2 2 2" xfId="15941" xr:uid="{8B149191-ACD0-4372-BAA9-46A7D1F4FB5C}"/>
    <cellStyle name="20% - Accent2 4 3 2 2 3" xfId="24381" xr:uid="{925CC3E0-2C8A-41A3-968F-D38F8871D895}"/>
    <cellStyle name="20% - Accent2 4 3 2 2 4" xfId="32821" xr:uid="{82C8A2E4-C710-415A-B002-9801EE1FF4B8}"/>
    <cellStyle name="20% - Accent2 4 3 2 3" xfId="11723" xr:uid="{404BFB4C-5860-4D62-B612-E009FAF18486}"/>
    <cellStyle name="20% - Accent2 4 3 2 4" xfId="20164" xr:uid="{BF98A106-E235-49B1-BFDA-18B34B8A0478}"/>
    <cellStyle name="20% - Accent2 4 3 2 5" xfId="28604" xr:uid="{E3A96F99-071B-45F2-8214-C1E3243B50B7}"/>
    <cellStyle name="20% - Accent2 4 3 3" xfId="5346" xr:uid="{00000000-0005-0000-0000-000022010000}"/>
    <cellStyle name="20% - Accent2 4 3 3 2" xfId="13796" xr:uid="{A15850EC-6069-4AD2-A455-0ED4B531398D}"/>
    <cellStyle name="20% - Accent2 4 3 3 3" xfId="22236" xr:uid="{241EB6C4-9EEC-4C34-A4CA-BDCA784943B5}"/>
    <cellStyle name="20% - Accent2 4 3 3 4" xfId="30676" xr:uid="{3D0D61E1-BA3D-4B17-92AE-17F0856035D7}"/>
    <cellStyle name="20% - Accent2 4 3 4" xfId="9578" xr:uid="{7064A27A-0764-4C0C-B16C-B0D737A57535}"/>
    <cellStyle name="20% - Accent2 4 3 5" xfId="18019" xr:uid="{018FBC9E-68CD-4CEF-8174-A3FEEC035F39}"/>
    <cellStyle name="20% - Accent2 4 3 6" xfId="26459" xr:uid="{7BB29D61-059E-4252-A989-0EE1E5FC35E0}"/>
    <cellStyle name="20% - Accent2 4 4" xfId="1452" xr:uid="{00000000-0005-0000-0000-000023010000}"/>
    <cellStyle name="20% - Accent2 4 4 2" xfId="3682" xr:uid="{00000000-0005-0000-0000-000024010000}"/>
    <cellStyle name="20% - Accent2 4 4 2 2" xfId="7904" xr:uid="{00000000-0005-0000-0000-000025010000}"/>
    <cellStyle name="20% - Accent2 4 4 2 2 2" xfId="16354" xr:uid="{88796646-6C2E-48A7-912B-64656CD47E6D}"/>
    <cellStyle name="20% - Accent2 4 4 2 2 3" xfId="24794" xr:uid="{BB668848-A615-46A7-B306-1B3B8A33E2D6}"/>
    <cellStyle name="20% - Accent2 4 4 2 2 4" xfId="33234" xr:uid="{5BB00EE0-7EA4-4B0E-95CA-5DB1FE41FB8A}"/>
    <cellStyle name="20% - Accent2 4 4 2 3" xfId="12136" xr:uid="{68627BC2-EDB5-4145-AC87-43C45C3E17C7}"/>
    <cellStyle name="20% - Accent2 4 4 2 4" xfId="20577" xr:uid="{A0F927F5-6D16-4A81-BBC3-DA3CF18B53C1}"/>
    <cellStyle name="20% - Accent2 4 4 2 5" xfId="29017" xr:uid="{894D223F-29EA-4C2C-8284-0D02FB840509}"/>
    <cellStyle name="20% - Accent2 4 4 3" xfId="5759" xr:uid="{00000000-0005-0000-0000-000026010000}"/>
    <cellStyle name="20% - Accent2 4 4 3 2" xfId="14209" xr:uid="{F7952ECA-59F1-4E35-B967-A9BC337DF768}"/>
    <cellStyle name="20% - Accent2 4 4 3 3" xfId="22649" xr:uid="{A541C216-5CF0-4B07-92B6-948554560241}"/>
    <cellStyle name="20% - Accent2 4 4 3 4" xfId="31089" xr:uid="{0BF0F639-5BB5-4720-B431-04CA0CE74149}"/>
    <cellStyle name="20% - Accent2 4 4 4" xfId="9991" xr:uid="{537A5363-C339-4572-BEAE-21FA134BCEE3}"/>
    <cellStyle name="20% - Accent2 4 4 5" xfId="18432" xr:uid="{53FBEF0B-68E4-4CFC-81FA-25EBDFB5D428}"/>
    <cellStyle name="20% - Accent2 4 4 6" xfId="26872" xr:uid="{E264A4ED-4EC8-49F0-BD82-C1C57FDAABB1}"/>
    <cellStyle name="20% - Accent2 4 5" xfId="1866" xr:uid="{00000000-0005-0000-0000-000027010000}"/>
    <cellStyle name="20% - Accent2 4 5 2" xfId="4095" xr:uid="{00000000-0005-0000-0000-000028010000}"/>
    <cellStyle name="20% - Accent2 4 5 2 2" xfId="8317" xr:uid="{00000000-0005-0000-0000-000029010000}"/>
    <cellStyle name="20% - Accent2 4 5 2 2 2" xfId="16767" xr:uid="{F2F19CCD-A702-4746-973B-E52F8E20E532}"/>
    <cellStyle name="20% - Accent2 4 5 2 2 3" xfId="25207" xr:uid="{212B308A-B6CD-4C65-8C99-EDCD37070930}"/>
    <cellStyle name="20% - Accent2 4 5 2 2 4" xfId="33647" xr:uid="{A62B8F91-14A9-4650-B108-0A6448CBED4C}"/>
    <cellStyle name="20% - Accent2 4 5 2 3" xfId="12549" xr:uid="{74ED018E-EF7A-46B8-B941-109DDEC75CC4}"/>
    <cellStyle name="20% - Accent2 4 5 2 4" xfId="20990" xr:uid="{423B0F7E-85F4-49ED-A312-74F2FF6184E0}"/>
    <cellStyle name="20% - Accent2 4 5 2 5" xfId="29430" xr:uid="{8C2F6D46-0D41-4A59-A8EC-D7F155710E9C}"/>
    <cellStyle name="20% - Accent2 4 5 3" xfId="6172" xr:uid="{00000000-0005-0000-0000-00002A010000}"/>
    <cellStyle name="20% - Accent2 4 5 3 2" xfId="14622" xr:uid="{2D8A251D-CAFB-4506-A3E7-FEFBB7AB26A6}"/>
    <cellStyle name="20% - Accent2 4 5 3 3" xfId="23062" xr:uid="{EBEA710A-F55E-47D3-9E07-3AD0E8BBDC68}"/>
    <cellStyle name="20% - Accent2 4 5 3 4" xfId="31502" xr:uid="{09B01D9C-DA6F-457D-9924-30010AC3B6F9}"/>
    <cellStyle name="20% - Accent2 4 5 4" xfId="10404" xr:uid="{9AF235B6-AD99-4EF8-8F76-315E63A7E6CC}"/>
    <cellStyle name="20% - Accent2 4 5 5" xfId="18845" xr:uid="{7BEAD91A-5AC5-447F-9C77-D0EBEEAF9A09}"/>
    <cellStyle name="20% - Accent2 4 5 6" xfId="27285" xr:uid="{BBEC9F0E-0C34-4A6B-953B-A7C4A066BDB5}"/>
    <cellStyle name="20% - Accent2 4 6" xfId="2279" xr:uid="{00000000-0005-0000-0000-00002B010000}"/>
    <cellStyle name="20% - Accent2 4 6 2" xfId="6585" xr:uid="{00000000-0005-0000-0000-00002C010000}"/>
    <cellStyle name="20% - Accent2 4 6 2 2" xfId="15035" xr:uid="{D373001F-DB2C-464E-8099-186A97A2A024}"/>
    <cellStyle name="20% - Accent2 4 6 2 3" xfId="23475" xr:uid="{6EA0508A-42F8-4256-9BF5-CFA991766CA5}"/>
    <cellStyle name="20% - Accent2 4 6 2 4" xfId="31915" xr:uid="{0A7CEECE-807E-4BB5-886E-2484C562734D}"/>
    <cellStyle name="20% - Accent2 4 6 3" xfId="10817" xr:uid="{4A7378A3-57E4-4D38-AF0C-7FED67C3D2F4}"/>
    <cellStyle name="20% - Accent2 4 6 4" xfId="19258" xr:uid="{13545B6D-BC1D-4728-9556-8EDFF966466E}"/>
    <cellStyle name="20% - Accent2 4 6 5" xfId="27698" xr:uid="{FC6B0382-382F-4149-872B-5B759B0F8A2E}"/>
    <cellStyle name="20% - Accent2 4 7" xfId="4519" xr:uid="{00000000-0005-0000-0000-00002D010000}"/>
    <cellStyle name="20% - Accent2 4 7 2" xfId="12969" xr:uid="{D28E722E-C65D-45F0-A300-ABF3BA1619E6}"/>
    <cellStyle name="20% - Accent2 4 7 3" xfId="21409" xr:uid="{89E457C3-C400-45BC-9C23-A4E5CBE3E884}"/>
    <cellStyle name="20% - Accent2 4 7 4" xfId="29849" xr:uid="{2045FE65-A5C4-4DF1-99A1-2B16DFCDD07F}"/>
    <cellStyle name="20% - Accent2 4 8" xfId="8751" xr:uid="{E6D2C5B8-B01B-4179-AE36-105EDF18E9BF}"/>
    <cellStyle name="20% - Accent2 4 9" xfId="17192" xr:uid="{52885940-24D0-4560-AB97-0A24779B487D}"/>
    <cellStyle name="20% - Accent2 5" xfId="578" xr:uid="{00000000-0005-0000-0000-00002E010000}"/>
    <cellStyle name="20% - Accent2 5 2" xfId="2849" xr:uid="{00000000-0005-0000-0000-00002F010000}"/>
    <cellStyle name="20% - Accent2 5 2 2" xfId="7071" xr:uid="{00000000-0005-0000-0000-000030010000}"/>
    <cellStyle name="20% - Accent2 5 2 2 2" xfId="15521" xr:uid="{DA7CD0CC-0813-4AE3-B8CD-CE21C23760C7}"/>
    <cellStyle name="20% - Accent2 5 2 2 3" xfId="23961" xr:uid="{A0DFBB22-90D5-425B-8CA2-39B6251B9F49}"/>
    <cellStyle name="20% - Accent2 5 2 2 4" xfId="32401" xr:uid="{27E83399-80F2-4917-B90D-FA167463B5F7}"/>
    <cellStyle name="20% - Accent2 5 2 3" xfId="11303" xr:uid="{65EF0172-4A0F-451D-83C4-33E2A2A23B5A}"/>
    <cellStyle name="20% - Accent2 5 2 4" xfId="19744" xr:uid="{36D24358-BE75-4CCD-AB20-3695F037C5D7}"/>
    <cellStyle name="20% - Accent2 5 2 5" xfId="28184" xr:uid="{A57F4775-D942-4EB9-B6BE-6E93DB41ED0E}"/>
    <cellStyle name="20% - Accent2 5 3" xfId="4926" xr:uid="{00000000-0005-0000-0000-000031010000}"/>
    <cellStyle name="20% - Accent2 5 3 2" xfId="13376" xr:uid="{B1E2CB6B-7A52-479E-AD5A-CED5CFC27682}"/>
    <cellStyle name="20% - Accent2 5 3 3" xfId="21816" xr:uid="{9235D3B4-6D6C-4A50-8099-F9A66E929A4F}"/>
    <cellStyle name="20% - Accent2 5 3 4" xfId="30256" xr:uid="{A0584407-CDF2-466F-A3DE-665BE70015C9}"/>
    <cellStyle name="20% - Accent2 5 4" xfId="9158" xr:uid="{33CDA5E2-9B36-4E0D-95DB-AA5661B482DA}"/>
    <cellStyle name="20% - Accent2 5 5" xfId="17599" xr:uid="{84A3A29E-F1BE-48F1-877F-3F437938F7CF}"/>
    <cellStyle name="20% - Accent2 5 6" xfId="26039" xr:uid="{AD83B1E1-83B1-4638-A102-A9FD56674EE1}"/>
    <cellStyle name="20% - Accent2 6" xfId="1031" xr:uid="{00000000-0005-0000-0000-000032010000}"/>
    <cellStyle name="20% - Accent2 6 2" xfId="3262" xr:uid="{00000000-0005-0000-0000-000033010000}"/>
    <cellStyle name="20% - Accent2 6 2 2" xfId="7484" xr:uid="{00000000-0005-0000-0000-000034010000}"/>
    <cellStyle name="20% - Accent2 6 2 2 2" xfId="15934" xr:uid="{88316224-BB84-45C3-AF29-5E31C55AC7A2}"/>
    <cellStyle name="20% - Accent2 6 2 2 3" xfId="24374" xr:uid="{F3293B4D-14F8-4032-A92A-D042F372FD5A}"/>
    <cellStyle name="20% - Accent2 6 2 2 4" xfId="32814" xr:uid="{C89ED8EA-95A9-443D-9C7F-CB8C31B7216F}"/>
    <cellStyle name="20% - Accent2 6 2 3" xfId="11716" xr:uid="{92BAD56D-2AF1-4C25-9F29-911391FEDA4F}"/>
    <cellStyle name="20% - Accent2 6 2 4" xfId="20157" xr:uid="{CEE7D7DF-94CE-4345-A55C-E6CE830DA151}"/>
    <cellStyle name="20% - Accent2 6 2 5" xfId="28597" xr:uid="{1739B58E-6B4A-4AA5-BB4F-EC1020FD42DB}"/>
    <cellStyle name="20% - Accent2 6 3" xfId="5339" xr:uid="{00000000-0005-0000-0000-000035010000}"/>
    <cellStyle name="20% - Accent2 6 3 2" xfId="13789" xr:uid="{68BF61B8-63F3-4775-A049-B1BED0C758C7}"/>
    <cellStyle name="20% - Accent2 6 3 3" xfId="22229" xr:uid="{FE1F6E09-A479-440B-BD91-28F608F86678}"/>
    <cellStyle name="20% - Accent2 6 3 4" xfId="30669" xr:uid="{529E0CFC-8FF5-4567-903C-6F0C420EB7BA}"/>
    <cellStyle name="20% - Accent2 6 4" xfId="9571" xr:uid="{4B877FCB-E1A9-400B-97EF-AD34C8848B4B}"/>
    <cellStyle name="20% - Accent2 6 5" xfId="18012" xr:uid="{00E41C8C-C831-49A4-BEF5-D7417A8E45D4}"/>
    <cellStyle name="20% - Accent2 6 6" xfId="26452" xr:uid="{46B00F36-E4B1-4CD0-9F4F-DA9A74625050}"/>
    <cellStyle name="20% - Accent2 7" xfId="1445" xr:uid="{00000000-0005-0000-0000-000036010000}"/>
    <cellStyle name="20% - Accent2 7 2" xfId="3675" xr:uid="{00000000-0005-0000-0000-000037010000}"/>
    <cellStyle name="20% - Accent2 7 2 2" xfId="7897" xr:uid="{00000000-0005-0000-0000-000038010000}"/>
    <cellStyle name="20% - Accent2 7 2 2 2" xfId="16347" xr:uid="{6E7DF5A7-1223-4AF3-9848-9AC65D6A6E03}"/>
    <cellStyle name="20% - Accent2 7 2 2 3" xfId="24787" xr:uid="{A3B34606-5D7C-48D5-88AD-D2747B8C6B0D}"/>
    <cellStyle name="20% - Accent2 7 2 2 4" xfId="33227" xr:uid="{B4738FA4-6D68-4866-977E-D9CDF7A32BF0}"/>
    <cellStyle name="20% - Accent2 7 2 3" xfId="12129" xr:uid="{29D38F0E-04B6-4DDA-8C5A-4A0DBD76416D}"/>
    <cellStyle name="20% - Accent2 7 2 4" xfId="20570" xr:uid="{2E44053A-7775-4941-9CDF-4A4EB2B33915}"/>
    <cellStyle name="20% - Accent2 7 2 5" xfId="29010" xr:uid="{15D1DA43-ACC4-48B7-9AD7-5E05D5AF1929}"/>
    <cellStyle name="20% - Accent2 7 3" xfId="5752" xr:uid="{00000000-0005-0000-0000-000039010000}"/>
    <cellStyle name="20% - Accent2 7 3 2" xfId="14202" xr:uid="{4E1237B6-9386-4CB8-BAA9-9673C8BFA0A3}"/>
    <cellStyle name="20% - Accent2 7 3 3" xfId="22642" xr:uid="{D005E33F-D04E-420E-9B72-B81E24546B46}"/>
    <cellStyle name="20% - Accent2 7 3 4" xfId="31082" xr:uid="{196B6A19-8615-4612-95AA-127F4A06ABBE}"/>
    <cellStyle name="20% - Accent2 7 4" xfId="9984" xr:uid="{5443756D-4212-4A5A-86FD-F66C2A9BDC08}"/>
    <cellStyle name="20% - Accent2 7 5" xfId="18425" xr:uid="{DDEDCF05-2151-478B-9AF2-62D2039749BE}"/>
    <cellStyle name="20% - Accent2 7 6" xfId="26865" xr:uid="{3C27E174-4D7A-45A3-BBB1-DB16EFD6A869}"/>
    <cellStyle name="20% - Accent2 8" xfId="1859" xr:uid="{00000000-0005-0000-0000-00003A010000}"/>
    <cellStyle name="20% - Accent2 8 2" xfId="4088" xr:uid="{00000000-0005-0000-0000-00003B010000}"/>
    <cellStyle name="20% - Accent2 8 2 2" xfId="8310" xr:uid="{00000000-0005-0000-0000-00003C010000}"/>
    <cellStyle name="20% - Accent2 8 2 2 2" xfId="16760" xr:uid="{1895EBE6-D3CB-4BE0-AECB-7BDB46AFC462}"/>
    <cellStyle name="20% - Accent2 8 2 2 3" xfId="25200" xr:uid="{AC184B88-4F47-4C2E-9C11-400FCA49EEB1}"/>
    <cellStyle name="20% - Accent2 8 2 2 4" xfId="33640" xr:uid="{85A7D34E-D0EF-4149-B382-A8F457935490}"/>
    <cellStyle name="20% - Accent2 8 2 3" xfId="12542" xr:uid="{F4194A4A-5A0A-40FC-86DD-DEBAD41D1418}"/>
    <cellStyle name="20% - Accent2 8 2 4" xfId="20983" xr:uid="{A1823F28-8D11-46E4-80D4-32733324AE71}"/>
    <cellStyle name="20% - Accent2 8 2 5" xfId="29423" xr:uid="{96E28028-3F1F-4357-9BFD-9C7B2920BDFA}"/>
    <cellStyle name="20% - Accent2 8 3" xfId="6165" xr:uid="{00000000-0005-0000-0000-00003D010000}"/>
    <cellStyle name="20% - Accent2 8 3 2" xfId="14615" xr:uid="{6D382A63-2B62-464F-BF3F-A6D27A9A03CD}"/>
    <cellStyle name="20% - Accent2 8 3 3" xfId="23055" xr:uid="{7E5D0356-5CBC-45C4-8C2C-6A06A0F4D90F}"/>
    <cellStyle name="20% - Accent2 8 3 4" xfId="31495" xr:uid="{09CB3235-738A-4521-8B58-48D91B002D50}"/>
    <cellStyle name="20% - Accent2 8 4" xfId="10397" xr:uid="{B6EE153F-795C-402C-9F96-9B5EDBC18F16}"/>
    <cellStyle name="20% - Accent2 8 5" xfId="18838" xr:uid="{0F5A97B0-D7BA-4F4F-ADDE-06432FAECD9D}"/>
    <cellStyle name="20% - Accent2 8 6" xfId="27278" xr:uid="{635B8E26-C5BA-4B01-A1EF-6EEC85852465}"/>
    <cellStyle name="20% - Accent2 9" xfId="2272" xr:uid="{00000000-0005-0000-0000-00003E010000}"/>
    <cellStyle name="20% - Accent2 9 2" xfId="6578" xr:uid="{00000000-0005-0000-0000-00003F010000}"/>
    <cellStyle name="20% - Accent2 9 2 2" xfId="15028" xr:uid="{791D8740-D5DE-454A-973D-55E7FF136BB0}"/>
    <cellStyle name="20% - Accent2 9 2 3" xfId="23468" xr:uid="{135B608E-B50A-41E3-B1C5-0C5488657363}"/>
    <cellStyle name="20% - Accent2 9 2 4" xfId="31908" xr:uid="{DBBEF603-68CB-4B07-8FF5-511879E0FDF6}"/>
    <cellStyle name="20% - Accent2 9 3" xfId="10810" xr:uid="{AAC85E01-9802-438F-A266-34DC299C20ED}"/>
    <cellStyle name="20% - Accent2 9 4" xfId="19251" xr:uid="{E63649DE-653E-4A12-BFD5-B0496DC9214E}"/>
    <cellStyle name="20% - Accent2 9 5" xfId="27691" xr:uid="{BEC96D32-464F-49F6-936B-6A24CEC41E87}"/>
    <cellStyle name="20% - Accent3" xfId="17" builtinId="38" customBuiltin="1"/>
    <cellStyle name="20% - Accent3 10" xfId="4520" xr:uid="{00000000-0005-0000-0000-000041010000}"/>
    <cellStyle name="20% - Accent3 10 2" xfId="12970" xr:uid="{C8DDAA7E-42EC-4DFA-B306-D04F0F646372}"/>
    <cellStyle name="20% - Accent3 10 3" xfId="21410" xr:uid="{E2FE098F-4D81-46A7-8C93-2BBCDA2A5132}"/>
    <cellStyle name="20% - Accent3 10 4" xfId="29850" xr:uid="{3AA99C28-C593-40F2-ADBB-18BF04F8888A}"/>
    <cellStyle name="20% - Accent3 11" xfId="8752" xr:uid="{9D790390-B9DF-4371-BEBE-565CF7C8DD1D}"/>
    <cellStyle name="20% - Accent3 12" xfId="17193" xr:uid="{D2983CDE-C6A8-4C1E-A8FD-A0D1EC841D18}"/>
    <cellStyle name="20% - Accent3 13" xfId="25633" xr:uid="{EC8BE19E-ABC9-4E9D-89E5-DD9CB7A1847C}"/>
    <cellStyle name="20% - Accent3 2" xfId="18" xr:uid="{00000000-0005-0000-0000-000042010000}"/>
    <cellStyle name="20% - Accent3 2 10" xfId="8753" xr:uid="{CDAEF240-5694-4C7C-A327-1F0F71EC13A1}"/>
    <cellStyle name="20% - Accent3 2 11" xfId="17194" xr:uid="{99023FB2-504A-4A49-B8C9-FA355362CAB6}"/>
    <cellStyle name="20% - Accent3 2 12" xfId="25634" xr:uid="{638E4383-FBE3-44EB-A2AE-C7D21DC3DFB7}"/>
    <cellStyle name="20% - Accent3 2 2" xfId="19" xr:uid="{00000000-0005-0000-0000-000043010000}"/>
    <cellStyle name="20% - Accent3 2 2 10" xfId="17195" xr:uid="{E68BD63F-3980-4D5D-B355-72D6FFE10E53}"/>
    <cellStyle name="20% - Accent3 2 2 11" xfId="25635" xr:uid="{69FB4C67-EEB9-4CCC-AA93-978300BE54C5}"/>
    <cellStyle name="20% - Accent3 2 2 2" xfId="20" xr:uid="{00000000-0005-0000-0000-000044010000}"/>
    <cellStyle name="20% - Accent3 2 2 2 10" xfId="25636" xr:uid="{C4F7D860-6ACF-45FE-9BE2-E79756FD715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2 2 2" xfId="15532" xr:uid="{110016F7-0001-42B1-94EF-BB3D36F29CBE}"/>
    <cellStyle name="20% - Accent3 2 2 2 2 2 2 3" xfId="23972" xr:uid="{86B9FB14-FE83-42FD-8705-DEB8FA606D06}"/>
    <cellStyle name="20% - Accent3 2 2 2 2 2 2 4" xfId="32412" xr:uid="{A582DB77-D103-468B-9802-98523596AED9}"/>
    <cellStyle name="20% - Accent3 2 2 2 2 2 3" xfId="11314" xr:uid="{98D9E45D-887B-4237-8F6B-6AAD90A15468}"/>
    <cellStyle name="20% - Accent3 2 2 2 2 2 4" xfId="19755" xr:uid="{3F95AF2E-46B5-4F74-8099-AC6C1534387D}"/>
    <cellStyle name="20% - Accent3 2 2 2 2 2 5" xfId="28195" xr:uid="{A6407F2D-131E-4948-93EF-20498301CF2E}"/>
    <cellStyle name="20% - Accent3 2 2 2 2 3" xfId="4937" xr:uid="{00000000-0005-0000-0000-000048010000}"/>
    <cellStyle name="20% - Accent3 2 2 2 2 3 2" xfId="13387" xr:uid="{26B8CF9B-5FD6-4659-A98E-B1EA58801793}"/>
    <cellStyle name="20% - Accent3 2 2 2 2 3 3" xfId="21827" xr:uid="{A357E45C-F9D0-48AF-9F21-5D3CF72CD415}"/>
    <cellStyle name="20% - Accent3 2 2 2 2 3 4" xfId="30267" xr:uid="{0BF28FAD-D112-41B3-ACB2-158B8A8BBC8E}"/>
    <cellStyle name="20% - Accent3 2 2 2 2 4" xfId="9169" xr:uid="{A1FFFB2D-41E8-4BDE-9275-481B9B005CA5}"/>
    <cellStyle name="20% - Accent3 2 2 2 2 5" xfId="17610" xr:uid="{6708DF25-4058-493A-AA96-E12E48622EB0}"/>
    <cellStyle name="20% - Accent3 2 2 2 2 6" xfId="26050" xr:uid="{69419E40-088C-44FB-A616-EBB448542C36}"/>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2 2 2" xfId="15945" xr:uid="{9BF810F0-049D-4105-B122-B0E68EE182D1}"/>
    <cellStyle name="20% - Accent3 2 2 2 3 2 2 3" xfId="24385" xr:uid="{E28F1672-73D1-41CE-BB1E-D7DA7C2E53D3}"/>
    <cellStyle name="20% - Accent3 2 2 2 3 2 2 4" xfId="32825" xr:uid="{8C7434C5-C789-400D-AD40-3F52CD79ECA9}"/>
    <cellStyle name="20% - Accent3 2 2 2 3 2 3" xfId="11727" xr:uid="{C11325C7-D57E-406A-9767-F56962929FDB}"/>
    <cellStyle name="20% - Accent3 2 2 2 3 2 4" xfId="20168" xr:uid="{CB74630C-C888-41BD-81A6-0E2623CFA29C}"/>
    <cellStyle name="20% - Accent3 2 2 2 3 2 5" xfId="28608" xr:uid="{F38C5708-A905-4EFE-AD16-1DC70679031B}"/>
    <cellStyle name="20% - Accent3 2 2 2 3 3" xfId="5350" xr:uid="{00000000-0005-0000-0000-00004C010000}"/>
    <cellStyle name="20% - Accent3 2 2 2 3 3 2" xfId="13800" xr:uid="{14FCA593-F6A1-439F-9403-6FBAD561375D}"/>
    <cellStyle name="20% - Accent3 2 2 2 3 3 3" xfId="22240" xr:uid="{0489702A-E08B-4CF0-B9F3-FAF4A45BBB0E}"/>
    <cellStyle name="20% - Accent3 2 2 2 3 3 4" xfId="30680" xr:uid="{904E7D45-C6BD-451B-89A8-6B782A3CF0E1}"/>
    <cellStyle name="20% - Accent3 2 2 2 3 4" xfId="9582" xr:uid="{3804E051-2581-424E-86B9-69C188FFE25D}"/>
    <cellStyle name="20% - Accent3 2 2 2 3 5" xfId="18023" xr:uid="{FF55D45A-35C8-43E5-BC12-02C75EC8E2AD}"/>
    <cellStyle name="20% - Accent3 2 2 2 3 6" xfId="26463" xr:uid="{D1B62085-03B1-4B9B-B7CC-3361BDCC90D9}"/>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2 2 2" xfId="16358" xr:uid="{8BD9F847-CD67-4CE1-BDB0-8E7728C39DF8}"/>
    <cellStyle name="20% - Accent3 2 2 2 4 2 2 3" xfId="24798" xr:uid="{2896B71D-F2D9-46F1-9F24-B79702D3A099}"/>
    <cellStyle name="20% - Accent3 2 2 2 4 2 2 4" xfId="33238" xr:uid="{91C12072-DB8F-4BE5-9047-37BECD37420D}"/>
    <cellStyle name="20% - Accent3 2 2 2 4 2 3" xfId="12140" xr:uid="{FAD6D6E3-DADB-4636-9FD3-DE702FDBFF90}"/>
    <cellStyle name="20% - Accent3 2 2 2 4 2 4" xfId="20581" xr:uid="{36496B69-C578-402A-90CD-155558683E84}"/>
    <cellStyle name="20% - Accent3 2 2 2 4 2 5" xfId="29021" xr:uid="{821E2DD1-8ED2-45F8-9FD0-6D800A3A4487}"/>
    <cellStyle name="20% - Accent3 2 2 2 4 3" xfId="5763" xr:uid="{00000000-0005-0000-0000-000050010000}"/>
    <cellStyle name="20% - Accent3 2 2 2 4 3 2" xfId="14213" xr:uid="{5303B147-7FE0-460C-AA46-DCD5D79B8CD6}"/>
    <cellStyle name="20% - Accent3 2 2 2 4 3 3" xfId="22653" xr:uid="{80A8C557-92D8-4280-A719-268CAA25CCE1}"/>
    <cellStyle name="20% - Accent3 2 2 2 4 3 4" xfId="31093" xr:uid="{722C9E8F-B50B-41E2-8B45-FBD6416CE406}"/>
    <cellStyle name="20% - Accent3 2 2 2 4 4" xfId="9995" xr:uid="{27C39550-3A51-44F6-BFFD-95E2D67C4052}"/>
    <cellStyle name="20% - Accent3 2 2 2 4 5" xfId="18436" xr:uid="{38B12A5F-6C5E-43E2-AE50-9DEB93775922}"/>
    <cellStyle name="20% - Accent3 2 2 2 4 6" xfId="26876" xr:uid="{EA82F925-5E35-4A5B-A6C2-6F41D5C2145B}"/>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2 2 2" xfId="16771" xr:uid="{9B9BA7EE-4CBF-41A6-9E28-4A4902AA735D}"/>
    <cellStyle name="20% - Accent3 2 2 2 5 2 2 3" xfId="25211" xr:uid="{EA2A4868-CF07-44B1-A561-E213184B0C24}"/>
    <cellStyle name="20% - Accent3 2 2 2 5 2 2 4" xfId="33651" xr:uid="{226F75E5-55DA-4A90-852C-6773180A339C}"/>
    <cellStyle name="20% - Accent3 2 2 2 5 2 3" xfId="12553" xr:uid="{20E9A376-369B-46DF-87A7-0C3CA9106A00}"/>
    <cellStyle name="20% - Accent3 2 2 2 5 2 4" xfId="20994" xr:uid="{878CB195-C264-4F7F-817A-E3349E8EC403}"/>
    <cellStyle name="20% - Accent3 2 2 2 5 2 5" xfId="29434" xr:uid="{16F17DE2-C33A-449B-AA7A-CDC7261D5D8C}"/>
    <cellStyle name="20% - Accent3 2 2 2 5 3" xfId="6176" xr:uid="{00000000-0005-0000-0000-000054010000}"/>
    <cellStyle name="20% - Accent3 2 2 2 5 3 2" xfId="14626" xr:uid="{14B75A31-7DD9-4891-B59C-37356B2AE82B}"/>
    <cellStyle name="20% - Accent3 2 2 2 5 3 3" xfId="23066" xr:uid="{D09E3351-175E-4A92-9865-9646BE84E2B4}"/>
    <cellStyle name="20% - Accent3 2 2 2 5 3 4" xfId="31506" xr:uid="{F78DAD06-80E6-42A3-9EE5-A6F2B1EFE524}"/>
    <cellStyle name="20% - Accent3 2 2 2 5 4" xfId="10408" xr:uid="{BC6891A8-25C2-4BBE-9A0F-D4A797FE36D3}"/>
    <cellStyle name="20% - Accent3 2 2 2 5 5" xfId="18849" xr:uid="{917C1C6F-E09D-41E2-9E42-AB25108B3D34}"/>
    <cellStyle name="20% - Accent3 2 2 2 5 6" xfId="27289" xr:uid="{D0C7A864-A631-482F-9FDE-850C150A39DE}"/>
    <cellStyle name="20% - Accent3 2 2 2 6" xfId="2283" xr:uid="{00000000-0005-0000-0000-000055010000}"/>
    <cellStyle name="20% - Accent3 2 2 2 6 2" xfId="6589" xr:uid="{00000000-0005-0000-0000-000056010000}"/>
    <cellStyle name="20% - Accent3 2 2 2 6 2 2" xfId="15039" xr:uid="{7EBFDE57-D01B-4E10-8742-DE8AA65AD844}"/>
    <cellStyle name="20% - Accent3 2 2 2 6 2 3" xfId="23479" xr:uid="{EF69BBA4-F655-47F3-B804-06C56B3ED4D5}"/>
    <cellStyle name="20% - Accent3 2 2 2 6 2 4" xfId="31919" xr:uid="{48009A8B-BB03-42D7-A3E9-0A496A2FDD94}"/>
    <cellStyle name="20% - Accent3 2 2 2 6 3" xfId="10821" xr:uid="{8AB6E278-AF72-4542-BC50-D62A7BCDFA22}"/>
    <cellStyle name="20% - Accent3 2 2 2 6 4" xfId="19262" xr:uid="{4B2DB802-5985-4899-86AC-42B2818EEF65}"/>
    <cellStyle name="20% - Accent3 2 2 2 6 5" xfId="27702" xr:uid="{FAAB821F-6811-402C-A4BC-3918FA7E8D35}"/>
    <cellStyle name="20% - Accent3 2 2 2 7" xfId="4523" xr:uid="{00000000-0005-0000-0000-000057010000}"/>
    <cellStyle name="20% - Accent3 2 2 2 7 2" xfId="12973" xr:uid="{C68A3967-600F-4935-AF5F-86544C24BE11}"/>
    <cellStyle name="20% - Accent3 2 2 2 7 3" xfId="21413" xr:uid="{609D47CB-6337-4616-A91E-7D8BD7F0F819}"/>
    <cellStyle name="20% - Accent3 2 2 2 7 4" xfId="29853" xr:uid="{78D8E37C-5DD0-449B-9A43-BC675AD871D8}"/>
    <cellStyle name="20% - Accent3 2 2 2 8" xfId="8755" xr:uid="{6A172813-A63E-4FDB-8F1C-0D0890AED084}"/>
    <cellStyle name="20% - Accent3 2 2 2 9" xfId="17196" xr:uid="{76B0856D-1512-4B3D-8673-B5BC8A6BFF2C}"/>
    <cellStyle name="20% - Accent3 2 2 3" xfId="588" xr:uid="{00000000-0005-0000-0000-000058010000}"/>
    <cellStyle name="20% - Accent3 2 2 3 2" xfId="2859" xr:uid="{00000000-0005-0000-0000-000059010000}"/>
    <cellStyle name="20% - Accent3 2 2 3 2 2" xfId="7081" xr:uid="{00000000-0005-0000-0000-00005A010000}"/>
    <cellStyle name="20% - Accent3 2 2 3 2 2 2" xfId="15531" xr:uid="{38ADB8DA-07BC-4F78-A5AC-5356D460BC5A}"/>
    <cellStyle name="20% - Accent3 2 2 3 2 2 3" xfId="23971" xr:uid="{F76838CC-14E8-415F-8431-37D8414BD898}"/>
    <cellStyle name="20% - Accent3 2 2 3 2 2 4" xfId="32411" xr:uid="{AAF07466-77DF-4381-9100-AFE66D7DD0CE}"/>
    <cellStyle name="20% - Accent3 2 2 3 2 3" xfId="11313" xr:uid="{6B0177E0-0BC5-4F17-85E3-89760B1B562B}"/>
    <cellStyle name="20% - Accent3 2 2 3 2 4" xfId="19754" xr:uid="{843D4E32-66BE-48EE-A9C8-78A18D74136B}"/>
    <cellStyle name="20% - Accent3 2 2 3 2 5" xfId="28194" xr:uid="{7415D55D-24C6-418E-A09D-3875D3052260}"/>
    <cellStyle name="20% - Accent3 2 2 3 3" xfId="4936" xr:uid="{00000000-0005-0000-0000-00005B010000}"/>
    <cellStyle name="20% - Accent3 2 2 3 3 2" xfId="13386" xr:uid="{056961F5-F536-418C-9874-789889684DBC}"/>
    <cellStyle name="20% - Accent3 2 2 3 3 3" xfId="21826" xr:uid="{25CC3AC0-4772-4EAB-89E5-85B473C9445D}"/>
    <cellStyle name="20% - Accent3 2 2 3 3 4" xfId="30266" xr:uid="{69A06655-6781-4C7E-A560-1849566B433A}"/>
    <cellStyle name="20% - Accent3 2 2 3 4" xfId="9168" xr:uid="{97668176-6EC5-4AC4-87F9-B5125B081342}"/>
    <cellStyle name="20% - Accent3 2 2 3 5" xfId="17609" xr:uid="{3F899E08-B588-4BE3-85D7-7B832C37DA1E}"/>
    <cellStyle name="20% - Accent3 2 2 3 6" xfId="26049" xr:uid="{C3AD6679-E607-49F8-AA63-BD5F7C0530F0}"/>
    <cellStyle name="20% - Accent3 2 2 4" xfId="1041" xr:uid="{00000000-0005-0000-0000-00005C010000}"/>
    <cellStyle name="20% - Accent3 2 2 4 2" xfId="3272" xr:uid="{00000000-0005-0000-0000-00005D010000}"/>
    <cellStyle name="20% - Accent3 2 2 4 2 2" xfId="7494" xr:uid="{00000000-0005-0000-0000-00005E010000}"/>
    <cellStyle name="20% - Accent3 2 2 4 2 2 2" xfId="15944" xr:uid="{AC151544-44EA-4ABB-B760-8C92FE54D1EA}"/>
    <cellStyle name="20% - Accent3 2 2 4 2 2 3" xfId="24384" xr:uid="{CF9B60EE-107D-4CFF-B937-1C68C9D0120B}"/>
    <cellStyle name="20% - Accent3 2 2 4 2 2 4" xfId="32824" xr:uid="{888ECEA5-51F8-4A5E-9A50-A08C9233F2E1}"/>
    <cellStyle name="20% - Accent3 2 2 4 2 3" xfId="11726" xr:uid="{4B857F31-4106-486B-BD5B-071264015BFE}"/>
    <cellStyle name="20% - Accent3 2 2 4 2 4" xfId="20167" xr:uid="{A6AF2B98-37F6-4471-A244-AAC8F07E1542}"/>
    <cellStyle name="20% - Accent3 2 2 4 2 5" xfId="28607" xr:uid="{57B92790-6055-473D-B3EF-28F33A20AE49}"/>
    <cellStyle name="20% - Accent3 2 2 4 3" xfId="5349" xr:uid="{00000000-0005-0000-0000-00005F010000}"/>
    <cellStyle name="20% - Accent3 2 2 4 3 2" xfId="13799" xr:uid="{D4DEC7DA-354A-4B74-BAEA-0EBCEF7B064E}"/>
    <cellStyle name="20% - Accent3 2 2 4 3 3" xfId="22239" xr:uid="{DFF22992-0907-4F50-A39A-F731F2A54868}"/>
    <cellStyle name="20% - Accent3 2 2 4 3 4" xfId="30679" xr:uid="{3FD4A1BA-4036-4FA8-AA88-0BF7C649EF65}"/>
    <cellStyle name="20% - Accent3 2 2 4 4" xfId="9581" xr:uid="{BAF932EC-EC51-4DCA-B0F6-0728AAE10CD7}"/>
    <cellStyle name="20% - Accent3 2 2 4 5" xfId="18022" xr:uid="{43BD83BB-9C70-4AE8-8BB0-2D510337C0B8}"/>
    <cellStyle name="20% - Accent3 2 2 4 6" xfId="26462" xr:uid="{E42CE710-D693-4DE1-A739-C8D714876571}"/>
    <cellStyle name="20% - Accent3 2 2 5" xfId="1455" xr:uid="{00000000-0005-0000-0000-000060010000}"/>
    <cellStyle name="20% - Accent3 2 2 5 2" xfId="3685" xr:uid="{00000000-0005-0000-0000-000061010000}"/>
    <cellStyle name="20% - Accent3 2 2 5 2 2" xfId="7907" xr:uid="{00000000-0005-0000-0000-000062010000}"/>
    <cellStyle name="20% - Accent3 2 2 5 2 2 2" xfId="16357" xr:uid="{D46A42E6-77BD-4F88-B5E7-A81AC30CAA6B}"/>
    <cellStyle name="20% - Accent3 2 2 5 2 2 3" xfId="24797" xr:uid="{FC6B87C1-886B-43D8-83B6-D686E6E73ECC}"/>
    <cellStyle name="20% - Accent3 2 2 5 2 2 4" xfId="33237" xr:uid="{CAAF049A-38BF-4E62-A9F3-65379663A313}"/>
    <cellStyle name="20% - Accent3 2 2 5 2 3" xfId="12139" xr:uid="{92E05EAD-6461-43AB-8507-256DC0B47358}"/>
    <cellStyle name="20% - Accent3 2 2 5 2 4" xfId="20580" xr:uid="{B938533F-4EF3-4BC2-BA0F-E42EA93295D3}"/>
    <cellStyle name="20% - Accent3 2 2 5 2 5" xfId="29020" xr:uid="{106D70F3-ACA2-4720-B339-9212C7BD1BDF}"/>
    <cellStyle name="20% - Accent3 2 2 5 3" xfId="5762" xr:uid="{00000000-0005-0000-0000-000063010000}"/>
    <cellStyle name="20% - Accent3 2 2 5 3 2" xfId="14212" xr:uid="{BF827009-A9B5-44AC-BAB0-2F75C10DBDC1}"/>
    <cellStyle name="20% - Accent3 2 2 5 3 3" xfId="22652" xr:uid="{C230F2E8-48A2-449C-A8AE-7561D3D7E5DB}"/>
    <cellStyle name="20% - Accent3 2 2 5 3 4" xfId="31092" xr:uid="{F94605DE-DB58-4A9F-9716-700A637D3699}"/>
    <cellStyle name="20% - Accent3 2 2 5 4" xfId="9994" xr:uid="{07664252-8B86-4A71-BEE4-55CAEA160B6D}"/>
    <cellStyle name="20% - Accent3 2 2 5 5" xfId="18435" xr:uid="{63B5135B-A62A-41C2-880F-6C006F74A43E}"/>
    <cellStyle name="20% - Accent3 2 2 5 6" xfId="26875" xr:uid="{B9E9D68F-156E-4D80-8E9D-C8A76B413EC0}"/>
    <cellStyle name="20% - Accent3 2 2 6" xfId="1869" xr:uid="{00000000-0005-0000-0000-000064010000}"/>
    <cellStyle name="20% - Accent3 2 2 6 2" xfId="4098" xr:uid="{00000000-0005-0000-0000-000065010000}"/>
    <cellStyle name="20% - Accent3 2 2 6 2 2" xfId="8320" xr:uid="{00000000-0005-0000-0000-000066010000}"/>
    <cellStyle name="20% - Accent3 2 2 6 2 2 2" xfId="16770" xr:uid="{ED739FF6-333A-4AC2-A4D5-E862EFB88ABB}"/>
    <cellStyle name="20% - Accent3 2 2 6 2 2 3" xfId="25210" xr:uid="{1E53E0E7-EB2E-4B8A-827E-E3710B1726B0}"/>
    <cellStyle name="20% - Accent3 2 2 6 2 2 4" xfId="33650" xr:uid="{E5355131-99DC-440F-BEFF-F26E807854F5}"/>
    <cellStyle name="20% - Accent3 2 2 6 2 3" xfId="12552" xr:uid="{A62739C1-A4A7-4271-9B8C-92858706BD83}"/>
    <cellStyle name="20% - Accent3 2 2 6 2 4" xfId="20993" xr:uid="{DF5C8B9D-23E5-4B5A-B8B4-E51443C98626}"/>
    <cellStyle name="20% - Accent3 2 2 6 2 5" xfId="29433" xr:uid="{9725642A-5F98-43B1-BA2E-311DB28B6960}"/>
    <cellStyle name="20% - Accent3 2 2 6 3" xfId="6175" xr:uid="{00000000-0005-0000-0000-000067010000}"/>
    <cellStyle name="20% - Accent3 2 2 6 3 2" xfId="14625" xr:uid="{67B97957-990C-419F-9B15-6277F4D0E1A3}"/>
    <cellStyle name="20% - Accent3 2 2 6 3 3" xfId="23065" xr:uid="{19DAC725-4510-4E09-A094-E2136B665C8A}"/>
    <cellStyle name="20% - Accent3 2 2 6 3 4" xfId="31505" xr:uid="{40D53B70-228E-40FF-A5B0-BBCE1196F439}"/>
    <cellStyle name="20% - Accent3 2 2 6 4" xfId="10407" xr:uid="{F2E37CF9-7904-4B34-8265-F7738A976AE5}"/>
    <cellStyle name="20% - Accent3 2 2 6 5" xfId="18848" xr:uid="{259CC047-F21D-490A-9B47-007959FCB041}"/>
    <cellStyle name="20% - Accent3 2 2 6 6" xfId="27288" xr:uid="{AD12B9D9-BD2C-4798-B7F3-8F4786861DBB}"/>
    <cellStyle name="20% - Accent3 2 2 7" xfId="2282" xr:uid="{00000000-0005-0000-0000-000068010000}"/>
    <cellStyle name="20% - Accent3 2 2 7 2" xfId="6588" xr:uid="{00000000-0005-0000-0000-000069010000}"/>
    <cellStyle name="20% - Accent3 2 2 7 2 2" xfId="15038" xr:uid="{C1425F08-2DB9-48D0-9C4B-9A7CA203A615}"/>
    <cellStyle name="20% - Accent3 2 2 7 2 3" xfId="23478" xr:uid="{B9B742E2-14E0-47E2-9CBD-05AF6B26E33F}"/>
    <cellStyle name="20% - Accent3 2 2 7 2 4" xfId="31918" xr:uid="{79F77DE3-9AF7-4E9E-831A-21E7C12EF1A0}"/>
    <cellStyle name="20% - Accent3 2 2 7 3" xfId="10820" xr:uid="{B526D4BB-14A4-4F8C-92E5-F1A7DCC302F4}"/>
    <cellStyle name="20% - Accent3 2 2 7 4" xfId="19261" xr:uid="{E32D2C28-59A0-499F-B054-19B5B684FBF9}"/>
    <cellStyle name="20% - Accent3 2 2 7 5" xfId="27701" xr:uid="{AD638E93-D1DC-4F59-A60D-04265B2BA271}"/>
    <cellStyle name="20% - Accent3 2 2 8" xfId="4522" xr:uid="{00000000-0005-0000-0000-00006A010000}"/>
    <cellStyle name="20% - Accent3 2 2 8 2" xfId="12972" xr:uid="{F94EFF98-CF0D-40CC-9B3D-935CD0931D74}"/>
    <cellStyle name="20% - Accent3 2 2 8 3" xfId="21412" xr:uid="{FC92F875-1DE0-423C-99DC-F0660B12705F}"/>
    <cellStyle name="20% - Accent3 2 2 8 4" xfId="29852" xr:uid="{91C55F1F-F3FB-49C7-92B7-554186FD538F}"/>
    <cellStyle name="20% - Accent3 2 2 9" xfId="8754" xr:uid="{797A7B77-AEBF-4ADC-991A-B2BA39D323AE}"/>
    <cellStyle name="20% - Accent3 2 3" xfId="21" xr:uid="{00000000-0005-0000-0000-00006B010000}"/>
    <cellStyle name="20% - Accent3 2 3 10" xfId="25637" xr:uid="{5CD5A791-5578-4436-849A-17D1773F841C}"/>
    <cellStyle name="20% - Accent3 2 3 2" xfId="590" xr:uid="{00000000-0005-0000-0000-00006C010000}"/>
    <cellStyle name="20% - Accent3 2 3 2 2" xfId="2861" xr:uid="{00000000-0005-0000-0000-00006D010000}"/>
    <cellStyle name="20% - Accent3 2 3 2 2 2" xfId="7083" xr:uid="{00000000-0005-0000-0000-00006E010000}"/>
    <cellStyle name="20% - Accent3 2 3 2 2 2 2" xfId="15533" xr:uid="{1CB7D06B-846A-4E89-A223-19FF699C2B28}"/>
    <cellStyle name="20% - Accent3 2 3 2 2 2 3" xfId="23973" xr:uid="{FB296647-88B5-4E89-B458-38B51BB7983F}"/>
    <cellStyle name="20% - Accent3 2 3 2 2 2 4" xfId="32413" xr:uid="{A8157ACB-A6BE-4EB7-BB44-64F3B77E1B71}"/>
    <cellStyle name="20% - Accent3 2 3 2 2 3" xfId="11315" xr:uid="{266D494B-3469-484D-B96B-3EA3192D0549}"/>
    <cellStyle name="20% - Accent3 2 3 2 2 4" xfId="19756" xr:uid="{0CEADAC9-9625-483B-A57A-08D6AB2F6FD6}"/>
    <cellStyle name="20% - Accent3 2 3 2 2 5" xfId="28196" xr:uid="{F7687AB1-D087-4599-BDF2-6F5392E5645F}"/>
    <cellStyle name="20% - Accent3 2 3 2 3" xfId="4938" xr:uid="{00000000-0005-0000-0000-00006F010000}"/>
    <cellStyle name="20% - Accent3 2 3 2 3 2" xfId="13388" xr:uid="{8427AE13-0EC7-48FF-8A9D-A2CA95C57745}"/>
    <cellStyle name="20% - Accent3 2 3 2 3 3" xfId="21828" xr:uid="{8E444D17-6C7B-4E4D-A17A-DCC0EF43B7FC}"/>
    <cellStyle name="20% - Accent3 2 3 2 3 4" xfId="30268" xr:uid="{291E9442-1F9C-4097-9FB0-8AFAD8FAF319}"/>
    <cellStyle name="20% - Accent3 2 3 2 4" xfId="9170" xr:uid="{2BDA7E46-FE92-405B-B0E8-9A05AD2D4579}"/>
    <cellStyle name="20% - Accent3 2 3 2 5" xfId="17611" xr:uid="{ADBB1B6C-B1A0-4B04-ACB8-B2A07E5A8575}"/>
    <cellStyle name="20% - Accent3 2 3 2 6" xfId="26051" xr:uid="{1BD8E6B1-1371-466B-9842-451026A4CF2B}"/>
    <cellStyle name="20% - Accent3 2 3 3" xfId="1043" xr:uid="{00000000-0005-0000-0000-000070010000}"/>
    <cellStyle name="20% - Accent3 2 3 3 2" xfId="3274" xr:uid="{00000000-0005-0000-0000-000071010000}"/>
    <cellStyle name="20% - Accent3 2 3 3 2 2" xfId="7496" xr:uid="{00000000-0005-0000-0000-000072010000}"/>
    <cellStyle name="20% - Accent3 2 3 3 2 2 2" xfId="15946" xr:uid="{723E23C9-FB9B-4624-BFC5-F88DA1D50CD8}"/>
    <cellStyle name="20% - Accent3 2 3 3 2 2 3" xfId="24386" xr:uid="{8BF06092-22DE-4863-B2DB-9ACACC55C610}"/>
    <cellStyle name="20% - Accent3 2 3 3 2 2 4" xfId="32826" xr:uid="{A68A9FB3-06B9-4284-8EDA-329C8F417EC9}"/>
    <cellStyle name="20% - Accent3 2 3 3 2 3" xfId="11728" xr:uid="{394677CF-8012-477C-B7E9-A8792460F3B0}"/>
    <cellStyle name="20% - Accent3 2 3 3 2 4" xfId="20169" xr:uid="{64A08E2A-F4E6-46F2-A4CF-31F69622C688}"/>
    <cellStyle name="20% - Accent3 2 3 3 2 5" xfId="28609" xr:uid="{B5321392-A961-43BF-93AF-4E3C28F5ED47}"/>
    <cellStyle name="20% - Accent3 2 3 3 3" xfId="5351" xr:uid="{00000000-0005-0000-0000-000073010000}"/>
    <cellStyle name="20% - Accent3 2 3 3 3 2" xfId="13801" xr:uid="{10984CB7-6AD0-4F9E-8D1E-444C2A37A07D}"/>
    <cellStyle name="20% - Accent3 2 3 3 3 3" xfId="22241" xr:uid="{661A3634-C7C9-4A46-B389-424702E045E3}"/>
    <cellStyle name="20% - Accent3 2 3 3 3 4" xfId="30681" xr:uid="{4B20A30B-8DAE-45A5-9218-E197A120BC2C}"/>
    <cellStyle name="20% - Accent3 2 3 3 4" xfId="9583" xr:uid="{ED08B68E-6354-423E-9641-B158A2020031}"/>
    <cellStyle name="20% - Accent3 2 3 3 5" xfId="18024" xr:uid="{0BFD26DB-B180-4134-965C-F52ADD78F916}"/>
    <cellStyle name="20% - Accent3 2 3 3 6" xfId="26464" xr:uid="{3C9895B4-F9ED-4750-9996-8BC595B10911}"/>
    <cellStyle name="20% - Accent3 2 3 4" xfId="1457" xr:uid="{00000000-0005-0000-0000-000074010000}"/>
    <cellStyle name="20% - Accent3 2 3 4 2" xfId="3687" xr:uid="{00000000-0005-0000-0000-000075010000}"/>
    <cellStyle name="20% - Accent3 2 3 4 2 2" xfId="7909" xr:uid="{00000000-0005-0000-0000-000076010000}"/>
    <cellStyle name="20% - Accent3 2 3 4 2 2 2" xfId="16359" xr:uid="{06832AA1-0B43-4847-AC59-200AE3BF4CC8}"/>
    <cellStyle name="20% - Accent3 2 3 4 2 2 3" xfId="24799" xr:uid="{2F34B557-852E-4216-BB74-93C9CAE86ADD}"/>
    <cellStyle name="20% - Accent3 2 3 4 2 2 4" xfId="33239" xr:uid="{BEC51AC5-CC5F-4DF1-AE37-7BD0A238D5CE}"/>
    <cellStyle name="20% - Accent3 2 3 4 2 3" xfId="12141" xr:uid="{6341D4D3-6296-4555-B160-426C721DC8AF}"/>
    <cellStyle name="20% - Accent3 2 3 4 2 4" xfId="20582" xr:uid="{E327C3F6-287F-4A61-8476-95E8B1CBE57D}"/>
    <cellStyle name="20% - Accent3 2 3 4 2 5" xfId="29022" xr:uid="{BA38E2D1-3BA7-438E-ADDC-AC0C8FC22A96}"/>
    <cellStyle name="20% - Accent3 2 3 4 3" xfId="5764" xr:uid="{00000000-0005-0000-0000-000077010000}"/>
    <cellStyle name="20% - Accent3 2 3 4 3 2" xfId="14214" xr:uid="{5D7B3CC5-94EB-48C3-BDF8-0903D7B1E9B9}"/>
    <cellStyle name="20% - Accent3 2 3 4 3 3" xfId="22654" xr:uid="{8ABD4661-0723-4FD3-A58F-30A852B675A5}"/>
    <cellStyle name="20% - Accent3 2 3 4 3 4" xfId="31094" xr:uid="{82621126-6709-477C-81AA-E527ADE338AE}"/>
    <cellStyle name="20% - Accent3 2 3 4 4" xfId="9996" xr:uid="{4267D747-3D11-46C0-8307-136D3611C26B}"/>
    <cellStyle name="20% - Accent3 2 3 4 5" xfId="18437" xr:uid="{7A547DEF-F4A9-438B-B3F6-F07B48275470}"/>
    <cellStyle name="20% - Accent3 2 3 4 6" xfId="26877" xr:uid="{C3A6DC8A-C31E-4C4E-9959-BB8795BEEF21}"/>
    <cellStyle name="20% - Accent3 2 3 5" xfId="1871" xr:uid="{00000000-0005-0000-0000-000078010000}"/>
    <cellStyle name="20% - Accent3 2 3 5 2" xfId="4100" xr:uid="{00000000-0005-0000-0000-000079010000}"/>
    <cellStyle name="20% - Accent3 2 3 5 2 2" xfId="8322" xr:uid="{00000000-0005-0000-0000-00007A010000}"/>
    <cellStyle name="20% - Accent3 2 3 5 2 2 2" xfId="16772" xr:uid="{A5CEAD83-BAF4-41EA-AA91-ED1EF2D8A6DC}"/>
    <cellStyle name="20% - Accent3 2 3 5 2 2 3" xfId="25212" xr:uid="{5F184BC2-CE73-4D51-80D2-46F3DE4F45ED}"/>
    <cellStyle name="20% - Accent3 2 3 5 2 2 4" xfId="33652" xr:uid="{D4CCA067-6A6C-49C7-8417-66F02386626C}"/>
    <cellStyle name="20% - Accent3 2 3 5 2 3" xfId="12554" xr:uid="{0BC78928-6D41-44B1-BDB3-83FC323AD952}"/>
    <cellStyle name="20% - Accent3 2 3 5 2 4" xfId="20995" xr:uid="{B15E8730-4C00-48A5-B593-209FBEFDC0E0}"/>
    <cellStyle name="20% - Accent3 2 3 5 2 5" xfId="29435" xr:uid="{A1DBEBD2-F9D7-43DD-AB7D-700DE1DF7299}"/>
    <cellStyle name="20% - Accent3 2 3 5 3" xfId="6177" xr:uid="{00000000-0005-0000-0000-00007B010000}"/>
    <cellStyle name="20% - Accent3 2 3 5 3 2" xfId="14627" xr:uid="{6A5884AB-9405-4920-AA5F-5600CCB445A1}"/>
    <cellStyle name="20% - Accent3 2 3 5 3 3" xfId="23067" xr:uid="{75BC3C7A-E266-46E8-B413-7D974AFCEB2F}"/>
    <cellStyle name="20% - Accent3 2 3 5 3 4" xfId="31507" xr:uid="{D5DD1379-3B62-4602-B783-095F1C21851C}"/>
    <cellStyle name="20% - Accent3 2 3 5 4" xfId="10409" xr:uid="{156F41F5-30E2-44D5-BA50-52ABA0098B0A}"/>
    <cellStyle name="20% - Accent3 2 3 5 5" xfId="18850" xr:uid="{AF005C35-309B-4CFA-8E4D-65235A99B667}"/>
    <cellStyle name="20% - Accent3 2 3 5 6" xfId="27290" xr:uid="{3F0C058A-4BA2-48B4-9EF2-9E633821EF35}"/>
    <cellStyle name="20% - Accent3 2 3 6" xfId="2284" xr:uid="{00000000-0005-0000-0000-00007C010000}"/>
    <cellStyle name="20% - Accent3 2 3 6 2" xfId="6590" xr:uid="{00000000-0005-0000-0000-00007D010000}"/>
    <cellStyle name="20% - Accent3 2 3 6 2 2" xfId="15040" xr:uid="{63110D74-121C-4223-82E8-4E0864A11222}"/>
    <cellStyle name="20% - Accent3 2 3 6 2 3" xfId="23480" xr:uid="{2F0CCAF1-63EF-48AD-A6B8-AC84477385A4}"/>
    <cellStyle name="20% - Accent3 2 3 6 2 4" xfId="31920" xr:uid="{9498BC43-E360-4C83-81B4-DDF395CDC8D7}"/>
    <cellStyle name="20% - Accent3 2 3 6 3" xfId="10822" xr:uid="{1BC221A3-B846-4C1A-B87D-66C8FD66026C}"/>
    <cellStyle name="20% - Accent3 2 3 6 4" xfId="19263" xr:uid="{AB4AE982-A8EE-4D87-9A13-2F2DCB85C0C0}"/>
    <cellStyle name="20% - Accent3 2 3 6 5" xfId="27703" xr:uid="{A45E5909-D822-4F8A-B3C8-0D1AC5D2595F}"/>
    <cellStyle name="20% - Accent3 2 3 7" xfId="4524" xr:uid="{00000000-0005-0000-0000-00007E010000}"/>
    <cellStyle name="20% - Accent3 2 3 7 2" xfId="12974" xr:uid="{A7F1EB19-E93E-4F36-BC41-2EFC6FA09628}"/>
    <cellStyle name="20% - Accent3 2 3 7 3" xfId="21414" xr:uid="{AEA49382-649B-40E4-AFF9-0B8F5FEC9DD6}"/>
    <cellStyle name="20% - Accent3 2 3 7 4" xfId="29854" xr:uid="{7E1824E5-A9B1-4582-B173-521CBF24A45A}"/>
    <cellStyle name="20% - Accent3 2 3 8" xfId="8756" xr:uid="{203F70C6-6D72-4F65-9FF9-C0122D40CA50}"/>
    <cellStyle name="20% - Accent3 2 3 9" xfId="17197" xr:uid="{BC5CEC4F-77D1-4778-9B60-F1BD18F449FB}"/>
    <cellStyle name="20% - Accent3 2 4" xfId="587" xr:uid="{00000000-0005-0000-0000-00007F010000}"/>
    <cellStyle name="20% - Accent3 2 4 2" xfId="2858" xr:uid="{00000000-0005-0000-0000-000080010000}"/>
    <cellStyle name="20% - Accent3 2 4 2 2" xfId="7080" xr:uid="{00000000-0005-0000-0000-000081010000}"/>
    <cellStyle name="20% - Accent3 2 4 2 2 2" xfId="15530" xr:uid="{43508D75-0D13-4907-82DA-70A06FCBE034}"/>
    <cellStyle name="20% - Accent3 2 4 2 2 3" xfId="23970" xr:uid="{C3357196-2FBA-46F9-9229-67AC1BF7BAEC}"/>
    <cellStyle name="20% - Accent3 2 4 2 2 4" xfId="32410" xr:uid="{8E06ADE7-4E21-44ED-9B81-5AE8BD6C9F8E}"/>
    <cellStyle name="20% - Accent3 2 4 2 3" xfId="11312" xr:uid="{8EE719D9-AE6E-4104-BD4D-001544FA8797}"/>
    <cellStyle name="20% - Accent3 2 4 2 4" xfId="19753" xr:uid="{B10C74ED-8EE5-4DBA-8E7A-432C9F06F9F7}"/>
    <cellStyle name="20% - Accent3 2 4 2 5" xfId="28193" xr:uid="{9A76B3DE-C59F-4ADC-A9DE-FA1F59B669D8}"/>
    <cellStyle name="20% - Accent3 2 4 3" xfId="4935" xr:uid="{00000000-0005-0000-0000-000082010000}"/>
    <cellStyle name="20% - Accent3 2 4 3 2" xfId="13385" xr:uid="{FAEEE839-7C1E-431A-946D-1B016F5F17DC}"/>
    <cellStyle name="20% - Accent3 2 4 3 3" xfId="21825" xr:uid="{5813E99F-00F0-4212-85A4-7CF78A1C50F7}"/>
    <cellStyle name="20% - Accent3 2 4 3 4" xfId="30265" xr:uid="{D4166DA9-5E24-4D2B-9FF4-E683DCE0AC7B}"/>
    <cellStyle name="20% - Accent3 2 4 4" xfId="9167" xr:uid="{97A6438B-C5A1-4C2A-A005-59C9F457E0CC}"/>
    <cellStyle name="20% - Accent3 2 4 5" xfId="17608" xr:uid="{7A5181A1-E511-4D28-89E6-295E42F864E7}"/>
    <cellStyle name="20% - Accent3 2 4 6" xfId="26048" xr:uid="{F6E4F474-6F44-4716-818A-C200AADFF811}"/>
    <cellStyle name="20% - Accent3 2 5" xfId="1040" xr:uid="{00000000-0005-0000-0000-000083010000}"/>
    <cellStyle name="20% - Accent3 2 5 2" xfId="3271" xr:uid="{00000000-0005-0000-0000-000084010000}"/>
    <cellStyle name="20% - Accent3 2 5 2 2" xfId="7493" xr:uid="{00000000-0005-0000-0000-000085010000}"/>
    <cellStyle name="20% - Accent3 2 5 2 2 2" xfId="15943" xr:uid="{908E1B24-99B8-4227-9E0B-6EC809351EFE}"/>
    <cellStyle name="20% - Accent3 2 5 2 2 3" xfId="24383" xr:uid="{254D42DC-AA2B-4F87-B4EE-9BD3B3710FDF}"/>
    <cellStyle name="20% - Accent3 2 5 2 2 4" xfId="32823" xr:uid="{9DB844D2-9BCA-4DA1-A5ED-1B69A7986148}"/>
    <cellStyle name="20% - Accent3 2 5 2 3" xfId="11725" xr:uid="{DACDC7B2-A5A1-4243-ABE9-75085F780ACE}"/>
    <cellStyle name="20% - Accent3 2 5 2 4" xfId="20166" xr:uid="{ABFF8D64-E3B7-47B7-894E-5EC3911A5C30}"/>
    <cellStyle name="20% - Accent3 2 5 2 5" xfId="28606" xr:uid="{D4081429-212E-450A-A66D-243408B35118}"/>
    <cellStyle name="20% - Accent3 2 5 3" xfId="5348" xr:uid="{00000000-0005-0000-0000-000086010000}"/>
    <cellStyle name="20% - Accent3 2 5 3 2" xfId="13798" xr:uid="{2FBA9A74-DE04-4589-93A0-F4BB527DE8BB}"/>
    <cellStyle name="20% - Accent3 2 5 3 3" xfId="22238" xr:uid="{C481E35B-C650-4CFC-B781-D6D0F4BE7696}"/>
    <cellStyle name="20% - Accent3 2 5 3 4" xfId="30678" xr:uid="{87C3E9AA-D622-47B3-B99D-19A7F9B2C238}"/>
    <cellStyle name="20% - Accent3 2 5 4" xfId="9580" xr:uid="{BF0E6126-773B-480C-BE3D-BCABD4727FBF}"/>
    <cellStyle name="20% - Accent3 2 5 5" xfId="18021" xr:uid="{54B673A9-015C-4B1E-ACCC-FC417C63EDFC}"/>
    <cellStyle name="20% - Accent3 2 5 6" xfId="26461" xr:uid="{9FD4D152-40FF-4E86-999E-777B114F98C7}"/>
    <cellStyle name="20% - Accent3 2 6" xfId="1454" xr:uid="{00000000-0005-0000-0000-000087010000}"/>
    <cellStyle name="20% - Accent3 2 6 2" xfId="3684" xr:uid="{00000000-0005-0000-0000-000088010000}"/>
    <cellStyle name="20% - Accent3 2 6 2 2" xfId="7906" xr:uid="{00000000-0005-0000-0000-000089010000}"/>
    <cellStyle name="20% - Accent3 2 6 2 2 2" xfId="16356" xr:uid="{BFFD9D9A-A49D-41F4-88A7-6D74CDF9B695}"/>
    <cellStyle name="20% - Accent3 2 6 2 2 3" xfId="24796" xr:uid="{D00993E8-5796-42A3-8DA3-C94F2006A5FA}"/>
    <cellStyle name="20% - Accent3 2 6 2 2 4" xfId="33236" xr:uid="{3654DD5D-BFCF-448A-8E71-7961327C18EB}"/>
    <cellStyle name="20% - Accent3 2 6 2 3" xfId="12138" xr:uid="{3C587253-EA5C-4424-8F42-003339395F41}"/>
    <cellStyle name="20% - Accent3 2 6 2 4" xfId="20579" xr:uid="{A7B9D52D-6F2C-4EFE-859C-CDA1507FEEB5}"/>
    <cellStyle name="20% - Accent3 2 6 2 5" xfId="29019" xr:uid="{8815871F-385B-4DAE-A95C-8D15263788FE}"/>
    <cellStyle name="20% - Accent3 2 6 3" xfId="5761" xr:uid="{00000000-0005-0000-0000-00008A010000}"/>
    <cellStyle name="20% - Accent3 2 6 3 2" xfId="14211" xr:uid="{A5C03617-E480-48C3-AADC-D88E884E6C26}"/>
    <cellStyle name="20% - Accent3 2 6 3 3" xfId="22651" xr:uid="{56160A1C-3ABD-49DD-B8F0-6260511DB2BB}"/>
    <cellStyle name="20% - Accent3 2 6 3 4" xfId="31091" xr:uid="{74C0391F-34C2-4855-BA45-E79AE685A469}"/>
    <cellStyle name="20% - Accent3 2 6 4" xfId="9993" xr:uid="{8974056C-66C4-403A-BF67-274C0467417C}"/>
    <cellStyle name="20% - Accent3 2 6 5" xfId="18434" xr:uid="{132217DE-4AA3-4565-B487-F70FB92DB65E}"/>
    <cellStyle name="20% - Accent3 2 6 6" xfId="26874" xr:uid="{8092184D-D7AD-47D2-B538-C54CA49271D8}"/>
    <cellStyle name="20% - Accent3 2 7" xfId="1868" xr:uid="{00000000-0005-0000-0000-00008B010000}"/>
    <cellStyle name="20% - Accent3 2 7 2" xfId="4097" xr:uid="{00000000-0005-0000-0000-00008C010000}"/>
    <cellStyle name="20% - Accent3 2 7 2 2" xfId="8319" xr:uid="{00000000-0005-0000-0000-00008D010000}"/>
    <cellStyle name="20% - Accent3 2 7 2 2 2" xfId="16769" xr:uid="{09A96C60-BFBC-47A8-9586-77882D8D9170}"/>
    <cellStyle name="20% - Accent3 2 7 2 2 3" xfId="25209" xr:uid="{B7A8AC71-7446-480A-943E-83BD9CEE1BD3}"/>
    <cellStyle name="20% - Accent3 2 7 2 2 4" xfId="33649" xr:uid="{2EA17247-B38E-4FB9-911B-765CD1CC331F}"/>
    <cellStyle name="20% - Accent3 2 7 2 3" xfId="12551" xr:uid="{5C731AA9-28DD-4570-9CFF-AD0B6C0AB984}"/>
    <cellStyle name="20% - Accent3 2 7 2 4" xfId="20992" xr:uid="{68A24610-8446-4D99-A1B3-B2B2A43982F2}"/>
    <cellStyle name="20% - Accent3 2 7 2 5" xfId="29432" xr:uid="{3E632E57-DBBA-4AB1-9313-2D92F1F7947F}"/>
    <cellStyle name="20% - Accent3 2 7 3" xfId="6174" xr:uid="{00000000-0005-0000-0000-00008E010000}"/>
    <cellStyle name="20% - Accent3 2 7 3 2" xfId="14624" xr:uid="{EB56C111-0676-471F-8A98-06B1E84BC6EF}"/>
    <cellStyle name="20% - Accent3 2 7 3 3" xfId="23064" xr:uid="{9B044365-3591-46C5-8428-65FE7B83C0DA}"/>
    <cellStyle name="20% - Accent3 2 7 3 4" xfId="31504" xr:uid="{D82D7DB9-1FBE-4E2F-A462-EFB6004C0D12}"/>
    <cellStyle name="20% - Accent3 2 7 4" xfId="10406" xr:uid="{22496FF2-2A58-4400-B22D-AB4CDD4383D9}"/>
    <cellStyle name="20% - Accent3 2 7 5" xfId="18847" xr:uid="{C26802FE-4948-422C-AB45-13FFEC8DAE7A}"/>
    <cellStyle name="20% - Accent3 2 7 6" xfId="27287" xr:uid="{835C29C4-3DBC-4BA3-AD1E-92F0BB2FC444}"/>
    <cellStyle name="20% - Accent3 2 8" xfId="2281" xr:uid="{00000000-0005-0000-0000-00008F010000}"/>
    <cellStyle name="20% - Accent3 2 8 2" xfId="6587" xr:uid="{00000000-0005-0000-0000-000090010000}"/>
    <cellStyle name="20% - Accent3 2 8 2 2" xfId="15037" xr:uid="{DD951138-1E0E-4C35-A25F-2A8D6199AECA}"/>
    <cellStyle name="20% - Accent3 2 8 2 3" xfId="23477" xr:uid="{A7558E9D-E835-454C-A672-C8B3BEB9136B}"/>
    <cellStyle name="20% - Accent3 2 8 2 4" xfId="31917" xr:uid="{049098C5-4C9E-4030-BEDE-158771A6111D}"/>
    <cellStyle name="20% - Accent3 2 8 3" xfId="10819" xr:uid="{667E45BB-6D05-406E-BAFA-6A6D1F692D0C}"/>
    <cellStyle name="20% - Accent3 2 8 4" xfId="19260" xr:uid="{BDF2A8BD-DE1D-4A23-A2FD-71EBE73A91E7}"/>
    <cellStyle name="20% - Accent3 2 8 5" xfId="27700" xr:uid="{25521718-0171-4F0B-BA49-0BC1BDDE8BD2}"/>
    <cellStyle name="20% - Accent3 2 9" xfId="4521" xr:uid="{00000000-0005-0000-0000-000091010000}"/>
    <cellStyle name="20% - Accent3 2 9 2" xfId="12971" xr:uid="{48152812-5EDD-4DBD-A65C-D2862792A527}"/>
    <cellStyle name="20% - Accent3 2 9 3" xfId="21411" xr:uid="{8D12E4CC-C171-4E64-AF67-BA21D8D91C63}"/>
    <cellStyle name="20% - Accent3 2 9 4" xfId="29851" xr:uid="{892575D4-8B6E-4C41-B625-C6C1AF1B2812}"/>
    <cellStyle name="20% - Accent3 3" xfId="22" xr:uid="{00000000-0005-0000-0000-000092010000}"/>
    <cellStyle name="20% - Accent3 3 10" xfId="17198" xr:uid="{C9398CCE-523A-488E-B147-0DD6DD9A1241}"/>
    <cellStyle name="20% - Accent3 3 11" xfId="25638" xr:uid="{DB8C486C-B9F0-47FD-9613-AF568B7C6092}"/>
    <cellStyle name="20% - Accent3 3 2" xfId="23" xr:uid="{00000000-0005-0000-0000-000093010000}"/>
    <cellStyle name="20% - Accent3 3 2 10" xfId="25639" xr:uid="{71D6D4A0-D34C-4F1E-81A9-8260806804D4}"/>
    <cellStyle name="20% - Accent3 3 2 2" xfId="592" xr:uid="{00000000-0005-0000-0000-000094010000}"/>
    <cellStyle name="20% - Accent3 3 2 2 2" xfId="2863" xr:uid="{00000000-0005-0000-0000-000095010000}"/>
    <cellStyle name="20% - Accent3 3 2 2 2 2" xfId="7085" xr:uid="{00000000-0005-0000-0000-000096010000}"/>
    <cellStyle name="20% - Accent3 3 2 2 2 2 2" xfId="15535" xr:uid="{A86C72AD-4918-4D50-90AE-ED35B1EC4AA2}"/>
    <cellStyle name="20% - Accent3 3 2 2 2 2 3" xfId="23975" xr:uid="{250A00BF-EECB-409B-8BA3-3587C83CF516}"/>
    <cellStyle name="20% - Accent3 3 2 2 2 2 4" xfId="32415" xr:uid="{D835B3D9-67DF-41FE-B8FB-0CA1FB1B8266}"/>
    <cellStyle name="20% - Accent3 3 2 2 2 3" xfId="11317" xr:uid="{BAB86709-F83E-4A72-856F-5E5F5FB2FB42}"/>
    <cellStyle name="20% - Accent3 3 2 2 2 4" xfId="19758" xr:uid="{08B9F78A-12FF-459D-9C96-E7EC794603FF}"/>
    <cellStyle name="20% - Accent3 3 2 2 2 5" xfId="28198" xr:uid="{41EACBD9-ED14-48AB-854F-76624F9534C7}"/>
    <cellStyle name="20% - Accent3 3 2 2 3" xfId="4940" xr:uid="{00000000-0005-0000-0000-000097010000}"/>
    <cellStyle name="20% - Accent3 3 2 2 3 2" xfId="13390" xr:uid="{F78E11B5-6563-490E-A9C5-A451DA00033E}"/>
    <cellStyle name="20% - Accent3 3 2 2 3 3" xfId="21830" xr:uid="{06567D16-B5B0-4ED7-A7D7-D15B30D5A0FC}"/>
    <cellStyle name="20% - Accent3 3 2 2 3 4" xfId="30270" xr:uid="{8D133714-F9F3-4D3C-9C3D-E164EAB879A4}"/>
    <cellStyle name="20% - Accent3 3 2 2 4" xfId="9172" xr:uid="{EBB7C463-035F-475A-9C29-1FAE2DA778BB}"/>
    <cellStyle name="20% - Accent3 3 2 2 5" xfId="17613" xr:uid="{D6E2E26E-5108-4237-8506-A8565A67C94F}"/>
    <cellStyle name="20% - Accent3 3 2 2 6" xfId="26053" xr:uid="{FE9CCFF0-8FF8-45F0-98B1-BEC519CAA1D2}"/>
    <cellStyle name="20% - Accent3 3 2 3" xfId="1045" xr:uid="{00000000-0005-0000-0000-000098010000}"/>
    <cellStyle name="20% - Accent3 3 2 3 2" xfId="3276" xr:uid="{00000000-0005-0000-0000-000099010000}"/>
    <cellStyle name="20% - Accent3 3 2 3 2 2" xfId="7498" xr:uid="{00000000-0005-0000-0000-00009A010000}"/>
    <cellStyle name="20% - Accent3 3 2 3 2 2 2" xfId="15948" xr:uid="{228677B2-E331-4F0C-B2F2-A590C8732EF7}"/>
    <cellStyle name="20% - Accent3 3 2 3 2 2 3" xfId="24388" xr:uid="{8D270FB3-D787-40B1-99D8-89EB4F0F58D8}"/>
    <cellStyle name="20% - Accent3 3 2 3 2 2 4" xfId="32828" xr:uid="{E089760C-8CA1-4CE3-8EEF-F654EC75014E}"/>
    <cellStyle name="20% - Accent3 3 2 3 2 3" xfId="11730" xr:uid="{F0DEEB1D-EB31-435C-892C-59B723A83C47}"/>
    <cellStyle name="20% - Accent3 3 2 3 2 4" xfId="20171" xr:uid="{8475E03F-88F7-43BB-8021-19D0277D7C82}"/>
    <cellStyle name="20% - Accent3 3 2 3 2 5" xfId="28611" xr:uid="{F1B45EF4-4309-4355-BD23-F8BBB10C2642}"/>
    <cellStyle name="20% - Accent3 3 2 3 3" xfId="5353" xr:uid="{00000000-0005-0000-0000-00009B010000}"/>
    <cellStyle name="20% - Accent3 3 2 3 3 2" xfId="13803" xr:uid="{C203B222-66FE-42FE-B1E2-BFF4DA861D27}"/>
    <cellStyle name="20% - Accent3 3 2 3 3 3" xfId="22243" xr:uid="{333775C9-5162-42F1-8465-3FE942FB00B5}"/>
    <cellStyle name="20% - Accent3 3 2 3 3 4" xfId="30683" xr:uid="{96DC85F6-02ED-46E9-B885-2B5C765B99BF}"/>
    <cellStyle name="20% - Accent3 3 2 3 4" xfId="9585" xr:uid="{8AB48004-1DD3-4075-9054-534FAC99FEAA}"/>
    <cellStyle name="20% - Accent3 3 2 3 5" xfId="18026" xr:uid="{61392071-7680-4F4A-ACF5-F5E77C00E324}"/>
    <cellStyle name="20% - Accent3 3 2 3 6" xfId="26466" xr:uid="{3670CABE-D4C3-4D04-A7A9-B932779E0744}"/>
    <cellStyle name="20% - Accent3 3 2 4" xfId="1459" xr:uid="{00000000-0005-0000-0000-00009C010000}"/>
    <cellStyle name="20% - Accent3 3 2 4 2" xfId="3689" xr:uid="{00000000-0005-0000-0000-00009D010000}"/>
    <cellStyle name="20% - Accent3 3 2 4 2 2" xfId="7911" xr:uid="{00000000-0005-0000-0000-00009E010000}"/>
    <cellStyle name="20% - Accent3 3 2 4 2 2 2" xfId="16361" xr:uid="{E524FE45-18FC-42F7-B832-E613F2EEEEE6}"/>
    <cellStyle name="20% - Accent3 3 2 4 2 2 3" xfId="24801" xr:uid="{7E344A66-7447-4A47-9E4B-2C8E9E10287A}"/>
    <cellStyle name="20% - Accent3 3 2 4 2 2 4" xfId="33241" xr:uid="{32F512B6-DDA9-4A97-A074-DAE8CBC1DE18}"/>
    <cellStyle name="20% - Accent3 3 2 4 2 3" xfId="12143" xr:uid="{1730BC30-333E-4841-94A0-26A05927B32D}"/>
    <cellStyle name="20% - Accent3 3 2 4 2 4" xfId="20584" xr:uid="{86D07068-2856-49D9-8574-A1B032529B09}"/>
    <cellStyle name="20% - Accent3 3 2 4 2 5" xfId="29024" xr:uid="{ED284DBC-AEA6-48DA-920F-7820B5751320}"/>
    <cellStyle name="20% - Accent3 3 2 4 3" xfId="5766" xr:uid="{00000000-0005-0000-0000-00009F010000}"/>
    <cellStyle name="20% - Accent3 3 2 4 3 2" xfId="14216" xr:uid="{57926229-EC4C-42B8-9662-48A8A866EF25}"/>
    <cellStyle name="20% - Accent3 3 2 4 3 3" xfId="22656" xr:uid="{FBED97E2-EC02-41EE-B174-2CBEA417CD1C}"/>
    <cellStyle name="20% - Accent3 3 2 4 3 4" xfId="31096" xr:uid="{676E3C8C-B448-4F95-BA22-2B7C5A0FA13E}"/>
    <cellStyle name="20% - Accent3 3 2 4 4" xfId="9998" xr:uid="{D90628E9-1C6D-458B-9304-4A68183192F9}"/>
    <cellStyle name="20% - Accent3 3 2 4 5" xfId="18439" xr:uid="{D7C1B08B-4FD3-44F0-9AAD-29E016C21CCD}"/>
    <cellStyle name="20% - Accent3 3 2 4 6" xfId="26879" xr:uid="{C1117CA6-885C-4103-B4E9-DB1DFF9DA2DD}"/>
    <cellStyle name="20% - Accent3 3 2 5" xfId="1873" xr:uid="{00000000-0005-0000-0000-0000A0010000}"/>
    <cellStyle name="20% - Accent3 3 2 5 2" xfId="4102" xr:uid="{00000000-0005-0000-0000-0000A1010000}"/>
    <cellStyle name="20% - Accent3 3 2 5 2 2" xfId="8324" xr:uid="{00000000-0005-0000-0000-0000A2010000}"/>
    <cellStyle name="20% - Accent3 3 2 5 2 2 2" xfId="16774" xr:uid="{BDE18DA8-CC02-4500-A304-541CC4E7643E}"/>
    <cellStyle name="20% - Accent3 3 2 5 2 2 3" xfId="25214" xr:uid="{3B64F6CD-D025-45DD-B815-10EAFF1D13C5}"/>
    <cellStyle name="20% - Accent3 3 2 5 2 2 4" xfId="33654" xr:uid="{F08B5F7D-6BB5-4CA7-A95C-3BE42334CCB2}"/>
    <cellStyle name="20% - Accent3 3 2 5 2 3" xfId="12556" xr:uid="{6FFAAFFA-4DCC-471F-A42E-04B50FD45EE4}"/>
    <cellStyle name="20% - Accent3 3 2 5 2 4" xfId="20997" xr:uid="{0F038626-2A14-4B7D-B563-AF51D038A9D2}"/>
    <cellStyle name="20% - Accent3 3 2 5 2 5" xfId="29437" xr:uid="{7CCEFA05-9D17-42CE-A9B6-4255C0DFE645}"/>
    <cellStyle name="20% - Accent3 3 2 5 3" xfId="6179" xr:uid="{00000000-0005-0000-0000-0000A3010000}"/>
    <cellStyle name="20% - Accent3 3 2 5 3 2" xfId="14629" xr:uid="{185680FF-8A32-47F6-9454-C69881E999E9}"/>
    <cellStyle name="20% - Accent3 3 2 5 3 3" xfId="23069" xr:uid="{A76B3C64-D3F0-47BF-96FF-F514B3170B8A}"/>
    <cellStyle name="20% - Accent3 3 2 5 3 4" xfId="31509" xr:uid="{474BAEC5-A932-4E30-89F6-60E9B062E80B}"/>
    <cellStyle name="20% - Accent3 3 2 5 4" xfId="10411" xr:uid="{0034AB60-2080-4023-BE2C-DE617E915049}"/>
    <cellStyle name="20% - Accent3 3 2 5 5" xfId="18852" xr:uid="{3706E801-FFEA-46E6-88D6-B41BED35C17B}"/>
    <cellStyle name="20% - Accent3 3 2 5 6" xfId="27292" xr:uid="{0ECA2BC5-F20C-49DF-8AB7-4A64B93404F8}"/>
    <cellStyle name="20% - Accent3 3 2 6" xfId="2286" xr:uid="{00000000-0005-0000-0000-0000A4010000}"/>
    <cellStyle name="20% - Accent3 3 2 6 2" xfId="6592" xr:uid="{00000000-0005-0000-0000-0000A5010000}"/>
    <cellStyle name="20% - Accent3 3 2 6 2 2" xfId="15042" xr:uid="{9506B632-4AA7-4362-8637-5B69B01743A2}"/>
    <cellStyle name="20% - Accent3 3 2 6 2 3" xfId="23482" xr:uid="{06AD2AC8-DF86-4C25-B297-17B6CD8DD074}"/>
    <cellStyle name="20% - Accent3 3 2 6 2 4" xfId="31922" xr:uid="{BFC13100-F220-4A3E-9869-292E5629431F}"/>
    <cellStyle name="20% - Accent3 3 2 6 3" xfId="10824" xr:uid="{FFE4913D-F114-4283-B0C4-2ABC6E985389}"/>
    <cellStyle name="20% - Accent3 3 2 6 4" xfId="19265" xr:uid="{75985F78-D2AC-4624-A669-05766458134B}"/>
    <cellStyle name="20% - Accent3 3 2 6 5" xfId="27705" xr:uid="{DE239BA8-350F-4E84-A7C5-CB6523869E3A}"/>
    <cellStyle name="20% - Accent3 3 2 7" xfId="4526" xr:uid="{00000000-0005-0000-0000-0000A6010000}"/>
    <cellStyle name="20% - Accent3 3 2 7 2" xfId="12976" xr:uid="{E245ECBF-DF95-4DE8-90C1-1AB405C2577F}"/>
    <cellStyle name="20% - Accent3 3 2 7 3" xfId="21416" xr:uid="{57CF8071-51B4-4612-9054-1669A98932E3}"/>
    <cellStyle name="20% - Accent3 3 2 7 4" xfId="29856" xr:uid="{1145E8F6-2068-40A9-B790-132BB1CEED6C}"/>
    <cellStyle name="20% - Accent3 3 2 8" xfId="8758" xr:uid="{35B12A01-BE5A-4A1E-8C47-35212A105A1E}"/>
    <cellStyle name="20% - Accent3 3 2 9" xfId="17199" xr:uid="{0DE84217-09C9-46DF-9B0B-EE921B334406}"/>
    <cellStyle name="20% - Accent3 3 3" xfId="591" xr:uid="{00000000-0005-0000-0000-0000A7010000}"/>
    <cellStyle name="20% - Accent3 3 3 2" xfId="2862" xr:uid="{00000000-0005-0000-0000-0000A8010000}"/>
    <cellStyle name="20% - Accent3 3 3 2 2" xfId="7084" xr:uid="{00000000-0005-0000-0000-0000A9010000}"/>
    <cellStyle name="20% - Accent3 3 3 2 2 2" xfId="15534" xr:uid="{AA032BE8-9E6B-472B-BAF2-E95A9B5F5540}"/>
    <cellStyle name="20% - Accent3 3 3 2 2 3" xfId="23974" xr:uid="{8D4578AD-218D-4B73-952E-DF8F5301E94A}"/>
    <cellStyle name="20% - Accent3 3 3 2 2 4" xfId="32414" xr:uid="{33748A1D-B7EA-4D0B-8E80-89F668D566E7}"/>
    <cellStyle name="20% - Accent3 3 3 2 3" xfId="11316" xr:uid="{05C9B228-52E7-454A-A847-0B8408C28349}"/>
    <cellStyle name="20% - Accent3 3 3 2 4" xfId="19757" xr:uid="{8CE92118-ED5C-473F-8D16-0D7ECF94512E}"/>
    <cellStyle name="20% - Accent3 3 3 2 5" xfId="28197" xr:uid="{66BAC660-14FA-4761-BF65-F3B53A7D784D}"/>
    <cellStyle name="20% - Accent3 3 3 3" xfId="4939" xr:uid="{00000000-0005-0000-0000-0000AA010000}"/>
    <cellStyle name="20% - Accent3 3 3 3 2" xfId="13389" xr:uid="{9050E0C0-4B14-4F79-B949-53B378CD9102}"/>
    <cellStyle name="20% - Accent3 3 3 3 3" xfId="21829" xr:uid="{988741C4-9121-4076-9E78-D14F6B8D7BA8}"/>
    <cellStyle name="20% - Accent3 3 3 3 4" xfId="30269" xr:uid="{617969F9-48CE-45E7-B688-8F11DFE63163}"/>
    <cellStyle name="20% - Accent3 3 3 4" xfId="9171" xr:uid="{F00842A7-68AC-4F0A-991B-79756735C3BD}"/>
    <cellStyle name="20% - Accent3 3 3 5" xfId="17612" xr:uid="{D42888C9-8A84-4413-A752-DFC2EB8AE020}"/>
    <cellStyle name="20% - Accent3 3 3 6" xfId="26052" xr:uid="{64AD9B00-6F07-4600-8636-073BCA0D546A}"/>
    <cellStyle name="20% - Accent3 3 4" xfId="1044" xr:uid="{00000000-0005-0000-0000-0000AB010000}"/>
    <cellStyle name="20% - Accent3 3 4 2" xfId="3275" xr:uid="{00000000-0005-0000-0000-0000AC010000}"/>
    <cellStyle name="20% - Accent3 3 4 2 2" xfId="7497" xr:uid="{00000000-0005-0000-0000-0000AD010000}"/>
    <cellStyle name="20% - Accent3 3 4 2 2 2" xfId="15947" xr:uid="{4E9034B5-370D-4EB3-AE5C-8CABEE84A31B}"/>
    <cellStyle name="20% - Accent3 3 4 2 2 3" xfId="24387" xr:uid="{95A1DA28-6A0C-4397-A078-3E40D2DF210B}"/>
    <cellStyle name="20% - Accent3 3 4 2 2 4" xfId="32827" xr:uid="{1D8C2C20-3D51-4318-847C-35B9FD66D20F}"/>
    <cellStyle name="20% - Accent3 3 4 2 3" xfId="11729" xr:uid="{66E9D309-E649-44DA-B3C8-1844461CBA9F}"/>
    <cellStyle name="20% - Accent3 3 4 2 4" xfId="20170" xr:uid="{F8AC8567-B524-4F8A-8217-362C0B2C4967}"/>
    <cellStyle name="20% - Accent3 3 4 2 5" xfId="28610" xr:uid="{32446DA6-8185-429C-B9A6-7E7A009B2172}"/>
    <cellStyle name="20% - Accent3 3 4 3" xfId="5352" xr:uid="{00000000-0005-0000-0000-0000AE010000}"/>
    <cellStyle name="20% - Accent3 3 4 3 2" xfId="13802" xr:uid="{D93FC765-946A-4813-94E2-ADB6EC501FCF}"/>
    <cellStyle name="20% - Accent3 3 4 3 3" xfId="22242" xr:uid="{928778F7-4528-493F-B737-BA2B0306BB55}"/>
    <cellStyle name="20% - Accent3 3 4 3 4" xfId="30682" xr:uid="{F2BCB7A4-09F1-497A-8D90-48B80A3AF317}"/>
    <cellStyle name="20% - Accent3 3 4 4" xfId="9584" xr:uid="{43DBE80E-A59C-49ED-8430-0E63AF19223E}"/>
    <cellStyle name="20% - Accent3 3 4 5" xfId="18025" xr:uid="{771B3A49-FB47-4965-8273-0A128982099C}"/>
    <cellStyle name="20% - Accent3 3 4 6" xfId="26465" xr:uid="{33C1C658-271D-4BB5-89BB-6D1762ED2353}"/>
    <cellStyle name="20% - Accent3 3 5" xfId="1458" xr:uid="{00000000-0005-0000-0000-0000AF010000}"/>
    <cellStyle name="20% - Accent3 3 5 2" xfId="3688" xr:uid="{00000000-0005-0000-0000-0000B0010000}"/>
    <cellStyle name="20% - Accent3 3 5 2 2" xfId="7910" xr:uid="{00000000-0005-0000-0000-0000B1010000}"/>
    <cellStyle name="20% - Accent3 3 5 2 2 2" xfId="16360" xr:uid="{F3F5257B-97C2-4009-B39D-3812923A0AAF}"/>
    <cellStyle name="20% - Accent3 3 5 2 2 3" xfId="24800" xr:uid="{C89618F5-48F3-4E2E-A7F7-7D446DEFE035}"/>
    <cellStyle name="20% - Accent3 3 5 2 2 4" xfId="33240" xr:uid="{D9176290-82AE-4E43-891C-ADB7DC7D96F7}"/>
    <cellStyle name="20% - Accent3 3 5 2 3" xfId="12142" xr:uid="{0A6645EB-4D70-40EB-852D-C429980D0288}"/>
    <cellStyle name="20% - Accent3 3 5 2 4" xfId="20583" xr:uid="{BDD869DB-6CFF-4C03-907C-A7FE3BB6FF22}"/>
    <cellStyle name="20% - Accent3 3 5 2 5" xfId="29023" xr:uid="{ACD38A13-E6DE-4B1E-9196-8D826374C3CD}"/>
    <cellStyle name="20% - Accent3 3 5 3" xfId="5765" xr:uid="{00000000-0005-0000-0000-0000B2010000}"/>
    <cellStyle name="20% - Accent3 3 5 3 2" xfId="14215" xr:uid="{0FEBC60E-7FEF-4F92-A3B7-4583E4AB8609}"/>
    <cellStyle name="20% - Accent3 3 5 3 3" xfId="22655" xr:uid="{9F4D01B7-A192-4676-AD9E-8D60DD213561}"/>
    <cellStyle name="20% - Accent3 3 5 3 4" xfId="31095" xr:uid="{8C1B2E4F-FC94-427E-9FAF-B05630E8836E}"/>
    <cellStyle name="20% - Accent3 3 5 4" xfId="9997" xr:uid="{FDACE27A-5E0C-4EAF-9B3E-215F7C0C2843}"/>
    <cellStyle name="20% - Accent3 3 5 5" xfId="18438" xr:uid="{41EE757A-97EE-49DB-B7DB-052021582127}"/>
    <cellStyle name="20% - Accent3 3 5 6" xfId="26878" xr:uid="{8BDB121B-255B-4135-B2BF-46B6E0FABD82}"/>
    <cellStyle name="20% - Accent3 3 6" xfId="1872" xr:uid="{00000000-0005-0000-0000-0000B3010000}"/>
    <cellStyle name="20% - Accent3 3 6 2" xfId="4101" xr:uid="{00000000-0005-0000-0000-0000B4010000}"/>
    <cellStyle name="20% - Accent3 3 6 2 2" xfId="8323" xr:uid="{00000000-0005-0000-0000-0000B5010000}"/>
    <cellStyle name="20% - Accent3 3 6 2 2 2" xfId="16773" xr:uid="{693D0483-12DD-4713-B9FE-7D9CFCE3A35E}"/>
    <cellStyle name="20% - Accent3 3 6 2 2 3" xfId="25213" xr:uid="{1B4F9871-4743-45CA-972D-08DEE507769F}"/>
    <cellStyle name="20% - Accent3 3 6 2 2 4" xfId="33653" xr:uid="{239FAAFF-3349-4125-833C-123A5622A75F}"/>
    <cellStyle name="20% - Accent3 3 6 2 3" xfId="12555" xr:uid="{39EF3353-C365-4079-AEDD-8E743D5F4FAB}"/>
    <cellStyle name="20% - Accent3 3 6 2 4" xfId="20996" xr:uid="{84D9A5F9-C6F0-4A18-B0FE-3D23095E518B}"/>
    <cellStyle name="20% - Accent3 3 6 2 5" xfId="29436" xr:uid="{2E4602F1-F2B2-4913-8C12-9D74753540E3}"/>
    <cellStyle name="20% - Accent3 3 6 3" xfId="6178" xr:uid="{00000000-0005-0000-0000-0000B6010000}"/>
    <cellStyle name="20% - Accent3 3 6 3 2" xfId="14628" xr:uid="{525D1900-78B3-4219-BF65-A1764BB2B291}"/>
    <cellStyle name="20% - Accent3 3 6 3 3" xfId="23068" xr:uid="{513A60F8-3BD3-4CDD-AE3F-BD8028680992}"/>
    <cellStyle name="20% - Accent3 3 6 3 4" xfId="31508" xr:uid="{7A193B83-7E5D-47DF-B9F8-E847A23300B0}"/>
    <cellStyle name="20% - Accent3 3 6 4" xfId="10410" xr:uid="{334FF05C-42A4-491A-A593-C6DADB76116F}"/>
    <cellStyle name="20% - Accent3 3 6 5" xfId="18851" xr:uid="{F6DDAE12-E38D-4A91-9F84-85F3AB49F744}"/>
    <cellStyle name="20% - Accent3 3 6 6" xfId="27291" xr:uid="{431C72E1-7D88-4352-A1D2-79C2B588E7C3}"/>
    <cellStyle name="20% - Accent3 3 7" xfId="2285" xr:uid="{00000000-0005-0000-0000-0000B7010000}"/>
    <cellStyle name="20% - Accent3 3 7 2" xfId="6591" xr:uid="{00000000-0005-0000-0000-0000B8010000}"/>
    <cellStyle name="20% - Accent3 3 7 2 2" xfId="15041" xr:uid="{5F0D2DD3-E596-40F8-AD15-568AF3FAEA24}"/>
    <cellStyle name="20% - Accent3 3 7 2 3" xfId="23481" xr:uid="{53B8D39A-3948-46E5-BC84-97CCB376B402}"/>
    <cellStyle name="20% - Accent3 3 7 2 4" xfId="31921" xr:uid="{4E94DB23-7AE9-4C85-BE88-BAB0B310C9EB}"/>
    <cellStyle name="20% - Accent3 3 7 3" xfId="10823" xr:uid="{61B73905-4B9C-411E-815E-8D280184A31D}"/>
    <cellStyle name="20% - Accent3 3 7 4" xfId="19264" xr:uid="{A3509A48-213F-42A3-84D8-8CCB364EDF9E}"/>
    <cellStyle name="20% - Accent3 3 7 5" xfId="27704" xr:uid="{7D184840-13BD-4FD3-8BDE-07C31FB0F9EF}"/>
    <cellStyle name="20% - Accent3 3 8" xfId="4525" xr:uid="{00000000-0005-0000-0000-0000B9010000}"/>
    <cellStyle name="20% - Accent3 3 8 2" xfId="12975" xr:uid="{CAB963D0-68F5-4F60-AF09-12059D5780C6}"/>
    <cellStyle name="20% - Accent3 3 8 3" xfId="21415" xr:uid="{B8D59C8A-09D5-4271-B1D6-C84E67594807}"/>
    <cellStyle name="20% - Accent3 3 8 4" xfId="29855" xr:uid="{56F8B8B1-B96A-4595-92BC-88CFC808DF98}"/>
    <cellStyle name="20% - Accent3 3 9" xfId="8757" xr:uid="{5EA3861F-715E-4F27-A0F9-736427F71170}"/>
    <cellStyle name="20% - Accent3 4" xfId="24" xr:uid="{00000000-0005-0000-0000-0000BA010000}"/>
    <cellStyle name="20% - Accent3 4 10" xfId="25640" xr:uid="{A671ED1B-071D-4C99-B8B8-CBA3BC13BF29}"/>
    <cellStyle name="20% - Accent3 4 2" xfId="593" xr:uid="{00000000-0005-0000-0000-0000BB010000}"/>
    <cellStyle name="20% - Accent3 4 2 2" xfId="2864" xr:uid="{00000000-0005-0000-0000-0000BC010000}"/>
    <cellStyle name="20% - Accent3 4 2 2 2" xfId="7086" xr:uid="{00000000-0005-0000-0000-0000BD010000}"/>
    <cellStyle name="20% - Accent3 4 2 2 2 2" xfId="15536" xr:uid="{5532FFEB-F055-4812-BEB3-FB63E5C7EDAD}"/>
    <cellStyle name="20% - Accent3 4 2 2 2 3" xfId="23976" xr:uid="{8FCB15AA-E139-4B5E-89C7-46A6F0C2E5B6}"/>
    <cellStyle name="20% - Accent3 4 2 2 2 4" xfId="32416" xr:uid="{A86677BE-0963-455A-BDB6-9A422C3D81CF}"/>
    <cellStyle name="20% - Accent3 4 2 2 3" xfId="11318" xr:uid="{EA56E84E-2DA4-4D2D-A00F-57E9EE4BD05C}"/>
    <cellStyle name="20% - Accent3 4 2 2 4" xfId="19759" xr:uid="{73F7919F-18A4-44D8-8CA3-F0DACB66D726}"/>
    <cellStyle name="20% - Accent3 4 2 2 5" xfId="28199" xr:uid="{E8107338-6FD9-4684-8216-E362CDDB3F1D}"/>
    <cellStyle name="20% - Accent3 4 2 3" xfId="4941" xr:uid="{00000000-0005-0000-0000-0000BE010000}"/>
    <cellStyle name="20% - Accent3 4 2 3 2" xfId="13391" xr:uid="{4314E99B-42AC-47AB-9BE8-01D21C656C55}"/>
    <cellStyle name="20% - Accent3 4 2 3 3" xfId="21831" xr:uid="{08921819-E31E-492F-807F-FC99AC4297F9}"/>
    <cellStyle name="20% - Accent3 4 2 3 4" xfId="30271" xr:uid="{7109C1D2-38B5-4A8A-81A7-7BE135A1713C}"/>
    <cellStyle name="20% - Accent3 4 2 4" xfId="9173" xr:uid="{5ED3ADA6-3D05-46BE-B329-3C6A1E6FFC3E}"/>
    <cellStyle name="20% - Accent3 4 2 5" xfId="17614" xr:uid="{E44A70DA-725D-4447-ACC1-D606DBD94F01}"/>
    <cellStyle name="20% - Accent3 4 2 6" xfId="26054" xr:uid="{96D4B063-CD61-4259-9967-EE4937A8AEBC}"/>
    <cellStyle name="20% - Accent3 4 3" xfId="1046" xr:uid="{00000000-0005-0000-0000-0000BF010000}"/>
    <cellStyle name="20% - Accent3 4 3 2" xfId="3277" xr:uid="{00000000-0005-0000-0000-0000C0010000}"/>
    <cellStyle name="20% - Accent3 4 3 2 2" xfId="7499" xr:uid="{00000000-0005-0000-0000-0000C1010000}"/>
    <cellStyle name="20% - Accent3 4 3 2 2 2" xfId="15949" xr:uid="{3D5276F3-0F44-42F8-8037-E68B9CF97053}"/>
    <cellStyle name="20% - Accent3 4 3 2 2 3" xfId="24389" xr:uid="{8F361B68-63EA-4E7B-9B9D-C4A02C69FCB7}"/>
    <cellStyle name="20% - Accent3 4 3 2 2 4" xfId="32829" xr:uid="{83E99D9C-2657-470D-86EF-62AC1C2E3860}"/>
    <cellStyle name="20% - Accent3 4 3 2 3" xfId="11731" xr:uid="{C2B8D35E-0EF0-498E-97EE-D6C09A3E3E33}"/>
    <cellStyle name="20% - Accent3 4 3 2 4" xfId="20172" xr:uid="{BCAFCCC5-D05D-47BB-A28B-ABFF75747CDE}"/>
    <cellStyle name="20% - Accent3 4 3 2 5" xfId="28612" xr:uid="{5658A2D9-61E6-4B81-B56B-B80E96676A9B}"/>
    <cellStyle name="20% - Accent3 4 3 3" xfId="5354" xr:uid="{00000000-0005-0000-0000-0000C2010000}"/>
    <cellStyle name="20% - Accent3 4 3 3 2" xfId="13804" xr:uid="{047DE033-E458-4886-84E4-EB81715B823A}"/>
    <cellStyle name="20% - Accent3 4 3 3 3" xfId="22244" xr:uid="{537D7B62-4334-4771-8751-4C4B3B7A9FD3}"/>
    <cellStyle name="20% - Accent3 4 3 3 4" xfId="30684" xr:uid="{CB54160A-4DCD-4FFB-AFEA-73D6F44511C3}"/>
    <cellStyle name="20% - Accent3 4 3 4" xfId="9586" xr:uid="{635B4CC1-6643-4F59-AAB9-E341E3185071}"/>
    <cellStyle name="20% - Accent3 4 3 5" xfId="18027" xr:uid="{E0904B44-04F0-485E-AE7F-88D7598183A8}"/>
    <cellStyle name="20% - Accent3 4 3 6" xfId="26467" xr:uid="{2D1A4711-AE5B-4D42-BA02-A1319A389627}"/>
    <cellStyle name="20% - Accent3 4 4" xfId="1460" xr:uid="{00000000-0005-0000-0000-0000C3010000}"/>
    <cellStyle name="20% - Accent3 4 4 2" xfId="3690" xr:uid="{00000000-0005-0000-0000-0000C4010000}"/>
    <cellStyle name="20% - Accent3 4 4 2 2" xfId="7912" xr:uid="{00000000-0005-0000-0000-0000C5010000}"/>
    <cellStyle name="20% - Accent3 4 4 2 2 2" xfId="16362" xr:uid="{66C6A8FD-F254-470C-86FB-FA011862D478}"/>
    <cellStyle name="20% - Accent3 4 4 2 2 3" xfId="24802" xr:uid="{B3A2E754-685C-4A15-B00A-B2F018989984}"/>
    <cellStyle name="20% - Accent3 4 4 2 2 4" xfId="33242" xr:uid="{D98C443E-CEB8-4457-9CAE-BA0A79F559E7}"/>
    <cellStyle name="20% - Accent3 4 4 2 3" xfId="12144" xr:uid="{086FBA9B-3EEB-4DA5-8636-A3791C315C87}"/>
    <cellStyle name="20% - Accent3 4 4 2 4" xfId="20585" xr:uid="{66047542-BE1A-4F89-A43C-CDC74AA2E8EC}"/>
    <cellStyle name="20% - Accent3 4 4 2 5" xfId="29025" xr:uid="{6D5861E0-2C7D-47ED-AAA7-F405261C6A27}"/>
    <cellStyle name="20% - Accent3 4 4 3" xfId="5767" xr:uid="{00000000-0005-0000-0000-0000C6010000}"/>
    <cellStyle name="20% - Accent3 4 4 3 2" xfId="14217" xr:uid="{6A533C39-99A6-444D-9C78-AA401B37D5A9}"/>
    <cellStyle name="20% - Accent3 4 4 3 3" xfId="22657" xr:uid="{63C832EE-0A60-40A6-8233-5FABDAF87EBA}"/>
    <cellStyle name="20% - Accent3 4 4 3 4" xfId="31097" xr:uid="{B1E3B2EC-88BD-4DD3-A456-E8B9B99DDD3D}"/>
    <cellStyle name="20% - Accent3 4 4 4" xfId="9999" xr:uid="{3129DD8E-BE60-4E20-9C29-A88DF0654F6D}"/>
    <cellStyle name="20% - Accent3 4 4 5" xfId="18440" xr:uid="{31B54D5E-0EE1-4073-A976-C63936592338}"/>
    <cellStyle name="20% - Accent3 4 4 6" xfId="26880" xr:uid="{2050ED3E-EB1B-45D9-A2EC-D23CC7FED2DE}"/>
    <cellStyle name="20% - Accent3 4 5" xfId="1874" xr:uid="{00000000-0005-0000-0000-0000C7010000}"/>
    <cellStyle name="20% - Accent3 4 5 2" xfId="4103" xr:uid="{00000000-0005-0000-0000-0000C8010000}"/>
    <cellStyle name="20% - Accent3 4 5 2 2" xfId="8325" xr:uid="{00000000-0005-0000-0000-0000C9010000}"/>
    <cellStyle name="20% - Accent3 4 5 2 2 2" xfId="16775" xr:uid="{CF9375A0-20CF-4BB0-B51E-4743385CD481}"/>
    <cellStyle name="20% - Accent3 4 5 2 2 3" xfId="25215" xr:uid="{03603B5B-7B84-4F5A-84CE-6223468A13DA}"/>
    <cellStyle name="20% - Accent3 4 5 2 2 4" xfId="33655" xr:uid="{ECE301E9-4B4D-40C3-A0CF-4355AF758023}"/>
    <cellStyle name="20% - Accent3 4 5 2 3" xfId="12557" xr:uid="{60AA2496-02FB-4437-96D3-FEFFCCCF23A1}"/>
    <cellStyle name="20% - Accent3 4 5 2 4" xfId="20998" xr:uid="{041F5E4E-163B-4391-A266-FA9D361A494E}"/>
    <cellStyle name="20% - Accent3 4 5 2 5" xfId="29438" xr:uid="{F767872D-539A-4240-BA79-37817B79CC4C}"/>
    <cellStyle name="20% - Accent3 4 5 3" xfId="6180" xr:uid="{00000000-0005-0000-0000-0000CA010000}"/>
    <cellStyle name="20% - Accent3 4 5 3 2" xfId="14630" xr:uid="{D1F01682-570B-4047-AFC5-2983D6820287}"/>
    <cellStyle name="20% - Accent3 4 5 3 3" xfId="23070" xr:uid="{30E0789E-9DF8-4214-85BA-720641113F88}"/>
    <cellStyle name="20% - Accent3 4 5 3 4" xfId="31510" xr:uid="{5E0A0918-FD77-47F1-BEC2-BB2451BDDF44}"/>
    <cellStyle name="20% - Accent3 4 5 4" xfId="10412" xr:uid="{1343E72A-DF59-46DE-9BD4-52CEAD115BB4}"/>
    <cellStyle name="20% - Accent3 4 5 5" xfId="18853" xr:uid="{AD5FB342-971D-436D-A63D-333343B86815}"/>
    <cellStyle name="20% - Accent3 4 5 6" xfId="27293" xr:uid="{4F3E8262-C7D4-436E-AFC6-12A03ABBD863}"/>
    <cellStyle name="20% - Accent3 4 6" xfId="2287" xr:uid="{00000000-0005-0000-0000-0000CB010000}"/>
    <cellStyle name="20% - Accent3 4 6 2" xfId="6593" xr:uid="{00000000-0005-0000-0000-0000CC010000}"/>
    <cellStyle name="20% - Accent3 4 6 2 2" xfId="15043" xr:uid="{C4FBB832-9DEE-4C12-9FF8-16959AE01383}"/>
    <cellStyle name="20% - Accent3 4 6 2 3" xfId="23483" xr:uid="{483DEF5A-D961-4778-A531-0BF8AEBB974F}"/>
    <cellStyle name="20% - Accent3 4 6 2 4" xfId="31923" xr:uid="{8B76D11E-8EA7-440C-A32D-C4FC7B5D02A4}"/>
    <cellStyle name="20% - Accent3 4 6 3" xfId="10825" xr:uid="{C5E2B290-25E9-4D08-A457-97ECCB69BB7B}"/>
    <cellStyle name="20% - Accent3 4 6 4" xfId="19266" xr:uid="{3D10317E-B284-44EF-93B4-9CA6973C4EF2}"/>
    <cellStyle name="20% - Accent3 4 6 5" xfId="27706" xr:uid="{ECF9D14E-68D8-490A-AEF8-2399E0C62835}"/>
    <cellStyle name="20% - Accent3 4 7" xfId="4527" xr:uid="{00000000-0005-0000-0000-0000CD010000}"/>
    <cellStyle name="20% - Accent3 4 7 2" xfId="12977" xr:uid="{7CEC4942-8CA4-4AEB-A2C5-4A95CCC88502}"/>
    <cellStyle name="20% - Accent3 4 7 3" xfId="21417" xr:uid="{ACF6BB0A-DB68-4F70-AE9C-CCEDC48064A7}"/>
    <cellStyle name="20% - Accent3 4 7 4" xfId="29857" xr:uid="{5CEFD2F1-0D41-43BE-896F-D6FBD02722E8}"/>
    <cellStyle name="20% - Accent3 4 8" xfId="8759" xr:uid="{05E9BD52-434F-4CE3-8732-73E94E53B9A1}"/>
    <cellStyle name="20% - Accent3 4 9" xfId="17200" xr:uid="{921F71E0-BEA7-4AD6-9248-9C88C44B03CB}"/>
    <cellStyle name="20% - Accent3 5" xfId="586" xr:uid="{00000000-0005-0000-0000-0000CE010000}"/>
    <cellStyle name="20% - Accent3 5 2" xfId="2857" xr:uid="{00000000-0005-0000-0000-0000CF010000}"/>
    <cellStyle name="20% - Accent3 5 2 2" xfId="7079" xr:uid="{00000000-0005-0000-0000-0000D0010000}"/>
    <cellStyle name="20% - Accent3 5 2 2 2" xfId="15529" xr:uid="{5B1782ED-B731-465A-8C00-055CED29D68E}"/>
    <cellStyle name="20% - Accent3 5 2 2 3" xfId="23969" xr:uid="{D02619AB-22AB-4434-AC82-64ED3446EE33}"/>
    <cellStyle name="20% - Accent3 5 2 2 4" xfId="32409" xr:uid="{F5010E87-4C46-414F-8204-406B0E0F21DF}"/>
    <cellStyle name="20% - Accent3 5 2 3" xfId="11311" xr:uid="{5CB15927-DACF-47E4-A786-22A9E6A8ACB1}"/>
    <cellStyle name="20% - Accent3 5 2 4" xfId="19752" xr:uid="{1D81F535-B642-464C-AF72-63A77F01D070}"/>
    <cellStyle name="20% - Accent3 5 2 5" xfId="28192" xr:uid="{2557FA93-8436-438B-8212-36461AECD23B}"/>
    <cellStyle name="20% - Accent3 5 3" xfId="4934" xr:uid="{00000000-0005-0000-0000-0000D1010000}"/>
    <cellStyle name="20% - Accent3 5 3 2" xfId="13384" xr:uid="{E5154915-D059-4F66-82C9-AB9C94E71DBD}"/>
    <cellStyle name="20% - Accent3 5 3 3" xfId="21824" xr:uid="{E43DC0B3-DEC0-413E-A475-859CDCA22616}"/>
    <cellStyle name="20% - Accent3 5 3 4" xfId="30264" xr:uid="{1DF7ACC0-C378-43EC-8C6B-F25F3630BFD8}"/>
    <cellStyle name="20% - Accent3 5 4" xfId="9166" xr:uid="{C77C73A5-3454-4E8B-B0AF-480508335C12}"/>
    <cellStyle name="20% - Accent3 5 5" xfId="17607" xr:uid="{27966B81-D4D1-415A-BE46-828BFE8D905E}"/>
    <cellStyle name="20% - Accent3 5 6" xfId="26047" xr:uid="{15FB0D42-FD8F-403A-B74D-9D641CD8D571}"/>
    <cellStyle name="20% - Accent3 6" xfId="1039" xr:uid="{00000000-0005-0000-0000-0000D2010000}"/>
    <cellStyle name="20% - Accent3 6 2" xfId="3270" xr:uid="{00000000-0005-0000-0000-0000D3010000}"/>
    <cellStyle name="20% - Accent3 6 2 2" xfId="7492" xr:uid="{00000000-0005-0000-0000-0000D4010000}"/>
    <cellStyle name="20% - Accent3 6 2 2 2" xfId="15942" xr:uid="{E8F4CE81-1C03-4CF1-B88A-557EE8D8FBE3}"/>
    <cellStyle name="20% - Accent3 6 2 2 3" xfId="24382" xr:uid="{57C82FF9-A8C2-4CAB-922F-2CFCF7EE2D68}"/>
    <cellStyle name="20% - Accent3 6 2 2 4" xfId="32822" xr:uid="{F2818A0F-A1BA-4799-88C1-EC24DB9410B0}"/>
    <cellStyle name="20% - Accent3 6 2 3" xfId="11724" xr:uid="{E9810702-FC57-40F0-8504-7B6EBADBFBB6}"/>
    <cellStyle name="20% - Accent3 6 2 4" xfId="20165" xr:uid="{8D9A429B-C1C6-4E63-9FEA-28B6BD4F7601}"/>
    <cellStyle name="20% - Accent3 6 2 5" xfId="28605" xr:uid="{FF7D0D91-74E2-4E3F-8F92-A6788D5143E3}"/>
    <cellStyle name="20% - Accent3 6 3" xfId="5347" xr:uid="{00000000-0005-0000-0000-0000D5010000}"/>
    <cellStyle name="20% - Accent3 6 3 2" xfId="13797" xr:uid="{47AD5C92-1A8C-46AF-BE0C-2B78DAADFE7D}"/>
    <cellStyle name="20% - Accent3 6 3 3" xfId="22237" xr:uid="{EAD7AECA-CB54-47DC-A9D7-971EE40CA6AE}"/>
    <cellStyle name="20% - Accent3 6 3 4" xfId="30677" xr:uid="{20362304-FD49-4174-8A2D-20C9E676B796}"/>
    <cellStyle name="20% - Accent3 6 4" xfId="9579" xr:uid="{862D9CC6-6466-41CB-A866-A76994061B3E}"/>
    <cellStyle name="20% - Accent3 6 5" xfId="18020" xr:uid="{85D87B12-1ACB-485C-B7C8-64348B6C78BE}"/>
    <cellStyle name="20% - Accent3 6 6" xfId="26460" xr:uid="{A0C78CE5-5DFA-487A-AAC5-C3728E5933ED}"/>
    <cellStyle name="20% - Accent3 7" xfId="1453" xr:uid="{00000000-0005-0000-0000-0000D6010000}"/>
    <cellStyle name="20% - Accent3 7 2" xfId="3683" xr:uid="{00000000-0005-0000-0000-0000D7010000}"/>
    <cellStyle name="20% - Accent3 7 2 2" xfId="7905" xr:uid="{00000000-0005-0000-0000-0000D8010000}"/>
    <cellStyle name="20% - Accent3 7 2 2 2" xfId="16355" xr:uid="{7B7A7F42-3BDA-4E6E-ACA6-09AA23913749}"/>
    <cellStyle name="20% - Accent3 7 2 2 3" xfId="24795" xr:uid="{A45D185E-80FE-499E-A90D-892C0B7D5406}"/>
    <cellStyle name="20% - Accent3 7 2 2 4" xfId="33235" xr:uid="{0AAF3A04-4A1F-4EF6-A57A-92DA81EAC908}"/>
    <cellStyle name="20% - Accent3 7 2 3" xfId="12137" xr:uid="{50DCF933-E4D3-40E0-82A1-2C0E2DF39AFD}"/>
    <cellStyle name="20% - Accent3 7 2 4" xfId="20578" xr:uid="{892B1E06-FE68-4684-98ED-AE021BD051A4}"/>
    <cellStyle name="20% - Accent3 7 2 5" xfId="29018" xr:uid="{B499583B-AEFF-4437-ADC7-9C1A3C8BA720}"/>
    <cellStyle name="20% - Accent3 7 3" xfId="5760" xr:uid="{00000000-0005-0000-0000-0000D9010000}"/>
    <cellStyle name="20% - Accent3 7 3 2" xfId="14210" xr:uid="{B676A72F-3FE3-45AD-9BD1-502F6CBF1A07}"/>
    <cellStyle name="20% - Accent3 7 3 3" xfId="22650" xr:uid="{50003B76-37E3-4AD6-8705-B7E7A9CD5EFC}"/>
    <cellStyle name="20% - Accent3 7 3 4" xfId="31090" xr:uid="{EFC87736-D34D-43C8-8C43-7DA6677EE1A2}"/>
    <cellStyle name="20% - Accent3 7 4" xfId="9992" xr:uid="{FA769964-26D4-4AC1-968C-D96E96C3326A}"/>
    <cellStyle name="20% - Accent3 7 5" xfId="18433" xr:uid="{AEFCEC2A-88A1-417B-9102-F6C6594C0F03}"/>
    <cellStyle name="20% - Accent3 7 6" xfId="26873" xr:uid="{EE90A162-0B37-422C-A575-09F006BDC867}"/>
    <cellStyle name="20% - Accent3 8" xfId="1867" xr:uid="{00000000-0005-0000-0000-0000DA010000}"/>
    <cellStyle name="20% - Accent3 8 2" xfId="4096" xr:uid="{00000000-0005-0000-0000-0000DB010000}"/>
    <cellStyle name="20% - Accent3 8 2 2" xfId="8318" xr:uid="{00000000-0005-0000-0000-0000DC010000}"/>
    <cellStyle name="20% - Accent3 8 2 2 2" xfId="16768" xr:uid="{64D23A86-4081-454A-B09B-F1A1EE66944E}"/>
    <cellStyle name="20% - Accent3 8 2 2 3" xfId="25208" xr:uid="{DE6543E5-AFE8-4E3D-81C1-4C484E8DE0AD}"/>
    <cellStyle name="20% - Accent3 8 2 2 4" xfId="33648" xr:uid="{51873DF4-DD5D-40F5-8DB8-1C94743D777B}"/>
    <cellStyle name="20% - Accent3 8 2 3" xfId="12550" xr:uid="{1B089A40-9A88-4BEF-993B-3581B4EC0FDB}"/>
    <cellStyle name="20% - Accent3 8 2 4" xfId="20991" xr:uid="{105A6474-9CEF-4090-8766-00B1A422C2EE}"/>
    <cellStyle name="20% - Accent3 8 2 5" xfId="29431" xr:uid="{E934A3A7-78D3-449C-A542-EA4C51064144}"/>
    <cellStyle name="20% - Accent3 8 3" xfId="6173" xr:uid="{00000000-0005-0000-0000-0000DD010000}"/>
    <cellStyle name="20% - Accent3 8 3 2" xfId="14623" xr:uid="{B2C6A90F-ECA7-4F4B-B22A-5D3B41D2D3D8}"/>
    <cellStyle name="20% - Accent3 8 3 3" xfId="23063" xr:uid="{9664BF10-B11C-4D8D-8FB3-FDFBE878187C}"/>
    <cellStyle name="20% - Accent3 8 3 4" xfId="31503" xr:uid="{4B50BD52-7216-46DC-8E86-1A7463D4EED0}"/>
    <cellStyle name="20% - Accent3 8 4" xfId="10405" xr:uid="{4BB49ED2-4C86-4AE8-857D-0F2305DEFAC6}"/>
    <cellStyle name="20% - Accent3 8 5" xfId="18846" xr:uid="{1054EAC7-F56E-48D2-985E-D023BAE384D0}"/>
    <cellStyle name="20% - Accent3 8 6" xfId="27286" xr:uid="{875C5398-A856-4213-943A-6573DA587176}"/>
    <cellStyle name="20% - Accent3 9" xfId="2280" xr:uid="{00000000-0005-0000-0000-0000DE010000}"/>
    <cellStyle name="20% - Accent3 9 2" xfId="6586" xr:uid="{00000000-0005-0000-0000-0000DF010000}"/>
    <cellStyle name="20% - Accent3 9 2 2" xfId="15036" xr:uid="{91D42FC2-73A8-480C-BD60-9B9708C47A8A}"/>
    <cellStyle name="20% - Accent3 9 2 3" xfId="23476" xr:uid="{0FEA20AD-7553-42B8-B43E-57603FC0FBBA}"/>
    <cellStyle name="20% - Accent3 9 2 4" xfId="31916" xr:uid="{C5C0A2F4-37BC-4E9D-9C6E-04D977A7E627}"/>
    <cellStyle name="20% - Accent3 9 3" xfId="10818" xr:uid="{9D0B95EF-D16A-451E-A801-5B4EBBC842B2}"/>
    <cellStyle name="20% - Accent3 9 4" xfId="19259" xr:uid="{72C95F8A-4306-4D49-85B2-BB389B7689B9}"/>
    <cellStyle name="20% - Accent3 9 5" xfId="27699" xr:uid="{45E647B3-3FC6-4633-99BD-401DEB473046}"/>
    <cellStyle name="20% - Accent4" xfId="25" builtinId="42" customBuiltin="1"/>
    <cellStyle name="20% - Accent4 10" xfId="4528" xr:uid="{00000000-0005-0000-0000-0000E1010000}"/>
    <cellStyle name="20% - Accent4 10 2" xfId="12978" xr:uid="{06A8D3CC-2591-451F-B101-FF219FDA6E14}"/>
    <cellStyle name="20% - Accent4 10 3" xfId="21418" xr:uid="{4D8C43CF-7283-4729-917E-C13F60DB2A8D}"/>
    <cellStyle name="20% - Accent4 10 4" xfId="29858" xr:uid="{8B2EE9D3-5F75-477F-AB2C-79D8FAA0DF7A}"/>
    <cellStyle name="20% - Accent4 11" xfId="8760" xr:uid="{63722DA9-3A10-4796-B9A1-EA50245BF792}"/>
    <cellStyle name="20% - Accent4 12" xfId="17201" xr:uid="{36FEDFA9-D9E9-47CA-BF41-EB7FAFCF9439}"/>
    <cellStyle name="20% - Accent4 13" xfId="25641" xr:uid="{AA6F0971-887F-46CA-B060-CEBC2756116B}"/>
    <cellStyle name="20% - Accent4 2" xfId="26" xr:uid="{00000000-0005-0000-0000-0000E2010000}"/>
    <cellStyle name="20% - Accent4 2 10" xfId="8761" xr:uid="{2EA80661-433D-4127-ACE4-0A950ADB1C51}"/>
    <cellStyle name="20% - Accent4 2 11" xfId="17202" xr:uid="{B14DF0EE-956B-457F-9545-CF0ED7314426}"/>
    <cellStyle name="20% - Accent4 2 12" xfId="25642" xr:uid="{48ED1F9D-C338-4A58-90FF-65F96B9AB6A8}"/>
    <cellStyle name="20% - Accent4 2 2" xfId="27" xr:uid="{00000000-0005-0000-0000-0000E3010000}"/>
    <cellStyle name="20% - Accent4 2 2 10" xfId="17203" xr:uid="{4BD582F8-82F7-49CF-82E1-BAB5D75B9221}"/>
    <cellStyle name="20% - Accent4 2 2 11" xfId="25643" xr:uid="{7CFFE6CA-D4CD-420A-B095-1ABCF560A778}"/>
    <cellStyle name="20% - Accent4 2 2 2" xfId="28" xr:uid="{00000000-0005-0000-0000-0000E4010000}"/>
    <cellStyle name="20% - Accent4 2 2 2 10" xfId="25644" xr:uid="{147D7FFF-2A6F-42C8-9173-07B2862B07A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2 2 2" xfId="15540" xr:uid="{8EC066C7-9C28-4E8E-A4D8-F4C1A32ACCCD}"/>
    <cellStyle name="20% - Accent4 2 2 2 2 2 2 3" xfId="23980" xr:uid="{2C219545-9877-4BE5-911A-6EBE6884C2B6}"/>
    <cellStyle name="20% - Accent4 2 2 2 2 2 2 4" xfId="32420" xr:uid="{7F4734F8-4DD0-460F-8265-E9F56EE4AF52}"/>
    <cellStyle name="20% - Accent4 2 2 2 2 2 3" xfId="11322" xr:uid="{A85CDE8F-0A54-41F2-8094-5671FD5BFB5D}"/>
    <cellStyle name="20% - Accent4 2 2 2 2 2 4" xfId="19763" xr:uid="{62C3A294-7F3A-41A5-80B7-3AD70674F1F2}"/>
    <cellStyle name="20% - Accent4 2 2 2 2 2 5" xfId="28203" xr:uid="{03F041CF-37FC-44F8-AD5B-14A5C3041303}"/>
    <cellStyle name="20% - Accent4 2 2 2 2 3" xfId="4945" xr:uid="{00000000-0005-0000-0000-0000E8010000}"/>
    <cellStyle name="20% - Accent4 2 2 2 2 3 2" xfId="13395" xr:uid="{AA5C137B-0BBD-455D-AA07-55DEAB6CC2CF}"/>
    <cellStyle name="20% - Accent4 2 2 2 2 3 3" xfId="21835" xr:uid="{D5315475-3B4D-4A35-A639-538D5C26998B}"/>
    <cellStyle name="20% - Accent4 2 2 2 2 3 4" xfId="30275" xr:uid="{4D75ECFD-A838-4F04-8FF7-B70E79DFA541}"/>
    <cellStyle name="20% - Accent4 2 2 2 2 4" xfId="9177" xr:uid="{9DE54C62-E1D9-4BCD-83D2-5B29360889C5}"/>
    <cellStyle name="20% - Accent4 2 2 2 2 5" xfId="17618" xr:uid="{0B9D345F-3BBE-460A-B116-7CA994374ADB}"/>
    <cellStyle name="20% - Accent4 2 2 2 2 6" xfId="26058" xr:uid="{B5BFA890-2484-4176-B365-2EA3DE49D22E}"/>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2 2 2" xfId="15953" xr:uid="{6C0F9741-C4A0-43D9-B398-0025DE72E88A}"/>
    <cellStyle name="20% - Accent4 2 2 2 3 2 2 3" xfId="24393" xr:uid="{E14D70E7-33FB-4A52-BE28-431146860670}"/>
    <cellStyle name="20% - Accent4 2 2 2 3 2 2 4" xfId="32833" xr:uid="{C6866BBC-36FB-4DB1-ACF5-3A78D3927C06}"/>
    <cellStyle name="20% - Accent4 2 2 2 3 2 3" xfId="11735" xr:uid="{A5D19A41-6D1C-4D7E-99A3-09BF00E49AC9}"/>
    <cellStyle name="20% - Accent4 2 2 2 3 2 4" xfId="20176" xr:uid="{9CD1E706-2F9F-48E3-A5AB-6AF0CFB0A8EA}"/>
    <cellStyle name="20% - Accent4 2 2 2 3 2 5" xfId="28616" xr:uid="{6519431F-3D96-4E12-87BB-8F76BA26E98F}"/>
    <cellStyle name="20% - Accent4 2 2 2 3 3" xfId="5358" xr:uid="{00000000-0005-0000-0000-0000EC010000}"/>
    <cellStyle name="20% - Accent4 2 2 2 3 3 2" xfId="13808" xr:uid="{67F1C8B0-A516-42E6-9B1F-2CC279F04135}"/>
    <cellStyle name="20% - Accent4 2 2 2 3 3 3" xfId="22248" xr:uid="{876B4118-C9A1-4A25-9917-019773DCAF9A}"/>
    <cellStyle name="20% - Accent4 2 2 2 3 3 4" xfId="30688" xr:uid="{BBE173B9-BF7B-4CD3-BAD7-3FD00DE61CD7}"/>
    <cellStyle name="20% - Accent4 2 2 2 3 4" xfId="9590" xr:uid="{99AACDAD-8FAB-4030-A51D-DB3C99DFBCCA}"/>
    <cellStyle name="20% - Accent4 2 2 2 3 5" xfId="18031" xr:uid="{0CBC93EE-92D4-4460-8394-CFE1A62894CD}"/>
    <cellStyle name="20% - Accent4 2 2 2 3 6" xfId="26471" xr:uid="{A4B7203B-457B-46EB-A116-2C50E76A4C18}"/>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2 2 2" xfId="16366" xr:uid="{62456BD3-0C13-458A-97F7-8DEB7460DD47}"/>
    <cellStyle name="20% - Accent4 2 2 2 4 2 2 3" xfId="24806" xr:uid="{65BA1B0E-6563-42F7-8236-6323BBA85C91}"/>
    <cellStyle name="20% - Accent4 2 2 2 4 2 2 4" xfId="33246" xr:uid="{5B110E96-7ACF-49A8-BF5D-6916FD1E9B94}"/>
    <cellStyle name="20% - Accent4 2 2 2 4 2 3" xfId="12148" xr:uid="{B25F25FB-233B-4ADF-96B0-E50B44490950}"/>
    <cellStyle name="20% - Accent4 2 2 2 4 2 4" xfId="20589" xr:uid="{639A78B1-E6D2-484A-B0BC-BA5C8E7B9C95}"/>
    <cellStyle name="20% - Accent4 2 2 2 4 2 5" xfId="29029" xr:uid="{0A27C8B7-FBF7-4C82-8D02-B30550828CF9}"/>
    <cellStyle name="20% - Accent4 2 2 2 4 3" xfId="5771" xr:uid="{00000000-0005-0000-0000-0000F0010000}"/>
    <cellStyle name="20% - Accent4 2 2 2 4 3 2" xfId="14221" xr:uid="{C724AA4A-7DDF-4DE8-BAB3-548561B20B8C}"/>
    <cellStyle name="20% - Accent4 2 2 2 4 3 3" xfId="22661" xr:uid="{15C64D89-AD78-42FB-9B83-6E305C0F949E}"/>
    <cellStyle name="20% - Accent4 2 2 2 4 3 4" xfId="31101" xr:uid="{24C03E9E-365E-49ED-9AC9-21ABDA811AC5}"/>
    <cellStyle name="20% - Accent4 2 2 2 4 4" xfId="10003" xr:uid="{B2E2BFE0-9322-46B4-A0B7-8ADC26AC7E23}"/>
    <cellStyle name="20% - Accent4 2 2 2 4 5" xfId="18444" xr:uid="{56E32B6D-62D1-4547-9354-772F9004E06D}"/>
    <cellStyle name="20% - Accent4 2 2 2 4 6" xfId="26884" xr:uid="{772B02C2-128F-4DB2-971F-8E65545A3FAC}"/>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2 2 2" xfId="16779" xr:uid="{2424C3F5-A0F2-41BB-AFC3-07A0D8043526}"/>
    <cellStyle name="20% - Accent4 2 2 2 5 2 2 3" xfId="25219" xr:uid="{0BA58FD8-6A24-4EDC-BBAD-E85F7E162383}"/>
    <cellStyle name="20% - Accent4 2 2 2 5 2 2 4" xfId="33659" xr:uid="{A408A09C-16AE-41B6-9E7E-6B8EC92E4377}"/>
    <cellStyle name="20% - Accent4 2 2 2 5 2 3" xfId="12561" xr:uid="{06E0C3A1-816E-4523-B035-CCFF52AFE4A8}"/>
    <cellStyle name="20% - Accent4 2 2 2 5 2 4" xfId="21002" xr:uid="{ED0EABCC-2296-4C02-8AED-DD49A17EC905}"/>
    <cellStyle name="20% - Accent4 2 2 2 5 2 5" xfId="29442" xr:uid="{21FB5CEC-70B4-4479-9BD8-66E31393716E}"/>
    <cellStyle name="20% - Accent4 2 2 2 5 3" xfId="6184" xr:uid="{00000000-0005-0000-0000-0000F4010000}"/>
    <cellStyle name="20% - Accent4 2 2 2 5 3 2" xfId="14634" xr:uid="{1C405E6F-25EB-49A7-B6FF-22691E38AEED}"/>
    <cellStyle name="20% - Accent4 2 2 2 5 3 3" xfId="23074" xr:uid="{37C568D9-EEBC-457C-8AE7-CB063B6B20E8}"/>
    <cellStyle name="20% - Accent4 2 2 2 5 3 4" xfId="31514" xr:uid="{ED86A540-D667-401A-8ECD-5BDCAB992D35}"/>
    <cellStyle name="20% - Accent4 2 2 2 5 4" xfId="10416" xr:uid="{04B4AB96-F04A-41AA-B064-9920C9A1B408}"/>
    <cellStyle name="20% - Accent4 2 2 2 5 5" xfId="18857" xr:uid="{459A94CE-BF1B-44D5-AE07-168107DC7AA3}"/>
    <cellStyle name="20% - Accent4 2 2 2 5 6" xfId="27297" xr:uid="{9744B304-FFFF-4713-8508-3B49374C1A40}"/>
    <cellStyle name="20% - Accent4 2 2 2 6" xfId="2291" xr:uid="{00000000-0005-0000-0000-0000F5010000}"/>
    <cellStyle name="20% - Accent4 2 2 2 6 2" xfId="6597" xr:uid="{00000000-0005-0000-0000-0000F6010000}"/>
    <cellStyle name="20% - Accent4 2 2 2 6 2 2" xfId="15047" xr:uid="{4C007FBB-D798-4D52-9AE0-A3D39CE11BAA}"/>
    <cellStyle name="20% - Accent4 2 2 2 6 2 3" xfId="23487" xr:uid="{BFBD5972-553B-4A51-B974-524C240D8BE5}"/>
    <cellStyle name="20% - Accent4 2 2 2 6 2 4" xfId="31927" xr:uid="{04EEC4A4-A1BF-461B-B540-582ECF8B036C}"/>
    <cellStyle name="20% - Accent4 2 2 2 6 3" xfId="10829" xr:uid="{23EE8AFD-F6E2-4A09-972F-B87D9C49DE07}"/>
    <cellStyle name="20% - Accent4 2 2 2 6 4" xfId="19270" xr:uid="{C7CD0A02-43F8-458C-BC6F-22618E54F20B}"/>
    <cellStyle name="20% - Accent4 2 2 2 6 5" xfId="27710" xr:uid="{8459E9AD-5E9D-4DF1-9525-239B3F2FDE64}"/>
    <cellStyle name="20% - Accent4 2 2 2 7" xfId="4531" xr:uid="{00000000-0005-0000-0000-0000F7010000}"/>
    <cellStyle name="20% - Accent4 2 2 2 7 2" xfId="12981" xr:uid="{48CF58C0-5C16-4FC7-ACE6-723E901214DC}"/>
    <cellStyle name="20% - Accent4 2 2 2 7 3" xfId="21421" xr:uid="{E5D42CF5-1C7C-47DD-8757-97D9C3752D11}"/>
    <cellStyle name="20% - Accent4 2 2 2 7 4" xfId="29861" xr:uid="{554AC590-B154-4182-810C-165D4F5E59F7}"/>
    <cellStyle name="20% - Accent4 2 2 2 8" xfId="8763" xr:uid="{BC9AA762-AD3C-4557-A974-4B0B9C1F9EC1}"/>
    <cellStyle name="20% - Accent4 2 2 2 9" xfId="17204" xr:uid="{844F4E9A-4368-4AE4-87E5-F37DFC268198}"/>
    <cellStyle name="20% - Accent4 2 2 3" xfId="596" xr:uid="{00000000-0005-0000-0000-0000F8010000}"/>
    <cellStyle name="20% - Accent4 2 2 3 2" xfId="2867" xr:uid="{00000000-0005-0000-0000-0000F9010000}"/>
    <cellStyle name="20% - Accent4 2 2 3 2 2" xfId="7089" xr:uid="{00000000-0005-0000-0000-0000FA010000}"/>
    <cellStyle name="20% - Accent4 2 2 3 2 2 2" xfId="15539" xr:uid="{83B1C0D4-A513-4420-A680-05B4B3B2B4CB}"/>
    <cellStyle name="20% - Accent4 2 2 3 2 2 3" xfId="23979" xr:uid="{885001CE-CE00-4F4E-A929-F45BE1415320}"/>
    <cellStyle name="20% - Accent4 2 2 3 2 2 4" xfId="32419" xr:uid="{DCFB5100-D0DA-4773-A271-CE3650AA615E}"/>
    <cellStyle name="20% - Accent4 2 2 3 2 3" xfId="11321" xr:uid="{04DD4CB0-0947-4CB9-9F1C-36AC2A653B0C}"/>
    <cellStyle name="20% - Accent4 2 2 3 2 4" xfId="19762" xr:uid="{BC3BF76C-04FF-4D16-AD6A-B8C4914CAC71}"/>
    <cellStyle name="20% - Accent4 2 2 3 2 5" xfId="28202" xr:uid="{D6E9DF7F-D89F-4606-962B-85F8B882E1E6}"/>
    <cellStyle name="20% - Accent4 2 2 3 3" xfId="4944" xr:uid="{00000000-0005-0000-0000-0000FB010000}"/>
    <cellStyle name="20% - Accent4 2 2 3 3 2" xfId="13394" xr:uid="{B0598831-ABE0-4753-999B-6F9DB500486C}"/>
    <cellStyle name="20% - Accent4 2 2 3 3 3" xfId="21834" xr:uid="{6E7F75C4-586E-4822-B223-80489C2DB7A3}"/>
    <cellStyle name="20% - Accent4 2 2 3 3 4" xfId="30274" xr:uid="{1348EECD-7195-4489-889A-7D6E7FDEEC5E}"/>
    <cellStyle name="20% - Accent4 2 2 3 4" xfId="9176" xr:uid="{2289FC59-43A0-4CD6-B1C1-67930212C5E7}"/>
    <cellStyle name="20% - Accent4 2 2 3 5" xfId="17617" xr:uid="{4041A3F6-BE1A-4A35-81C8-30507A85A07F}"/>
    <cellStyle name="20% - Accent4 2 2 3 6" xfId="26057" xr:uid="{71B579E4-112B-4A88-B1D4-9602D7F3CAB6}"/>
    <cellStyle name="20% - Accent4 2 2 4" xfId="1049" xr:uid="{00000000-0005-0000-0000-0000FC010000}"/>
    <cellStyle name="20% - Accent4 2 2 4 2" xfId="3280" xr:uid="{00000000-0005-0000-0000-0000FD010000}"/>
    <cellStyle name="20% - Accent4 2 2 4 2 2" xfId="7502" xr:uid="{00000000-0005-0000-0000-0000FE010000}"/>
    <cellStyle name="20% - Accent4 2 2 4 2 2 2" xfId="15952" xr:uid="{23F2DA84-4778-4CDE-85FD-6D96178A585D}"/>
    <cellStyle name="20% - Accent4 2 2 4 2 2 3" xfId="24392" xr:uid="{70ECE071-97DD-4C39-9B4B-6F91373C0879}"/>
    <cellStyle name="20% - Accent4 2 2 4 2 2 4" xfId="32832" xr:uid="{4A17E317-7B11-47A7-9CA5-067FCD612424}"/>
    <cellStyle name="20% - Accent4 2 2 4 2 3" xfId="11734" xr:uid="{2EFD9CBB-7B84-4704-8F18-B074BA629A47}"/>
    <cellStyle name="20% - Accent4 2 2 4 2 4" xfId="20175" xr:uid="{9E93F097-3B4A-4AE8-8E4B-49A64E8530A2}"/>
    <cellStyle name="20% - Accent4 2 2 4 2 5" xfId="28615" xr:uid="{F2867894-9FE3-4256-B480-DD08611F2A78}"/>
    <cellStyle name="20% - Accent4 2 2 4 3" xfId="5357" xr:uid="{00000000-0005-0000-0000-0000FF010000}"/>
    <cellStyle name="20% - Accent4 2 2 4 3 2" xfId="13807" xr:uid="{46A05F57-C5EE-4571-BCBE-DF977D050AA2}"/>
    <cellStyle name="20% - Accent4 2 2 4 3 3" xfId="22247" xr:uid="{D2F0D694-C67C-4DE6-8D95-6BF45771F013}"/>
    <cellStyle name="20% - Accent4 2 2 4 3 4" xfId="30687" xr:uid="{A108B6CA-B810-4856-B87B-F8BD8A6F3DE2}"/>
    <cellStyle name="20% - Accent4 2 2 4 4" xfId="9589" xr:uid="{9690A6A6-7DD5-46DC-A351-776D8DD31F8F}"/>
    <cellStyle name="20% - Accent4 2 2 4 5" xfId="18030" xr:uid="{6A1C1D66-9D82-4E60-8E41-283DCF9C3EB3}"/>
    <cellStyle name="20% - Accent4 2 2 4 6" xfId="26470" xr:uid="{9A69D144-FF9C-4CE0-9151-EAEB6702F22D}"/>
    <cellStyle name="20% - Accent4 2 2 5" xfId="1463" xr:uid="{00000000-0005-0000-0000-000000020000}"/>
    <cellStyle name="20% - Accent4 2 2 5 2" xfId="3693" xr:uid="{00000000-0005-0000-0000-000001020000}"/>
    <cellStyle name="20% - Accent4 2 2 5 2 2" xfId="7915" xr:uid="{00000000-0005-0000-0000-000002020000}"/>
    <cellStyle name="20% - Accent4 2 2 5 2 2 2" xfId="16365" xr:uid="{E02F430B-F863-4827-9FE4-636910226036}"/>
    <cellStyle name="20% - Accent4 2 2 5 2 2 3" xfId="24805" xr:uid="{3F2A84C8-10F6-4881-A8E4-1A8BA952E3A0}"/>
    <cellStyle name="20% - Accent4 2 2 5 2 2 4" xfId="33245" xr:uid="{6AA1B85D-7802-4485-BFE6-660D940AFA40}"/>
    <cellStyle name="20% - Accent4 2 2 5 2 3" xfId="12147" xr:uid="{A38CA66D-D870-499C-8D86-6268F345B2C4}"/>
    <cellStyle name="20% - Accent4 2 2 5 2 4" xfId="20588" xr:uid="{5209551E-F7F1-4184-BC75-13280D1C2C74}"/>
    <cellStyle name="20% - Accent4 2 2 5 2 5" xfId="29028" xr:uid="{3D8885E0-6F65-4EF9-B978-2B91C68A491E}"/>
    <cellStyle name="20% - Accent4 2 2 5 3" xfId="5770" xr:uid="{00000000-0005-0000-0000-000003020000}"/>
    <cellStyle name="20% - Accent4 2 2 5 3 2" xfId="14220" xr:uid="{FA27F3D9-9A29-4224-AB32-D2686C3F73EF}"/>
    <cellStyle name="20% - Accent4 2 2 5 3 3" xfId="22660" xr:uid="{69BB8E2E-10D7-4733-B62F-5913B2AB93B4}"/>
    <cellStyle name="20% - Accent4 2 2 5 3 4" xfId="31100" xr:uid="{2B743CBC-2096-4A46-9B6B-EDCE0951DF4D}"/>
    <cellStyle name="20% - Accent4 2 2 5 4" xfId="10002" xr:uid="{10891AFD-2117-4590-9FB9-25F7F3D757A8}"/>
    <cellStyle name="20% - Accent4 2 2 5 5" xfId="18443" xr:uid="{18062CEB-E46A-4B67-A142-A48DB78A4C51}"/>
    <cellStyle name="20% - Accent4 2 2 5 6" xfId="26883" xr:uid="{D2C9EFFF-E32C-426D-A27A-C6B8229C84E5}"/>
    <cellStyle name="20% - Accent4 2 2 6" xfId="1877" xr:uid="{00000000-0005-0000-0000-000004020000}"/>
    <cellStyle name="20% - Accent4 2 2 6 2" xfId="4106" xr:uid="{00000000-0005-0000-0000-000005020000}"/>
    <cellStyle name="20% - Accent4 2 2 6 2 2" xfId="8328" xr:uid="{00000000-0005-0000-0000-000006020000}"/>
    <cellStyle name="20% - Accent4 2 2 6 2 2 2" xfId="16778" xr:uid="{5BE568D6-B37D-4A17-BDB7-DACBB82E84AB}"/>
    <cellStyle name="20% - Accent4 2 2 6 2 2 3" xfId="25218" xr:uid="{94223391-ABB6-4B7D-BE42-BD26C511B2F2}"/>
    <cellStyle name="20% - Accent4 2 2 6 2 2 4" xfId="33658" xr:uid="{CEA9CACB-5CA3-4C16-8D59-0F9F8989B5DA}"/>
    <cellStyle name="20% - Accent4 2 2 6 2 3" xfId="12560" xr:uid="{790C500D-E5C9-4FBD-B977-35D380F9AC06}"/>
    <cellStyle name="20% - Accent4 2 2 6 2 4" xfId="21001" xr:uid="{8EA1BEDE-90EE-42DE-958D-936D54D66558}"/>
    <cellStyle name="20% - Accent4 2 2 6 2 5" xfId="29441" xr:uid="{10FAF6DA-56E5-43F3-AAEE-09889466C260}"/>
    <cellStyle name="20% - Accent4 2 2 6 3" xfId="6183" xr:uid="{00000000-0005-0000-0000-000007020000}"/>
    <cellStyle name="20% - Accent4 2 2 6 3 2" xfId="14633" xr:uid="{0DF372E4-4F78-4E50-9F44-36229C939869}"/>
    <cellStyle name="20% - Accent4 2 2 6 3 3" xfId="23073" xr:uid="{B8572CFF-43BB-4099-BB47-AF8055FC1252}"/>
    <cellStyle name="20% - Accent4 2 2 6 3 4" xfId="31513" xr:uid="{1CA3C846-9109-463D-A312-F7876807661F}"/>
    <cellStyle name="20% - Accent4 2 2 6 4" xfId="10415" xr:uid="{B274E2AE-B947-4677-8CCA-866868BEF61F}"/>
    <cellStyle name="20% - Accent4 2 2 6 5" xfId="18856" xr:uid="{361B2087-127C-4424-B97F-92C3CDF2CDE7}"/>
    <cellStyle name="20% - Accent4 2 2 6 6" xfId="27296" xr:uid="{9835FF55-6135-4D6D-8314-C017F5018909}"/>
    <cellStyle name="20% - Accent4 2 2 7" xfId="2290" xr:uid="{00000000-0005-0000-0000-000008020000}"/>
    <cellStyle name="20% - Accent4 2 2 7 2" xfId="6596" xr:uid="{00000000-0005-0000-0000-000009020000}"/>
    <cellStyle name="20% - Accent4 2 2 7 2 2" xfId="15046" xr:uid="{ED96C3E9-1ED9-43A9-8CCC-6D2BA88F16BB}"/>
    <cellStyle name="20% - Accent4 2 2 7 2 3" xfId="23486" xr:uid="{449199D8-EFA4-4AAC-B1BB-318DB8D652F2}"/>
    <cellStyle name="20% - Accent4 2 2 7 2 4" xfId="31926" xr:uid="{951F56FB-836C-41AA-86D2-B73FC4316005}"/>
    <cellStyle name="20% - Accent4 2 2 7 3" xfId="10828" xr:uid="{845FE1ED-F9DE-418D-B60C-8A9D4A49BB59}"/>
    <cellStyle name="20% - Accent4 2 2 7 4" xfId="19269" xr:uid="{61BC0E2E-B34B-4CF0-8D1C-03BDED07CED6}"/>
    <cellStyle name="20% - Accent4 2 2 7 5" xfId="27709" xr:uid="{B5F2CEC2-A615-4B52-959D-51BD27852A22}"/>
    <cellStyle name="20% - Accent4 2 2 8" xfId="4530" xr:uid="{00000000-0005-0000-0000-00000A020000}"/>
    <cellStyle name="20% - Accent4 2 2 8 2" xfId="12980" xr:uid="{A2DE18A8-D8ED-4348-9F1C-CF75DF4D958F}"/>
    <cellStyle name="20% - Accent4 2 2 8 3" xfId="21420" xr:uid="{3D142D39-2F27-4616-B760-E2ABED936462}"/>
    <cellStyle name="20% - Accent4 2 2 8 4" xfId="29860" xr:uid="{B8C72801-39D8-4C80-95F4-C78ED69245E6}"/>
    <cellStyle name="20% - Accent4 2 2 9" xfId="8762" xr:uid="{7D72AD29-FA32-4325-A6FB-54B6BB53D6F9}"/>
    <cellStyle name="20% - Accent4 2 3" xfId="29" xr:uid="{00000000-0005-0000-0000-00000B020000}"/>
    <cellStyle name="20% - Accent4 2 3 10" xfId="25645" xr:uid="{1238C3F7-919C-4CC0-9252-AD43C45D9F0D}"/>
    <cellStyle name="20% - Accent4 2 3 2" xfId="598" xr:uid="{00000000-0005-0000-0000-00000C020000}"/>
    <cellStyle name="20% - Accent4 2 3 2 2" xfId="2869" xr:uid="{00000000-0005-0000-0000-00000D020000}"/>
    <cellStyle name="20% - Accent4 2 3 2 2 2" xfId="7091" xr:uid="{00000000-0005-0000-0000-00000E020000}"/>
    <cellStyle name="20% - Accent4 2 3 2 2 2 2" xfId="15541" xr:uid="{2795DDEA-5529-4533-8612-EB639333E227}"/>
    <cellStyle name="20% - Accent4 2 3 2 2 2 3" xfId="23981" xr:uid="{86C02292-B93C-49CB-A1E5-A52D488B328C}"/>
    <cellStyle name="20% - Accent4 2 3 2 2 2 4" xfId="32421" xr:uid="{FCE8FAF2-CDB1-4CDF-B3B2-F9050DEDA8E1}"/>
    <cellStyle name="20% - Accent4 2 3 2 2 3" xfId="11323" xr:uid="{AF15189B-01F4-40D2-84F5-CBE9B579F643}"/>
    <cellStyle name="20% - Accent4 2 3 2 2 4" xfId="19764" xr:uid="{B45B1CEA-A766-4E2C-8823-6FD555421A2A}"/>
    <cellStyle name="20% - Accent4 2 3 2 2 5" xfId="28204" xr:uid="{F655E96F-2890-40E7-9213-911AA348C17B}"/>
    <cellStyle name="20% - Accent4 2 3 2 3" xfId="4946" xr:uid="{00000000-0005-0000-0000-00000F020000}"/>
    <cellStyle name="20% - Accent4 2 3 2 3 2" xfId="13396" xr:uid="{02F5C41A-FE51-4FE1-9FFE-163DDAFFBBD4}"/>
    <cellStyle name="20% - Accent4 2 3 2 3 3" xfId="21836" xr:uid="{6BC4C17A-15B8-4C39-878F-E36B8C40FBC3}"/>
    <cellStyle name="20% - Accent4 2 3 2 3 4" xfId="30276" xr:uid="{741A5A03-00A8-41C8-B85F-C24FB081B716}"/>
    <cellStyle name="20% - Accent4 2 3 2 4" xfId="9178" xr:uid="{13CD78DA-B210-4395-ABE1-85BEECFB6139}"/>
    <cellStyle name="20% - Accent4 2 3 2 5" xfId="17619" xr:uid="{F6CB9849-6419-4D10-A313-A4A0E6203FBD}"/>
    <cellStyle name="20% - Accent4 2 3 2 6" xfId="26059" xr:uid="{6509C1E0-9C1E-41A1-AC1E-24283B9A6C4E}"/>
    <cellStyle name="20% - Accent4 2 3 3" xfId="1051" xr:uid="{00000000-0005-0000-0000-000010020000}"/>
    <cellStyle name="20% - Accent4 2 3 3 2" xfId="3282" xr:uid="{00000000-0005-0000-0000-000011020000}"/>
    <cellStyle name="20% - Accent4 2 3 3 2 2" xfId="7504" xr:uid="{00000000-0005-0000-0000-000012020000}"/>
    <cellStyle name="20% - Accent4 2 3 3 2 2 2" xfId="15954" xr:uid="{51338E8F-B86C-47DC-8DA1-0592A7AEDA5B}"/>
    <cellStyle name="20% - Accent4 2 3 3 2 2 3" xfId="24394" xr:uid="{5871084F-155B-48B4-8609-6AA4D333B40B}"/>
    <cellStyle name="20% - Accent4 2 3 3 2 2 4" xfId="32834" xr:uid="{7B5D053E-B6A0-45F1-9A07-A5FE806895CC}"/>
    <cellStyle name="20% - Accent4 2 3 3 2 3" xfId="11736" xr:uid="{B61D01F5-4944-413C-99B0-75FE4B6B7EC2}"/>
    <cellStyle name="20% - Accent4 2 3 3 2 4" xfId="20177" xr:uid="{6A80EAEB-698E-492C-8998-76665B34AAFB}"/>
    <cellStyle name="20% - Accent4 2 3 3 2 5" xfId="28617" xr:uid="{A1089CEB-D645-4CF0-A990-10C23DF004F6}"/>
    <cellStyle name="20% - Accent4 2 3 3 3" xfId="5359" xr:uid="{00000000-0005-0000-0000-000013020000}"/>
    <cellStyle name="20% - Accent4 2 3 3 3 2" xfId="13809" xr:uid="{F952726E-EB2B-48F4-A402-FD38A88B75FB}"/>
    <cellStyle name="20% - Accent4 2 3 3 3 3" xfId="22249" xr:uid="{2A44BD7E-21C6-48A0-AEE7-A5771B752377}"/>
    <cellStyle name="20% - Accent4 2 3 3 3 4" xfId="30689" xr:uid="{1490AEB1-5DC5-4030-8ABD-8C0070017C37}"/>
    <cellStyle name="20% - Accent4 2 3 3 4" xfId="9591" xr:uid="{36648CEE-4C2F-4718-82B9-587168A882ED}"/>
    <cellStyle name="20% - Accent4 2 3 3 5" xfId="18032" xr:uid="{6A413BB4-11CF-4139-B245-9210CAC99BE2}"/>
    <cellStyle name="20% - Accent4 2 3 3 6" xfId="26472" xr:uid="{6894F99B-F5F1-422B-8E32-13B9BE797D30}"/>
    <cellStyle name="20% - Accent4 2 3 4" xfId="1465" xr:uid="{00000000-0005-0000-0000-000014020000}"/>
    <cellStyle name="20% - Accent4 2 3 4 2" xfId="3695" xr:uid="{00000000-0005-0000-0000-000015020000}"/>
    <cellStyle name="20% - Accent4 2 3 4 2 2" xfId="7917" xr:uid="{00000000-0005-0000-0000-000016020000}"/>
    <cellStyle name="20% - Accent4 2 3 4 2 2 2" xfId="16367" xr:uid="{8C414740-559E-4BEE-BB2D-65814538B8C0}"/>
    <cellStyle name="20% - Accent4 2 3 4 2 2 3" xfId="24807" xr:uid="{78094C74-AAE2-4FC3-A0C5-EEA80C2EF66F}"/>
    <cellStyle name="20% - Accent4 2 3 4 2 2 4" xfId="33247" xr:uid="{0293E49E-7205-4EB4-8DB0-70630DE7CAA1}"/>
    <cellStyle name="20% - Accent4 2 3 4 2 3" xfId="12149" xr:uid="{070A1D6F-B6A8-4ADB-BDEA-2E741F2DB5FC}"/>
    <cellStyle name="20% - Accent4 2 3 4 2 4" xfId="20590" xr:uid="{1C6A5CBD-818C-4788-AAC7-E0CA3C795EB8}"/>
    <cellStyle name="20% - Accent4 2 3 4 2 5" xfId="29030" xr:uid="{BEFAE8C9-2FCF-4E02-8F74-196C01C97252}"/>
    <cellStyle name="20% - Accent4 2 3 4 3" xfId="5772" xr:uid="{00000000-0005-0000-0000-000017020000}"/>
    <cellStyle name="20% - Accent4 2 3 4 3 2" xfId="14222" xr:uid="{CFF26A97-1FDC-4D60-BB4B-5A6D6AAF20BE}"/>
    <cellStyle name="20% - Accent4 2 3 4 3 3" xfId="22662" xr:uid="{D006DF83-E915-4185-B441-36EA10B78986}"/>
    <cellStyle name="20% - Accent4 2 3 4 3 4" xfId="31102" xr:uid="{8E29686A-0F85-402F-BBB2-DCB21520EFB0}"/>
    <cellStyle name="20% - Accent4 2 3 4 4" xfId="10004" xr:uid="{F0F844DF-866B-4188-858A-0E93C103E0D5}"/>
    <cellStyle name="20% - Accent4 2 3 4 5" xfId="18445" xr:uid="{423B326C-17F2-48AA-B8C8-DE5A43C340B7}"/>
    <cellStyle name="20% - Accent4 2 3 4 6" xfId="26885" xr:uid="{82F8A004-450C-4279-9433-106618D759DA}"/>
    <cellStyle name="20% - Accent4 2 3 5" xfId="1879" xr:uid="{00000000-0005-0000-0000-000018020000}"/>
    <cellStyle name="20% - Accent4 2 3 5 2" xfId="4108" xr:uid="{00000000-0005-0000-0000-000019020000}"/>
    <cellStyle name="20% - Accent4 2 3 5 2 2" xfId="8330" xr:uid="{00000000-0005-0000-0000-00001A020000}"/>
    <cellStyle name="20% - Accent4 2 3 5 2 2 2" xfId="16780" xr:uid="{4731D2FF-A1C5-4345-8E69-953C075577D6}"/>
    <cellStyle name="20% - Accent4 2 3 5 2 2 3" xfId="25220" xr:uid="{C1CE207A-5E7A-491A-8D52-CDA034951756}"/>
    <cellStyle name="20% - Accent4 2 3 5 2 2 4" xfId="33660" xr:uid="{63465FF9-245F-4CDB-B31F-CC550BA8E817}"/>
    <cellStyle name="20% - Accent4 2 3 5 2 3" xfId="12562" xr:uid="{56982A8C-65B5-468F-A904-38C2C44C08A1}"/>
    <cellStyle name="20% - Accent4 2 3 5 2 4" xfId="21003" xr:uid="{48473B5C-1128-460B-BCB2-976A769EE29B}"/>
    <cellStyle name="20% - Accent4 2 3 5 2 5" xfId="29443" xr:uid="{6C0851B9-DF4B-4FFF-B005-B1B125F391AA}"/>
    <cellStyle name="20% - Accent4 2 3 5 3" xfId="6185" xr:uid="{00000000-0005-0000-0000-00001B020000}"/>
    <cellStyle name="20% - Accent4 2 3 5 3 2" xfId="14635" xr:uid="{3AF48B90-643C-4A20-AE1C-5439EB58A724}"/>
    <cellStyle name="20% - Accent4 2 3 5 3 3" xfId="23075" xr:uid="{DA7EF133-3691-41C6-AB11-550494D3DED5}"/>
    <cellStyle name="20% - Accent4 2 3 5 3 4" xfId="31515" xr:uid="{D81E8BEB-0268-4695-B679-FAA1C9CFDB6A}"/>
    <cellStyle name="20% - Accent4 2 3 5 4" xfId="10417" xr:uid="{7D158C78-E81E-4077-89B2-1819DEB3D5D3}"/>
    <cellStyle name="20% - Accent4 2 3 5 5" xfId="18858" xr:uid="{6EE3BC4E-7028-46E1-A8A2-E0707A6E4434}"/>
    <cellStyle name="20% - Accent4 2 3 5 6" xfId="27298" xr:uid="{D6F5FC36-8549-409E-A1AE-93F2F454A841}"/>
    <cellStyle name="20% - Accent4 2 3 6" xfId="2292" xr:uid="{00000000-0005-0000-0000-00001C020000}"/>
    <cellStyle name="20% - Accent4 2 3 6 2" xfId="6598" xr:uid="{00000000-0005-0000-0000-00001D020000}"/>
    <cellStyle name="20% - Accent4 2 3 6 2 2" xfId="15048" xr:uid="{56B2BE18-6828-437D-A0FF-F8D97536E08F}"/>
    <cellStyle name="20% - Accent4 2 3 6 2 3" xfId="23488" xr:uid="{7329D0F9-0C6F-4F19-B7E5-D21F28DE8C2E}"/>
    <cellStyle name="20% - Accent4 2 3 6 2 4" xfId="31928" xr:uid="{B2A8B49C-EE96-44AB-A2A8-C783E66AB0EF}"/>
    <cellStyle name="20% - Accent4 2 3 6 3" xfId="10830" xr:uid="{D6DEA89C-42B1-4AB7-98A9-A787E7F28DB1}"/>
    <cellStyle name="20% - Accent4 2 3 6 4" xfId="19271" xr:uid="{588D689E-2069-475E-84E7-164A29B0549F}"/>
    <cellStyle name="20% - Accent4 2 3 6 5" xfId="27711" xr:uid="{D41BA7E8-576D-4EB0-A5A4-A830D5C7EB90}"/>
    <cellStyle name="20% - Accent4 2 3 7" xfId="4532" xr:uid="{00000000-0005-0000-0000-00001E020000}"/>
    <cellStyle name="20% - Accent4 2 3 7 2" xfId="12982" xr:uid="{63853DAA-22FD-4585-ADA0-DA8FD1EB1D7F}"/>
    <cellStyle name="20% - Accent4 2 3 7 3" xfId="21422" xr:uid="{418EDF3A-DF32-4452-AB85-2DD68D28C98D}"/>
    <cellStyle name="20% - Accent4 2 3 7 4" xfId="29862" xr:uid="{7F189C9E-6C6A-425F-A686-CA1847DA0B25}"/>
    <cellStyle name="20% - Accent4 2 3 8" xfId="8764" xr:uid="{CD5BCE3C-A86B-44C7-9566-5314393E388D}"/>
    <cellStyle name="20% - Accent4 2 3 9" xfId="17205" xr:uid="{D542AD61-0F41-4ED4-AFC9-CF1942F68FE9}"/>
    <cellStyle name="20% - Accent4 2 4" xfId="595" xr:uid="{00000000-0005-0000-0000-00001F020000}"/>
    <cellStyle name="20% - Accent4 2 4 2" xfId="2866" xr:uid="{00000000-0005-0000-0000-000020020000}"/>
    <cellStyle name="20% - Accent4 2 4 2 2" xfId="7088" xr:uid="{00000000-0005-0000-0000-000021020000}"/>
    <cellStyle name="20% - Accent4 2 4 2 2 2" xfId="15538" xr:uid="{CBEFF088-76C1-4D9C-9536-B44A029A3512}"/>
    <cellStyle name="20% - Accent4 2 4 2 2 3" xfId="23978" xr:uid="{ACFD47A6-45A0-4444-8152-E9151C0BC5CE}"/>
    <cellStyle name="20% - Accent4 2 4 2 2 4" xfId="32418" xr:uid="{020EE088-70C3-40B4-9AD5-C483076FD02B}"/>
    <cellStyle name="20% - Accent4 2 4 2 3" xfId="11320" xr:uid="{7BCC1630-3C84-4C02-9275-3F454133A154}"/>
    <cellStyle name="20% - Accent4 2 4 2 4" xfId="19761" xr:uid="{5CCEBCB3-CC0C-48AE-8294-8462446FABB2}"/>
    <cellStyle name="20% - Accent4 2 4 2 5" xfId="28201" xr:uid="{8EA6FFAC-5121-4F22-BAD7-56104CD90550}"/>
    <cellStyle name="20% - Accent4 2 4 3" xfId="4943" xr:uid="{00000000-0005-0000-0000-000022020000}"/>
    <cellStyle name="20% - Accent4 2 4 3 2" xfId="13393" xr:uid="{B5D25575-5231-4B0B-9054-61CE590DC0B4}"/>
    <cellStyle name="20% - Accent4 2 4 3 3" xfId="21833" xr:uid="{10D828F2-B1B9-4039-B4C2-03A6E1D7DE1D}"/>
    <cellStyle name="20% - Accent4 2 4 3 4" xfId="30273" xr:uid="{49F64C1C-40B5-4184-88A2-1A7840A34A29}"/>
    <cellStyle name="20% - Accent4 2 4 4" xfId="9175" xr:uid="{0A4292F2-A78B-4C29-9FB8-3702672CA46C}"/>
    <cellStyle name="20% - Accent4 2 4 5" xfId="17616" xr:uid="{0560B692-C698-45DA-A00D-0A3C40739AF4}"/>
    <cellStyle name="20% - Accent4 2 4 6" xfId="26056" xr:uid="{73DA243E-8EBB-4731-BB6A-9581848F2757}"/>
    <cellStyle name="20% - Accent4 2 5" xfId="1048" xr:uid="{00000000-0005-0000-0000-000023020000}"/>
    <cellStyle name="20% - Accent4 2 5 2" xfId="3279" xr:uid="{00000000-0005-0000-0000-000024020000}"/>
    <cellStyle name="20% - Accent4 2 5 2 2" xfId="7501" xr:uid="{00000000-0005-0000-0000-000025020000}"/>
    <cellStyle name="20% - Accent4 2 5 2 2 2" xfId="15951" xr:uid="{3138A527-F923-4732-836B-6AC8941CD0FC}"/>
    <cellStyle name="20% - Accent4 2 5 2 2 3" xfId="24391" xr:uid="{7B634E3C-E554-4304-BF90-8BC55AB188E0}"/>
    <cellStyle name="20% - Accent4 2 5 2 2 4" xfId="32831" xr:uid="{DE74F64D-B5FC-4E1B-AE03-672E8A355171}"/>
    <cellStyle name="20% - Accent4 2 5 2 3" xfId="11733" xr:uid="{04684926-85DD-442C-9EFF-3A23B3D31A48}"/>
    <cellStyle name="20% - Accent4 2 5 2 4" xfId="20174" xr:uid="{45348623-52FE-4773-81E0-258D8E78C883}"/>
    <cellStyle name="20% - Accent4 2 5 2 5" xfId="28614" xr:uid="{CA2D415E-FE6D-400F-85C0-F4613E314D7A}"/>
    <cellStyle name="20% - Accent4 2 5 3" xfId="5356" xr:uid="{00000000-0005-0000-0000-000026020000}"/>
    <cellStyle name="20% - Accent4 2 5 3 2" xfId="13806" xr:uid="{BC7764BC-ADBB-44AF-87BD-062F25433EDD}"/>
    <cellStyle name="20% - Accent4 2 5 3 3" xfId="22246" xr:uid="{C9696ADC-E34B-4A31-98E9-64EC45E24D36}"/>
    <cellStyle name="20% - Accent4 2 5 3 4" xfId="30686" xr:uid="{40485BCB-B078-4EEC-AC05-3E74CE1782E9}"/>
    <cellStyle name="20% - Accent4 2 5 4" xfId="9588" xr:uid="{A692BB3E-A105-4DFF-B316-E54E6E2E29EB}"/>
    <cellStyle name="20% - Accent4 2 5 5" xfId="18029" xr:uid="{D7BAB14A-B1DB-493B-8F60-5E541AE2EA76}"/>
    <cellStyle name="20% - Accent4 2 5 6" xfId="26469" xr:uid="{C8C7E2C7-91EA-4B8D-8030-02871B232D1D}"/>
    <cellStyle name="20% - Accent4 2 6" xfId="1462" xr:uid="{00000000-0005-0000-0000-000027020000}"/>
    <cellStyle name="20% - Accent4 2 6 2" xfId="3692" xr:uid="{00000000-0005-0000-0000-000028020000}"/>
    <cellStyle name="20% - Accent4 2 6 2 2" xfId="7914" xr:uid="{00000000-0005-0000-0000-000029020000}"/>
    <cellStyle name="20% - Accent4 2 6 2 2 2" xfId="16364" xr:uid="{32F3A9DB-1598-428D-A80D-D9BBF62152CA}"/>
    <cellStyle name="20% - Accent4 2 6 2 2 3" xfId="24804" xr:uid="{392A9921-5630-4DA5-B2C0-769EB98BB5B6}"/>
    <cellStyle name="20% - Accent4 2 6 2 2 4" xfId="33244" xr:uid="{53C10473-5DFF-4614-975F-D8A3D9AB9687}"/>
    <cellStyle name="20% - Accent4 2 6 2 3" xfId="12146" xr:uid="{D4A37DCD-9999-409F-AF7D-E68705ACABDA}"/>
    <cellStyle name="20% - Accent4 2 6 2 4" xfId="20587" xr:uid="{9463E314-BDF4-458D-B9C5-2648A4F8A84E}"/>
    <cellStyle name="20% - Accent4 2 6 2 5" xfId="29027" xr:uid="{8783297C-9268-4844-9273-ECE46695AC5A}"/>
    <cellStyle name="20% - Accent4 2 6 3" xfId="5769" xr:uid="{00000000-0005-0000-0000-00002A020000}"/>
    <cellStyle name="20% - Accent4 2 6 3 2" xfId="14219" xr:uid="{F16DEFAD-0FBB-4ECC-A19E-B2CFC6EE3C54}"/>
    <cellStyle name="20% - Accent4 2 6 3 3" xfId="22659" xr:uid="{20812635-1E3E-42EB-8B41-11EE404D7272}"/>
    <cellStyle name="20% - Accent4 2 6 3 4" xfId="31099" xr:uid="{3EB52E45-53AD-44EA-AAE8-0DF402CDB223}"/>
    <cellStyle name="20% - Accent4 2 6 4" xfId="10001" xr:uid="{6BFB942A-C966-4A65-988D-8E89E33B66BA}"/>
    <cellStyle name="20% - Accent4 2 6 5" xfId="18442" xr:uid="{56E7B3E9-3CDD-471B-9685-14385ABB7A52}"/>
    <cellStyle name="20% - Accent4 2 6 6" xfId="26882" xr:uid="{FEFDA0EE-58C2-40B4-A295-FC60789C8914}"/>
    <cellStyle name="20% - Accent4 2 7" xfId="1876" xr:uid="{00000000-0005-0000-0000-00002B020000}"/>
    <cellStyle name="20% - Accent4 2 7 2" xfId="4105" xr:uid="{00000000-0005-0000-0000-00002C020000}"/>
    <cellStyle name="20% - Accent4 2 7 2 2" xfId="8327" xr:uid="{00000000-0005-0000-0000-00002D020000}"/>
    <cellStyle name="20% - Accent4 2 7 2 2 2" xfId="16777" xr:uid="{7CB7B0C3-1328-4998-A030-EFDD23E55335}"/>
    <cellStyle name="20% - Accent4 2 7 2 2 3" xfId="25217" xr:uid="{71C7FD96-430F-44EB-8CAF-CB9184EC9747}"/>
    <cellStyle name="20% - Accent4 2 7 2 2 4" xfId="33657" xr:uid="{A8A38E5E-8B1E-49BA-86E5-78A561F8FFAD}"/>
    <cellStyle name="20% - Accent4 2 7 2 3" xfId="12559" xr:uid="{F8677EDC-ED29-448C-87FD-711849C111AE}"/>
    <cellStyle name="20% - Accent4 2 7 2 4" xfId="21000" xr:uid="{1353EF10-B349-46CE-8354-79DB720EAD10}"/>
    <cellStyle name="20% - Accent4 2 7 2 5" xfId="29440" xr:uid="{493116EF-84CD-44E2-9202-E91D5933219A}"/>
    <cellStyle name="20% - Accent4 2 7 3" xfId="6182" xr:uid="{00000000-0005-0000-0000-00002E020000}"/>
    <cellStyle name="20% - Accent4 2 7 3 2" xfId="14632" xr:uid="{3059740E-1A32-40BB-9C18-D64B9732C1F2}"/>
    <cellStyle name="20% - Accent4 2 7 3 3" xfId="23072" xr:uid="{B036AF38-EC7C-4F6C-995B-5C11EC26301B}"/>
    <cellStyle name="20% - Accent4 2 7 3 4" xfId="31512" xr:uid="{B1F352FA-AA04-478C-ADC3-7FE4FF7C1A12}"/>
    <cellStyle name="20% - Accent4 2 7 4" xfId="10414" xr:uid="{F9454AC8-1607-435F-B61E-D1B5FA7CDF3D}"/>
    <cellStyle name="20% - Accent4 2 7 5" xfId="18855" xr:uid="{8BDB953E-1679-4E75-844F-E2E275A7E662}"/>
    <cellStyle name="20% - Accent4 2 7 6" xfId="27295" xr:uid="{03F36754-FF2E-401A-BFE8-BEA46FA80CD6}"/>
    <cellStyle name="20% - Accent4 2 8" xfId="2289" xr:uid="{00000000-0005-0000-0000-00002F020000}"/>
    <cellStyle name="20% - Accent4 2 8 2" xfId="6595" xr:uid="{00000000-0005-0000-0000-000030020000}"/>
    <cellStyle name="20% - Accent4 2 8 2 2" xfId="15045" xr:uid="{EB374353-BB6D-4B9A-AD94-A1F2C6E9B6C5}"/>
    <cellStyle name="20% - Accent4 2 8 2 3" xfId="23485" xr:uid="{59AF00D2-C04D-4235-81A9-714B878D8D8C}"/>
    <cellStyle name="20% - Accent4 2 8 2 4" xfId="31925" xr:uid="{3F92B52D-7438-412B-992E-97BC8B4E5B85}"/>
    <cellStyle name="20% - Accent4 2 8 3" xfId="10827" xr:uid="{125BDC9B-15D1-4F6E-BEE8-A41CC7B10D9D}"/>
    <cellStyle name="20% - Accent4 2 8 4" xfId="19268" xr:uid="{5FA25BFC-7954-4463-B3C4-2850B1511A55}"/>
    <cellStyle name="20% - Accent4 2 8 5" xfId="27708" xr:uid="{8CC3E144-DE5A-45A5-B063-F6582785274D}"/>
    <cellStyle name="20% - Accent4 2 9" xfId="4529" xr:uid="{00000000-0005-0000-0000-000031020000}"/>
    <cellStyle name="20% - Accent4 2 9 2" xfId="12979" xr:uid="{9B61B275-FC70-417B-B461-4C5D15C03F98}"/>
    <cellStyle name="20% - Accent4 2 9 3" xfId="21419" xr:uid="{2FD9BE40-D99B-4C39-8BF9-5D61BC309D35}"/>
    <cellStyle name="20% - Accent4 2 9 4" xfId="29859" xr:uid="{5482AD83-760F-4B7F-A20B-02F4097EC2A9}"/>
    <cellStyle name="20% - Accent4 3" xfId="30" xr:uid="{00000000-0005-0000-0000-000032020000}"/>
    <cellStyle name="20% - Accent4 3 10" xfId="17206" xr:uid="{1AC76B1D-A8F0-433D-9D1B-B0FA2A4AEED5}"/>
    <cellStyle name="20% - Accent4 3 11" xfId="25646" xr:uid="{9C1129E1-4777-4980-8548-1075977E8247}"/>
    <cellStyle name="20% - Accent4 3 2" xfId="31" xr:uid="{00000000-0005-0000-0000-000033020000}"/>
    <cellStyle name="20% - Accent4 3 2 10" xfId="25647" xr:uid="{6CD934EB-287C-4921-8CC4-64BB1A2096F6}"/>
    <cellStyle name="20% - Accent4 3 2 2" xfId="600" xr:uid="{00000000-0005-0000-0000-000034020000}"/>
    <cellStyle name="20% - Accent4 3 2 2 2" xfId="2871" xr:uid="{00000000-0005-0000-0000-000035020000}"/>
    <cellStyle name="20% - Accent4 3 2 2 2 2" xfId="7093" xr:uid="{00000000-0005-0000-0000-000036020000}"/>
    <cellStyle name="20% - Accent4 3 2 2 2 2 2" xfId="15543" xr:uid="{B9EB74A5-31B6-4D0B-A3F1-76F00D6B43A9}"/>
    <cellStyle name="20% - Accent4 3 2 2 2 2 3" xfId="23983" xr:uid="{969E4385-7F45-48E3-B7B2-70740DA4AD10}"/>
    <cellStyle name="20% - Accent4 3 2 2 2 2 4" xfId="32423" xr:uid="{5F895A5A-F282-4C49-94C3-B91387466EEA}"/>
    <cellStyle name="20% - Accent4 3 2 2 2 3" xfId="11325" xr:uid="{D0293D36-66F4-44B9-8E6C-06E11E02B0F7}"/>
    <cellStyle name="20% - Accent4 3 2 2 2 4" xfId="19766" xr:uid="{17A5BC36-F73C-4D74-AB15-054938B7A802}"/>
    <cellStyle name="20% - Accent4 3 2 2 2 5" xfId="28206" xr:uid="{849F01A1-A057-4774-BCE1-5976A32ECD56}"/>
    <cellStyle name="20% - Accent4 3 2 2 3" xfId="4948" xr:uid="{00000000-0005-0000-0000-000037020000}"/>
    <cellStyle name="20% - Accent4 3 2 2 3 2" xfId="13398" xr:uid="{05308CE0-9A4A-48A1-916C-BAD8ABFE4F7B}"/>
    <cellStyle name="20% - Accent4 3 2 2 3 3" xfId="21838" xr:uid="{A649790E-BDB9-4A82-AB55-6D6B10F6501C}"/>
    <cellStyle name="20% - Accent4 3 2 2 3 4" xfId="30278" xr:uid="{CEB9F099-F0AC-42B9-9F31-06329739B9F0}"/>
    <cellStyle name="20% - Accent4 3 2 2 4" xfId="9180" xr:uid="{2124193D-CCDC-47BA-A3A4-30504F16E2EE}"/>
    <cellStyle name="20% - Accent4 3 2 2 5" xfId="17621" xr:uid="{C551261A-7E15-4D6F-919A-F2C4E1DF491E}"/>
    <cellStyle name="20% - Accent4 3 2 2 6" xfId="26061" xr:uid="{97DCC420-5975-4030-A5DA-43F9E67B9158}"/>
    <cellStyle name="20% - Accent4 3 2 3" xfId="1053" xr:uid="{00000000-0005-0000-0000-000038020000}"/>
    <cellStyle name="20% - Accent4 3 2 3 2" xfId="3284" xr:uid="{00000000-0005-0000-0000-000039020000}"/>
    <cellStyle name="20% - Accent4 3 2 3 2 2" xfId="7506" xr:uid="{00000000-0005-0000-0000-00003A020000}"/>
    <cellStyle name="20% - Accent4 3 2 3 2 2 2" xfId="15956" xr:uid="{D7AC92A4-7AB5-499C-89B0-785CE483600A}"/>
    <cellStyle name="20% - Accent4 3 2 3 2 2 3" xfId="24396" xr:uid="{00BE2BCF-7CFD-4218-9D0C-6BA1AD9365F3}"/>
    <cellStyle name="20% - Accent4 3 2 3 2 2 4" xfId="32836" xr:uid="{B1E28EDA-2211-4B37-BA9C-D45AD9891E64}"/>
    <cellStyle name="20% - Accent4 3 2 3 2 3" xfId="11738" xr:uid="{6827D91E-BE00-4983-B116-6EDB8FCA0C7F}"/>
    <cellStyle name="20% - Accent4 3 2 3 2 4" xfId="20179" xr:uid="{12234487-80C0-4DFF-A17B-7C8DEEE9C713}"/>
    <cellStyle name="20% - Accent4 3 2 3 2 5" xfId="28619" xr:uid="{BA9A5F6F-18AD-4B77-B9E1-3EEDB11082C8}"/>
    <cellStyle name="20% - Accent4 3 2 3 3" xfId="5361" xr:uid="{00000000-0005-0000-0000-00003B020000}"/>
    <cellStyle name="20% - Accent4 3 2 3 3 2" xfId="13811" xr:uid="{EBDB6DE7-D4F4-48F0-A97A-D0F51CEF6F82}"/>
    <cellStyle name="20% - Accent4 3 2 3 3 3" xfId="22251" xr:uid="{0B91A96D-ABC4-4D1B-BA50-BDA55A983F0F}"/>
    <cellStyle name="20% - Accent4 3 2 3 3 4" xfId="30691" xr:uid="{19EA28AF-C19D-405C-A7C0-E4AC1B0D46EC}"/>
    <cellStyle name="20% - Accent4 3 2 3 4" xfId="9593" xr:uid="{B494B8B2-16E7-4BC1-91E2-AFE05B7C6C5C}"/>
    <cellStyle name="20% - Accent4 3 2 3 5" xfId="18034" xr:uid="{B54F023B-99A8-4901-89CD-8C56CD84D1A2}"/>
    <cellStyle name="20% - Accent4 3 2 3 6" xfId="26474" xr:uid="{35E52ABF-57D1-4596-BE51-59004A780B91}"/>
    <cellStyle name="20% - Accent4 3 2 4" xfId="1467" xr:uid="{00000000-0005-0000-0000-00003C020000}"/>
    <cellStyle name="20% - Accent4 3 2 4 2" xfId="3697" xr:uid="{00000000-0005-0000-0000-00003D020000}"/>
    <cellStyle name="20% - Accent4 3 2 4 2 2" xfId="7919" xr:uid="{00000000-0005-0000-0000-00003E020000}"/>
    <cellStyle name="20% - Accent4 3 2 4 2 2 2" xfId="16369" xr:uid="{34425940-D67A-4B4C-BD0A-EDE3BA2AEF31}"/>
    <cellStyle name="20% - Accent4 3 2 4 2 2 3" xfId="24809" xr:uid="{7004DF56-CF6F-4FDE-86FE-632338369FFA}"/>
    <cellStyle name="20% - Accent4 3 2 4 2 2 4" xfId="33249" xr:uid="{5D4C6F40-EAF1-4BA5-89F7-3B453F9E6710}"/>
    <cellStyle name="20% - Accent4 3 2 4 2 3" xfId="12151" xr:uid="{D794D3DE-2F2B-436E-B730-321F95E09267}"/>
    <cellStyle name="20% - Accent4 3 2 4 2 4" xfId="20592" xr:uid="{07A1CBB9-6C86-4FDE-89CA-6F41464FC596}"/>
    <cellStyle name="20% - Accent4 3 2 4 2 5" xfId="29032" xr:uid="{A92D2EA2-6099-441F-A347-6D8370E44894}"/>
    <cellStyle name="20% - Accent4 3 2 4 3" xfId="5774" xr:uid="{00000000-0005-0000-0000-00003F020000}"/>
    <cellStyle name="20% - Accent4 3 2 4 3 2" xfId="14224" xr:uid="{0D5DAF7C-4131-40F8-9692-DD33351F32C5}"/>
    <cellStyle name="20% - Accent4 3 2 4 3 3" xfId="22664" xr:uid="{6B4D9FD2-4587-4983-B613-9F720FE43B4A}"/>
    <cellStyle name="20% - Accent4 3 2 4 3 4" xfId="31104" xr:uid="{9CE00D9D-20E6-4FAD-8D26-F9E9DFFFA3D3}"/>
    <cellStyle name="20% - Accent4 3 2 4 4" xfId="10006" xr:uid="{BAFD3C7E-F70A-42F8-A82F-A33522D88C8F}"/>
    <cellStyle name="20% - Accent4 3 2 4 5" xfId="18447" xr:uid="{2DAEE780-6366-45BA-9013-20F392240F1D}"/>
    <cellStyle name="20% - Accent4 3 2 4 6" xfId="26887" xr:uid="{B04DA7CA-6FB0-4884-9CED-6133EAB2ADFF}"/>
    <cellStyle name="20% - Accent4 3 2 5" xfId="1881" xr:uid="{00000000-0005-0000-0000-000040020000}"/>
    <cellStyle name="20% - Accent4 3 2 5 2" xfId="4110" xr:uid="{00000000-0005-0000-0000-000041020000}"/>
    <cellStyle name="20% - Accent4 3 2 5 2 2" xfId="8332" xr:uid="{00000000-0005-0000-0000-000042020000}"/>
    <cellStyle name="20% - Accent4 3 2 5 2 2 2" xfId="16782" xr:uid="{E71C2D44-7984-44C5-9F27-DD81F74D6001}"/>
    <cellStyle name="20% - Accent4 3 2 5 2 2 3" xfId="25222" xr:uid="{2931A720-5DEC-46CD-85F2-CAB0C2B96AC9}"/>
    <cellStyle name="20% - Accent4 3 2 5 2 2 4" xfId="33662" xr:uid="{42A3F857-D611-4A8D-B5BA-F39D2F084C50}"/>
    <cellStyle name="20% - Accent4 3 2 5 2 3" xfId="12564" xr:uid="{E911CE7D-6EB7-4E70-AFA6-8B68242A419F}"/>
    <cellStyle name="20% - Accent4 3 2 5 2 4" xfId="21005" xr:uid="{7497AC95-A6ED-4097-B37B-B44D2521A869}"/>
    <cellStyle name="20% - Accent4 3 2 5 2 5" xfId="29445" xr:uid="{4B324877-2392-494E-B975-F93337343BFB}"/>
    <cellStyle name="20% - Accent4 3 2 5 3" xfId="6187" xr:uid="{00000000-0005-0000-0000-000043020000}"/>
    <cellStyle name="20% - Accent4 3 2 5 3 2" xfId="14637" xr:uid="{8C151279-6CFA-4095-8D6F-104DDBAAEF05}"/>
    <cellStyle name="20% - Accent4 3 2 5 3 3" xfId="23077" xr:uid="{8C55BCC7-E0C0-420B-89DC-35B12FD3CE57}"/>
    <cellStyle name="20% - Accent4 3 2 5 3 4" xfId="31517" xr:uid="{561E3092-83AD-4F8A-9E10-15352DE531BC}"/>
    <cellStyle name="20% - Accent4 3 2 5 4" xfId="10419" xr:uid="{CC40E55B-DD3A-462E-A355-02DE8ACB6512}"/>
    <cellStyle name="20% - Accent4 3 2 5 5" xfId="18860" xr:uid="{DDC67C7E-2A9D-490F-B90D-4C5138310821}"/>
    <cellStyle name="20% - Accent4 3 2 5 6" xfId="27300" xr:uid="{A525A620-1B65-45E0-852E-032C147E28A2}"/>
    <cellStyle name="20% - Accent4 3 2 6" xfId="2294" xr:uid="{00000000-0005-0000-0000-000044020000}"/>
    <cellStyle name="20% - Accent4 3 2 6 2" xfId="6600" xr:uid="{00000000-0005-0000-0000-000045020000}"/>
    <cellStyle name="20% - Accent4 3 2 6 2 2" xfId="15050" xr:uid="{DC1F26B4-6903-45B2-A99C-E91A71690060}"/>
    <cellStyle name="20% - Accent4 3 2 6 2 3" xfId="23490" xr:uid="{4F11070D-1C69-4217-84F7-7D85D5CF70BA}"/>
    <cellStyle name="20% - Accent4 3 2 6 2 4" xfId="31930" xr:uid="{093086DF-3AAE-40F4-9101-AC7EAB6C8B4A}"/>
    <cellStyle name="20% - Accent4 3 2 6 3" xfId="10832" xr:uid="{E78A5F5B-9E9F-4961-B407-79AFC33BF2D0}"/>
    <cellStyle name="20% - Accent4 3 2 6 4" xfId="19273" xr:uid="{C1A10E3C-D187-49BB-B892-CCF5D246EE30}"/>
    <cellStyle name="20% - Accent4 3 2 6 5" xfId="27713" xr:uid="{73FF9677-DF9B-4110-BC15-413599594DE5}"/>
    <cellStyle name="20% - Accent4 3 2 7" xfId="4534" xr:uid="{00000000-0005-0000-0000-000046020000}"/>
    <cellStyle name="20% - Accent4 3 2 7 2" xfId="12984" xr:uid="{EC21D392-A8CB-4297-998D-C1C43066FAD0}"/>
    <cellStyle name="20% - Accent4 3 2 7 3" xfId="21424" xr:uid="{7DB7F624-1D3A-4EEE-8736-C799165D06F7}"/>
    <cellStyle name="20% - Accent4 3 2 7 4" xfId="29864" xr:uid="{CA3AE6BF-FA57-4462-A17F-CCC656116DB1}"/>
    <cellStyle name="20% - Accent4 3 2 8" xfId="8766" xr:uid="{4CCDC0CA-40DC-4DCC-B5A5-566E1AB94C55}"/>
    <cellStyle name="20% - Accent4 3 2 9" xfId="17207" xr:uid="{887F9D09-BE5C-4206-B0D3-0D03E321A3A9}"/>
    <cellStyle name="20% - Accent4 3 3" xfId="599" xr:uid="{00000000-0005-0000-0000-000047020000}"/>
    <cellStyle name="20% - Accent4 3 3 2" xfId="2870" xr:uid="{00000000-0005-0000-0000-000048020000}"/>
    <cellStyle name="20% - Accent4 3 3 2 2" xfId="7092" xr:uid="{00000000-0005-0000-0000-000049020000}"/>
    <cellStyle name="20% - Accent4 3 3 2 2 2" xfId="15542" xr:uid="{37DD78B3-EFCC-4C77-9C71-C0BE69CAC621}"/>
    <cellStyle name="20% - Accent4 3 3 2 2 3" xfId="23982" xr:uid="{997A60F9-4C9F-45AF-B5B3-D75F507FC2A3}"/>
    <cellStyle name="20% - Accent4 3 3 2 2 4" xfId="32422" xr:uid="{962F1CF2-68A1-406A-98DF-506FADFBACCB}"/>
    <cellStyle name="20% - Accent4 3 3 2 3" xfId="11324" xr:uid="{1E831D30-09F6-4D67-9E61-3A1595C2E61D}"/>
    <cellStyle name="20% - Accent4 3 3 2 4" xfId="19765" xr:uid="{ADFF0AA3-DE8D-4423-9539-E92E5EF6D840}"/>
    <cellStyle name="20% - Accent4 3 3 2 5" xfId="28205" xr:uid="{EC4C8E23-1EE2-4A67-B8D6-4074D92180F3}"/>
    <cellStyle name="20% - Accent4 3 3 3" xfId="4947" xr:uid="{00000000-0005-0000-0000-00004A020000}"/>
    <cellStyle name="20% - Accent4 3 3 3 2" xfId="13397" xr:uid="{B476D65A-6CC2-41F4-A904-3FD3E806DF9B}"/>
    <cellStyle name="20% - Accent4 3 3 3 3" xfId="21837" xr:uid="{89506216-0162-48B5-B509-FBF57E0B5B93}"/>
    <cellStyle name="20% - Accent4 3 3 3 4" xfId="30277" xr:uid="{1EB55B8E-D801-4173-8941-BF9F769C4A9C}"/>
    <cellStyle name="20% - Accent4 3 3 4" xfId="9179" xr:uid="{77D8E18A-C2E1-49CB-8AD0-DC681CE65084}"/>
    <cellStyle name="20% - Accent4 3 3 5" xfId="17620" xr:uid="{ABED2769-CD7D-4FAE-AEDB-7578C9F63B93}"/>
    <cellStyle name="20% - Accent4 3 3 6" xfId="26060" xr:uid="{9A753567-A047-4758-B96D-569E650380F1}"/>
    <cellStyle name="20% - Accent4 3 4" xfId="1052" xr:uid="{00000000-0005-0000-0000-00004B020000}"/>
    <cellStyle name="20% - Accent4 3 4 2" xfId="3283" xr:uid="{00000000-0005-0000-0000-00004C020000}"/>
    <cellStyle name="20% - Accent4 3 4 2 2" xfId="7505" xr:uid="{00000000-0005-0000-0000-00004D020000}"/>
    <cellStyle name="20% - Accent4 3 4 2 2 2" xfId="15955" xr:uid="{30689DC9-58D8-47D9-8359-4A1080650392}"/>
    <cellStyle name="20% - Accent4 3 4 2 2 3" xfId="24395" xr:uid="{4D3BEDAD-C9EF-4168-95BA-6379F70274B6}"/>
    <cellStyle name="20% - Accent4 3 4 2 2 4" xfId="32835" xr:uid="{FB29508B-01AA-4D71-B5CC-12C91DA196E4}"/>
    <cellStyle name="20% - Accent4 3 4 2 3" xfId="11737" xr:uid="{AA854959-9787-4EFC-9098-D5B137CDB00F}"/>
    <cellStyle name="20% - Accent4 3 4 2 4" xfId="20178" xr:uid="{EC2B1DBA-FCA4-427E-AE90-5E64C1D48DB9}"/>
    <cellStyle name="20% - Accent4 3 4 2 5" xfId="28618" xr:uid="{4D37EC2C-1821-40BA-B5DE-59591DE5D703}"/>
    <cellStyle name="20% - Accent4 3 4 3" xfId="5360" xr:uid="{00000000-0005-0000-0000-00004E020000}"/>
    <cellStyle name="20% - Accent4 3 4 3 2" xfId="13810" xr:uid="{38516B69-5973-4F7D-BCF1-0916C1B9BDC2}"/>
    <cellStyle name="20% - Accent4 3 4 3 3" xfId="22250" xr:uid="{A3ACD794-C927-4305-BF7A-FC97C9013414}"/>
    <cellStyle name="20% - Accent4 3 4 3 4" xfId="30690" xr:uid="{E468359E-F222-4C77-8458-76FC7D23636A}"/>
    <cellStyle name="20% - Accent4 3 4 4" xfId="9592" xr:uid="{71EA96F5-CA50-49D4-8731-C54E03D0014E}"/>
    <cellStyle name="20% - Accent4 3 4 5" xfId="18033" xr:uid="{D0E4F6C1-AF4B-4A2D-A83F-D29D88BC7EA5}"/>
    <cellStyle name="20% - Accent4 3 4 6" xfId="26473" xr:uid="{F331D0AA-6CC9-4302-BFC9-E143118E8DA2}"/>
    <cellStyle name="20% - Accent4 3 5" xfId="1466" xr:uid="{00000000-0005-0000-0000-00004F020000}"/>
    <cellStyle name="20% - Accent4 3 5 2" xfId="3696" xr:uid="{00000000-0005-0000-0000-000050020000}"/>
    <cellStyle name="20% - Accent4 3 5 2 2" xfId="7918" xr:uid="{00000000-0005-0000-0000-000051020000}"/>
    <cellStyle name="20% - Accent4 3 5 2 2 2" xfId="16368" xr:uid="{DFD3B0FF-9E71-4513-84B6-C65A92E446A0}"/>
    <cellStyle name="20% - Accent4 3 5 2 2 3" xfId="24808" xr:uid="{7AE3B372-996A-4113-AB5B-70E37305DA06}"/>
    <cellStyle name="20% - Accent4 3 5 2 2 4" xfId="33248" xr:uid="{ADADA807-14B9-4F4B-B57D-6453BA8CF5A5}"/>
    <cellStyle name="20% - Accent4 3 5 2 3" xfId="12150" xr:uid="{4D3FC60E-7C14-4BAE-B422-891834150376}"/>
    <cellStyle name="20% - Accent4 3 5 2 4" xfId="20591" xr:uid="{C110A725-1CD0-498D-8E5C-0A6B74E37375}"/>
    <cellStyle name="20% - Accent4 3 5 2 5" xfId="29031" xr:uid="{54F206DF-DB7C-4C5F-8CEA-ACE1180E7950}"/>
    <cellStyle name="20% - Accent4 3 5 3" xfId="5773" xr:uid="{00000000-0005-0000-0000-000052020000}"/>
    <cellStyle name="20% - Accent4 3 5 3 2" xfId="14223" xr:uid="{77A220AE-540D-4ACE-A4E8-62224798C9D0}"/>
    <cellStyle name="20% - Accent4 3 5 3 3" xfId="22663" xr:uid="{C29593EB-5664-4519-8405-4F0A95AC760C}"/>
    <cellStyle name="20% - Accent4 3 5 3 4" xfId="31103" xr:uid="{30CDF0B8-FBA2-41B1-A11E-87FDDBD92F23}"/>
    <cellStyle name="20% - Accent4 3 5 4" xfId="10005" xr:uid="{F63F3B51-6B17-482D-ACB8-EB131DE6F4E9}"/>
    <cellStyle name="20% - Accent4 3 5 5" xfId="18446" xr:uid="{A94AE78E-15BF-46D9-9312-C50A3F981405}"/>
    <cellStyle name="20% - Accent4 3 5 6" xfId="26886" xr:uid="{DDDEAD8B-E37E-4D1C-99F8-5834A1B8CC11}"/>
    <cellStyle name="20% - Accent4 3 6" xfId="1880" xr:uid="{00000000-0005-0000-0000-000053020000}"/>
    <cellStyle name="20% - Accent4 3 6 2" xfId="4109" xr:uid="{00000000-0005-0000-0000-000054020000}"/>
    <cellStyle name="20% - Accent4 3 6 2 2" xfId="8331" xr:uid="{00000000-0005-0000-0000-000055020000}"/>
    <cellStyle name="20% - Accent4 3 6 2 2 2" xfId="16781" xr:uid="{0D0865CD-A1AD-4909-B62B-5494FD67E1F1}"/>
    <cellStyle name="20% - Accent4 3 6 2 2 3" xfId="25221" xr:uid="{74D8E6CE-5929-45CE-9AA9-3EAE56DB76C5}"/>
    <cellStyle name="20% - Accent4 3 6 2 2 4" xfId="33661" xr:uid="{83F5397D-0861-4ACA-8BAF-B256DEA74367}"/>
    <cellStyle name="20% - Accent4 3 6 2 3" xfId="12563" xr:uid="{52DE5CD6-A6A6-4190-BFD7-24441B94FC22}"/>
    <cellStyle name="20% - Accent4 3 6 2 4" xfId="21004" xr:uid="{919C36A3-927E-4E44-B9A1-44B7FE246378}"/>
    <cellStyle name="20% - Accent4 3 6 2 5" xfId="29444" xr:uid="{14E76840-C66E-421F-A3CD-7AC8D07A3756}"/>
    <cellStyle name="20% - Accent4 3 6 3" xfId="6186" xr:uid="{00000000-0005-0000-0000-000056020000}"/>
    <cellStyle name="20% - Accent4 3 6 3 2" xfId="14636" xr:uid="{2B30E05F-E81A-4348-AC5D-81BECAC826CB}"/>
    <cellStyle name="20% - Accent4 3 6 3 3" xfId="23076" xr:uid="{F38E29DD-02EB-4D83-8FFE-E58731E0F5DF}"/>
    <cellStyle name="20% - Accent4 3 6 3 4" xfId="31516" xr:uid="{1E1C600F-6204-4832-AA27-EA2B09AD14B2}"/>
    <cellStyle name="20% - Accent4 3 6 4" xfId="10418" xr:uid="{AC479E04-38F4-4C60-82E0-D5E625E4F7DB}"/>
    <cellStyle name="20% - Accent4 3 6 5" xfId="18859" xr:uid="{78732DA5-DBE1-49EB-A215-FF6D657C4775}"/>
    <cellStyle name="20% - Accent4 3 6 6" xfId="27299" xr:uid="{06EDEFB2-4187-48C4-B043-191A80D9E4B9}"/>
    <cellStyle name="20% - Accent4 3 7" xfId="2293" xr:uid="{00000000-0005-0000-0000-000057020000}"/>
    <cellStyle name="20% - Accent4 3 7 2" xfId="6599" xr:uid="{00000000-0005-0000-0000-000058020000}"/>
    <cellStyle name="20% - Accent4 3 7 2 2" xfId="15049" xr:uid="{F4458537-11B7-4694-ABB6-5F6A71B09D1A}"/>
    <cellStyle name="20% - Accent4 3 7 2 3" xfId="23489" xr:uid="{E1A3B65F-9E65-4B48-A7D7-A077EE24AE00}"/>
    <cellStyle name="20% - Accent4 3 7 2 4" xfId="31929" xr:uid="{92F1598E-9FC0-4559-81F6-201C82692022}"/>
    <cellStyle name="20% - Accent4 3 7 3" xfId="10831" xr:uid="{0A319826-A759-4CA4-865A-F2BC1D3906FE}"/>
    <cellStyle name="20% - Accent4 3 7 4" xfId="19272" xr:uid="{2A17DFCE-610F-4C94-9A65-43D4E5932922}"/>
    <cellStyle name="20% - Accent4 3 7 5" xfId="27712" xr:uid="{F8B84023-2451-470E-AB6C-619C35912DEC}"/>
    <cellStyle name="20% - Accent4 3 8" xfId="4533" xr:uid="{00000000-0005-0000-0000-000059020000}"/>
    <cellStyle name="20% - Accent4 3 8 2" xfId="12983" xr:uid="{ABD61E31-5D43-4B96-ABCD-C6F84F2FF90D}"/>
    <cellStyle name="20% - Accent4 3 8 3" xfId="21423" xr:uid="{29B4BA0C-FDF5-4DAA-9B40-F13B40261593}"/>
    <cellStyle name="20% - Accent4 3 8 4" xfId="29863" xr:uid="{A2A7D442-C039-4840-99B1-6FE9C56510FE}"/>
    <cellStyle name="20% - Accent4 3 9" xfId="8765" xr:uid="{47BA325E-6A8E-4D55-B31A-24800AB21B0A}"/>
    <cellStyle name="20% - Accent4 4" xfId="32" xr:uid="{00000000-0005-0000-0000-00005A020000}"/>
    <cellStyle name="20% - Accent4 4 10" xfId="25648" xr:uid="{FB67DAF7-BD28-408C-A975-630930EAE397}"/>
    <cellStyle name="20% - Accent4 4 2" xfId="601" xr:uid="{00000000-0005-0000-0000-00005B020000}"/>
    <cellStyle name="20% - Accent4 4 2 2" xfId="2872" xr:uid="{00000000-0005-0000-0000-00005C020000}"/>
    <cellStyle name="20% - Accent4 4 2 2 2" xfId="7094" xr:uid="{00000000-0005-0000-0000-00005D020000}"/>
    <cellStyle name="20% - Accent4 4 2 2 2 2" xfId="15544" xr:uid="{83A0A7E4-649E-4311-B98C-EADBA629B06A}"/>
    <cellStyle name="20% - Accent4 4 2 2 2 3" xfId="23984" xr:uid="{1A68CCDD-A63B-4418-B8D7-49AFA7CDBB78}"/>
    <cellStyle name="20% - Accent4 4 2 2 2 4" xfId="32424" xr:uid="{0014BE63-81BD-4AFF-B9BD-982B1DCD8A2E}"/>
    <cellStyle name="20% - Accent4 4 2 2 3" xfId="11326" xr:uid="{BA0B5506-A82B-430F-BE01-F88B0CBF6C4D}"/>
    <cellStyle name="20% - Accent4 4 2 2 4" xfId="19767" xr:uid="{96E4E94C-D941-4E96-8768-B186D09DCB1F}"/>
    <cellStyle name="20% - Accent4 4 2 2 5" xfId="28207" xr:uid="{3158E85C-B3AD-4C82-A38F-E463DCBDFDD2}"/>
    <cellStyle name="20% - Accent4 4 2 3" xfId="4949" xr:uid="{00000000-0005-0000-0000-00005E020000}"/>
    <cellStyle name="20% - Accent4 4 2 3 2" xfId="13399" xr:uid="{7A88186F-565F-4851-83B3-01D233E01843}"/>
    <cellStyle name="20% - Accent4 4 2 3 3" xfId="21839" xr:uid="{7DF3459D-9E1F-4F74-9D02-6B14A811B4BD}"/>
    <cellStyle name="20% - Accent4 4 2 3 4" xfId="30279" xr:uid="{57E3C272-1E4D-4C5C-96DB-AB397B6C327D}"/>
    <cellStyle name="20% - Accent4 4 2 4" xfId="9181" xr:uid="{76287B13-0D80-479B-8FC6-601E73596E8C}"/>
    <cellStyle name="20% - Accent4 4 2 5" xfId="17622" xr:uid="{ABFD29CF-C3A7-41BA-9457-E1C873C47325}"/>
    <cellStyle name="20% - Accent4 4 2 6" xfId="26062" xr:uid="{91191FE2-A682-43AF-99F4-EAA08C109A5C}"/>
    <cellStyle name="20% - Accent4 4 3" xfId="1054" xr:uid="{00000000-0005-0000-0000-00005F020000}"/>
    <cellStyle name="20% - Accent4 4 3 2" xfId="3285" xr:uid="{00000000-0005-0000-0000-000060020000}"/>
    <cellStyle name="20% - Accent4 4 3 2 2" xfId="7507" xr:uid="{00000000-0005-0000-0000-000061020000}"/>
    <cellStyle name="20% - Accent4 4 3 2 2 2" xfId="15957" xr:uid="{B8714CCC-46F3-42A8-A005-5DB2B44EEC16}"/>
    <cellStyle name="20% - Accent4 4 3 2 2 3" xfId="24397" xr:uid="{21BA4B70-C109-4B53-8ED2-227F761B1C1D}"/>
    <cellStyle name="20% - Accent4 4 3 2 2 4" xfId="32837" xr:uid="{10F93B45-5065-4A38-917D-40503D979855}"/>
    <cellStyle name="20% - Accent4 4 3 2 3" xfId="11739" xr:uid="{AF022DF6-FFB1-4524-A260-62DD1CE4E62B}"/>
    <cellStyle name="20% - Accent4 4 3 2 4" xfId="20180" xr:uid="{212EF77A-85A9-43B3-8308-8411A87D67FF}"/>
    <cellStyle name="20% - Accent4 4 3 2 5" xfId="28620" xr:uid="{5FDFC3C6-5380-4F87-831D-8F823ACA68CD}"/>
    <cellStyle name="20% - Accent4 4 3 3" xfId="5362" xr:uid="{00000000-0005-0000-0000-000062020000}"/>
    <cellStyle name="20% - Accent4 4 3 3 2" xfId="13812" xr:uid="{09AAE852-B2BE-44C4-B9B9-F6EF91DC06E4}"/>
    <cellStyle name="20% - Accent4 4 3 3 3" xfId="22252" xr:uid="{A810C2B6-A5FA-48AA-9705-943C2DF10A98}"/>
    <cellStyle name="20% - Accent4 4 3 3 4" xfId="30692" xr:uid="{0F56A380-C0CC-48FE-947D-BE41C2AD96D1}"/>
    <cellStyle name="20% - Accent4 4 3 4" xfId="9594" xr:uid="{CE232707-59C0-4910-9B6C-964854C01662}"/>
    <cellStyle name="20% - Accent4 4 3 5" xfId="18035" xr:uid="{E3FC380B-333D-4FB3-B085-544392BFC01D}"/>
    <cellStyle name="20% - Accent4 4 3 6" xfId="26475" xr:uid="{49A9D550-7BDB-4519-AB62-0151D279ACFF}"/>
    <cellStyle name="20% - Accent4 4 4" xfId="1468" xr:uid="{00000000-0005-0000-0000-000063020000}"/>
    <cellStyle name="20% - Accent4 4 4 2" xfId="3698" xr:uid="{00000000-0005-0000-0000-000064020000}"/>
    <cellStyle name="20% - Accent4 4 4 2 2" xfId="7920" xr:uid="{00000000-0005-0000-0000-000065020000}"/>
    <cellStyle name="20% - Accent4 4 4 2 2 2" xfId="16370" xr:uid="{2525A136-04DC-4420-94F2-8829F9EFD8DB}"/>
    <cellStyle name="20% - Accent4 4 4 2 2 3" xfId="24810" xr:uid="{EF90E2D8-C738-4B01-A05E-150B2DD4B4CE}"/>
    <cellStyle name="20% - Accent4 4 4 2 2 4" xfId="33250" xr:uid="{A5A920E8-162A-4058-8EF0-9ED90955605B}"/>
    <cellStyle name="20% - Accent4 4 4 2 3" xfId="12152" xr:uid="{B96FBD87-00F8-4DCA-92DE-C751F6107B72}"/>
    <cellStyle name="20% - Accent4 4 4 2 4" xfId="20593" xr:uid="{F634AE1A-6948-425D-BF78-20698DC989AE}"/>
    <cellStyle name="20% - Accent4 4 4 2 5" xfId="29033" xr:uid="{E67B0FBF-8EC3-4007-BDEE-C98A4D08D04F}"/>
    <cellStyle name="20% - Accent4 4 4 3" xfId="5775" xr:uid="{00000000-0005-0000-0000-000066020000}"/>
    <cellStyle name="20% - Accent4 4 4 3 2" xfId="14225" xr:uid="{C5CD1A58-155A-41DF-A6FE-EAF66D9DC647}"/>
    <cellStyle name="20% - Accent4 4 4 3 3" xfId="22665" xr:uid="{2288B0B9-43AE-4CC6-9812-BDDAFF781CB0}"/>
    <cellStyle name="20% - Accent4 4 4 3 4" xfId="31105" xr:uid="{B27C3638-4A89-4896-BA3C-FE0B9B382D8C}"/>
    <cellStyle name="20% - Accent4 4 4 4" xfId="10007" xr:uid="{71988F02-8C3E-462F-A8E1-3003044E9505}"/>
    <cellStyle name="20% - Accent4 4 4 5" xfId="18448" xr:uid="{263C6AB4-84F5-4AF6-B4C0-541DF136E647}"/>
    <cellStyle name="20% - Accent4 4 4 6" xfId="26888" xr:uid="{4588236E-3363-4D26-9667-504EBAD7312E}"/>
    <cellStyle name="20% - Accent4 4 5" xfId="1882" xr:uid="{00000000-0005-0000-0000-000067020000}"/>
    <cellStyle name="20% - Accent4 4 5 2" xfId="4111" xr:uid="{00000000-0005-0000-0000-000068020000}"/>
    <cellStyle name="20% - Accent4 4 5 2 2" xfId="8333" xr:uid="{00000000-0005-0000-0000-000069020000}"/>
    <cellStyle name="20% - Accent4 4 5 2 2 2" xfId="16783" xr:uid="{1785D653-3DCA-4705-8489-8427258FD7AE}"/>
    <cellStyle name="20% - Accent4 4 5 2 2 3" xfId="25223" xr:uid="{BDA0085E-848A-4716-81A6-288C6DB72FDD}"/>
    <cellStyle name="20% - Accent4 4 5 2 2 4" xfId="33663" xr:uid="{84E39EE0-F891-4DDD-8C8D-4FBC4EB3AD19}"/>
    <cellStyle name="20% - Accent4 4 5 2 3" xfId="12565" xr:uid="{3B6933DF-8767-439A-A871-128B61C745C3}"/>
    <cellStyle name="20% - Accent4 4 5 2 4" xfId="21006" xr:uid="{5F013513-0EA9-48E5-A1DF-EAEF005564CB}"/>
    <cellStyle name="20% - Accent4 4 5 2 5" xfId="29446" xr:uid="{8690046E-BD99-4CE1-878C-872D1CFE982D}"/>
    <cellStyle name="20% - Accent4 4 5 3" xfId="6188" xr:uid="{00000000-0005-0000-0000-00006A020000}"/>
    <cellStyle name="20% - Accent4 4 5 3 2" xfId="14638" xr:uid="{6530D4E4-5582-4BA7-AADE-7A590CD46EA0}"/>
    <cellStyle name="20% - Accent4 4 5 3 3" xfId="23078" xr:uid="{30868FCF-6F58-4D8E-AC6A-BDC3401C131E}"/>
    <cellStyle name="20% - Accent4 4 5 3 4" xfId="31518" xr:uid="{77F57AFE-C301-4B47-978D-73189DEB1A3C}"/>
    <cellStyle name="20% - Accent4 4 5 4" xfId="10420" xr:uid="{87DC3F66-4309-49FE-BC63-AB8BB033F1D8}"/>
    <cellStyle name="20% - Accent4 4 5 5" xfId="18861" xr:uid="{D8AD804B-C9DE-4130-813B-FCE92A29DD1E}"/>
    <cellStyle name="20% - Accent4 4 5 6" xfId="27301" xr:uid="{BE8A7590-6C15-4B6D-9E08-C22648472D91}"/>
    <cellStyle name="20% - Accent4 4 6" xfId="2295" xr:uid="{00000000-0005-0000-0000-00006B020000}"/>
    <cellStyle name="20% - Accent4 4 6 2" xfId="6601" xr:uid="{00000000-0005-0000-0000-00006C020000}"/>
    <cellStyle name="20% - Accent4 4 6 2 2" xfId="15051" xr:uid="{3D4F2359-9FA0-4B8C-9DC4-D347D180323C}"/>
    <cellStyle name="20% - Accent4 4 6 2 3" xfId="23491" xr:uid="{15B5B8A0-9A9F-4760-BAFB-1397EEC03D95}"/>
    <cellStyle name="20% - Accent4 4 6 2 4" xfId="31931" xr:uid="{324AA8D1-315A-47B3-B6DE-283F66F87EE1}"/>
    <cellStyle name="20% - Accent4 4 6 3" xfId="10833" xr:uid="{3D42BE6A-6E4A-43C3-8A94-CE40F394A35F}"/>
    <cellStyle name="20% - Accent4 4 6 4" xfId="19274" xr:uid="{A48D9FC9-6681-4BD1-A453-39D3ADAC0779}"/>
    <cellStyle name="20% - Accent4 4 6 5" xfId="27714" xr:uid="{B9599F8C-4BB9-49E5-B64E-7D92385B9294}"/>
    <cellStyle name="20% - Accent4 4 7" xfId="4535" xr:uid="{00000000-0005-0000-0000-00006D020000}"/>
    <cellStyle name="20% - Accent4 4 7 2" xfId="12985" xr:uid="{2C12D24A-FC82-46AA-B9DC-859D770DFB67}"/>
    <cellStyle name="20% - Accent4 4 7 3" xfId="21425" xr:uid="{08CDF33B-AF35-42B7-9D0E-7A0088F773F7}"/>
    <cellStyle name="20% - Accent4 4 7 4" xfId="29865" xr:uid="{BAEE677C-16BB-4030-9E97-95A7F6E635F0}"/>
    <cellStyle name="20% - Accent4 4 8" xfId="8767" xr:uid="{DF19AAA4-B3AC-4FF5-9001-A1EB88729D68}"/>
    <cellStyle name="20% - Accent4 4 9" xfId="17208" xr:uid="{BC8A35D5-BF29-4F08-BF78-7E83A6479393}"/>
    <cellStyle name="20% - Accent4 5" xfId="594" xr:uid="{00000000-0005-0000-0000-00006E020000}"/>
    <cellStyle name="20% - Accent4 5 2" xfId="2865" xr:uid="{00000000-0005-0000-0000-00006F020000}"/>
    <cellStyle name="20% - Accent4 5 2 2" xfId="7087" xr:uid="{00000000-0005-0000-0000-000070020000}"/>
    <cellStyle name="20% - Accent4 5 2 2 2" xfId="15537" xr:uid="{9D62EA8E-E195-4C47-B09D-FBFA843F3B8A}"/>
    <cellStyle name="20% - Accent4 5 2 2 3" xfId="23977" xr:uid="{2B26B929-28E6-400E-BA77-991852C02C7F}"/>
    <cellStyle name="20% - Accent4 5 2 2 4" xfId="32417" xr:uid="{D8AC2E86-CA61-4D0B-9341-D9F0A31D8375}"/>
    <cellStyle name="20% - Accent4 5 2 3" xfId="11319" xr:uid="{E5F25A36-5D9F-4ADF-ADFA-4B4A777351E9}"/>
    <cellStyle name="20% - Accent4 5 2 4" xfId="19760" xr:uid="{95CCC27F-99C8-44E1-BD88-CD9EEAD5CDE8}"/>
    <cellStyle name="20% - Accent4 5 2 5" xfId="28200" xr:uid="{7CE2CB43-91F2-4164-B55A-7BE3F26300C6}"/>
    <cellStyle name="20% - Accent4 5 3" xfId="4942" xr:uid="{00000000-0005-0000-0000-000071020000}"/>
    <cellStyle name="20% - Accent4 5 3 2" xfId="13392" xr:uid="{E69852C1-0071-45E8-BB6C-B4EF99B4A2EE}"/>
    <cellStyle name="20% - Accent4 5 3 3" xfId="21832" xr:uid="{C47F3236-3D1E-4E3E-BC44-77BAC532D7A4}"/>
    <cellStyle name="20% - Accent4 5 3 4" xfId="30272" xr:uid="{021ACCBC-E0E7-432F-84FD-9D44FEBFCE30}"/>
    <cellStyle name="20% - Accent4 5 4" xfId="9174" xr:uid="{2A277150-B094-462D-9E7E-EAC55FEB834B}"/>
    <cellStyle name="20% - Accent4 5 5" xfId="17615" xr:uid="{306D8DAA-F50B-4B37-B358-A24D59CE990F}"/>
    <cellStyle name="20% - Accent4 5 6" xfId="26055" xr:uid="{A9678095-5021-468A-AEDB-B9A0FD24B108}"/>
    <cellStyle name="20% - Accent4 6" xfId="1047" xr:uid="{00000000-0005-0000-0000-000072020000}"/>
    <cellStyle name="20% - Accent4 6 2" xfId="3278" xr:uid="{00000000-0005-0000-0000-000073020000}"/>
    <cellStyle name="20% - Accent4 6 2 2" xfId="7500" xr:uid="{00000000-0005-0000-0000-000074020000}"/>
    <cellStyle name="20% - Accent4 6 2 2 2" xfId="15950" xr:uid="{A6E03D97-BD2F-4975-A2F8-F80A1D54C26B}"/>
    <cellStyle name="20% - Accent4 6 2 2 3" xfId="24390" xr:uid="{8109EB75-0D4F-49D2-A93B-BCE83DFF1EB4}"/>
    <cellStyle name="20% - Accent4 6 2 2 4" xfId="32830" xr:uid="{F7C69AD4-6460-4CCA-977A-D00B7A78EAEF}"/>
    <cellStyle name="20% - Accent4 6 2 3" xfId="11732" xr:uid="{00B29A1A-9748-4B8C-963D-233976AB044C}"/>
    <cellStyle name="20% - Accent4 6 2 4" xfId="20173" xr:uid="{66E86571-C13C-4C73-BAD1-EE87E6858BBF}"/>
    <cellStyle name="20% - Accent4 6 2 5" xfId="28613" xr:uid="{E1C6F96B-0280-4D5C-BA9D-060B19BEF50C}"/>
    <cellStyle name="20% - Accent4 6 3" xfId="5355" xr:uid="{00000000-0005-0000-0000-000075020000}"/>
    <cellStyle name="20% - Accent4 6 3 2" xfId="13805" xr:uid="{53D43B2F-307A-4DC4-9C30-C9935748F2B7}"/>
    <cellStyle name="20% - Accent4 6 3 3" xfId="22245" xr:uid="{81DC2490-7B9D-4041-9DF7-CDB2CDCE3AEE}"/>
    <cellStyle name="20% - Accent4 6 3 4" xfId="30685" xr:uid="{25B4BFDE-A1BF-48CE-9FA5-0DA14D69DA97}"/>
    <cellStyle name="20% - Accent4 6 4" xfId="9587" xr:uid="{D5755640-9EB2-4A63-81B1-A375A1C3A01C}"/>
    <cellStyle name="20% - Accent4 6 5" xfId="18028" xr:uid="{86DB1772-CCBE-439D-AB8C-2F53257EE203}"/>
    <cellStyle name="20% - Accent4 6 6" xfId="26468" xr:uid="{53D6A365-697F-4CAA-AAF9-6438FD3F66B5}"/>
    <cellStyle name="20% - Accent4 7" xfId="1461" xr:uid="{00000000-0005-0000-0000-000076020000}"/>
    <cellStyle name="20% - Accent4 7 2" xfId="3691" xr:uid="{00000000-0005-0000-0000-000077020000}"/>
    <cellStyle name="20% - Accent4 7 2 2" xfId="7913" xr:uid="{00000000-0005-0000-0000-000078020000}"/>
    <cellStyle name="20% - Accent4 7 2 2 2" xfId="16363" xr:uid="{15FEBFF4-839D-4777-8D6C-1727F9DAA275}"/>
    <cellStyle name="20% - Accent4 7 2 2 3" xfId="24803" xr:uid="{B72AE24B-DED5-4902-8BA2-1D931FDE5D99}"/>
    <cellStyle name="20% - Accent4 7 2 2 4" xfId="33243" xr:uid="{841ABFA7-695E-4C2E-99C8-D175E678BA56}"/>
    <cellStyle name="20% - Accent4 7 2 3" xfId="12145" xr:uid="{49B4994D-3BAA-40D2-BC76-293260B98B0A}"/>
    <cellStyle name="20% - Accent4 7 2 4" xfId="20586" xr:uid="{1B7A4DFD-0FF6-475F-AD35-5D54FDBD826E}"/>
    <cellStyle name="20% - Accent4 7 2 5" xfId="29026" xr:uid="{0EE5F188-2E01-447F-B9DB-87F3C5592AA1}"/>
    <cellStyle name="20% - Accent4 7 3" xfId="5768" xr:uid="{00000000-0005-0000-0000-000079020000}"/>
    <cellStyle name="20% - Accent4 7 3 2" xfId="14218" xr:uid="{229042B8-693E-45AB-B1DD-87B4BC546A59}"/>
    <cellStyle name="20% - Accent4 7 3 3" xfId="22658" xr:uid="{9E93DB5A-A7D8-45AC-AF41-EB0755F4CADE}"/>
    <cellStyle name="20% - Accent4 7 3 4" xfId="31098" xr:uid="{A2179FDF-720E-46C1-8CDF-C0B9CA04FBBF}"/>
    <cellStyle name="20% - Accent4 7 4" xfId="10000" xr:uid="{C8C0A42D-A06C-4AC6-A709-E7426B9BCEDA}"/>
    <cellStyle name="20% - Accent4 7 5" xfId="18441" xr:uid="{A4E41D9C-10DA-4249-8542-D4DA8514C2E0}"/>
    <cellStyle name="20% - Accent4 7 6" xfId="26881" xr:uid="{F06960AD-2729-4914-8BAD-E31792B1E9CE}"/>
    <cellStyle name="20% - Accent4 8" xfId="1875" xr:uid="{00000000-0005-0000-0000-00007A020000}"/>
    <cellStyle name="20% - Accent4 8 2" xfId="4104" xr:uid="{00000000-0005-0000-0000-00007B020000}"/>
    <cellStyle name="20% - Accent4 8 2 2" xfId="8326" xr:uid="{00000000-0005-0000-0000-00007C020000}"/>
    <cellStyle name="20% - Accent4 8 2 2 2" xfId="16776" xr:uid="{F20A0A10-40B8-433E-91B6-CA01EFAC2755}"/>
    <cellStyle name="20% - Accent4 8 2 2 3" xfId="25216" xr:uid="{8827C3BA-EEB6-40D0-A757-68FD241B9D35}"/>
    <cellStyle name="20% - Accent4 8 2 2 4" xfId="33656" xr:uid="{CE166990-48CF-4540-A74B-D628907B652B}"/>
    <cellStyle name="20% - Accent4 8 2 3" xfId="12558" xr:uid="{7FA3E507-1F6E-489F-8C38-434EFB2CBF2E}"/>
    <cellStyle name="20% - Accent4 8 2 4" xfId="20999" xr:uid="{2A34EE0C-A0FF-475D-985B-2A55C7AE262E}"/>
    <cellStyle name="20% - Accent4 8 2 5" xfId="29439" xr:uid="{3A4E56CB-2C3F-4B68-A99D-86A3A9A7F678}"/>
    <cellStyle name="20% - Accent4 8 3" xfId="6181" xr:uid="{00000000-0005-0000-0000-00007D020000}"/>
    <cellStyle name="20% - Accent4 8 3 2" xfId="14631" xr:uid="{86750EA9-E3E1-4758-93A1-2AE5C48DD2A4}"/>
    <cellStyle name="20% - Accent4 8 3 3" xfId="23071" xr:uid="{3EC5D441-62E9-4CC7-96E4-2218E8AAF8F5}"/>
    <cellStyle name="20% - Accent4 8 3 4" xfId="31511" xr:uid="{DD5E0D50-B5E8-473C-ADF8-C42A0E8719D9}"/>
    <cellStyle name="20% - Accent4 8 4" xfId="10413" xr:uid="{B2E99579-3345-49D8-94B2-EDAECFE88A7E}"/>
    <cellStyle name="20% - Accent4 8 5" xfId="18854" xr:uid="{34EB0A9B-01D7-49AB-BC30-54E6957B3FAA}"/>
    <cellStyle name="20% - Accent4 8 6" xfId="27294" xr:uid="{8717F115-30E9-4117-99B8-E39BEB55CF4C}"/>
    <cellStyle name="20% - Accent4 9" xfId="2288" xr:uid="{00000000-0005-0000-0000-00007E020000}"/>
    <cellStyle name="20% - Accent4 9 2" xfId="6594" xr:uid="{00000000-0005-0000-0000-00007F020000}"/>
    <cellStyle name="20% - Accent4 9 2 2" xfId="15044" xr:uid="{C89598DD-A2F0-4369-B261-24B9787E58A8}"/>
    <cellStyle name="20% - Accent4 9 2 3" xfId="23484" xr:uid="{D8B11D28-9E40-49CF-9276-E8CE3B96A68C}"/>
    <cellStyle name="20% - Accent4 9 2 4" xfId="31924" xr:uid="{50615114-B84F-4F7A-9A48-49B526879994}"/>
    <cellStyle name="20% - Accent4 9 3" xfId="10826" xr:uid="{43C70676-74B3-4BDA-82FF-847B64CC9EB0}"/>
    <cellStyle name="20% - Accent4 9 4" xfId="19267" xr:uid="{8DA44E1B-9C1C-409E-975D-88229BCCF56A}"/>
    <cellStyle name="20% - Accent4 9 5" xfId="27707" xr:uid="{5E9E4932-2E68-4C65-82E9-312E0A80A8E9}"/>
    <cellStyle name="20% - Accent5" xfId="33" builtinId="46" customBuiltin="1"/>
    <cellStyle name="20% - Accent5 10" xfId="4536" xr:uid="{00000000-0005-0000-0000-000081020000}"/>
    <cellStyle name="20% - Accent5 10 2" xfId="12986" xr:uid="{0C158193-5418-43A2-B8C6-440FB8286E99}"/>
    <cellStyle name="20% - Accent5 10 3" xfId="21426" xr:uid="{9AC74064-0D68-471D-9CD5-017A9A6EC31A}"/>
    <cellStyle name="20% - Accent5 10 4" xfId="29866" xr:uid="{03D06B6F-E8DC-4C0C-901B-70499729B349}"/>
    <cellStyle name="20% - Accent5 11" xfId="8768" xr:uid="{67CA8026-A33D-48AF-8509-40B63539F22B}"/>
    <cellStyle name="20% - Accent5 12" xfId="17209" xr:uid="{7BADB68B-380D-41DC-8DDB-86B42EFD11BB}"/>
    <cellStyle name="20% - Accent5 13" xfId="25649" xr:uid="{D75240A4-C0F1-4513-96F6-B8DF032AA8F9}"/>
    <cellStyle name="20% - Accent5 2" xfId="34" xr:uid="{00000000-0005-0000-0000-000082020000}"/>
    <cellStyle name="20% - Accent5 2 10" xfId="8769" xr:uid="{B11B83E3-97A7-4A7E-B08C-A29F6844F386}"/>
    <cellStyle name="20% - Accent5 2 11" xfId="17210" xr:uid="{66F60956-14F2-4308-A589-0A2777684838}"/>
    <cellStyle name="20% - Accent5 2 12" xfId="25650" xr:uid="{3DE54245-8021-4AAA-833B-6493F98BB849}"/>
    <cellStyle name="20% - Accent5 2 2" xfId="35" xr:uid="{00000000-0005-0000-0000-000083020000}"/>
    <cellStyle name="20% - Accent5 2 2 10" xfId="17211" xr:uid="{87AB27E8-9147-4A31-9C54-B1E22A43D167}"/>
    <cellStyle name="20% - Accent5 2 2 11" xfId="25651" xr:uid="{42182D02-B4FB-43B3-B047-96A5E5C0F15C}"/>
    <cellStyle name="20% - Accent5 2 2 2" xfId="36" xr:uid="{00000000-0005-0000-0000-000084020000}"/>
    <cellStyle name="20% - Accent5 2 2 2 10" xfId="25652" xr:uid="{AED087E0-E29E-445F-8C7B-0A1DE7BF2D8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2 2 2" xfId="15548" xr:uid="{0109900B-8717-4F4A-BF83-8C55C3AFF9DA}"/>
    <cellStyle name="20% - Accent5 2 2 2 2 2 2 3" xfId="23988" xr:uid="{A9D45726-EEAA-448C-9025-F075E56DD001}"/>
    <cellStyle name="20% - Accent5 2 2 2 2 2 2 4" xfId="32428" xr:uid="{05AA966B-6024-4AFD-AF24-EF3DC72BCD5F}"/>
    <cellStyle name="20% - Accent5 2 2 2 2 2 3" xfId="11330" xr:uid="{A11D4016-3DD5-4DD5-8A62-5986F6E267FD}"/>
    <cellStyle name="20% - Accent5 2 2 2 2 2 4" xfId="19771" xr:uid="{2EEEF4A3-6497-47BE-8316-543C0D185428}"/>
    <cellStyle name="20% - Accent5 2 2 2 2 2 5" xfId="28211" xr:uid="{A4C69FB0-D8B0-4F26-982E-6AFC211EC940}"/>
    <cellStyle name="20% - Accent5 2 2 2 2 3" xfId="4953" xr:uid="{00000000-0005-0000-0000-000088020000}"/>
    <cellStyle name="20% - Accent5 2 2 2 2 3 2" xfId="13403" xr:uid="{F0304E6D-8DB6-49A1-A622-B6D0861C7365}"/>
    <cellStyle name="20% - Accent5 2 2 2 2 3 3" xfId="21843" xr:uid="{8C47C338-4220-4A3C-B1A8-445947FE6103}"/>
    <cellStyle name="20% - Accent5 2 2 2 2 3 4" xfId="30283" xr:uid="{C5B00BE0-7F22-42B9-A074-E9E82AA577B0}"/>
    <cellStyle name="20% - Accent5 2 2 2 2 4" xfId="9185" xr:uid="{375976B5-6B70-4D3C-BD51-375A02F0AEC2}"/>
    <cellStyle name="20% - Accent5 2 2 2 2 5" xfId="17626" xr:uid="{8DCD2FE7-5E60-4311-A4EB-351F96F04060}"/>
    <cellStyle name="20% - Accent5 2 2 2 2 6" xfId="26066" xr:uid="{88BA9CA4-1A9E-433D-89F1-3267F418FEC8}"/>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2 2 2" xfId="15961" xr:uid="{7BCD9503-F1CA-4A2C-909F-EA88E1875FF8}"/>
    <cellStyle name="20% - Accent5 2 2 2 3 2 2 3" xfId="24401" xr:uid="{E512185C-6AD4-4938-BFF3-60CA262ED560}"/>
    <cellStyle name="20% - Accent5 2 2 2 3 2 2 4" xfId="32841" xr:uid="{6084FD78-3C24-4DDF-82DA-484C4B7F9ECB}"/>
    <cellStyle name="20% - Accent5 2 2 2 3 2 3" xfId="11743" xr:uid="{C402A3C7-0E26-4A55-8B17-AAD631F7235A}"/>
    <cellStyle name="20% - Accent5 2 2 2 3 2 4" xfId="20184" xr:uid="{ABDDD013-1AB3-41EC-8D06-DC0A6012027B}"/>
    <cellStyle name="20% - Accent5 2 2 2 3 2 5" xfId="28624" xr:uid="{80248C9F-2145-4507-B6A6-22AE9FF1AD6D}"/>
    <cellStyle name="20% - Accent5 2 2 2 3 3" xfId="5366" xr:uid="{00000000-0005-0000-0000-00008C020000}"/>
    <cellStyle name="20% - Accent5 2 2 2 3 3 2" xfId="13816" xr:uid="{6A142484-8AD5-4FAE-A152-B5595C6EECEF}"/>
    <cellStyle name="20% - Accent5 2 2 2 3 3 3" xfId="22256" xr:uid="{4FBF3FA8-2BB1-4269-B157-CBA60234AC97}"/>
    <cellStyle name="20% - Accent5 2 2 2 3 3 4" xfId="30696" xr:uid="{A0B870CF-A3CC-47CD-8050-4CAB423CC0E6}"/>
    <cellStyle name="20% - Accent5 2 2 2 3 4" xfId="9598" xr:uid="{5D73F907-B179-4F54-9A49-D17C95FB2D3F}"/>
    <cellStyle name="20% - Accent5 2 2 2 3 5" xfId="18039" xr:uid="{ED01B740-3BDA-4B66-89D7-AD417E495681}"/>
    <cellStyle name="20% - Accent5 2 2 2 3 6" xfId="26479" xr:uid="{FD8CF23C-9560-4483-B2D8-200C830C3AF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2 2 2" xfId="16374" xr:uid="{4401CE06-1F0C-46A8-8FBA-2995E052F1AB}"/>
    <cellStyle name="20% - Accent5 2 2 2 4 2 2 3" xfId="24814" xr:uid="{6E6F395A-5AC5-42C3-9F66-1167F10E3F2C}"/>
    <cellStyle name="20% - Accent5 2 2 2 4 2 2 4" xfId="33254" xr:uid="{0E5E6936-65DA-4077-A602-318350E0EAA8}"/>
    <cellStyle name="20% - Accent5 2 2 2 4 2 3" xfId="12156" xr:uid="{F0B769CF-3A48-47F0-9C97-7606F39004FF}"/>
    <cellStyle name="20% - Accent5 2 2 2 4 2 4" xfId="20597" xr:uid="{00061BC6-2D89-49CC-AC20-ED6C9437B741}"/>
    <cellStyle name="20% - Accent5 2 2 2 4 2 5" xfId="29037" xr:uid="{33890930-5E54-41B1-AFCE-533ECAF5214C}"/>
    <cellStyle name="20% - Accent5 2 2 2 4 3" xfId="5779" xr:uid="{00000000-0005-0000-0000-000090020000}"/>
    <cellStyle name="20% - Accent5 2 2 2 4 3 2" xfId="14229" xr:uid="{CCDC0E34-9360-4919-B602-BED90C7036FE}"/>
    <cellStyle name="20% - Accent5 2 2 2 4 3 3" xfId="22669" xr:uid="{097368EF-AC79-48AD-AB04-48031B2ED7FF}"/>
    <cellStyle name="20% - Accent5 2 2 2 4 3 4" xfId="31109" xr:uid="{2B5A82C2-788F-48A0-A6CF-D6E06A9D9850}"/>
    <cellStyle name="20% - Accent5 2 2 2 4 4" xfId="10011" xr:uid="{1E8BC6F3-DE4F-4A38-9B14-016E44497488}"/>
    <cellStyle name="20% - Accent5 2 2 2 4 5" xfId="18452" xr:uid="{A44611D9-7D1E-4FB7-9552-7DB573FDF020}"/>
    <cellStyle name="20% - Accent5 2 2 2 4 6" xfId="26892" xr:uid="{54BECFEB-76BF-4D76-A7E4-62AD30C2C09E}"/>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2 2 2" xfId="16787" xr:uid="{DA1209DF-AE96-4612-A335-DCEC74E863B8}"/>
    <cellStyle name="20% - Accent5 2 2 2 5 2 2 3" xfId="25227" xr:uid="{D9F0651D-AE3E-4515-B3BB-0880C59980B9}"/>
    <cellStyle name="20% - Accent5 2 2 2 5 2 2 4" xfId="33667" xr:uid="{B3FB7B7A-F04E-47E9-A205-9EA72CDFEFA8}"/>
    <cellStyle name="20% - Accent5 2 2 2 5 2 3" xfId="12569" xr:uid="{A2402DD0-FA66-4802-9E71-79F3C3DDB8B2}"/>
    <cellStyle name="20% - Accent5 2 2 2 5 2 4" xfId="21010" xr:uid="{87464F8F-B7F4-4A9C-89A3-4F86F572D35B}"/>
    <cellStyle name="20% - Accent5 2 2 2 5 2 5" xfId="29450" xr:uid="{E9790D5C-A4F2-44A3-8F1A-7E1C45776B4E}"/>
    <cellStyle name="20% - Accent5 2 2 2 5 3" xfId="6192" xr:uid="{00000000-0005-0000-0000-000094020000}"/>
    <cellStyle name="20% - Accent5 2 2 2 5 3 2" xfId="14642" xr:uid="{16F01471-2EC4-493A-A485-0E2901BFB45E}"/>
    <cellStyle name="20% - Accent5 2 2 2 5 3 3" xfId="23082" xr:uid="{18939F3A-6BBB-49D4-BF2B-DCA3F9BD9EA1}"/>
    <cellStyle name="20% - Accent5 2 2 2 5 3 4" xfId="31522" xr:uid="{08C206E6-6173-45B3-B617-94A5C6A0C667}"/>
    <cellStyle name="20% - Accent5 2 2 2 5 4" xfId="10424" xr:uid="{CF830128-A2DA-4FC6-8296-C9586FDBD1A5}"/>
    <cellStyle name="20% - Accent5 2 2 2 5 5" xfId="18865" xr:uid="{035B7990-B601-48FE-A408-BEA59BA337EE}"/>
    <cellStyle name="20% - Accent5 2 2 2 5 6" xfId="27305" xr:uid="{1E68E687-93B9-4446-B55C-4376F53DE50B}"/>
    <cellStyle name="20% - Accent5 2 2 2 6" xfId="2299" xr:uid="{00000000-0005-0000-0000-000095020000}"/>
    <cellStyle name="20% - Accent5 2 2 2 6 2" xfId="6605" xr:uid="{00000000-0005-0000-0000-000096020000}"/>
    <cellStyle name="20% - Accent5 2 2 2 6 2 2" xfId="15055" xr:uid="{F03ADBF5-1CA5-444D-9DF6-279A686C202B}"/>
    <cellStyle name="20% - Accent5 2 2 2 6 2 3" xfId="23495" xr:uid="{C67B33C9-4B25-4004-9AAE-32ACFB90BAEB}"/>
    <cellStyle name="20% - Accent5 2 2 2 6 2 4" xfId="31935" xr:uid="{DB54631C-F596-4B9D-8784-3C800B4D2DE8}"/>
    <cellStyle name="20% - Accent5 2 2 2 6 3" xfId="10837" xr:uid="{098E5A49-361E-48AC-AA0C-0F56DBE77913}"/>
    <cellStyle name="20% - Accent5 2 2 2 6 4" xfId="19278" xr:uid="{1AEEFEE9-E093-4614-9A65-EC214BD4BE94}"/>
    <cellStyle name="20% - Accent5 2 2 2 6 5" xfId="27718" xr:uid="{3AF01B5F-0AC8-45A8-85AF-9398763FCBE0}"/>
    <cellStyle name="20% - Accent5 2 2 2 7" xfId="4539" xr:uid="{00000000-0005-0000-0000-000097020000}"/>
    <cellStyle name="20% - Accent5 2 2 2 7 2" xfId="12989" xr:uid="{CEBAEEC2-1619-481A-95CE-9C6CDC99A89D}"/>
    <cellStyle name="20% - Accent5 2 2 2 7 3" xfId="21429" xr:uid="{B2370004-190F-499B-B79A-18D094323E22}"/>
    <cellStyle name="20% - Accent5 2 2 2 7 4" xfId="29869" xr:uid="{1952CEE9-E646-4853-BC11-079BBDAC854E}"/>
    <cellStyle name="20% - Accent5 2 2 2 8" xfId="8771" xr:uid="{21038C82-D1B6-402A-B71E-F9727060FA43}"/>
    <cellStyle name="20% - Accent5 2 2 2 9" xfId="17212" xr:uid="{1AA15B9D-70D3-4E7E-B0F9-4EEDCB004259}"/>
    <cellStyle name="20% - Accent5 2 2 3" xfId="604" xr:uid="{00000000-0005-0000-0000-000098020000}"/>
    <cellStyle name="20% - Accent5 2 2 3 2" xfId="2875" xr:uid="{00000000-0005-0000-0000-000099020000}"/>
    <cellStyle name="20% - Accent5 2 2 3 2 2" xfId="7097" xr:uid="{00000000-0005-0000-0000-00009A020000}"/>
    <cellStyle name="20% - Accent5 2 2 3 2 2 2" xfId="15547" xr:uid="{74E5CF35-ACD7-4A4E-8D39-51271C47D2C6}"/>
    <cellStyle name="20% - Accent5 2 2 3 2 2 3" xfId="23987" xr:uid="{52712230-AA74-480E-AAC0-0B0BDDBE52B1}"/>
    <cellStyle name="20% - Accent5 2 2 3 2 2 4" xfId="32427" xr:uid="{EE54E9D5-49C7-453E-A4DC-E5E65AE3990E}"/>
    <cellStyle name="20% - Accent5 2 2 3 2 3" xfId="11329" xr:uid="{97E545C4-AB96-42E2-9E56-18A93C37117B}"/>
    <cellStyle name="20% - Accent5 2 2 3 2 4" xfId="19770" xr:uid="{DAC40A4F-DF4C-4813-AED2-74D0F6095C24}"/>
    <cellStyle name="20% - Accent5 2 2 3 2 5" xfId="28210" xr:uid="{1FDF21D3-10FE-4553-98F3-F8E802CF67E7}"/>
    <cellStyle name="20% - Accent5 2 2 3 3" xfId="4952" xr:uid="{00000000-0005-0000-0000-00009B020000}"/>
    <cellStyle name="20% - Accent5 2 2 3 3 2" xfId="13402" xr:uid="{CEFFFCAD-07EE-453C-8E70-FF14C462F140}"/>
    <cellStyle name="20% - Accent5 2 2 3 3 3" xfId="21842" xr:uid="{16F3C611-C20A-4529-B1FA-D105CBAC312E}"/>
    <cellStyle name="20% - Accent5 2 2 3 3 4" xfId="30282" xr:uid="{0D6C008A-47CA-4E92-800B-8ECF4901542C}"/>
    <cellStyle name="20% - Accent5 2 2 3 4" xfId="9184" xr:uid="{B83B10CA-6C7D-476E-8899-85EE537319B9}"/>
    <cellStyle name="20% - Accent5 2 2 3 5" xfId="17625" xr:uid="{EDB88203-5008-4B9D-9224-02A37CF15EFB}"/>
    <cellStyle name="20% - Accent5 2 2 3 6" xfId="26065" xr:uid="{20E2232D-2EB6-4895-B2EE-B4290EF0A95E}"/>
    <cellStyle name="20% - Accent5 2 2 4" xfId="1057" xr:uid="{00000000-0005-0000-0000-00009C020000}"/>
    <cellStyle name="20% - Accent5 2 2 4 2" xfId="3288" xr:uid="{00000000-0005-0000-0000-00009D020000}"/>
    <cellStyle name="20% - Accent5 2 2 4 2 2" xfId="7510" xr:uid="{00000000-0005-0000-0000-00009E020000}"/>
    <cellStyle name="20% - Accent5 2 2 4 2 2 2" xfId="15960" xr:uid="{058C5FF7-4851-4004-A910-D55BE993A07F}"/>
    <cellStyle name="20% - Accent5 2 2 4 2 2 3" xfId="24400" xr:uid="{653BAD31-2376-4F4B-AED4-8FA32CA00D38}"/>
    <cellStyle name="20% - Accent5 2 2 4 2 2 4" xfId="32840" xr:uid="{8523B294-6E69-418C-90E9-FB99B507D9AF}"/>
    <cellStyle name="20% - Accent5 2 2 4 2 3" xfId="11742" xr:uid="{125D7551-2810-4111-B3E6-03CCE409A0E8}"/>
    <cellStyle name="20% - Accent5 2 2 4 2 4" xfId="20183" xr:uid="{F642284F-56EA-4727-8C4E-ECA619C7FB20}"/>
    <cellStyle name="20% - Accent5 2 2 4 2 5" xfId="28623" xr:uid="{4B7D1DFB-EF72-4DEE-9C31-0D9B146CE4B0}"/>
    <cellStyle name="20% - Accent5 2 2 4 3" xfId="5365" xr:uid="{00000000-0005-0000-0000-00009F020000}"/>
    <cellStyle name="20% - Accent5 2 2 4 3 2" xfId="13815" xr:uid="{15E83C0F-82B2-46CD-9298-33E6F5392CCD}"/>
    <cellStyle name="20% - Accent5 2 2 4 3 3" xfId="22255" xr:uid="{4841F577-2848-4E2E-861D-08D3B614A362}"/>
    <cellStyle name="20% - Accent5 2 2 4 3 4" xfId="30695" xr:uid="{9AA45C00-C8C7-40F9-9B18-3E46D82715BC}"/>
    <cellStyle name="20% - Accent5 2 2 4 4" xfId="9597" xr:uid="{FC0D7FB6-25F3-45C8-B05E-6871A874B2CF}"/>
    <cellStyle name="20% - Accent5 2 2 4 5" xfId="18038" xr:uid="{9B858B6D-8BAB-4832-9FEE-DB4AC2CADE47}"/>
    <cellStyle name="20% - Accent5 2 2 4 6" xfId="26478" xr:uid="{859E8BBA-AE0E-4F7A-915E-36931541CEF9}"/>
    <cellStyle name="20% - Accent5 2 2 5" xfId="1471" xr:uid="{00000000-0005-0000-0000-0000A0020000}"/>
    <cellStyle name="20% - Accent5 2 2 5 2" xfId="3701" xr:uid="{00000000-0005-0000-0000-0000A1020000}"/>
    <cellStyle name="20% - Accent5 2 2 5 2 2" xfId="7923" xr:uid="{00000000-0005-0000-0000-0000A2020000}"/>
    <cellStyle name="20% - Accent5 2 2 5 2 2 2" xfId="16373" xr:uid="{ABDC2B22-9D55-4E62-9DB6-25D3EE1CC2D9}"/>
    <cellStyle name="20% - Accent5 2 2 5 2 2 3" xfId="24813" xr:uid="{610A61F7-2C87-45BA-9740-DD91527BF3B4}"/>
    <cellStyle name="20% - Accent5 2 2 5 2 2 4" xfId="33253" xr:uid="{6DB2E5C1-4C6E-4F07-9F03-B635FA7EE0E0}"/>
    <cellStyle name="20% - Accent5 2 2 5 2 3" xfId="12155" xr:uid="{3CD31663-1C28-4B27-8768-FEE18018BA16}"/>
    <cellStyle name="20% - Accent5 2 2 5 2 4" xfId="20596" xr:uid="{99631BF1-9FB3-4C43-AC0A-FDFBA902212D}"/>
    <cellStyle name="20% - Accent5 2 2 5 2 5" xfId="29036" xr:uid="{AAA90B16-B8A8-447B-8705-3050B18DE49E}"/>
    <cellStyle name="20% - Accent5 2 2 5 3" xfId="5778" xr:uid="{00000000-0005-0000-0000-0000A3020000}"/>
    <cellStyle name="20% - Accent5 2 2 5 3 2" xfId="14228" xr:uid="{CFA1B5F6-AEF6-4C73-80FE-3335EFDFE17E}"/>
    <cellStyle name="20% - Accent5 2 2 5 3 3" xfId="22668" xr:uid="{B3377544-CCD4-4F0F-BCE0-776AADA763CE}"/>
    <cellStyle name="20% - Accent5 2 2 5 3 4" xfId="31108" xr:uid="{5CB83BBB-B064-45CA-8E7E-0C6BEDA18D2C}"/>
    <cellStyle name="20% - Accent5 2 2 5 4" xfId="10010" xr:uid="{9376B820-5EBF-4244-9230-F52765F3F14E}"/>
    <cellStyle name="20% - Accent5 2 2 5 5" xfId="18451" xr:uid="{360D2651-B426-4F00-825B-0ACEB8F8E72E}"/>
    <cellStyle name="20% - Accent5 2 2 5 6" xfId="26891" xr:uid="{AD3BE1B7-A734-4B8E-B38B-9C0201C9FAD1}"/>
    <cellStyle name="20% - Accent5 2 2 6" xfId="1885" xr:uid="{00000000-0005-0000-0000-0000A4020000}"/>
    <cellStyle name="20% - Accent5 2 2 6 2" xfId="4114" xr:uid="{00000000-0005-0000-0000-0000A5020000}"/>
    <cellStyle name="20% - Accent5 2 2 6 2 2" xfId="8336" xr:uid="{00000000-0005-0000-0000-0000A6020000}"/>
    <cellStyle name="20% - Accent5 2 2 6 2 2 2" xfId="16786" xr:uid="{72EAF3C8-DC94-40A7-917D-61774586C795}"/>
    <cellStyle name="20% - Accent5 2 2 6 2 2 3" xfId="25226" xr:uid="{AE95B3B4-9E9E-4CD0-AB29-763D4AA43D0E}"/>
    <cellStyle name="20% - Accent5 2 2 6 2 2 4" xfId="33666" xr:uid="{FC9E84CC-221E-4A0C-8BC8-ECCEC0EDDE3D}"/>
    <cellStyle name="20% - Accent5 2 2 6 2 3" xfId="12568" xr:uid="{53FC333E-C272-4CC3-88FC-D325EB924BA5}"/>
    <cellStyle name="20% - Accent5 2 2 6 2 4" xfId="21009" xr:uid="{12451197-9356-46A3-B2D4-908873858360}"/>
    <cellStyle name="20% - Accent5 2 2 6 2 5" xfId="29449" xr:uid="{89DE351E-C70A-43C0-91EB-5E9E68F997DF}"/>
    <cellStyle name="20% - Accent5 2 2 6 3" xfId="6191" xr:uid="{00000000-0005-0000-0000-0000A7020000}"/>
    <cellStyle name="20% - Accent5 2 2 6 3 2" xfId="14641" xr:uid="{2F42FB61-FE56-42A9-8505-92486872C376}"/>
    <cellStyle name="20% - Accent5 2 2 6 3 3" xfId="23081" xr:uid="{565C6279-E657-4D79-9B6F-66AEE720EB64}"/>
    <cellStyle name="20% - Accent5 2 2 6 3 4" xfId="31521" xr:uid="{A4D94D7C-F59F-4487-B951-CD39F40FA831}"/>
    <cellStyle name="20% - Accent5 2 2 6 4" xfId="10423" xr:uid="{BB5CE54A-902B-4248-8845-FAF1B53531AB}"/>
    <cellStyle name="20% - Accent5 2 2 6 5" xfId="18864" xr:uid="{9487FBDB-6FE3-46F9-AFD3-7B2507D1E4CC}"/>
    <cellStyle name="20% - Accent5 2 2 6 6" xfId="27304" xr:uid="{8CB35C4C-1202-49EA-89A9-29A597E00A4B}"/>
    <cellStyle name="20% - Accent5 2 2 7" xfId="2298" xr:uid="{00000000-0005-0000-0000-0000A8020000}"/>
    <cellStyle name="20% - Accent5 2 2 7 2" xfId="6604" xr:uid="{00000000-0005-0000-0000-0000A9020000}"/>
    <cellStyle name="20% - Accent5 2 2 7 2 2" xfId="15054" xr:uid="{D7161BD2-A0BF-4805-9D19-56FBB1095886}"/>
    <cellStyle name="20% - Accent5 2 2 7 2 3" xfId="23494" xr:uid="{8065D76E-2C40-4265-B32A-93BB4D0A7580}"/>
    <cellStyle name="20% - Accent5 2 2 7 2 4" xfId="31934" xr:uid="{57F5B48D-F64F-471E-9729-B8D760835873}"/>
    <cellStyle name="20% - Accent5 2 2 7 3" xfId="10836" xr:uid="{3B703505-064A-49EF-B0C3-8E938E85FBD2}"/>
    <cellStyle name="20% - Accent5 2 2 7 4" xfId="19277" xr:uid="{8FA4D44D-C023-44B8-9EEB-6C16B9A7B755}"/>
    <cellStyle name="20% - Accent5 2 2 7 5" xfId="27717" xr:uid="{9CA9A0AF-97C8-4014-A5B3-270494A7C2F8}"/>
    <cellStyle name="20% - Accent5 2 2 8" xfId="4538" xr:uid="{00000000-0005-0000-0000-0000AA020000}"/>
    <cellStyle name="20% - Accent5 2 2 8 2" xfId="12988" xr:uid="{44566CC2-26F1-4C99-A1B4-717A6AF4C3A5}"/>
    <cellStyle name="20% - Accent5 2 2 8 3" xfId="21428" xr:uid="{A6C8B33E-C3B7-40B8-B7A4-492E7BFB2D73}"/>
    <cellStyle name="20% - Accent5 2 2 8 4" xfId="29868" xr:uid="{989E655D-6328-45BF-9221-DE64FB0AD22A}"/>
    <cellStyle name="20% - Accent5 2 2 9" xfId="8770" xr:uid="{515511C5-968C-4266-9818-76B70E670CE9}"/>
    <cellStyle name="20% - Accent5 2 3" xfId="37" xr:uid="{00000000-0005-0000-0000-0000AB020000}"/>
    <cellStyle name="20% - Accent5 2 3 10" xfId="25653" xr:uid="{677A190F-CA6A-412E-9833-93A4BCFE6466}"/>
    <cellStyle name="20% - Accent5 2 3 2" xfId="606" xr:uid="{00000000-0005-0000-0000-0000AC020000}"/>
    <cellStyle name="20% - Accent5 2 3 2 2" xfId="2877" xr:uid="{00000000-0005-0000-0000-0000AD020000}"/>
    <cellStyle name="20% - Accent5 2 3 2 2 2" xfId="7099" xr:uid="{00000000-0005-0000-0000-0000AE020000}"/>
    <cellStyle name="20% - Accent5 2 3 2 2 2 2" xfId="15549" xr:uid="{98362AE5-8241-4682-80D7-94207B0A9685}"/>
    <cellStyle name="20% - Accent5 2 3 2 2 2 3" xfId="23989" xr:uid="{A0C2B030-4257-472A-A30B-0FC79FD3C64D}"/>
    <cellStyle name="20% - Accent5 2 3 2 2 2 4" xfId="32429" xr:uid="{8419F17E-52F8-403F-B2DE-EA684E8A58BF}"/>
    <cellStyle name="20% - Accent5 2 3 2 2 3" xfId="11331" xr:uid="{BC870825-181C-470A-80A3-9D0EC9A575E5}"/>
    <cellStyle name="20% - Accent5 2 3 2 2 4" xfId="19772" xr:uid="{243136EC-6A92-42A9-923E-0D44081CC7BE}"/>
    <cellStyle name="20% - Accent5 2 3 2 2 5" xfId="28212" xr:uid="{482D788B-D929-4FD4-82D6-A160FABF0118}"/>
    <cellStyle name="20% - Accent5 2 3 2 3" xfId="4954" xr:uid="{00000000-0005-0000-0000-0000AF020000}"/>
    <cellStyle name="20% - Accent5 2 3 2 3 2" xfId="13404" xr:uid="{AAD14670-357E-488B-B9F5-2AFD195451FE}"/>
    <cellStyle name="20% - Accent5 2 3 2 3 3" xfId="21844" xr:uid="{03E6C64E-906B-4B66-B79C-B3E2EFF8AA36}"/>
    <cellStyle name="20% - Accent5 2 3 2 3 4" xfId="30284" xr:uid="{E198BBD7-80EE-4F1B-9894-D5E70C261910}"/>
    <cellStyle name="20% - Accent5 2 3 2 4" xfId="9186" xr:uid="{657657C8-B3D0-4C28-9ED8-77F573B465EC}"/>
    <cellStyle name="20% - Accent5 2 3 2 5" xfId="17627" xr:uid="{C6D003FE-3C62-4D76-BEFC-2A5996AFE016}"/>
    <cellStyle name="20% - Accent5 2 3 2 6" xfId="26067" xr:uid="{0EC760B2-4B02-406B-BEDD-313BD3960F8E}"/>
    <cellStyle name="20% - Accent5 2 3 3" xfId="1059" xr:uid="{00000000-0005-0000-0000-0000B0020000}"/>
    <cellStyle name="20% - Accent5 2 3 3 2" xfId="3290" xr:uid="{00000000-0005-0000-0000-0000B1020000}"/>
    <cellStyle name="20% - Accent5 2 3 3 2 2" xfId="7512" xr:uid="{00000000-0005-0000-0000-0000B2020000}"/>
    <cellStyle name="20% - Accent5 2 3 3 2 2 2" xfId="15962" xr:uid="{8DAF77BF-5D64-42EF-AF7D-39E680895681}"/>
    <cellStyle name="20% - Accent5 2 3 3 2 2 3" xfId="24402" xr:uid="{17E39B0A-F8E9-42AC-ABDC-24F7B64EC2B8}"/>
    <cellStyle name="20% - Accent5 2 3 3 2 2 4" xfId="32842" xr:uid="{F78A1083-49A6-465F-BAC1-E8EF33F90952}"/>
    <cellStyle name="20% - Accent5 2 3 3 2 3" xfId="11744" xr:uid="{9C4B3AC3-5B75-4272-9AA4-9AF3CFB5C238}"/>
    <cellStyle name="20% - Accent5 2 3 3 2 4" xfId="20185" xr:uid="{30CC7D2D-866B-4D60-A545-B3545BB0944F}"/>
    <cellStyle name="20% - Accent5 2 3 3 2 5" xfId="28625" xr:uid="{E9A32903-33E7-4094-942F-E661B748BB4A}"/>
    <cellStyle name="20% - Accent5 2 3 3 3" xfId="5367" xr:uid="{00000000-0005-0000-0000-0000B3020000}"/>
    <cellStyle name="20% - Accent5 2 3 3 3 2" xfId="13817" xr:uid="{68891CB8-1EA4-4D35-99F0-49B5F86B97F8}"/>
    <cellStyle name="20% - Accent5 2 3 3 3 3" xfId="22257" xr:uid="{59320615-1F43-4A27-A359-878509152F71}"/>
    <cellStyle name="20% - Accent5 2 3 3 3 4" xfId="30697" xr:uid="{E8631B90-D73D-426E-877E-923AC57A78BA}"/>
    <cellStyle name="20% - Accent5 2 3 3 4" xfId="9599" xr:uid="{279EA93E-02FF-4279-8157-66E82FC29144}"/>
    <cellStyle name="20% - Accent5 2 3 3 5" xfId="18040" xr:uid="{3E975F5F-F3D2-4A02-8B34-BE46876DAB7A}"/>
    <cellStyle name="20% - Accent5 2 3 3 6" xfId="26480" xr:uid="{8D34CCED-B44F-4F4C-A7D7-EC5AD5D7053B}"/>
    <cellStyle name="20% - Accent5 2 3 4" xfId="1473" xr:uid="{00000000-0005-0000-0000-0000B4020000}"/>
    <cellStyle name="20% - Accent5 2 3 4 2" xfId="3703" xr:uid="{00000000-0005-0000-0000-0000B5020000}"/>
    <cellStyle name="20% - Accent5 2 3 4 2 2" xfId="7925" xr:uid="{00000000-0005-0000-0000-0000B6020000}"/>
    <cellStyle name="20% - Accent5 2 3 4 2 2 2" xfId="16375" xr:uid="{5D6739E8-183D-4B0B-9AB7-CF5F2DCDFA1E}"/>
    <cellStyle name="20% - Accent5 2 3 4 2 2 3" xfId="24815" xr:uid="{A85D914E-F4BD-4014-9D14-AE2663727DED}"/>
    <cellStyle name="20% - Accent5 2 3 4 2 2 4" xfId="33255" xr:uid="{9393CEA6-597D-4F5C-8406-7F0AF826A981}"/>
    <cellStyle name="20% - Accent5 2 3 4 2 3" xfId="12157" xr:uid="{200025D5-2A00-4536-AE98-11A8241B8BF3}"/>
    <cellStyle name="20% - Accent5 2 3 4 2 4" xfId="20598" xr:uid="{165D73E0-4D47-47DB-A9F9-1DB386360B01}"/>
    <cellStyle name="20% - Accent5 2 3 4 2 5" xfId="29038" xr:uid="{5AE40619-93E0-42E7-84FF-583F59975F18}"/>
    <cellStyle name="20% - Accent5 2 3 4 3" xfId="5780" xr:uid="{00000000-0005-0000-0000-0000B7020000}"/>
    <cellStyle name="20% - Accent5 2 3 4 3 2" xfId="14230" xr:uid="{E2035DFB-836E-4B21-88E7-71C589ADDD33}"/>
    <cellStyle name="20% - Accent5 2 3 4 3 3" xfId="22670" xr:uid="{A8C20E26-9641-46E8-8B8A-46728C702250}"/>
    <cellStyle name="20% - Accent5 2 3 4 3 4" xfId="31110" xr:uid="{2455D17E-9729-4D3D-A113-F9C8E8B0616F}"/>
    <cellStyle name="20% - Accent5 2 3 4 4" xfId="10012" xr:uid="{6E92C6E7-02B9-4B7D-A94F-0C8AAB564248}"/>
    <cellStyle name="20% - Accent5 2 3 4 5" xfId="18453" xr:uid="{54315051-5D76-4856-AF2B-AE12603A973F}"/>
    <cellStyle name="20% - Accent5 2 3 4 6" xfId="26893" xr:uid="{7B3B45B8-EC11-41A5-9992-6F6F1E117FC5}"/>
    <cellStyle name="20% - Accent5 2 3 5" xfId="1887" xr:uid="{00000000-0005-0000-0000-0000B8020000}"/>
    <cellStyle name="20% - Accent5 2 3 5 2" xfId="4116" xr:uid="{00000000-0005-0000-0000-0000B9020000}"/>
    <cellStyle name="20% - Accent5 2 3 5 2 2" xfId="8338" xr:uid="{00000000-0005-0000-0000-0000BA020000}"/>
    <cellStyle name="20% - Accent5 2 3 5 2 2 2" xfId="16788" xr:uid="{04E88A93-D2C7-4219-971D-E9FD37F2A726}"/>
    <cellStyle name="20% - Accent5 2 3 5 2 2 3" xfId="25228" xr:uid="{2C2AD188-C766-4789-9D28-7F2A5CCAFE14}"/>
    <cellStyle name="20% - Accent5 2 3 5 2 2 4" xfId="33668" xr:uid="{759EC7F9-9A5F-43AF-B6B5-22DA4309BEC9}"/>
    <cellStyle name="20% - Accent5 2 3 5 2 3" xfId="12570" xr:uid="{7138FA85-2F6E-41B5-B938-8ED91F5A8977}"/>
    <cellStyle name="20% - Accent5 2 3 5 2 4" xfId="21011" xr:uid="{DBB7D63D-FCBC-4F07-BA62-FFAD63D2D641}"/>
    <cellStyle name="20% - Accent5 2 3 5 2 5" xfId="29451" xr:uid="{849C1996-E770-420E-BCE6-A3AB6884367E}"/>
    <cellStyle name="20% - Accent5 2 3 5 3" xfId="6193" xr:uid="{00000000-0005-0000-0000-0000BB020000}"/>
    <cellStyle name="20% - Accent5 2 3 5 3 2" xfId="14643" xr:uid="{FDE8004E-B3DE-4AEC-9536-820D49AD610E}"/>
    <cellStyle name="20% - Accent5 2 3 5 3 3" xfId="23083" xr:uid="{CAF99F09-8BA6-4BE0-AF29-5F833A3290EF}"/>
    <cellStyle name="20% - Accent5 2 3 5 3 4" xfId="31523" xr:uid="{CB89CC09-1AB4-4B6F-B870-6421F0AEB963}"/>
    <cellStyle name="20% - Accent5 2 3 5 4" xfId="10425" xr:uid="{A0AFE43A-C2E0-4EA9-B5C5-DB0B34676335}"/>
    <cellStyle name="20% - Accent5 2 3 5 5" xfId="18866" xr:uid="{0479710F-AD69-4F44-91A9-38ECAED89A60}"/>
    <cellStyle name="20% - Accent5 2 3 5 6" xfId="27306" xr:uid="{51D34805-B55F-4C70-A4A0-8734D8903C85}"/>
    <cellStyle name="20% - Accent5 2 3 6" xfId="2300" xr:uid="{00000000-0005-0000-0000-0000BC020000}"/>
    <cellStyle name="20% - Accent5 2 3 6 2" xfId="6606" xr:uid="{00000000-0005-0000-0000-0000BD020000}"/>
    <cellStyle name="20% - Accent5 2 3 6 2 2" xfId="15056" xr:uid="{26E79914-8D53-4D89-8D61-0A470971FCC1}"/>
    <cellStyle name="20% - Accent5 2 3 6 2 3" xfId="23496" xr:uid="{FDC86A0C-73FE-4611-94A7-4678EB538866}"/>
    <cellStyle name="20% - Accent5 2 3 6 2 4" xfId="31936" xr:uid="{80FA6ED6-D29D-4454-A5E7-8D4BF4EA6F00}"/>
    <cellStyle name="20% - Accent5 2 3 6 3" xfId="10838" xr:uid="{90796D1B-C505-4A23-B534-C9E5767843A1}"/>
    <cellStyle name="20% - Accent5 2 3 6 4" xfId="19279" xr:uid="{74760240-154A-4CB4-840C-D7866CF3E17F}"/>
    <cellStyle name="20% - Accent5 2 3 6 5" xfId="27719" xr:uid="{B25D740A-190D-4DAB-A7E6-92E8C7815FBB}"/>
    <cellStyle name="20% - Accent5 2 3 7" xfId="4540" xr:uid="{00000000-0005-0000-0000-0000BE020000}"/>
    <cellStyle name="20% - Accent5 2 3 7 2" xfId="12990" xr:uid="{307DD1B4-22B1-4591-BAB0-2781A07D191D}"/>
    <cellStyle name="20% - Accent5 2 3 7 3" xfId="21430" xr:uid="{4D15528D-79A0-4218-AAA4-E190519FAB9E}"/>
    <cellStyle name="20% - Accent5 2 3 7 4" xfId="29870" xr:uid="{10D58BE7-FE2F-4AB9-876D-5931F90BD005}"/>
    <cellStyle name="20% - Accent5 2 3 8" xfId="8772" xr:uid="{C75D5DBB-39F1-46B5-B919-BA4510C013BD}"/>
    <cellStyle name="20% - Accent5 2 3 9" xfId="17213" xr:uid="{72FE8A33-57E2-4DE6-9ADC-A7D41E5C4A30}"/>
    <cellStyle name="20% - Accent5 2 4" xfId="603" xr:uid="{00000000-0005-0000-0000-0000BF020000}"/>
    <cellStyle name="20% - Accent5 2 4 2" xfId="2874" xr:uid="{00000000-0005-0000-0000-0000C0020000}"/>
    <cellStyle name="20% - Accent5 2 4 2 2" xfId="7096" xr:uid="{00000000-0005-0000-0000-0000C1020000}"/>
    <cellStyle name="20% - Accent5 2 4 2 2 2" xfId="15546" xr:uid="{C4965183-4045-4364-B7FD-3377DBA7BA94}"/>
    <cellStyle name="20% - Accent5 2 4 2 2 3" xfId="23986" xr:uid="{3DDF2A7A-B89A-47C9-830E-1110A4EF6097}"/>
    <cellStyle name="20% - Accent5 2 4 2 2 4" xfId="32426" xr:uid="{4C4713B0-7788-4353-8800-CD61728003E6}"/>
    <cellStyle name="20% - Accent5 2 4 2 3" xfId="11328" xr:uid="{2875F414-148A-427E-A041-07AA4694CAAD}"/>
    <cellStyle name="20% - Accent5 2 4 2 4" xfId="19769" xr:uid="{9B4CFF68-29B2-4DC3-84B9-C0F6EAB9749E}"/>
    <cellStyle name="20% - Accent5 2 4 2 5" xfId="28209" xr:uid="{751CEB2C-3026-4460-BA9C-B9E277DD9AB1}"/>
    <cellStyle name="20% - Accent5 2 4 3" xfId="4951" xr:uid="{00000000-0005-0000-0000-0000C2020000}"/>
    <cellStyle name="20% - Accent5 2 4 3 2" xfId="13401" xr:uid="{C5E45FD2-3C3D-4C99-817F-4F776B4CA473}"/>
    <cellStyle name="20% - Accent5 2 4 3 3" xfId="21841" xr:uid="{DA18F917-F691-481B-BAB9-8D205BB8560E}"/>
    <cellStyle name="20% - Accent5 2 4 3 4" xfId="30281" xr:uid="{B8B11845-5FDC-4F54-A8A2-CF15EAFCC3A7}"/>
    <cellStyle name="20% - Accent5 2 4 4" xfId="9183" xr:uid="{9B1ECBCF-FC42-43CB-9A3F-72E0B820E88E}"/>
    <cellStyle name="20% - Accent5 2 4 5" xfId="17624" xr:uid="{31D27FC7-961E-41BF-89BB-D71601762C4A}"/>
    <cellStyle name="20% - Accent5 2 4 6" xfId="26064" xr:uid="{998B0C6B-DA82-4AEF-B511-96C489DD6B7D}"/>
    <cellStyle name="20% - Accent5 2 5" xfId="1056" xr:uid="{00000000-0005-0000-0000-0000C3020000}"/>
    <cellStyle name="20% - Accent5 2 5 2" xfId="3287" xr:uid="{00000000-0005-0000-0000-0000C4020000}"/>
    <cellStyle name="20% - Accent5 2 5 2 2" xfId="7509" xr:uid="{00000000-0005-0000-0000-0000C5020000}"/>
    <cellStyle name="20% - Accent5 2 5 2 2 2" xfId="15959" xr:uid="{53C4FD13-8AD9-4FFF-A730-3478EF6AA60F}"/>
    <cellStyle name="20% - Accent5 2 5 2 2 3" xfId="24399" xr:uid="{CFB1A291-48EA-4089-B55E-728C6C144911}"/>
    <cellStyle name="20% - Accent5 2 5 2 2 4" xfId="32839" xr:uid="{B7A6B7B5-A509-4A0E-B0B5-E717F6046E93}"/>
    <cellStyle name="20% - Accent5 2 5 2 3" xfId="11741" xr:uid="{A89F5BF1-29D7-4CF9-97CA-B1B7584A79B7}"/>
    <cellStyle name="20% - Accent5 2 5 2 4" xfId="20182" xr:uid="{59E180E5-0A4E-4B42-A6D7-BB332B401B84}"/>
    <cellStyle name="20% - Accent5 2 5 2 5" xfId="28622" xr:uid="{60543CDD-EDB2-43BB-99DE-EECB43653D00}"/>
    <cellStyle name="20% - Accent5 2 5 3" xfId="5364" xr:uid="{00000000-0005-0000-0000-0000C6020000}"/>
    <cellStyle name="20% - Accent5 2 5 3 2" xfId="13814" xr:uid="{ADBCC592-3929-479E-95FD-6DEC416E6DAA}"/>
    <cellStyle name="20% - Accent5 2 5 3 3" xfId="22254" xr:uid="{DF6D101F-C091-4360-8627-275105F50AA3}"/>
    <cellStyle name="20% - Accent5 2 5 3 4" xfId="30694" xr:uid="{4FE66B26-0A42-4EF2-9E2E-39A223D5FDE2}"/>
    <cellStyle name="20% - Accent5 2 5 4" xfId="9596" xr:uid="{96FC43C4-D757-437A-A089-7AC44E5F078A}"/>
    <cellStyle name="20% - Accent5 2 5 5" xfId="18037" xr:uid="{AE82C184-40EE-4AC5-AF53-ECBA96E37C23}"/>
    <cellStyle name="20% - Accent5 2 5 6" xfId="26477" xr:uid="{715CDDED-8927-46CC-BC75-879CCE5F6D45}"/>
    <cellStyle name="20% - Accent5 2 6" xfId="1470" xr:uid="{00000000-0005-0000-0000-0000C7020000}"/>
    <cellStyle name="20% - Accent5 2 6 2" xfId="3700" xr:uid="{00000000-0005-0000-0000-0000C8020000}"/>
    <cellStyle name="20% - Accent5 2 6 2 2" xfId="7922" xr:uid="{00000000-0005-0000-0000-0000C9020000}"/>
    <cellStyle name="20% - Accent5 2 6 2 2 2" xfId="16372" xr:uid="{04EDF0AE-89F1-4D21-A897-5D1DE1053201}"/>
    <cellStyle name="20% - Accent5 2 6 2 2 3" xfId="24812" xr:uid="{24F8EAC1-A0C4-4D7C-BE50-74D921DF7C8F}"/>
    <cellStyle name="20% - Accent5 2 6 2 2 4" xfId="33252" xr:uid="{E1F0AA55-BF11-4504-B665-7EC244C19266}"/>
    <cellStyle name="20% - Accent5 2 6 2 3" xfId="12154" xr:uid="{BC34DF0C-4CFC-400D-9A81-11D6B67E24CB}"/>
    <cellStyle name="20% - Accent5 2 6 2 4" xfId="20595" xr:uid="{7D61406C-0995-488E-B565-7290800ECECD}"/>
    <cellStyle name="20% - Accent5 2 6 2 5" xfId="29035" xr:uid="{5DBE3E82-8847-4494-BA74-A788AC2DF3B8}"/>
    <cellStyle name="20% - Accent5 2 6 3" xfId="5777" xr:uid="{00000000-0005-0000-0000-0000CA020000}"/>
    <cellStyle name="20% - Accent5 2 6 3 2" xfId="14227" xr:uid="{4EDBC53B-64B5-43A7-A9B9-4C351EB05322}"/>
    <cellStyle name="20% - Accent5 2 6 3 3" xfId="22667" xr:uid="{98CCF989-1D2B-4A4C-AA7F-B6540A675C1E}"/>
    <cellStyle name="20% - Accent5 2 6 3 4" xfId="31107" xr:uid="{33C63369-D18E-4565-9D9C-369950C8638C}"/>
    <cellStyle name="20% - Accent5 2 6 4" xfId="10009" xr:uid="{27E8A722-1B42-42E3-AA29-457E3B7DD9C4}"/>
    <cellStyle name="20% - Accent5 2 6 5" xfId="18450" xr:uid="{4DDD5282-9B44-49E2-830A-948B8E5C9BD3}"/>
    <cellStyle name="20% - Accent5 2 6 6" xfId="26890" xr:uid="{12082709-30B7-4EF1-BCD5-555AE2ABB9BE}"/>
    <cellStyle name="20% - Accent5 2 7" xfId="1884" xr:uid="{00000000-0005-0000-0000-0000CB020000}"/>
    <cellStyle name="20% - Accent5 2 7 2" xfId="4113" xr:uid="{00000000-0005-0000-0000-0000CC020000}"/>
    <cellStyle name="20% - Accent5 2 7 2 2" xfId="8335" xr:uid="{00000000-0005-0000-0000-0000CD020000}"/>
    <cellStyle name="20% - Accent5 2 7 2 2 2" xfId="16785" xr:uid="{85B18920-6C90-4599-97D6-6FA05D2099A4}"/>
    <cellStyle name="20% - Accent5 2 7 2 2 3" xfId="25225" xr:uid="{1AD7E633-68B1-44F8-A5D4-90FD18D24CF5}"/>
    <cellStyle name="20% - Accent5 2 7 2 2 4" xfId="33665" xr:uid="{ED5516B7-CDEE-43EB-92F4-04849469F67D}"/>
    <cellStyle name="20% - Accent5 2 7 2 3" xfId="12567" xr:uid="{C476FD0D-BEED-4C09-A726-318A816D4B44}"/>
    <cellStyle name="20% - Accent5 2 7 2 4" xfId="21008" xr:uid="{098C444B-34D4-41F0-B77D-AD84D21DB91E}"/>
    <cellStyle name="20% - Accent5 2 7 2 5" xfId="29448" xr:uid="{6CED4D10-B56A-4991-9BF5-EF018C9B7177}"/>
    <cellStyle name="20% - Accent5 2 7 3" xfId="6190" xr:uid="{00000000-0005-0000-0000-0000CE020000}"/>
    <cellStyle name="20% - Accent5 2 7 3 2" xfId="14640" xr:uid="{465791EF-985F-41F1-9EB9-2171BEE89028}"/>
    <cellStyle name="20% - Accent5 2 7 3 3" xfId="23080" xr:uid="{D004A7AA-10AD-457D-8423-644CF2FEE849}"/>
    <cellStyle name="20% - Accent5 2 7 3 4" xfId="31520" xr:uid="{E2A784E7-DB10-41C1-A70D-F8BBEE2EDCE1}"/>
    <cellStyle name="20% - Accent5 2 7 4" xfId="10422" xr:uid="{6A0E40CE-E7B6-4FF0-989F-BD259E4C18BF}"/>
    <cellStyle name="20% - Accent5 2 7 5" xfId="18863" xr:uid="{9F29EDD6-DF23-4937-8026-C05C48CB5895}"/>
    <cellStyle name="20% - Accent5 2 7 6" xfId="27303" xr:uid="{97C6D7BE-B857-4D86-8D0F-352777C7F305}"/>
    <cellStyle name="20% - Accent5 2 8" xfId="2297" xr:uid="{00000000-0005-0000-0000-0000CF020000}"/>
    <cellStyle name="20% - Accent5 2 8 2" xfId="6603" xr:uid="{00000000-0005-0000-0000-0000D0020000}"/>
    <cellStyle name="20% - Accent5 2 8 2 2" xfId="15053" xr:uid="{4E9E41F4-C4C5-4604-A642-7D48CAAC5F7F}"/>
    <cellStyle name="20% - Accent5 2 8 2 3" xfId="23493" xr:uid="{883F4C30-F10E-4E36-8232-31F30AD46A53}"/>
    <cellStyle name="20% - Accent5 2 8 2 4" xfId="31933" xr:uid="{CD8E660C-F952-43CD-8A0A-EB863C685625}"/>
    <cellStyle name="20% - Accent5 2 8 3" xfId="10835" xr:uid="{6D67742E-2C8D-41A1-AFD2-BA53599B175A}"/>
    <cellStyle name="20% - Accent5 2 8 4" xfId="19276" xr:uid="{A2E6836E-FC42-465D-81C2-389A4967B433}"/>
    <cellStyle name="20% - Accent5 2 8 5" xfId="27716" xr:uid="{2C687A6D-8645-40CE-9DB8-533650858E54}"/>
    <cellStyle name="20% - Accent5 2 9" xfId="4537" xr:uid="{00000000-0005-0000-0000-0000D1020000}"/>
    <cellStyle name="20% - Accent5 2 9 2" xfId="12987" xr:uid="{39F7B568-1D36-4741-9C97-4C573BFA9A81}"/>
    <cellStyle name="20% - Accent5 2 9 3" xfId="21427" xr:uid="{4AEC7453-1C14-4290-A896-81A9A1828C71}"/>
    <cellStyle name="20% - Accent5 2 9 4" xfId="29867" xr:uid="{8CAFEC99-51E6-4052-B309-C8C27EB34C2A}"/>
    <cellStyle name="20% - Accent5 3" xfId="38" xr:uid="{00000000-0005-0000-0000-0000D2020000}"/>
    <cellStyle name="20% - Accent5 3 10" xfId="17214" xr:uid="{9DBC9BFF-DCAE-4D89-9D65-69848B6B2503}"/>
    <cellStyle name="20% - Accent5 3 11" xfId="25654" xr:uid="{5E73ED90-58F8-454C-AF7C-C51EAC63C9E8}"/>
    <cellStyle name="20% - Accent5 3 2" xfId="39" xr:uid="{00000000-0005-0000-0000-0000D3020000}"/>
    <cellStyle name="20% - Accent5 3 2 10" xfId="25655" xr:uid="{C1E6BBAE-52B1-4D17-A0F5-C0EECE9F2644}"/>
    <cellStyle name="20% - Accent5 3 2 2" xfId="608" xr:uid="{00000000-0005-0000-0000-0000D4020000}"/>
    <cellStyle name="20% - Accent5 3 2 2 2" xfId="2879" xr:uid="{00000000-0005-0000-0000-0000D5020000}"/>
    <cellStyle name="20% - Accent5 3 2 2 2 2" xfId="7101" xr:uid="{00000000-0005-0000-0000-0000D6020000}"/>
    <cellStyle name="20% - Accent5 3 2 2 2 2 2" xfId="15551" xr:uid="{350A93EC-8470-4BBB-B638-B3115867721E}"/>
    <cellStyle name="20% - Accent5 3 2 2 2 2 3" xfId="23991" xr:uid="{BD515A5C-088F-4B39-9FC5-D7CB37F0BFC7}"/>
    <cellStyle name="20% - Accent5 3 2 2 2 2 4" xfId="32431" xr:uid="{86F1BF43-768C-4E57-AA41-167DFCB5BFF9}"/>
    <cellStyle name="20% - Accent5 3 2 2 2 3" xfId="11333" xr:uid="{FA81450E-DFE7-40E2-96BC-FEDEDF47D341}"/>
    <cellStyle name="20% - Accent5 3 2 2 2 4" xfId="19774" xr:uid="{AD2B0AD5-F5F9-4BC9-9F24-8A16C3340D6B}"/>
    <cellStyle name="20% - Accent5 3 2 2 2 5" xfId="28214" xr:uid="{53751A77-7376-4095-9A58-FEB15921FEBE}"/>
    <cellStyle name="20% - Accent5 3 2 2 3" xfId="4956" xr:uid="{00000000-0005-0000-0000-0000D7020000}"/>
    <cellStyle name="20% - Accent5 3 2 2 3 2" xfId="13406" xr:uid="{0AF74D48-CB6D-41D7-A3DD-2D0E4226C923}"/>
    <cellStyle name="20% - Accent5 3 2 2 3 3" xfId="21846" xr:uid="{9D3987DB-5F83-40E3-AF4F-D46631DE41D4}"/>
    <cellStyle name="20% - Accent5 3 2 2 3 4" xfId="30286" xr:uid="{E30D8CF4-8823-43B4-ADA8-D38E32ED71D0}"/>
    <cellStyle name="20% - Accent5 3 2 2 4" xfId="9188" xr:uid="{D6B29535-F78D-491A-81B5-92AB56233519}"/>
    <cellStyle name="20% - Accent5 3 2 2 5" xfId="17629" xr:uid="{B84DD399-67B2-4C61-B181-CA64EB1FC5BA}"/>
    <cellStyle name="20% - Accent5 3 2 2 6" xfId="26069" xr:uid="{9E84AA2D-D3A0-48BD-8C12-CEA263505015}"/>
    <cellStyle name="20% - Accent5 3 2 3" xfId="1061" xr:uid="{00000000-0005-0000-0000-0000D8020000}"/>
    <cellStyle name="20% - Accent5 3 2 3 2" xfId="3292" xr:uid="{00000000-0005-0000-0000-0000D9020000}"/>
    <cellStyle name="20% - Accent5 3 2 3 2 2" xfId="7514" xr:uid="{00000000-0005-0000-0000-0000DA020000}"/>
    <cellStyle name="20% - Accent5 3 2 3 2 2 2" xfId="15964" xr:uid="{3EA507B0-AEF0-4CE4-99FF-6BA85481A89A}"/>
    <cellStyle name="20% - Accent5 3 2 3 2 2 3" xfId="24404" xr:uid="{AB8E100F-820F-4579-BE3A-67C0128901A7}"/>
    <cellStyle name="20% - Accent5 3 2 3 2 2 4" xfId="32844" xr:uid="{FB896486-7B99-4E24-ACA3-C943878D673C}"/>
    <cellStyle name="20% - Accent5 3 2 3 2 3" xfId="11746" xr:uid="{E765EBCD-60FA-4B12-A670-DE9BE26712C7}"/>
    <cellStyle name="20% - Accent5 3 2 3 2 4" xfId="20187" xr:uid="{39D39F9F-51E8-40C8-951E-4C855563A868}"/>
    <cellStyle name="20% - Accent5 3 2 3 2 5" xfId="28627" xr:uid="{E7F82D46-47D0-4D00-9443-A7A05D9EC7B6}"/>
    <cellStyle name="20% - Accent5 3 2 3 3" xfId="5369" xr:uid="{00000000-0005-0000-0000-0000DB020000}"/>
    <cellStyle name="20% - Accent5 3 2 3 3 2" xfId="13819" xr:uid="{3E431E35-E242-4089-A1F0-63A83A8A43E9}"/>
    <cellStyle name="20% - Accent5 3 2 3 3 3" xfId="22259" xr:uid="{B113CEB1-C76E-458C-AF9A-C0E8159C0B5D}"/>
    <cellStyle name="20% - Accent5 3 2 3 3 4" xfId="30699" xr:uid="{652C3D92-E16D-41EA-B3AF-DBCEDF583715}"/>
    <cellStyle name="20% - Accent5 3 2 3 4" xfId="9601" xr:uid="{8E71C2E3-B1CE-4B4A-AAE2-30347B2BDA07}"/>
    <cellStyle name="20% - Accent5 3 2 3 5" xfId="18042" xr:uid="{008440CC-3BA7-4752-A56F-A22FD66E5C49}"/>
    <cellStyle name="20% - Accent5 3 2 3 6" xfId="26482" xr:uid="{BF0EDBE1-7A4E-409B-895E-D1D9CAE6D6C7}"/>
    <cellStyle name="20% - Accent5 3 2 4" xfId="1475" xr:uid="{00000000-0005-0000-0000-0000DC020000}"/>
    <cellStyle name="20% - Accent5 3 2 4 2" xfId="3705" xr:uid="{00000000-0005-0000-0000-0000DD020000}"/>
    <cellStyle name="20% - Accent5 3 2 4 2 2" xfId="7927" xr:uid="{00000000-0005-0000-0000-0000DE020000}"/>
    <cellStyle name="20% - Accent5 3 2 4 2 2 2" xfId="16377" xr:uid="{30F90EF9-0942-49B5-AF6A-BDB1FCEEAC03}"/>
    <cellStyle name="20% - Accent5 3 2 4 2 2 3" xfId="24817" xr:uid="{9DC9C663-A04F-407C-84E5-56657D3EA917}"/>
    <cellStyle name="20% - Accent5 3 2 4 2 2 4" xfId="33257" xr:uid="{0554AED6-3175-4698-8D48-31577F181543}"/>
    <cellStyle name="20% - Accent5 3 2 4 2 3" xfId="12159" xr:uid="{C00B2C38-3B94-47CC-826A-228E2C3F2EC2}"/>
    <cellStyle name="20% - Accent5 3 2 4 2 4" xfId="20600" xr:uid="{D4D6DB52-C85D-4A63-A74B-CC7110E2EFD0}"/>
    <cellStyle name="20% - Accent5 3 2 4 2 5" xfId="29040" xr:uid="{C6FB1325-013E-49E4-9EC2-C4414F286C83}"/>
    <cellStyle name="20% - Accent5 3 2 4 3" xfId="5782" xr:uid="{00000000-0005-0000-0000-0000DF020000}"/>
    <cellStyle name="20% - Accent5 3 2 4 3 2" xfId="14232" xr:uid="{407C3742-10E9-48CE-92F9-BDA4052DD0D6}"/>
    <cellStyle name="20% - Accent5 3 2 4 3 3" xfId="22672" xr:uid="{5C5E58AD-4017-4598-B423-6F89A0724B6B}"/>
    <cellStyle name="20% - Accent5 3 2 4 3 4" xfId="31112" xr:uid="{0EF6910B-C3C7-48B2-8ABF-F2614CBA4123}"/>
    <cellStyle name="20% - Accent5 3 2 4 4" xfId="10014" xr:uid="{45CC3E92-BB94-47F5-9207-78874A97A488}"/>
    <cellStyle name="20% - Accent5 3 2 4 5" xfId="18455" xr:uid="{266902AD-BE8E-4CF1-8BEE-7117BEDB85F7}"/>
    <cellStyle name="20% - Accent5 3 2 4 6" xfId="26895" xr:uid="{344789E1-56E5-4783-A714-785C8E0CE478}"/>
    <cellStyle name="20% - Accent5 3 2 5" xfId="1889" xr:uid="{00000000-0005-0000-0000-0000E0020000}"/>
    <cellStyle name="20% - Accent5 3 2 5 2" xfId="4118" xr:uid="{00000000-0005-0000-0000-0000E1020000}"/>
    <cellStyle name="20% - Accent5 3 2 5 2 2" xfId="8340" xr:uid="{00000000-0005-0000-0000-0000E2020000}"/>
    <cellStyle name="20% - Accent5 3 2 5 2 2 2" xfId="16790" xr:uid="{CBC8E821-743D-4C76-8F30-13175F5789CE}"/>
    <cellStyle name="20% - Accent5 3 2 5 2 2 3" xfId="25230" xr:uid="{F0909A51-8988-4C8C-88C6-30A9EB60086F}"/>
    <cellStyle name="20% - Accent5 3 2 5 2 2 4" xfId="33670" xr:uid="{ADCA8D6B-0FD7-46B3-81C4-322991EE7B85}"/>
    <cellStyle name="20% - Accent5 3 2 5 2 3" xfId="12572" xr:uid="{CECA8071-1E70-40FD-BD88-FA37FD95EF9C}"/>
    <cellStyle name="20% - Accent5 3 2 5 2 4" xfId="21013" xr:uid="{8DCDB00B-1280-4256-8669-6029DE5B40C6}"/>
    <cellStyle name="20% - Accent5 3 2 5 2 5" xfId="29453" xr:uid="{70A9291E-16F9-4E28-BF32-ECC681DDCD82}"/>
    <cellStyle name="20% - Accent5 3 2 5 3" xfId="6195" xr:uid="{00000000-0005-0000-0000-0000E3020000}"/>
    <cellStyle name="20% - Accent5 3 2 5 3 2" xfId="14645" xr:uid="{FABEF3BE-11BD-4096-B0AB-E075DA787AE3}"/>
    <cellStyle name="20% - Accent5 3 2 5 3 3" xfId="23085" xr:uid="{8A8A8A3F-37A8-4172-B04B-DDAF833DC69C}"/>
    <cellStyle name="20% - Accent5 3 2 5 3 4" xfId="31525" xr:uid="{FF3DC43C-F9CF-4567-BA06-D0164108EBBB}"/>
    <cellStyle name="20% - Accent5 3 2 5 4" xfId="10427" xr:uid="{09BF0F95-3B49-46C9-8CC1-CC4EA43ADD51}"/>
    <cellStyle name="20% - Accent5 3 2 5 5" xfId="18868" xr:uid="{4D731DEB-66EA-4BAA-9F87-B9969240593B}"/>
    <cellStyle name="20% - Accent5 3 2 5 6" xfId="27308" xr:uid="{68BC7BAA-73D7-4131-AC44-D6E726D2E198}"/>
    <cellStyle name="20% - Accent5 3 2 6" xfId="2302" xr:uid="{00000000-0005-0000-0000-0000E4020000}"/>
    <cellStyle name="20% - Accent5 3 2 6 2" xfId="6608" xr:uid="{00000000-0005-0000-0000-0000E5020000}"/>
    <cellStyle name="20% - Accent5 3 2 6 2 2" xfId="15058" xr:uid="{AD85A9E3-5BDF-4005-8F5D-65476BFA707F}"/>
    <cellStyle name="20% - Accent5 3 2 6 2 3" xfId="23498" xr:uid="{6E76CB4A-9C0B-4EFD-A7D1-1338492F5A73}"/>
    <cellStyle name="20% - Accent5 3 2 6 2 4" xfId="31938" xr:uid="{AE83E7B7-4457-40A4-8CF2-7EC1360F461C}"/>
    <cellStyle name="20% - Accent5 3 2 6 3" xfId="10840" xr:uid="{38F19476-9B48-400E-A39A-49A962904B63}"/>
    <cellStyle name="20% - Accent5 3 2 6 4" xfId="19281" xr:uid="{D52C533F-19C5-4458-B1F4-9BF595A87438}"/>
    <cellStyle name="20% - Accent5 3 2 6 5" xfId="27721" xr:uid="{DC24BCC9-33B3-441A-BDB8-46CCE78B0EE9}"/>
    <cellStyle name="20% - Accent5 3 2 7" xfId="4542" xr:uid="{00000000-0005-0000-0000-0000E6020000}"/>
    <cellStyle name="20% - Accent5 3 2 7 2" xfId="12992" xr:uid="{B3F11B54-DD53-423C-94AE-C94B25E05EAF}"/>
    <cellStyle name="20% - Accent5 3 2 7 3" xfId="21432" xr:uid="{B9F29634-48BB-4BFB-8716-94D175320982}"/>
    <cellStyle name="20% - Accent5 3 2 7 4" xfId="29872" xr:uid="{73BC9E08-B887-41CC-AD05-C88468DD81E1}"/>
    <cellStyle name="20% - Accent5 3 2 8" xfId="8774" xr:uid="{8CCF6C8E-79C6-4BA6-B097-CD17621EB9DD}"/>
    <cellStyle name="20% - Accent5 3 2 9" xfId="17215" xr:uid="{19E888E2-7F67-4E93-9965-274A896D9C84}"/>
    <cellStyle name="20% - Accent5 3 3" xfId="607" xr:uid="{00000000-0005-0000-0000-0000E7020000}"/>
    <cellStyle name="20% - Accent5 3 3 2" xfId="2878" xr:uid="{00000000-0005-0000-0000-0000E8020000}"/>
    <cellStyle name="20% - Accent5 3 3 2 2" xfId="7100" xr:uid="{00000000-0005-0000-0000-0000E9020000}"/>
    <cellStyle name="20% - Accent5 3 3 2 2 2" xfId="15550" xr:uid="{1ECC7B5E-9B77-4E18-8CED-E3EB2CDEEC91}"/>
    <cellStyle name="20% - Accent5 3 3 2 2 3" xfId="23990" xr:uid="{4252AA2A-70D0-4E34-82B5-D6DB6FE287EF}"/>
    <cellStyle name="20% - Accent5 3 3 2 2 4" xfId="32430" xr:uid="{DCFC9651-E72C-4FA7-9732-4AE7EC538C98}"/>
    <cellStyle name="20% - Accent5 3 3 2 3" xfId="11332" xr:uid="{CAFEAC27-1F95-4842-A861-5A6D1CF09765}"/>
    <cellStyle name="20% - Accent5 3 3 2 4" xfId="19773" xr:uid="{5C51B4EE-6183-4558-8C02-958C4BEFCBB2}"/>
    <cellStyle name="20% - Accent5 3 3 2 5" xfId="28213" xr:uid="{0F93FCCF-7B48-4685-A0D9-396C8D0B6C84}"/>
    <cellStyle name="20% - Accent5 3 3 3" xfId="4955" xr:uid="{00000000-0005-0000-0000-0000EA020000}"/>
    <cellStyle name="20% - Accent5 3 3 3 2" xfId="13405" xr:uid="{C949F579-3BED-4521-9620-5ACFA41BDAE8}"/>
    <cellStyle name="20% - Accent5 3 3 3 3" xfId="21845" xr:uid="{6E2CC7C5-4E5F-489D-9484-8AFF24A35B33}"/>
    <cellStyle name="20% - Accent5 3 3 3 4" xfId="30285" xr:uid="{D0014498-3C3B-43C4-BEF7-B081A9B1A149}"/>
    <cellStyle name="20% - Accent5 3 3 4" xfId="9187" xr:uid="{23C9E4A3-A422-4FD1-9F9E-7BF3B4E3575A}"/>
    <cellStyle name="20% - Accent5 3 3 5" xfId="17628" xr:uid="{2F6032D2-0685-402A-8A18-0ED206B5802A}"/>
    <cellStyle name="20% - Accent5 3 3 6" xfId="26068" xr:uid="{B14DE964-6EFE-456E-BE75-E9F6BBC0243D}"/>
    <cellStyle name="20% - Accent5 3 4" xfId="1060" xr:uid="{00000000-0005-0000-0000-0000EB020000}"/>
    <cellStyle name="20% - Accent5 3 4 2" xfId="3291" xr:uid="{00000000-0005-0000-0000-0000EC020000}"/>
    <cellStyle name="20% - Accent5 3 4 2 2" xfId="7513" xr:uid="{00000000-0005-0000-0000-0000ED020000}"/>
    <cellStyle name="20% - Accent5 3 4 2 2 2" xfId="15963" xr:uid="{7C0AE872-5D22-4CFC-8CC7-5B52D933027A}"/>
    <cellStyle name="20% - Accent5 3 4 2 2 3" xfId="24403" xr:uid="{12C6729D-0856-4F6A-BE48-088D47AF2436}"/>
    <cellStyle name="20% - Accent5 3 4 2 2 4" xfId="32843" xr:uid="{A90CC455-DCB2-423D-ACE6-924EC240FD74}"/>
    <cellStyle name="20% - Accent5 3 4 2 3" xfId="11745" xr:uid="{EE65F30D-1A9B-4979-9C4D-00D048C8D8DD}"/>
    <cellStyle name="20% - Accent5 3 4 2 4" xfId="20186" xr:uid="{F283F431-9373-45A1-BB8A-B4758898000B}"/>
    <cellStyle name="20% - Accent5 3 4 2 5" xfId="28626" xr:uid="{C1270F08-ACB0-4350-B8B0-52D26EB136DC}"/>
    <cellStyle name="20% - Accent5 3 4 3" xfId="5368" xr:uid="{00000000-0005-0000-0000-0000EE020000}"/>
    <cellStyle name="20% - Accent5 3 4 3 2" xfId="13818" xr:uid="{D8E94A6F-9749-47A9-981D-5FE0605A9E3F}"/>
    <cellStyle name="20% - Accent5 3 4 3 3" xfId="22258" xr:uid="{73D7F47B-936E-4365-9627-05409D66F5AE}"/>
    <cellStyle name="20% - Accent5 3 4 3 4" xfId="30698" xr:uid="{80B1E782-FD60-43A2-A8B1-DF0D808D8019}"/>
    <cellStyle name="20% - Accent5 3 4 4" xfId="9600" xr:uid="{863C529F-832A-4320-A030-2AB6E601C437}"/>
    <cellStyle name="20% - Accent5 3 4 5" xfId="18041" xr:uid="{67D47241-F8B1-41CC-9A7A-02E902B49681}"/>
    <cellStyle name="20% - Accent5 3 4 6" xfId="26481" xr:uid="{1EC36C54-CDE2-4681-9F7F-416E3704B190}"/>
    <cellStyle name="20% - Accent5 3 5" xfId="1474" xr:uid="{00000000-0005-0000-0000-0000EF020000}"/>
    <cellStyle name="20% - Accent5 3 5 2" xfId="3704" xr:uid="{00000000-0005-0000-0000-0000F0020000}"/>
    <cellStyle name="20% - Accent5 3 5 2 2" xfId="7926" xr:uid="{00000000-0005-0000-0000-0000F1020000}"/>
    <cellStyle name="20% - Accent5 3 5 2 2 2" xfId="16376" xr:uid="{96F5AAF3-5B05-4609-8C7F-788C8EF374BA}"/>
    <cellStyle name="20% - Accent5 3 5 2 2 3" xfId="24816" xr:uid="{4B5B684B-2E22-4CA7-AA45-4F00B711E059}"/>
    <cellStyle name="20% - Accent5 3 5 2 2 4" xfId="33256" xr:uid="{4B8749FF-EA95-4AA7-A46C-E5FC61DAFD91}"/>
    <cellStyle name="20% - Accent5 3 5 2 3" xfId="12158" xr:uid="{D65F73B6-95CF-4538-8B75-0A443ABF0815}"/>
    <cellStyle name="20% - Accent5 3 5 2 4" xfId="20599" xr:uid="{2991F57A-57EE-4909-8538-B31221566861}"/>
    <cellStyle name="20% - Accent5 3 5 2 5" xfId="29039" xr:uid="{E126865B-4FA3-4501-AEA3-5AE35564EB45}"/>
    <cellStyle name="20% - Accent5 3 5 3" xfId="5781" xr:uid="{00000000-0005-0000-0000-0000F2020000}"/>
    <cellStyle name="20% - Accent5 3 5 3 2" xfId="14231" xr:uid="{E8D115DC-AA59-4764-BABB-59939CF74F99}"/>
    <cellStyle name="20% - Accent5 3 5 3 3" xfId="22671" xr:uid="{CA1B3C6C-7475-4373-85B8-EC8FEDB8D276}"/>
    <cellStyle name="20% - Accent5 3 5 3 4" xfId="31111" xr:uid="{F509EB6E-0AA1-490F-A179-6D79EC853102}"/>
    <cellStyle name="20% - Accent5 3 5 4" xfId="10013" xr:uid="{105794DB-A1E8-4E42-883F-0CBB5CB5570D}"/>
    <cellStyle name="20% - Accent5 3 5 5" xfId="18454" xr:uid="{B6E34DCD-7C3B-4392-B135-45BA2F4FF079}"/>
    <cellStyle name="20% - Accent5 3 5 6" xfId="26894" xr:uid="{485E8784-9EE5-4C47-AC75-453C54431FF1}"/>
    <cellStyle name="20% - Accent5 3 6" xfId="1888" xr:uid="{00000000-0005-0000-0000-0000F3020000}"/>
    <cellStyle name="20% - Accent5 3 6 2" xfId="4117" xr:uid="{00000000-0005-0000-0000-0000F4020000}"/>
    <cellStyle name="20% - Accent5 3 6 2 2" xfId="8339" xr:uid="{00000000-0005-0000-0000-0000F5020000}"/>
    <cellStyle name="20% - Accent5 3 6 2 2 2" xfId="16789" xr:uid="{B2D647DF-EACF-47CB-81B7-60A9BFAE7563}"/>
    <cellStyle name="20% - Accent5 3 6 2 2 3" xfId="25229" xr:uid="{60973254-0E57-4D55-809A-18EA2E8844CA}"/>
    <cellStyle name="20% - Accent5 3 6 2 2 4" xfId="33669" xr:uid="{A1A95E08-6EF8-42ED-BB18-7734F041916F}"/>
    <cellStyle name="20% - Accent5 3 6 2 3" xfId="12571" xr:uid="{BD3AFA22-3D4D-461E-87C1-24FEBC3FDFFB}"/>
    <cellStyle name="20% - Accent5 3 6 2 4" xfId="21012" xr:uid="{EE8209AA-73D3-48FD-A1F2-01F28F0ED708}"/>
    <cellStyle name="20% - Accent5 3 6 2 5" xfId="29452" xr:uid="{BBAD177D-B042-44D0-ACA1-D30BCB86D11D}"/>
    <cellStyle name="20% - Accent5 3 6 3" xfId="6194" xr:uid="{00000000-0005-0000-0000-0000F6020000}"/>
    <cellStyle name="20% - Accent5 3 6 3 2" xfId="14644" xr:uid="{5758BDAC-CEE9-48D0-A0EB-9EC9D0AC9F33}"/>
    <cellStyle name="20% - Accent5 3 6 3 3" xfId="23084" xr:uid="{C3B81144-4BA8-4C2E-86AE-7463F0368910}"/>
    <cellStyle name="20% - Accent5 3 6 3 4" xfId="31524" xr:uid="{6138C458-E10D-44C6-A00C-BEF60C56FA88}"/>
    <cellStyle name="20% - Accent5 3 6 4" xfId="10426" xr:uid="{7CAF727C-0E6C-4671-82EF-44C24B3FE40A}"/>
    <cellStyle name="20% - Accent5 3 6 5" xfId="18867" xr:uid="{A9479591-B2FD-41B3-8355-0F4152BA8BE3}"/>
    <cellStyle name="20% - Accent5 3 6 6" xfId="27307" xr:uid="{B720E908-D52D-4925-AEE9-889C5648EA18}"/>
    <cellStyle name="20% - Accent5 3 7" xfId="2301" xr:uid="{00000000-0005-0000-0000-0000F7020000}"/>
    <cellStyle name="20% - Accent5 3 7 2" xfId="6607" xr:uid="{00000000-0005-0000-0000-0000F8020000}"/>
    <cellStyle name="20% - Accent5 3 7 2 2" xfId="15057" xr:uid="{4F356062-6D72-41DA-B962-A2BE8BD699E4}"/>
    <cellStyle name="20% - Accent5 3 7 2 3" xfId="23497" xr:uid="{28D7CD77-A502-4A8D-99CC-72A2EFBCCA67}"/>
    <cellStyle name="20% - Accent5 3 7 2 4" xfId="31937" xr:uid="{E18E9142-E35D-4A09-A882-EFC15FB8580E}"/>
    <cellStyle name="20% - Accent5 3 7 3" xfId="10839" xr:uid="{EB2B47F0-68DB-42EA-8A05-496DE60C7FEA}"/>
    <cellStyle name="20% - Accent5 3 7 4" xfId="19280" xr:uid="{4838D8AB-BD8D-4417-ADE3-F1295E7255A7}"/>
    <cellStyle name="20% - Accent5 3 7 5" xfId="27720" xr:uid="{54622494-847B-4B61-804E-19420886AD05}"/>
    <cellStyle name="20% - Accent5 3 8" xfId="4541" xr:uid="{00000000-0005-0000-0000-0000F9020000}"/>
    <cellStyle name="20% - Accent5 3 8 2" xfId="12991" xr:uid="{D0527512-6A97-420A-96C0-47392F5E8153}"/>
    <cellStyle name="20% - Accent5 3 8 3" xfId="21431" xr:uid="{552100D0-C7A8-4D1B-8669-E0F57235B4BE}"/>
    <cellStyle name="20% - Accent5 3 8 4" xfId="29871" xr:uid="{4A227598-B276-4F7E-8DB7-BAED1133207C}"/>
    <cellStyle name="20% - Accent5 3 9" xfId="8773" xr:uid="{6BE00851-BBB2-4397-9EF6-EA7DD433FF75}"/>
    <cellStyle name="20% - Accent5 4" xfId="40" xr:uid="{00000000-0005-0000-0000-0000FA020000}"/>
    <cellStyle name="20% - Accent5 4 10" xfId="25656" xr:uid="{72E585D9-5C2C-4F3C-8C9C-5EB0FF265883}"/>
    <cellStyle name="20% - Accent5 4 2" xfId="609" xr:uid="{00000000-0005-0000-0000-0000FB020000}"/>
    <cellStyle name="20% - Accent5 4 2 2" xfId="2880" xr:uid="{00000000-0005-0000-0000-0000FC020000}"/>
    <cellStyle name="20% - Accent5 4 2 2 2" xfId="7102" xr:uid="{00000000-0005-0000-0000-0000FD020000}"/>
    <cellStyle name="20% - Accent5 4 2 2 2 2" xfId="15552" xr:uid="{AF773E0E-F964-4B96-BEBA-21FBC4C7B8F2}"/>
    <cellStyle name="20% - Accent5 4 2 2 2 3" xfId="23992" xr:uid="{5BDFCF70-92C0-4CE4-96E3-EA6975917A88}"/>
    <cellStyle name="20% - Accent5 4 2 2 2 4" xfId="32432" xr:uid="{639F16B9-4117-4598-B772-350E78ACFBC4}"/>
    <cellStyle name="20% - Accent5 4 2 2 3" xfId="11334" xr:uid="{A9879B96-53B5-446A-83DD-800878AF47F1}"/>
    <cellStyle name="20% - Accent5 4 2 2 4" xfId="19775" xr:uid="{CEB70BE0-858C-432F-B0D0-7214C02AE546}"/>
    <cellStyle name="20% - Accent5 4 2 2 5" xfId="28215" xr:uid="{B4E3BA37-E381-4BC3-972A-2CBD4C665FC3}"/>
    <cellStyle name="20% - Accent5 4 2 3" xfId="4957" xr:uid="{00000000-0005-0000-0000-0000FE020000}"/>
    <cellStyle name="20% - Accent5 4 2 3 2" xfId="13407" xr:uid="{247FE53E-6039-4C83-8797-57B7F6287141}"/>
    <cellStyle name="20% - Accent5 4 2 3 3" xfId="21847" xr:uid="{EB0BF248-4542-45F4-8E0A-CD76C9D1E511}"/>
    <cellStyle name="20% - Accent5 4 2 3 4" xfId="30287" xr:uid="{FE0539B9-242B-430A-8F44-0C2320E61E00}"/>
    <cellStyle name="20% - Accent5 4 2 4" xfId="9189" xr:uid="{BBECCEDD-775F-4732-9FC5-8BA57AE6CF2E}"/>
    <cellStyle name="20% - Accent5 4 2 5" xfId="17630" xr:uid="{994E4801-E41F-4A75-9CD6-3D86D360A2B7}"/>
    <cellStyle name="20% - Accent5 4 2 6" xfId="26070" xr:uid="{B6CADA70-C6FB-4CBD-898A-8EFCCADA083A}"/>
    <cellStyle name="20% - Accent5 4 3" xfId="1062" xr:uid="{00000000-0005-0000-0000-0000FF020000}"/>
    <cellStyle name="20% - Accent5 4 3 2" xfId="3293" xr:uid="{00000000-0005-0000-0000-000000030000}"/>
    <cellStyle name="20% - Accent5 4 3 2 2" xfId="7515" xr:uid="{00000000-0005-0000-0000-000001030000}"/>
    <cellStyle name="20% - Accent5 4 3 2 2 2" xfId="15965" xr:uid="{3DA69055-C797-47B2-B9D1-C7D383E54026}"/>
    <cellStyle name="20% - Accent5 4 3 2 2 3" xfId="24405" xr:uid="{6A943D87-206D-436B-BA76-5412A72A7A5B}"/>
    <cellStyle name="20% - Accent5 4 3 2 2 4" xfId="32845" xr:uid="{8F3DDC60-DBDE-4B86-A4D2-0648C97F304F}"/>
    <cellStyle name="20% - Accent5 4 3 2 3" xfId="11747" xr:uid="{D9ED7BA7-6ADE-4722-B87D-60747898A73B}"/>
    <cellStyle name="20% - Accent5 4 3 2 4" xfId="20188" xr:uid="{2C58EF1D-C3BD-4567-8E0A-0272AA0B855D}"/>
    <cellStyle name="20% - Accent5 4 3 2 5" xfId="28628" xr:uid="{0C125E23-464E-4710-9039-20A1234AD5AC}"/>
    <cellStyle name="20% - Accent5 4 3 3" xfId="5370" xr:uid="{00000000-0005-0000-0000-000002030000}"/>
    <cellStyle name="20% - Accent5 4 3 3 2" xfId="13820" xr:uid="{61ED734D-2A5D-4439-B034-434EA1E74508}"/>
    <cellStyle name="20% - Accent5 4 3 3 3" xfId="22260" xr:uid="{AFAA2F3C-90B0-4654-829D-FDD9EA735CAE}"/>
    <cellStyle name="20% - Accent5 4 3 3 4" xfId="30700" xr:uid="{CC4C67F7-CF80-4C7D-9C07-C13945D553F7}"/>
    <cellStyle name="20% - Accent5 4 3 4" xfId="9602" xr:uid="{5A9180E0-BF7F-4295-809D-E469406FF3DB}"/>
    <cellStyle name="20% - Accent5 4 3 5" xfId="18043" xr:uid="{91CC72FD-CABA-415A-BA99-51AAF0D860A0}"/>
    <cellStyle name="20% - Accent5 4 3 6" xfId="26483" xr:uid="{2CFAF5B2-BFB5-4D9B-82C7-32E97D3BE96F}"/>
    <cellStyle name="20% - Accent5 4 4" xfId="1476" xr:uid="{00000000-0005-0000-0000-000003030000}"/>
    <cellStyle name="20% - Accent5 4 4 2" xfId="3706" xr:uid="{00000000-0005-0000-0000-000004030000}"/>
    <cellStyle name="20% - Accent5 4 4 2 2" xfId="7928" xr:uid="{00000000-0005-0000-0000-000005030000}"/>
    <cellStyle name="20% - Accent5 4 4 2 2 2" xfId="16378" xr:uid="{AB9427A1-28AD-4091-BF68-309845073984}"/>
    <cellStyle name="20% - Accent5 4 4 2 2 3" xfId="24818" xr:uid="{7817C325-B12D-4ADE-AFD7-6C905D5CEBBD}"/>
    <cellStyle name="20% - Accent5 4 4 2 2 4" xfId="33258" xr:uid="{7C8CF85C-DCD7-4FB6-B001-0C63B1D5A151}"/>
    <cellStyle name="20% - Accent5 4 4 2 3" xfId="12160" xr:uid="{8C56614E-BF06-4695-BAF0-254D830AD61C}"/>
    <cellStyle name="20% - Accent5 4 4 2 4" xfId="20601" xr:uid="{C5566258-2FBE-420A-8037-427533269F85}"/>
    <cellStyle name="20% - Accent5 4 4 2 5" xfId="29041" xr:uid="{CBF7F5FD-D1FF-4CEC-8760-79B9A2238AC9}"/>
    <cellStyle name="20% - Accent5 4 4 3" xfId="5783" xr:uid="{00000000-0005-0000-0000-000006030000}"/>
    <cellStyle name="20% - Accent5 4 4 3 2" xfId="14233" xr:uid="{E10586BB-5AA7-43EB-92FD-0D9A9B535E2F}"/>
    <cellStyle name="20% - Accent5 4 4 3 3" xfId="22673" xr:uid="{234E06E3-A9E4-410A-B30C-77A0ED606AF5}"/>
    <cellStyle name="20% - Accent5 4 4 3 4" xfId="31113" xr:uid="{53F40DF3-9B40-4AA6-A31D-12E8E8E81BCF}"/>
    <cellStyle name="20% - Accent5 4 4 4" xfId="10015" xr:uid="{85532F2C-2F92-49CC-81DA-D043973F67B1}"/>
    <cellStyle name="20% - Accent5 4 4 5" xfId="18456" xr:uid="{D44EA2F7-6840-4EB7-9DFA-7F850DFF32B3}"/>
    <cellStyle name="20% - Accent5 4 4 6" xfId="26896" xr:uid="{D1A8E2C5-FF72-41EB-9C0A-B64A12FA549A}"/>
    <cellStyle name="20% - Accent5 4 5" xfId="1890" xr:uid="{00000000-0005-0000-0000-000007030000}"/>
    <cellStyle name="20% - Accent5 4 5 2" xfId="4119" xr:uid="{00000000-0005-0000-0000-000008030000}"/>
    <cellStyle name="20% - Accent5 4 5 2 2" xfId="8341" xr:uid="{00000000-0005-0000-0000-000009030000}"/>
    <cellStyle name="20% - Accent5 4 5 2 2 2" xfId="16791" xr:uid="{BD2A0727-6875-4BFF-8A04-20CDEE12D6FB}"/>
    <cellStyle name="20% - Accent5 4 5 2 2 3" xfId="25231" xr:uid="{6DA685A3-331B-4506-9377-CED712DDFBA6}"/>
    <cellStyle name="20% - Accent5 4 5 2 2 4" xfId="33671" xr:uid="{3D202F30-8474-4B97-A944-6F87F786126E}"/>
    <cellStyle name="20% - Accent5 4 5 2 3" xfId="12573" xr:uid="{4AB81AF1-4D8C-40F0-9C15-9B0901F6DE25}"/>
    <cellStyle name="20% - Accent5 4 5 2 4" xfId="21014" xr:uid="{178829E3-4BC8-4CEA-B393-89C1455E818C}"/>
    <cellStyle name="20% - Accent5 4 5 2 5" xfId="29454" xr:uid="{62B29F4D-D481-4C11-A0F9-4DBE2BAD262A}"/>
    <cellStyle name="20% - Accent5 4 5 3" xfId="6196" xr:uid="{00000000-0005-0000-0000-00000A030000}"/>
    <cellStyle name="20% - Accent5 4 5 3 2" xfId="14646" xr:uid="{8F195DA5-D141-462E-AF3F-0367E2A665B8}"/>
    <cellStyle name="20% - Accent5 4 5 3 3" xfId="23086" xr:uid="{CCFB0BDB-F06F-4511-984D-DAF17FC99531}"/>
    <cellStyle name="20% - Accent5 4 5 3 4" xfId="31526" xr:uid="{960DAE9C-BB7B-4E9F-8375-24C15BC7DF4A}"/>
    <cellStyle name="20% - Accent5 4 5 4" xfId="10428" xr:uid="{DB8ED1F9-F642-4CF4-8DF8-E18A7D549282}"/>
    <cellStyle name="20% - Accent5 4 5 5" xfId="18869" xr:uid="{406CEEA4-F305-4135-92C5-075A993D07FE}"/>
    <cellStyle name="20% - Accent5 4 5 6" xfId="27309" xr:uid="{8455635A-7B83-44C9-9AB7-3363F41E7138}"/>
    <cellStyle name="20% - Accent5 4 6" xfId="2303" xr:uid="{00000000-0005-0000-0000-00000B030000}"/>
    <cellStyle name="20% - Accent5 4 6 2" xfId="6609" xr:uid="{00000000-0005-0000-0000-00000C030000}"/>
    <cellStyle name="20% - Accent5 4 6 2 2" xfId="15059" xr:uid="{C0006E5D-0B92-44C9-B5E7-657844A7856B}"/>
    <cellStyle name="20% - Accent5 4 6 2 3" xfId="23499" xr:uid="{8A4B7725-61AE-45A5-BFDF-BEDB1DF928D0}"/>
    <cellStyle name="20% - Accent5 4 6 2 4" xfId="31939" xr:uid="{2A57A429-4F32-4570-81CA-EBBFEEC5953D}"/>
    <cellStyle name="20% - Accent5 4 6 3" xfId="10841" xr:uid="{710F9728-71E5-4A73-9FA6-7B7C59F810B7}"/>
    <cellStyle name="20% - Accent5 4 6 4" xfId="19282" xr:uid="{0E5DBCAE-BC7E-4BEB-BE38-520CBFA4CF7F}"/>
    <cellStyle name="20% - Accent5 4 6 5" xfId="27722" xr:uid="{EB9E363F-B332-4325-A3C4-9266F525CB66}"/>
    <cellStyle name="20% - Accent5 4 7" xfId="4543" xr:uid="{00000000-0005-0000-0000-00000D030000}"/>
    <cellStyle name="20% - Accent5 4 7 2" xfId="12993" xr:uid="{66502C57-7E4C-46FC-83F5-B096DAF25E79}"/>
    <cellStyle name="20% - Accent5 4 7 3" xfId="21433" xr:uid="{D64423E9-9456-43BB-8C57-63CEF2302B9A}"/>
    <cellStyle name="20% - Accent5 4 7 4" xfId="29873" xr:uid="{E13489D7-E7A9-4D5C-A4BF-5311077C67C4}"/>
    <cellStyle name="20% - Accent5 4 8" xfId="8775" xr:uid="{C7ADE93C-CEC5-4CC5-B0B7-050B9B9280DB}"/>
    <cellStyle name="20% - Accent5 4 9" xfId="17216" xr:uid="{C4661CBC-2C35-45F4-A10E-45650D81FA1A}"/>
    <cellStyle name="20% - Accent5 5" xfId="602" xr:uid="{00000000-0005-0000-0000-00000E030000}"/>
    <cellStyle name="20% - Accent5 5 2" xfId="2873" xr:uid="{00000000-0005-0000-0000-00000F030000}"/>
    <cellStyle name="20% - Accent5 5 2 2" xfId="7095" xr:uid="{00000000-0005-0000-0000-000010030000}"/>
    <cellStyle name="20% - Accent5 5 2 2 2" xfId="15545" xr:uid="{41EF7395-9365-4468-B3A0-EEF015218ABA}"/>
    <cellStyle name="20% - Accent5 5 2 2 3" xfId="23985" xr:uid="{D32E4F0C-C497-4DD4-B8EE-4C411ACB168E}"/>
    <cellStyle name="20% - Accent5 5 2 2 4" xfId="32425" xr:uid="{63A7C633-30C3-4E58-A600-26C98DD7E571}"/>
    <cellStyle name="20% - Accent5 5 2 3" xfId="11327" xr:uid="{6E4CBE14-F6C8-4454-88AF-75BB5E384E0D}"/>
    <cellStyle name="20% - Accent5 5 2 4" xfId="19768" xr:uid="{D10C11BC-C617-4F96-9DFE-F5BD2979C4F1}"/>
    <cellStyle name="20% - Accent5 5 2 5" xfId="28208" xr:uid="{5D63D001-15FD-4557-AE58-E275CF0013C5}"/>
    <cellStyle name="20% - Accent5 5 3" xfId="4950" xr:uid="{00000000-0005-0000-0000-000011030000}"/>
    <cellStyle name="20% - Accent5 5 3 2" xfId="13400" xr:uid="{16FC02BA-D724-4157-9CD7-493916F03332}"/>
    <cellStyle name="20% - Accent5 5 3 3" xfId="21840" xr:uid="{5000C941-BF8B-455B-89DC-5A3CA6375E82}"/>
    <cellStyle name="20% - Accent5 5 3 4" xfId="30280" xr:uid="{28A60430-A913-4B34-9FF2-0AA49C68288C}"/>
    <cellStyle name="20% - Accent5 5 4" xfId="9182" xr:uid="{EFCA6B31-5DA6-4E54-8E28-53C0BD9FBDAF}"/>
    <cellStyle name="20% - Accent5 5 5" xfId="17623" xr:uid="{11F7D3B1-789C-45DA-9881-644FD521B461}"/>
    <cellStyle name="20% - Accent5 5 6" xfId="26063" xr:uid="{0C257A3D-D4EE-4EE2-9EDB-D0E5F2D770AA}"/>
    <cellStyle name="20% - Accent5 6" xfId="1055" xr:uid="{00000000-0005-0000-0000-000012030000}"/>
    <cellStyle name="20% - Accent5 6 2" xfId="3286" xr:uid="{00000000-0005-0000-0000-000013030000}"/>
    <cellStyle name="20% - Accent5 6 2 2" xfId="7508" xr:uid="{00000000-0005-0000-0000-000014030000}"/>
    <cellStyle name="20% - Accent5 6 2 2 2" xfId="15958" xr:uid="{B99E5B2D-B44B-48C3-AACB-21882E8E7FA5}"/>
    <cellStyle name="20% - Accent5 6 2 2 3" xfId="24398" xr:uid="{86530535-F5E8-4259-87A8-C557DAB4F8F9}"/>
    <cellStyle name="20% - Accent5 6 2 2 4" xfId="32838" xr:uid="{6E1490EE-E504-4B06-B994-33D87364EE1B}"/>
    <cellStyle name="20% - Accent5 6 2 3" xfId="11740" xr:uid="{D48434CE-A2B4-4F45-AB91-54C837C1D349}"/>
    <cellStyle name="20% - Accent5 6 2 4" xfId="20181" xr:uid="{8B0E3D52-8D77-486E-BD90-65DE8DE24780}"/>
    <cellStyle name="20% - Accent5 6 2 5" xfId="28621" xr:uid="{B81995D2-7ADF-48F9-8521-FB9A66C10FDF}"/>
    <cellStyle name="20% - Accent5 6 3" xfId="5363" xr:uid="{00000000-0005-0000-0000-000015030000}"/>
    <cellStyle name="20% - Accent5 6 3 2" xfId="13813" xr:uid="{34C16A17-17E5-4E0B-953C-F6ABDE4B46BA}"/>
    <cellStyle name="20% - Accent5 6 3 3" xfId="22253" xr:uid="{C19B977C-3364-410B-B1D6-08753E4B9154}"/>
    <cellStyle name="20% - Accent5 6 3 4" xfId="30693" xr:uid="{CDA09034-38C9-461C-B949-328E63B7734D}"/>
    <cellStyle name="20% - Accent5 6 4" xfId="9595" xr:uid="{59F95942-9EA1-4617-AD65-06FBA07F31A8}"/>
    <cellStyle name="20% - Accent5 6 5" xfId="18036" xr:uid="{567F9B89-AFD9-4F99-AECA-B2B725F25B96}"/>
    <cellStyle name="20% - Accent5 6 6" xfId="26476" xr:uid="{C08189B4-4F56-4880-90C1-9292E7123168}"/>
    <cellStyle name="20% - Accent5 7" xfId="1469" xr:uid="{00000000-0005-0000-0000-000016030000}"/>
    <cellStyle name="20% - Accent5 7 2" xfId="3699" xr:uid="{00000000-0005-0000-0000-000017030000}"/>
    <cellStyle name="20% - Accent5 7 2 2" xfId="7921" xr:uid="{00000000-0005-0000-0000-000018030000}"/>
    <cellStyle name="20% - Accent5 7 2 2 2" xfId="16371" xr:uid="{CE165915-90DA-4E50-9345-3BE8E4B1872B}"/>
    <cellStyle name="20% - Accent5 7 2 2 3" xfId="24811" xr:uid="{182775D6-2CE1-4C57-9008-2B6000B57284}"/>
    <cellStyle name="20% - Accent5 7 2 2 4" xfId="33251" xr:uid="{7D5061E3-64EB-4DD1-9788-CB216FC68A3B}"/>
    <cellStyle name="20% - Accent5 7 2 3" xfId="12153" xr:uid="{7F9732B1-5FC4-45E4-BAA0-D0850CD93D1A}"/>
    <cellStyle name="20% - Accent5 7 2 4" xfId="20594" xr:uid="{754ED191-71BA-409B-898E-B0C339C90D35}"/>
    <cellStyle name="20% - Accent5 7 2 5" xfId="29034" xr:uid="{4B18C4FB-65C6-4934-88AF-471FEFA583E4}"/>
    <cellStyle name="20% - Accent5 7 3" xfId="5776" xr:uid="{00000000-0005-0000-0000-000019030000}"/>
    <cellStyle name="20% - Accent5 7 3 2" xfId="14226" xr:uid="{7E1CA212-C2C2-497D-AC60-0F85D4A65345}"/>
    <cellStyle name="20% - Accent5 7 3 3" xfId="22666" xr:uid="{0A562437-631A-4AB5-8AF5-2D8AB6BF5ACE}"/>
    <cellStyle name="20% - Accent5 7 3 4" xfId="31106" xr:uid="{452E1F0B-25BB-4BB8-973B-D2F4B3D69DFC}"/>
    <cellStyle name="20% - Accent5 7 4" xfId="10008" xr:uid="{9E7C98D4-504C-43CF-B897-CBC393E1CD03}"/>
    <cellStyle name="20% - Accent5 7 5" xfId="18449" xr:uid="{080D77B6-4A99-4336-A03A-C621CDB9B897}"/>
    <cellStyle name="20% - Accent5 7 6" xfId="26889" xr:uid="{ABD68412-4F31-4F61-A29E-F4A70759141E}"/>
    <cellStyle name="20% - Accent5 8" xfId="1883" xr:uid="{00000000-0005-0000-0000-00001A030000}"/>
    <cellStyle name="20% - Accent5 8 2" xfId="4112" xr:uid="{00000000-0005-0000-0000-00001B030000}"/>
    <cellStyle name="20% - Accent5 8 2 2" xfId="8334" xr:uid="{00000000-0005-0000-0000-00001C030000}"/>
    <cellStyle name="20% - Accent5 8 2 2 2" xfId="16784" xr:uid="{F2884673-7A87-4607-AC3B-82567749E927}"/>
    <cellStyle name="20% - Accent5 8 2 2 3" xfId="25224" xr:uid="{5576E100-292B-4205-B1EF-05C2383C2FA5}"/>
    <cellStyle name="20% - Accent5 8 2 2 4" xfId="33664" xr:uid="{7B046BD0-3B74-480D-AD7F-FE8EC080E3D3}"/>
    <cellStyle name="20% - Accent5 8 2 3" xfId="12566" xr:uid="{7145EEC6-8DF4-4BF4-95C4-0345DB6C9F28}"/>
    <cellStyle name="20% - Accent5 8 2 4" xfId="21007" xr:uid="{2CFF7856-C6C1-4602-A6AE-25024680D5DE}"/>
    <cellStyle name="20% - Accent5 8 2 5" xfId="29447" xr:uid="{9641E7DA-0F02-4343-A8E6-5C0668B48120}"/>
    <cellStyle name="20% - Accent5 8 3" xfId="6189" xr:uid="{00000000-0005-0000-0000-00001D030000}"/>
    <cellStyle name="20% - Accent5 8 3 2" xfId="14639" xr:uid="{B547C97E-7F15-45BD-A331-AF3B2D9C3E79}"/>
    <cellStyle name="20% - Accent5 8 3 3" xfId="23079" xr:uid="{CA267D13-E4C0-4AA8-AD12-8B0033568B44}"/>
    <cellStyle name="20% - Accent5 8 3 4" xfId="31519" xr:uid="{2A81AAF0-B7E8-46D8-9F07-D4AB5F5EC2F8}"/>
    <cellStyle name="20% - Accent5 8 4" xfId="10421" xr:uid="{5943510E-1538-46D8-8142-384146B24B77}"/>
    <cellStyle name="20% - Accent5 8 5" xfId="18862" xr:uid="{F212964E-9B04-4130-A19A-3D8B5B807F79}"/>
    <cellStyle name="20% - Accent5 8 6" xfId="27302" xr:uid="{FDA659EE-D776-4CA7-9890-26E1E604581E}"/>
    <cellStyle name="20% - Accent5 9" xfId="2296" xr:uid="{00000000-0005-0000-0000-00001E030000}"/>
    <cellStyle name="20% - Accent5 9 2" xfId="6602" xr:uid="{00000000-0005-0000-0000-00001F030000}"/>
    <cellStyle name="20% - Accent5 9 2 2" xfId="15052" xr:uid="{1C1025CD-A582-447F-BD9B-EF62FF54CF5D}"/>
    <cellStyle name="20% - Accent5 9 2 3" xfId="23492" xr:uid="{3B72EE91-8EC5-4FCE-9F8B-A79A26FE7DEE}"/>
    <cellStyle name="20% - Accent5 9 2 4" xfId="31932" xr:uid="{B76EDE6E-A5FC-4F5C-B580-250704075425}"/>
    <cellStyle name="20% - Accent5 9 3" xfId="10834" xr:uid="{6AC0B381-AE7A-4BD6-BCA5-707F13CF73F0}"/>
    <cellStyle name="20% - Accent5 9 4" xfId="19275" xr:uid="{0A0A862E-740B-4FCE-B5FE-02F28767BCDC}"/>
    <cellStyle name="20% - Accent5 9 5" xfId="27715" xr:uid="{E2E12DA1-6238-44F5-94A1-2A65F2D24B3C}"/>
    <cellStyle name="20% - Accent6" xfId="41" builtinId="50" customBuiltin="1"/>
    <cellStyle name="20% - Accent6 10" xfId="4544" xr:uid="{00000000-0005-0000-0000-000021030000}"/>
    <cellStyle name="20% - Accent6 10 2" xfId="12994" xr:uid="{802EA0A1-8CB3-492C-B796-AE2E56D3B27B}"/>
    <cellStyle name="20% - Accent6 10 3" xfId="21434" xr:uid="{C23006F0-B844-44D6-AC9D-88A4319C89A0}"/>
    <cellStyle name="20% - Accent6 10 4" xfId="29874" xr:uid="{A9AACDCC-436B-44DF-BFFD-18A7048CA075}"/>
    <cellStyle name="20% - Accent6 11" xfId="8776" xr:uid="{42A8B994-8CAE-4539-97B3-CD59F17928AA}"/>
    <cellStyle name="20% - Accent6 12" xfId="17217" xr:uid="{E307EE7C-B6F8-4A9C-9CB0-5D25011B901F}"/>
    <cellStyle name="20% - Accent6 13" xfId="25657" xr:uid="{CB125AC7-FB65-4A9D-8059-05F5D84E0456}"/>
    <cellStyle name="20% - Accent6 2" xfId="42" xr:uid="{00000000-0005-0000-0000-000022030000}"/>
    <cellStyle name="20% - Accent6 2 10" xfId="8777" xr:uid="{6BB7233C-A5CC-46CF-8C27-2D93D627F6EA}"/>
    <cellStyle name="20% - Accent6 2 11" xfId="17218" xr:uid="{32E76EF6-6C14-49CF-A3F9-82D33BC49180}"/>
    <cellStyle name="20% - Accent6 2 12" xfId="25658" xr:uid="{C8C2EC60-1D26-4514-A129-643D4AD51B75}"/>
    <cellStyle name="20% - Accent6 2 2" xfId="43" xr:uid="{00000000-0005-0000-0000-000023030000}"/>
    <cellStyle name="20% - Accent6 2 2 10" xfId="17219" xr:uid="{ED01AE46-C1B1-4176-B79E-C48AA386ABF7}"/>
    <cellStyle name="20% - Accent6 2 2 11" xfId="25659" xr:uid="{B40FE2B5-4AD1-4B99-A78A-DA4787C56F4C}"/>
    <cellStyle name="20% - Accent6 2 2 2" xfId="44" xr:uid="{00000000-0005-0000-0000-000024030000}"/>
    <cellStyle name="20% - Accent6 2 2 2 10" xfId="25660" xr:uid="{69B78CCA-21E7-46B4-8A5E-1075E94F8AB3}"/>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2 2 2" xfId="15556" xr:uid="{A815AD5B-7F8B-4F70-ABEC-9D5972EFCCA4}"/>
    <cellStyle name="20% - Accent6 2 2 2 2 2 2 3" xfId="23996" xr:uid="{6527A69F-3943-408F-94FA-FF1E7C38F570}"/>
    <cellStyle name="20% - Accent6 2 2 2 2 2 2 4" xfId="32436" xr:uid="{F9595539-6EC4-4258-893B-88D9ED930755}"/>
    <cellStyle name="20% - Accent6 2 2 2 2 2 3" xfId="11338" xr:uid="{1DC6BBB5-7F6F-4681-9052-A36DA1A477F5}"/>
    <cellStyle name="20% - Accent6 2 2 2 2 2 4" xfId="19779" xr:uid="{0C26566E-56EC-479A-A5B2-7FCA6FEE6895}"/>
    <cellStyle name="20% - Accent6 2 2 2 2 2 5" xfId="28219" xr:uid="{121F1405-4B6F-41AC-BDDC-CDF735909E96}"/>
    <cellStyle name="20% - Accent6 2 2 2 2 3" xfId="4961" xr:uid="{00000000-0005-0000-0000-000028030000}"/>
    <cellStyle name="20% - Accent6 2 2 2 2 3 2" xfId="13411" xr:uid="{3F984EE2-2B13-4C57-8B4B-0A18D75B64AF}"/>
    <cellStyle name="20% - Accent6 2 2 2 2 3 3" xfId="21851" xr:uid="{1681B601-6217-4394-8A49-4E55CE67990A}"/>
    <cellStyle name="20% - Accent6 2 2 2 2 3 4" xfId="30291" xr:uid="{934762E2-56FA-4269-BDF3-A0D3751B20B5}"/>
    <cellStyle name="20% - Accent6 2 2 2 2 4" xfId="9193" xr:uid="{500EC464-9571-42DE-9695-D53C3BB51C97}"/>
    <cellStyle name="20% - Accent6 2 2 2 2 5" xfId="17634" xr:uid="{A0CA068B-DC64-4873-A8CC-61AB47EB07CE}"/>
    <cellStyle name="20% - Accent6 2 2 2 2 6" xfId="26074" xr:uid="{9B54BFD7-5444-4B2C-8B5A-C1F1E20D4EA2}"/>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2 2 2" xfId="15969" xr:uid="{4D87C735-338C-492B-B288-B1711AA86735}"/>
    <cellStyle name="20% - Accent6 2 2 2 3 2 2 3" xfId="24409" xr:uid="{CA488DD0-E401-4F75-840E-DACDDF565D2F}"/>
    <cellStyle name="20% - Accent6 2 2 2 3 2 2 4" xfId="32849" xr:uid="{7F9E2922-E1A1-44D5-852C-0BAB24014C02}"/>
    <cellStyle name="20% - Accent6 2 2 2 3 2 3" xfId="11751" xr:uid="{70746432-2CDF-4621-8A7C-CB80B248D4C0}"/>
    <cellStyle name="20% - Accent6 2 2 2 3 2 4" xfId="20192" xr:uid="{C9BDFD07-7872-4AE2-B3CE-0C17409354A7}"/>
    <cellStyle name="20% - Accent6 2 2 2 3 2 5" xfId="28632" xr:uid="{F206F5BD-3599-4A64-90AB-CD631F7D69DE}"/>
    <cellStyle name="20% - Accent6 2 2 2 3 3" xfId="5374" xr:uid="{00000000-0005-0000-0000-00002C030000}"/>
    <cellStyle name="20% - Accent6 2 2 2 3 3 2" xfId="13824" xr:uid="{17A96924-B257-4D96-BDD0-3DB0E2AB1962}"/>
    <cellStyle name="20% - Accent6 2 2 2 3 3 3" xfId="22264" xr:uid="{6EE3E1C5-D671-4133-94EF-0AD8F98DBBC0}"/>
    <cellStyle name="20% - Accent6 2 2 2 3 3 4" xfId="30704" xr:uid="{70FB1E47-1EC8-47A2-8667-FD845998EF2C}"/>
    <cellStyle name="20% - Accent6 2 2 2 3 4" xfId="9606" xr:uid="{46AD3F68-AB67-4E8E-B8FB-7F2417FB795A}"/>
    <cellStyle name="20% - Accent6 2 2 2 3 5" xfId="18047" xr:uid="{289AF02C-C28C-45CB-96E1-781CE8097109}"/>
    <cellStyle name="20% - Accent6 2 2 2 3 6" xfId="26487" xr:uid="{E4BA082D-4ECA-4FA5-B385-7310A9D6CB01}"/>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2 2 2" xfId="16382" xr:uid="{796B34C5-C632-4AD3-887C-9339045B3A1C}"/>
    <cellStyle name="20% - Accent6 2 2 2 4 2 2 3" xfId="24822" xr:uid="{3D5F214F-DBE8-4BCE-8919-44B986C66217}"/>
    <cellStyle name="20% - Accent6 2 2 2 4 2 2 4" xfId="33262" xr:uid="{E3CB498A-A7A6-402F-94AA-301FFE8DF2BD}"/>
    <cellStyle name="20% - Accent6 2 2 2 4 2 3" xfId="12164" xr:uid="{30457C01-04B4-49C8-A48A-1C7D984AF5A8}"/>
    <cellStyle name="20% - Accent6 2 2 2 4 2 4" xfId="20605" xr:uid="{EDE35B41-5ADC-4C78-BD1E-2A2ACD068310}"/>
    <cellStyle name="20% - Accent6 2 2 2 4 2 5" xfId="29045" xr:uid="{2C3E76DA-A2A2-41EA-A4C1-03DC39F217E2}"/>
    <cellStyle name="20% - Accent6 2 2 2 4 3" xfId="5787" xr:uid="{00000000-0005-0000-0000-000030030000}"/>
    <cellStyle name="20% - Accent6 2 2 2 4 3 2" xfId="14237" xr:uid="{E5BEAE51-6169-4786-880F-3F7AF2EC9977}"/>
    <cellStyle name="20% - Accent6 2 2 2 4 3 3" xfId="22677" xr:uid="{D324518A-4C27-4C43-A210-133399585F92}"/>
    <cellStyle name="20% - Accent6 2 2 2 4 3 4" xfId="31117" xr:uid="{8DD93885-FA44-49BA-B938-B71A8754373B}"/>
    <cellStyle name="20% - Accent6 2 2 2 4 4" xfId="10019" xr:uid="{5D47E661-7AA4-4A12-9C25-51358A2F59B2}"/>
    <cellStyle name="20% - Accent6 2 2 2 4 5" xfId="18460" xr:uid="{C81E0883-18F8-4B18-8FB7-3E86FFC24208}"/>
    <cellStyle name="20% - Accent6 2 2 2 4 6" xfId="26900" xr:uid="{39F4BC0A-7270-450D-B343-12E5EAC56C5D}"/>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2 2 2" xfId="16795" xr:uid="{E2349277-4BAE-4460-BE68-12282443C8DF}"/>
    <cellStyle name="20% - Accent6 2 2 2 5 2 2 3" xfId="25235" xr:uid="{CB43A64E-B76A-4A42-9A6B-4E1246DD037E}"/>
    <cellStyle name="20% - Accent6 2 2 2 5 2 2 4" xfId="33675" xr:uid="{ABDC4A93-AEB9-457A-A6B7-92F2C4698F0B}"/>
    <cellStyle name="20% - Accent6 2 2 2 5 2 3" xfId="12577" xr:uid="{33415EB4-73F6-4C28-AABD-6561CF29B558}"/>
    <cellStyle name="20% - Accent6 2 2 2 5 2 4" xfId="21018" xr:uid="{F5554A32-F1D6-4C2A-92A2-0E68D1322D77}"/>
    <cellStyle name="20% - Accent6 2 2 2 5 2 5" xfId="29458" xr:uid="{2E71CE2A-32C7-4CE9-B085-B12FCC9E55F8}"/>
    <cellStyle name="20% - Accent6 2 2 2 5 3" xfId="6200" xr:uid="{00000000-0005-0000-0000-000034030000}"/>
    <cellStyle name="20% - Accent6 2 2 2 5 3 2" xfId="14650" xr:uid="{398A9ED9-9878-41A0-B549-841C2A64AE98}"/>
    <cellStyle name="20% - Accent6 2 2 2 5 3 3" xfId="23090" xr:uid="{AFE2B1F8-EB88-49B7-BD58-0678A9907681}"/>
    <cellStyle name="20% - Accent6 2 2 2 5 3 4" xfId="31530" xr:uid="{AB409BEE-CCA5-4E21-8B1B-062A9EC4038A}"/>
    <cellStyle name="20% - Accent6 2 2 2 5 4" xfId="10432" xr:uid="{19D3C421-44E6-4E81-B106-88B192921C01}"/>
    <cellStyle name="20% - Accent6 2 2 2 5 5" xfId="18873" xr:uid="{791EA59C-3456-477A-8D90-87959BADA82D}"/>
    <cellStyle name="20% - Accent6 2 2 2 5 6" xfId="27313" xr:uid="{75AD0EEF-870D-42F4-99EF-B6991E4ABD97}"/>
    <cellStyle name="20% - Accent6 2 2 2 6" xfId="2307" xr:uid="{00000000-0005-0000-0000-000035030000}"/>
    <cellStyle name="20% - Accent6 2 2 2 6 2" xfId="6613" xr:uid="{00000000-0005-0000-0000-000036030000}"/>
    <cellStyle name="20% - Accent6 2 2 2 6 2 2" xfId="15063" xr:uid="{36508924-9535-4C3E-A426-6B500519FFD3}"/>
    <cellStyle name="20% - Accent6 2 2 2 6 2 3" xfId="23503" xr:uid="{358A80C5-4650-4481-9C34-F22E317C68FD}"/>
    <cellStyle name="20% - Accent6 2 2 2 6 2 4" xfId="31943" xr:uid="{B691C533-796C-4F80-B2F0-BED1B1396832}"/>
    <cellStyle name="20% - Accent6 2 2 2 6 3" xfId="10845" xr:uid="{89EDDB7C-698E-4C3E-AF48-6673C5457C0B}"/>
    <cellStyle name="20% - Accent6 2 2 2 6 4" xfId="19286" xr:uid="{F0E76C2A-A981-4992-B7EC-FF48CB28AF75}"/>
    <cellStyle name="20% - Accent6 2 2 2 6 5" xfId="27726" xr:uid="{46881F0A-AC95-49E1-800C-9F0C5F5D6234}"/>
    <cellStyle name="20% - Accent6 2 2 2 7" xfId="4547" xr:uid="{00000000-0005-0000-0000-000037030000}"/>
    <cellStyle name="20% - Accent6 2 2 2 7 2" xfId="12997" xr:uid="{74DE71DE-3A0C-4FC9-964D-0A4A43D5D7DB}"/>
    <cellStyle name="20% - Accent6 2 2 2 7 3" xfId="21437" xr:uid="{539D19E2-AFAC-4559-B083-024BC112CC80}"/>
    <cellStyle name="20% - Accent6 2 2 2 7 4" xfId="29877" xr:uid="{BCDA9916-5AD5-4EE2-BCA3-7AFE25525F88}"/>
    <cellStyle name="20% - Accent6 2 2 2 8" xfId="8779" xr:uid="{9E6D7CC4-9FEE-4DBD-9138-F405606B19B6}"/>
    <cellStyle name="20% - Accent6 2 2 2 9" xfId="17220" xr:uid="{F0783C1F-ECC1-46EF-A900-E8A9ED86F448}"/>
    <cellStyle name="20% - Accent6 2 2 3" xfId="612" xr:uid="{00000000-0005-0000-0000-000038030000}"/>
    <cellStyle name="20% - Accent6 2 2 3 2" xfId="2883" xr:uid="{00000000-0005-0000-0000-000039030000}"/>
    <cellStyle name="20% - Accent6 2 2 3 2 2" xfId="7105" xr:uid="{00000000-0005-0000-0000-00003A030000}"/>
    <cellStyle name="20% - Accent6 2 2 3 2 2 2" xfId="15555" xr:uid="{73684155-2468-4F5D-81E9-C9334680DEC2}"/>
    <cellStyle name="20% - Accent6 2 2 3 2 2 3" xfId="23995" xr:uid="{AAD4A8EB-CAB3-456D-B94F-D48A85440D87}"/>
    <cellStyle name="20% - Accent6 2 2 3 2 2 4" xfId="32435" xr:uid="{E8F3B64E-A1B6-4CB1-AC54-D4261E66698B}"/>
    <cellStyle name="20% - Accent6 2 2 3 2 3" xfId="11337" xr:uid="{76FC9FD4-0D64-412B-A117-A49C8E6AC62F}"/>
    <cellStyle name="20% - Accent6 2 2 3 2 4" xfId="19778" xr:uid="{3413F23D-467E-4997-826F-B1A16A3618C8}"/>
    <cellStyle name="20% - Accent6 2 2 3 2 5" xfId="28218" xr:uid="{F0D4B72E-72A7-4111-AA25-3CC01CA46E3A}"/>
    <cellStyle name="20% - Accent6 2 2 3 3" xfId="4960" xr:uid="{00000000-0005-0000-0000-00003B030000}"/>
    <cellStyle name="20% - Accent6 2 2 3 3 2" xfId="13410" xr:uid="{1C33B9F0-71E1-4AD2-BBBE-0A5C812BD740}"/>
    <cellStyle name="20% - Accent6 2 2 3 3 3" xfId="21850" xr:uid="{894A628D-3C44-4B3B-9595-37F9014D4584}"/>
    <cellStyle name="20% - Accent6 2 2 3 3 4" xfId="30290" xr:uid="{3BDEAA63-7939-43BE-B173-CE2559F62C31}"/>
    <cellStyle name="20% - Accent6 2 2 3 4" xfId="9192" xr:uid="{0BC6E14C-13BC-41F3-918A-D879217DA29E}"/>
    <cellStyle name="20% - Accent6 2 2 3 5" xfId="17633" xr:uid="{A6CFCE77-C343-44D6-B433-BDEF29C4BC3F}"/>
    <cellStyle name="20% - Accent6 2 2 3 6" xfId="26073" xr:uid="{171B1466-EE8C-4A95-8E73-BB0683A5D113}"/>
    <cellStyle name="20% - Accent6 2 2 4" xfId="1065" xr:uid="{00000000-0005-0000-0000-00003C030000}"/>
    <cellStyle name="20% - Accent6 2 2 4 2" xfId="3296" xr:uid="{00000000-0005-0000-0000-00003D030000}"/>
    <cellStyle name="20% - Accent6 2 2 4 2 2" xfId="7518" xr:uid="{00000000-0005-0000-0000-00003E030000}"/>
    <cellStyle name="20% - Accent6 2 2 4 2 2 2" xfId="15968" xr:uid="{68369CDF-A814-4F20-AC44-208795C06C0F}"/>
    <cellStyle name="20% - Accent6 2 2 4 2 2 3" xfId="24408" xr:uid="{0075C831-AD0C-4069-9E80-38DD64324D0E}"/>
    <cellStyle name="20% - Accent6 2 2 4 2 2 4" xfId="32848" xr:uid="{1487D4D8-7572-40B3-9C14-CD0858A27119}"/>
    <cellStyle name="20% - Accent6 2 2 4 2 3" xfId="11750" xr:uid="{42C26BFC-BD73-4F63-92CB-41834AD90EC6}"/>
    <cellStyle name="20% - Accent6 2 2 4 2 4" xfId="20191" xr:uid="{F8A5EE17-E0E7-485A-9537-60318CCBC227}"/>
    <cellStyle name="20% - Accent6 2 2 4 2 5" xfId="28631" xr:uid="{2C2851A3-A9FD-4B11-825E-FF8A8A854E52}"/>
    <cellStyle name="20% - Accent6 2 2 4 3" xfId="5373" xr:uid="{00000000-0005-0000-0000-00003F030000}"/>
    <cellStyle name="20% - Accent6 2 2 4 3 2" xfId="13823" xr:uid="{BE1798A5-6C53-45FE-BCFD-F579B8B3C0F3}"/>
    <cellStyle name="20% - Accent6 2 2 4 3 3" xfId="22263" xr:uid="{92414069-97DB-4DEC-88E7-9C7B7371130A}"/>
    <cellStyle name="20% - Accent6 2 2 4 3 4" xfId="30703" xr:uid="{C0BC9A4C-31DD-4EE7-84BB-B9988F392434}"/>
    <cellStyle name="20% - Accent6 2 2 4 4" xfId="9605" xr:uid="{AB5B846F-1D94-4E56-A499-275B62738E20}"/>
    <cellStyle name="20% - Accent6 2 2 4 5" xfId="18046" xr:uid="{ECC7727E-476A-4B37-AE15-162135B50FB3}"/>
    <cellStyle name="20% - Accent6 2 2 4 6" xfId="26486" xr:uid="{3ED383A2-2EC3-40E0-AEC3-522A54684545}"/>
    <cellStyle name="20% - Accent6 2 2 5" xfId="1479" xr:uid="{00000000-0005-0000-0000-000040030000}"/>
    <cellStyle name="20% - Accent6 2 2 5 2" xfId="3709" xr:uid="{00000000-0005-0000-0000-000041030000}"/>
    <cellStyle name="20% - Accent6 2 2 5 2 2" xfId="7931" xr:uid="{00000000-0005-0000-0000-000042030000}"/>
    <cellStyle name="20% - Accent6 2 2 5 2 2 2" xfId="16381" xr:uid="{A0717B5B-6D23-4A4D-8D9D-C6B7CA2BF7E3}"/>
    <cellStyle name="20% - Accent6 2 2 5 2 2 3" xfId="24821" xr:uid="{04C3A072-92C0-40C1-A1F6-E2FC4DB79490}"/>
    <cellStyle name="20% - Accent6 2 2 5 2 2 4" xfId="33261" xr:uid="{DDB7F27A-E65E-4EC6-950D-184DEEAE8E3B}"/>
    <cellStyle name="20% - Accent6 2 2 5 2 3" xfId="12163" xr:uid="{54C86EC7-D52F-4845-84F1-516910E7B48E}"/>
    <cellStyle name="20% - Accent6 2 2 5 2 4" xfId="20604" xr:uid="{D867DE6F-504F-493D-8FD9-CD66BEE6DDD6}"/>
    <cellStyle name="20% - Accent6 2 2 5 2 5" xfId="29044" xr:uid="{575E7AEA-EC12-4C9E-9ED1-2738CB817EF2}"/>
    <cellStyle name="20% - Accent6 2 2 5 3" xfId="5786" xr:uid="{00000000-0005-0000-0000-000043030000}"/>
    <cellStyle name="20% - Accent6 2 2 5 3 2" xfId="14236" xr:uid="{8ADF86FD-C0AD-4C9B-8E53-F662E1709A48}"/>
    <cellStyle name="20% - Accent6 2 2 5 3 3" xfId="22676" xr:uid="{2532225C-9031-41B5-B5E7-B08063956D6A}"/>
    <cellStyle name="20% - Accent6 2 2 5 3 4" xfId="31116" xr:uid="{13FB50EC-AB3D-4BBC-B07A-AF53E05E297B}"/>
    <cellStyle name="20% - Accent6 2 2 5 4" xfId="10018" xr:uid="{38AB595D-AEA9-4472-836D-F6AE594D2B65}"/>
    <cellStyle name="20% - Accent6 2 2 5 5" xfId="18459" xr:uid="{5984C530-3036-4FBD-8D17-B16B6CD07B7F}"/>
    <cellStyle name="20% - Accent6 2 2 5 6" xfId="26899" xr:uid="{BD1F11E9-0A96-417A-B163-3BF1E2978C4E}"/>
    <cellStyle name="20% - Accent6 2 2 6" xfId="1893" xr:uid="{00000000-0005-0000-0000-000044030000}"/>
    <cellStyle name="20% - Accent6 2 2 6 2" xfId="4122" xr:uid="{00000000-0005-0000-0000-000045030000}"/>
    <cellStyle name="20% - Accent6 2 2 6 2 2" xfId="8344" xr:uid="{00000000-0005-0000-0000-000046030000}"/>
    <cellStyle name="20% - Accent6 2 2 6 2 2 2" xfId="16794" xr:uid="{4E6CCE56-2379-4E1F-88FE-09CA5B005F9F}"/>
    <cellStyle name="20% - Accent6 2 2 6 2 2 3" xfId="25234" xr:uid="{4F99A4CE-9BD3-4482-8DDD-AC4DF37E16AF}"/>
    <cellStyle name="20% - Accent6 2 2 6 2 2 4" xfId="33674" xr:uid="{08E838B5-CA5E-4819-B1FF-546FE73CD454}"/>
    <cellStyle name="20% - Accent6 2 2 6 2 3" xfId="12576" xr:uid="{6DCCC913-DBD9-4290-8C28-996FE7E261A8}"/>
    <cellStyle name="20% - Accent6 2 2 6 2 4" xfId="21017" xr:uid="{CA0B05E9-5933-43B8-8A88-44EBC6D85DC2}"/>
    <cellStyle name="20% - Accent6 2 2 6 2 5" xfId="29457" xr:uid="{E284EC42-1E9D-41E1-AB0E-BBED07D3CEA3}"/>
    <cellStyle name="20% - Accent6 2 2 6 3" xfId="6199" xr:uid="{00000000-0005-0000-0000-000047030000}"/>
    <cellStyle name="20% - Accent6 2 2 6 3 2" xfId="14649" xr:uid="{AAC96A81-E90F-4495-B306-FCC56A42358C}"/>
    <cellStyle name="20% - Accent6 2 2 6 3 3" xfId="23089" xr:uid="{8D03A417-2475-468C-BB91-48BC23B7D495}"/>
    <cellStyle name="20% - Accent6 2 2 6 3 4" xfId="31529" xr:uid="{1DC2E234-6307-41E8-86A3-240DF2FF2189}"/>
    <cellStyle name="20% - Accent6 2 2 6 4" xfId="10431" xr:uid="{0CEA997D-75B3-4A51-93E0-05DF1DB1D99E}"/>
    <cellStyle name="20% - Accent6 2 2 6 5" xfId="18872" xr:uid="{3AFAFF21-C5CB-4D4C-AD51-37FBDFD1AEFA}"/>
    <cellStyle name="20% - Accent6 2 2 6 6" xfId="27312" xr:uid="{5AA9C657-8FCC-400E-816C-06E095CB2B9C}"/>
    <cellStyle name="20% - Accent6 2 2 7" xfId="2306" xr:uid="{00000000-0005-0000-0000-000048030000}"/>
    <cellStyle name="20% - Accent6 2 2 7 2" xfId="6612" xr:uid="{00000000-0005-0000-0000-000049030000}"/>
    <cellStyle name="20% - Accent6 2 2 7 2 2" xfId="15062" xr:uid="{70B9D4F4-C09C-46C1-AD75-03A45779969F}"/>
    <cellStyle name="20% - Accent6 2 2 7 2 3" xfId="23502" xr:uid="{6E81E1D4-DCEC-477E-936D-1AF4737CB726}"/>
    <cellStyle name="20% - Accent6 2 2 7 2 4" xfId="31942" xr:uid="{53DAF6F7-8F91-4FD0-90DB-E202B82EDA92}"/>
    <cellStyle name="20% - Accent6 2 2 7 3" xfId="10844" xr:uid="{990435D3-A5FE-47A8-8EAF-FF3E6806A96F}"/>
    <cellStyle name="20% - Accent6 2 2 7 4" xfId="19285" xr:uid="{C9B8DE5C-6983-4E27-94B0-F0F35603734E}"/>
    <cellStyle name="20% - Accent6 2 2 7 5" xfId="27725" xr:uid="{4F7FE026-768A-4841-9FA9-AF1FEF26C7F3}"/>
    <cellStyle name="20% - Accent6 2 2 8" xfId="4546" xr:uid="{00000000-0005-0000-0000-00004A030000}"/>
    <cellStyle name="20% - Accent6 2 2 8 2" xfId="12996" xr:uid="{1A91F577-D68B-49A2-BCA5-E622BB02F6FF}"/>
    <cellStyle name="20% - Accent6 2 2 8 3" xfId="21436" xr:uid="{AF6EF675-7065-4A0A-B824-AA40572AF662}"/>
    <cellStyle name="20% - Accent6 2 2 8 4" xfId="29876" xr:uid="{C3381B93-3DAC-4488-A5F5-570BE371CC80}"/>
    <cellStyle name="20% - Accent6 2 2 9" xfId="8778" xr:uid="{3206D1B9-9E73-4BE3-AFE6-4122B58315EE}"/>
    <cellStyle name="20% - Accent6 2 3" xfId="45" xr:uid="{00000000-0005-0000-0000-00004B030000}"/>
    <cellStyle name="20% - Accent6 2 3 10" xfId="25661" xr:uid="{C248C318-9B65-4188-BA91-969BA6636682}"/>
    <cellStyle name="20% - Accent6 2 3 2" xfId="614" xr:uid="{00000000-0005-0000-0000-00004C030000}"/>
    <cellStyle name="20% - Accent6 2 3 2 2" xfId="2885" xr:uid="{00000000-0005-0000-0000-00004D030000}"/>
    <cellStyle name="20% - Accent6 2 3 2 2 2" xfId="7107" xr:uid="{00000000-0005-0000-0000-00004E030000}"/>
    <cellStyle name="20% - Accent6 2 3 2 2 2 2" xfId="15557" xr:uid="{7F78F8E5-79EB-4DF3-A5FB-5F7700CD7AA0}"/>
    <cellStyle name="20% - Accent6 2 3 2 2 2 3" xfId="23997" xr:uid="{EFB5593B-8850-4068-8000-D6CCD5C20B24}"/>
    <cellStyle name="20% - Accent6 2 3 2 2 2 4" xfId="32437" xr:uid="{6B76B685-D218-4456-8621-9D73BCFD2E34}"/>
    <cellStyle name="20% - Accent6 2 3 2 2 3" xfId="11339" xr:uid="{5DEF3202-B246-484C-904F-D32CBD038A7F}"/>
    <cellStyle name="20% - Accent6 2 3 2 2 4" xfId="19780" xr:uid="{30D6A0DF-2814-4762-AD54-62DFD21F22B1}"/>
    <cellStyle name="20% - Accent6 2 3 2 2 5" xfId="28220" xr:uid="{EA71E50E-81C4-4700-997C-EFA8C208D327}"/>
    <cellStyle name="20% - Accent6 2 3 2 3" xfId="4962" xr:uid="{00000000-0005-0000-0000-00004F030000}"/>
    <cellStyle name="20% - Accent6 2 3 2 3 2" xfId="13412" xr:uid="{090733E8-4EC8-4DA0-9431-97FB6B72E3C9}"/>
    <cellStyle name="20% - Accent6 2 3 2 3 3" xfId="21852" xr:uid="{684AA87E-EB7D-44A8-BA56-3F63B27FD806}"/>
    <cellStyle name="20% - Accent6 2 3 2 3 4" xfId="30292" xr:uid="{26E62745-3E54-4A07-BF54-03B314896AC6}"/>
    <cellStyle name="20% - Accent6 2 3 2 4" xfId="9194" xr:uid="{7FA72E1E-A44A-490E-9904-A75EC65E532B}"/>
    <cellStyle name="20% - Accent6 2 3 2 5" xfId="17635" xr:uid="{F556D248-5872-4554-8AC4-036D960606D6}"/>
    <cellStyle name="20% - Accent6 2 3 2 6" xfId="26075" xr:uid="{4A2B4354-5E00-4C98-B103-F8134C48A794}"/>
    <cellStyle name="20% - Accent6 2 3 3" xfId="1067" xr:uid="{00000000-0005-0000-0000-000050030000}"/>
    <cellStyle name="20% - Accent6 2 3 3 2" xfId="3298" xr:uid="{00000000-0005-0000-0000-000051030000}"/>
    <cellStyle name="20% - Accent6 2 3 3 2 2" xfId="7520" xr:uid="{00000000-0005-0000-0000-000052030000}"/>
    <cellStyle name="20% - Accent6 2 3 3 2 2 2" xfId="15970" xr:uid="{59816C47-B5CD-4836-824F-51107C43B654}"/>
    <cellStyle name="20% - Accent6 2 3 3 2 2 3" xfId="24410" xr:uid="{691B7195-15F2-4544-BC8B-8BF62595062F}"/>
    <cellStyle name="20% - Accent6 2 3 3 2 2 4" xfId="32850" xr:uid="{FEAB6493-0AD5-4C9D-8286-598DD2EDF39C}"/>
    <cellStyle name="20% - Accent6 2 3 3 2 3" xfId="11752" xr:uid="{B7D450E6-7932-49B7-B0F4-9F765F1184C2}"/>
    <cellStyle name="20% - Accent6 2 3 3 2 4" xfId="20193" xr:uid="{77C3A64B-C5D1-4453-9096-15A27C332077}"/>
    <cellStyle name="20% - Accent6 2 3 3 2 5" xfId="28633" xr:uid="{B67A27C1-25C3-4BFF-82BE-EABFC1A04577}"/>
    <cellStyle name="20% - Accent6 2 3 3 3" xfId="5375" xr:uid="{00000000-0005-0000-0000-000053030000}"/>
    <cellStyle name="20% - Accent6 2 3 3 3 2" xfId="13825" xr:uid="{DBF38015-5EC6-4876-8953-79E1D8B28625}"/>
    <cellStyle name="20% - Accent6 2 3 3 3 3" xfId="22265" xr:uid="{2954FFE3-B59E-49BF-8A88-BD269DE49EB0}"/>
    <cellStyle name="20% - Accent6 2 3 3 3 4" xfId="30705" xr:uid="{86DE7D22-C6AC-40E3-BE41-C51152F5B559}"/>
    <cellStyle name="20% - Accent6 2 3 3 4" xfId="9607" xr:uid="{25B2AA2D-1AFC-4191-B609-B3A1F8AE4A60}"/>
    <cellStyle name="20% - Accent6 2 3 3 5" xfId="18048" xr:uid="{8D9A8750-541A-4FF6-BE34-A50077DD6A94}"/>
    <cellStyle name="20% - Accent6 2 3 3 6" xfId="26488" xr:uid="{8853D4AD-1B0D-411B-9B9C-CA0667A1EF67}"/>
    <cellStyle name="20% - Accent6 2 3 4" xfId="1481" xr:uid="{00000000-0005-0000-0000-000054030000}"/>
    <cellStyle name="20% - Accent6 2 3 4 2" xfId="3711" xr:uid="{00000000-0005-0000-0000-000055030000}"/>
    <cellStyle name="20% - Accent6 2 3 4 2 2" xfId="7933" xr:uid="{00000000-0005-0000-0000-000056030000}"/>
    <cellStyle name="20% - Accent6 2 3 4 2 2 2" xfId="16383" xr:uid="{204E105F-095A-44CC-A716-9D6BF5540DBF}"/>
    <cellStyle name="20% - Accent6 2 3 4 2 2 3" xfId="24823" xr:uid="{D5F41A8C-C0E5-4E95-AFF5-D0E35B4FD762}"/>
    <cellStyle name="20% - Accent6 2 3 4 2 2 4" xfId="33263" xr:uid="{A82ABB09-2E7F-4495-AF03-5C1475405C35}"/>
    <cellStyle name="20% - Accent6 2 3 4 2 3" xfId="12165" xr:uid="{611E224C-8C43-455C-A207-7D4B7C74B41A}"/>
    <cellStyle name="20% - Accent6 2 3 4 2 4" xfId="20606" xr:uid="{267B9983-750B-46B3-968E-55AF235264DB}"/>
    <cellStyle name="20% - Accent6 2 3 4 2 5" xfId="29046" xr:uid="{5A4152C8-5569-40EC-BF28-957F3EF1F147}"/>
    <cellStyle name="20% - Accent6 2 3 4 3" xfId="5788" xr:uid="{00000000-0005-0000-0000-000057030000}"/>
    <cellStyle name="20% - Accent6 2 3 4 3 2" xfId="14238" xr:uid="{C7A9618A-B762-47A5-93C3-283D4B9CDC05}"/>
    <cellStyle name="20% - Accent6 2 3 4 3 3" xfId="22678" xr:uid="{48E89170-001C-4102-A2DB-1EFA19DDCE1A}"/>
    <cellStyle name="20% - Accent6 2 3 4 3 4" xfId="31118" xr:uid="{0D60D08A-94D5-4AA8-83BF-FE4E897CB28D}"/>
    <cellStyle name="20% - Accent6 2 3 4 4" xfId="10020" xr:uid="{556883F4-2516-4251-947C-3048905DDCF0}"/>
    <cellStyle name="20% - Accent6 2 3 4 5" xfId="18461" xr:uid="{B9F24A37-B168-472A-8217-77B5378B6ABE}"/>
    <cellStyle name="20% - Accent6 2 3 4 6" xfId="26901" xr:uid="{BB9D985B-7FBD-4949-94B0-F10C27E6BF62}"/>
    <cellStyle name="20% - Accent6 2 3 5" xfId="1895" xr:uid="{00000000-0005-0000-0000-000058030000}"/>
    <cellStyle name="20% - Accent6 2 3 5 2" xfId="4124" xr:uid="{00000000-0005-0000-0000-000059030000}"/>
    <cellStyle name="20% - Accent6 2 3 5 2 2" xfId="8346" xr:uid="{00000000-0005-0000-0000-00005A030000}"/>
    <cellStyle name="20% - Accent6 2 3 5 2 2 2" xfId="16796" xr:uid="{6D54A96D-D583-4E04-93FA-7AC5609FBE28}"/>
    <cellStyle name="20% - Accent6 2 3 5 2 2 3" xfId="25236" xr:uid="{C7B3933D-6DD6-412E-878B-469561227EB0}"/>
    <cellStyle name="20% - Accent6 2 3 5 2 2 4" xfId="33676" xr:uid="{0450E9F1-DDA2-4BEC-AC82-640A16280CDD}"/>
    <cellStyle name="20% - Accent6 2 3 5 2 3" xfId="12578" xr:uid="{86CC83D4-1773-49F8-BCA2-AE13535D7292}"/>
    <cellStyle name="20% - Accent6 2 3 5 2 4" xfId="21019" xr:uid="{3F43DDF6-2E12-4D9E-B60C-BA7832434C98}"/>
    <cellStyle name="20% - Accent6 2 3 5 2 5" xfId="29459" xr:uid="{B32683EC-5401-4E61-9105-57C8EAA972A8}"/>
    <cellStyle name="20% - Accent6 2 3 5 3" xfId="6201" xr:uid="{00000000-0005-0000-0000-00005B030000}"/>
    <cellStyle name="20% - Accent6 2 3 5 3 2" xfId="14651" xr:uid="{41385D06-50C1-418C-B7DC-E67940DCE8F1}"/>
    <cellStyle name="20% - Accent6 2 3 5 3 3" xfId="23091" xr:uid="{CEBCAAA6-2570-4F4C-9CF7-ADB5608FC073}"/>
    <cellStyle name="20% - Accent6 2 3 5 3 4" xfId="31531" xr:uid="{D6F6B48A-E36D-4747-ACA6-F8F6FAE30BCC}"/>
    <cellStyle name="20% - Accent6 2 3 5 4" xfId="10433" xr:uid="{AFCEFB0F-7D23-43F2-BFA2-49A9F7F71EF3}"/>
    <cellStyle name="20% - Accent6 2 3 5 5" xfId="18874" xr:uid="{40F18B6F-7CDF-4173-98B2-0C4ED190661D}"/>
    <cellStyle name="20% - Accent6 2 3 5 6" xfId="27314" xr:uid="{A3EF3910-F02D-43AE-8DD4-1729BC8D3BFC}"/>
    <cellStyle name="20% - Accent6 2 3 6" xfId="2308" xr:uid="{00000000-0005-0000-0000-00005C030000}"/>
    <cellStyle name="20% - Accent6 2 3 6 2" xfId="6614" xr:uid="{00000000-0005-0000-0000-00005D030000}"/>
    <cellStyle name="20% - Accent6 2 3 6 2 2" xfId="15064" xr:uid="{6C2A404D-1A8D-45CE-A613-849EB1C64E6E}"/>
    <cellStyle name="20% - Accent6 2 3 6 2 3" xfId="23504" xr:uid="{72B3920F-3220-4B08-98EC-36B6417DA4C5}"/>
    <cellStyle name="20% - Accent6 2 3 6 2 4" xfId="31944" xr:uid="{714F75C4-24D0-454B-A865-4CB9C6B699C1}"/>
    <cellStyle name="20% - Accent6 2 3 6 3" xfId="10846" xr:uid="{715ADA20-1B82-492B-95D7-98CEB1A42B0C}"/>
    <cellStyle name="20% - Accent6 2 3 6 4" xfId="19287" xr:uid="{CE434E76-3742-4422-98B2-626C5E6170BF}"/>
    <cellStyle name="20% - Accent6 2 3 6 5" xfId="27727" xr:uid="{CC814ECB-E036-4F93-948D-1F8791D399C7}"/>
    <cellStyle name="20% - Accent6 2 3 7" xfId="4548" xr:uid="{00000000-0005-0000-0000-00005E030000}"/>
    <cellStyle name="20% - Accent6 2 3 7 2" xfId="12998" xr:uid="{DE1583CA-50DC-4589-8B40-90B55C25E390}"/>
    <cellStyle name="20% - Accent6 2 3 7 3" xfId="21438" xr:uid="{65787EA6-6541-4589-AD3A-242FD0F62DAA}"/>
    <cellStyle name="20% - Accent6 2 3 7 4" xfId="29878" xr:uid="{704709C4-1AE1-4C60-B214-A217CD9D98BC}"/>
    <cellStyle name="20% - Accent6 2 3 8" xfId="8780" xr:uid="{2966D3F9-9FAD-487D-A73D-07A6CCDDA3CE}"/>
    <cellStyle name="20% - Accent6 2 3 9" xfId="17221" xr:uid="{8E068341-CBC9-4099-8EFA-7D36DEF4264E}"/>
    <cellStyle name="20% - Accent6 2 4" xfId="611" xr:uid="{00000000-0005-0000-0000-00005F030000}"/>
    <cellStyle name="20% - Accent6 2 4 2" xfId="2882" xr:uid="{00000000-0005-0000-0000-000060030000}"/>
    <cellStyle name="20% - Accent6 2 4 2 2" xfId="7104" xr:uid="{00000000-0005-0000-0000-000061030000}"/>
    <cellStyle name="20% - Accent6 2 4 2 2 2" xfId="15554" xr:uid="{F09BEB03-CA8D-4417-893E-24A83CDFC4AA}"/>
    <cellStyle name="20% - Accent6 2 4 2 2 3" xfId="23994" xr:uid="{7B32C4E7-98B7-4B2C-B2C9-560279AFFB30}"/>
    <cellStyle name="20% - Accent6 2 4 2 2 4" xfId="32434" xr:uid="{40F55FD8-81E3-473A-A2B7-FC60E88E6683}"/>
    <cellStyle name="20% - Accent6 2 4 2 3" xfId="11336" xr:uid="{F2AC9D8A-1D1B-444B-B7C7-883DB88C79D2}"/>
    <cellStyle name="20% - Accent6 2 4 2 4" xfId="19777" xr:uid="{6C2285E4-063E-47CC-BD61-6105A72BDCD7}"/>
    <cellStyle name="20% - Accent6 2 4 2 5" xfId="28217" xr:uid="{C4797BA7-9D1C-4D47-89B1-2EF2BBBC54B7}"/>
    <cellStyle name="20% - Accent6 2 4 3" xfId="4959" xr:uid="{00000000-0005-0000-0000-000062030000}"/>
    <cellStyle name="20% - Accent6 2 4 3 2" xfId="13409" xr:uid="{40C4A647-050D-4E23-9701-760C05DD36C5}"/>
    <cellStyle name="20% - Accent6 2 4 3 3" xfId="21849" xr:uid="{95C6E2D5-358F-4E5D-9082-8A5FD14D3F84}"/>
    <cellStyle name="20% - Accent6 2 4 3 4" xfId="30289" xr:uid="{229E7C23-6696-427E-B436-9D75C027D6A8}"/>
    <cellStyle name="20% - Accent6 2 4 4" xfId="9191" xr:uid="{E443A9B1-32D3-4C11-8351-0B6C18C52E20}"/>
    <cellStyle name="20% - Accent6 2 4 5" xfId="17632" xr:uid="{174DA998-9233-4250-98AC-831C38311806}"/>
    <cellStyle name="20% - Accent6 2 4 6" xfId="26072" xr:uid="{65A1DBAB-15B2-42CC-8C89-E75932B6334E}"/>
    <cellStyle name="20% - Accent6 2 5" xfId="1064" xr:uid="{00000000-0005-0000-0000-000063030000}"/>
    <cellStyle name="20% - Accent6 2 5 2" xfId="3295" xr:uid="{00000000-0005-0000-0000-000064030000}"/>
    <cellStyle name="20% - Accent6 2 5 2 2" xfId="7517" xr:uid="{00000000-0005-0000-0000-000065030000}"/>
    <cellStyle name="20% - Accent6 2 5 2 2 2" xfId="15967" xr:uid="{4139057A-00E5-4F05-8309-60AFDDFCBB05}"/>
    <cellStyle name="20% - Accent6 2 5 2 2 3" xfId="24407" xr:uid="{4DD01CCC-34A6-4D21-8CB8-0EA3CB6C51B6}"/>
    <cellStyle name="20% - Accent6 2 5 2 2 4" xfId="32847" xr:uid="{302A3EC5-A9F6-4B82-84FB-B2BC48BD86BB}"/>
    <cellStyle name="20% - Accent6 2 5 2 3" xfId="11749" xr:uid="{6209B105-B7D9-4550-9D44-A8AD771C0232}"/>
    <cellStyle name="20% - Accent6 2 5 2 4" xfId="20190" xr:uid="{C728EFF2-B5C7-4E00-87BC-51FBE0DB6A3E}"/>
    <cellStyle name="20% - Accent6 2 5 2 5" xfId="28630" xr:uid="{EFF05552-2800-4245-ACBE-5832680E9186}"/>
    <cellStyle name="20% - Accent6 2 5 3" xfId="5372" xr:uid="{00000000-0005-0000-0000-000066030000}"/>
    <cellStyle name="20% - Accent6 2 5 3 2" xfId="13822" xr:uid="{9F2EB176-182C-4F40-96ED-CD1C4F9DAC63}"/>
    <cellStyle name="20% - Accent6 2 5 3 3" xfId="22262" xr:uid="{8937B1F7-D4A5-44D7-B27A-FADB5D249459}"/>
    <cellStyle name="20% - Accent6 2 5 3 4" xfId="30702" xr:uid="{1F9BECC5-31DE-4844-A17F-45A468EAC24A}"/>
    <cellStyle name="20% - Accent6 2 5 4" xfId="9604" xr:uid="{C30D8996-B133-4D4D-9A9A-DE382EA66D2C}"/>
    <cellStyle name="20% - Accent6 2 5 5" xfId="18045" xr:uid="{67B6B480-C089-4DD2-B14D-3C42B69E0A5E}"/>
    <cellStyle name="20% - Accent6 2 5 6" xfId="26485" xr:uid="{7C451DB4-6F33-4E0A-9083-D0AB48B00E6D}"/>
    <cellStyle name="20% - Accent6 2 6" xfId="1478" xr:uid="{00000000-0005-0000-0000-000067030000}"/>
    <cellStyle name="20% - Accent6 2 6 2" xfId="3708" xr:uid="{00000000-0005-0000-0000-000068030000}"/>
    <cellStyle name="20% - Accent6 2 6 2 2" xfId="7930" xr:uid="{00000000-0005-0000-0000-000069030000}"/>
    <cellStyle name="20% - Accent6 2 6 2 2 2" xfId="16380" xr:uid="{0F422A38-D8B3-4B3F-88CF-5025E19686EE}"/>
    <cellStyle name="20% - Accent6 2 6 2 2 3" xfId="24820" xr:uid="{48F9523A-6890-49C6-90FF-2285E062BAC2}"/>
    <cellStyle name="20% - Accent6 2 6 2 2 4" xfId="33260" xr:uid="{E1888E80-1F67-4BA1-9E32-289730828587}"/>
    <cellStyle name="20% - Accent6 2 6 2 3" xfId="12162" xr:uid="{6DD04A03-F7E7-4D67-8036-0ED8434AD912}"/>
    <cellStyle name="20% - Accent6 2 6 2 4" xfId="20603" xr:uid="{7ECB3060-45CE-476B-B8BD-D4F61579B167}"/>
    <cellStyle name="20% - Accent6 2 6 2 5" xfId="29043" xr:uid="{B2984691-BC50-4F8F-A37D-F4FA8667F61C}"/>
    <cellStyle name="20% - Accent6 2 6 3" xfId="5785" xr:uid="{00000000-0005-0000-0000-00006A030000}"/>
    <cellStyle name="20% - Accent6 2 6 3 2" xfId="14235" xr:uid="{C9E0D8DA-77A5-467D-B5C8-29E66DCBDA30}"/>
    <cellStyle name="20% - Accent6 2 6 3 3" xfId="22675" xr:uid="{4FBB5FA4-00AB-4540-9B4D-41EC56A30EE8}"/>
    <cellStyle name="20% - Accent6 2 6 3 4" xfId="31115" xr:uid="{30EC5FF3-F24C-4F6F-ABCB-A9752836D78C}"/>
    <cellStyle name="20% - Accent6 2 6 4" xfId="10017" xr:uid="{4B6C8F4D-E958-46AE-BCE2-2267DCAF8B63}"/>
    <cellStyle name="20% - Accent6 2 6 5" xfId="18458" xr:uid="{A5D30644-62F3-4CC6-B697-CD81BF2F6328}"/>
    <cellStyle name="20% - Accent6 2 6 6" xfId="26898" xr:uid="{0E41AA9F-FD45-4045-AAF8-5A54C20FEC35}"/>
    <cellStyle name="20% - Accent6 2 7" xfId="1892" xr:uid="{00000000-0005-0000-0000-00006B030000}"/>
    <cellStyle name="20% - Accent6 2 7 2" xfId="4121" xr:uid="{00000000-0005-0000-0000-00006C030000}"/>
    <cellStyle name="20% - Accent6 2 7 2 2" xfId="8343" xr:uid="{00000000-0005-0000-0000-00006D030000}"/>
    <cellStyle name="20% - Accent6 2 7 2 2 2" xfId="16793" xr:uid="{9CF02EBB-FD3E-47AF-9458-1209A173E7A3}"/>
    <cellStyle name="20% - Accent6 2 7 2 2 3" xfId="25233" xr:uid="{717D456E-6AF6-4CA2-96B4-200C4B8227AA}"/>
    <cellStyle name="20% - Accent6 2 7 2 2 4" xfId="33673" xr:uid="{C492CBDE-AB39-45ED-B1EC-9423F4F66024}"/>
    <cellStyle name="20% - Accent6 2 7 2 3" xfId="12575" xr:uid="{821F25D1-EC3A-4085-B166-543C6A3FF71E}"/>
    <cellStyle name="20% - Accent6 2 7 2 4" xfId="21016" xr:uid="{24DC1014-A7EB-4BB3-B8D4-56134A23554A}"/>
    <cellStyle name="20% - Accent6 2 7 2 5" xfId="29456" xr:uid="{4D8362E4-6E95-43F5-988C-3554327586C4}"/>
    <cellStyle name="20% - Accent6 2 7 3" xfId="6198" xr:uid="{00000000-0005-0000-0000-00006E030000}"/>
    <cellStyle name="20% - Accent6 2 7 3 2" xfId="14648" xr:uid="{E34A9C13-F5D5-489D-88AC-B4EBDBAF3F24}"/>
    <cellStyle name="20% - Accent6 2 7 3 3" xfId="23088" xr:uid="{6D835203-787C-4016-8308-FB5B9626C66B}"/>
    <cellStyle name="20% - Accent6 2 7 3 4" xfId="31528" xr:uid="{7A55DF4A-530C-49C9-A2FA-65576DEB453C}"/>
    <cellStyle name="20% - Accent6 2 7 4" xfId="10430" xr:uid="{2E24D31E-98B0-40B7-AAB5-355BC517E5C8}"/>
    <cellStyle name="20% - Accent6 2 7 5" xfId="18871" xr:uid="{9F10F19E-DE2B-4153-93EA-7AC33EBD6242}"/>
    <cellStyle name="20% - Accent6 2 7 6" xfId="27311" xr:uid="{5D44B5BE-BD4B-4A15-A377-723D7BF8A227}"/>
    <cellStyle name="20% - Accent6 2 8" xfId="2305" xr:uid="{00000000-0005-0000-0000-00006F030000}"/>
    <cellStyle name="20% - Accent6 2 8 2" xfId="6611" xr:uid="{00000000-0005-0000-0000-000070030000}"/>
    <cellStyle name="20% - Accent6 2 8 2 2" xfId="15061" xr:uid="{71C754FF-5008-48AA-A7DD-E41534F02F5C}"/>
    <cellStyle name="20% - Accent6 2 8 2 3" xfId="23501" xr:uid="{01692C03-999C-4148-AF54-526EBDCC6137}"/>
    <cellStyle name="20% - Accent6 2 8 2 4" xfId="31941" xr:uid="{2A28FC5E-83CE-474F-8AE6-55E267440DAF}"/>
    <cellStyle name="20% - Accent6 2 8 3" xfId="10843" xr:uid="{BFE58B28-FB04-4938-BE17-A9FDCE50A9A9}"/>
    <cellStyle name="20% - Accent6 2 8 4" xfId="19284" xr:uid="{78EC065D-FABC-44EE-ACC6-FBCED30C796A}"/>
    <cellStyle name="20% - Accent6 2 8 5" xfId="27724" xr:uid="{8180BEE5-AD76-4224-A84E-ACBA7F1EF112}"/>
    <cellStyle name="20% - Accent6 2 9" xfId="4545" xr:uid="{00000000-0005-0000-0000-000071030000}"/>
    <cellStyle name="20% - Accent6 2 9 2" xfId="12995" xr:uid="{2104C81B-604F-4E71-B0C5-A435C713647A}"/>
    <cellStyle name="20% - Accent6 2 9 3" xfId="21435" xr:uid="{49B81995-FA3E-4F1F-A1CD-DDB50570D6CF}"/>
    <cellStyle name="20% - Accent6 2 9 4" xfId="29875" xr:uid="{E731611F-6361-4DE1-ADEA-F6BA34611247}"/>
    <cellStyle name="20% - Accent6 3" xfId="46" xr:uid="{00000000-0005-0000-0000-000072030000}"/>
    <cellStyle name="20% - Accent6 3 10" xfId="17222" xr:uid="{EF401AF6-0001-408E-86A7-0583763C6BBA}"/>
    <cellStyle name="20% - Accent6 3 11" xfId="25662" xr:uid="{D0C8ED11-4EAD-4266-AF75-C1A07D9F1C52}"/>
    <cellStyle name="20% - Accent6 3 2" xfId="47" xr:uid="{00000000-0005-0000-0000-000073030000}"/>
    <cellStyle name="20% - Accent6 3 2 10" xfId="25663" xr:uid="{AEAA8C37-52AA-420B-8A65-21EC5568E55D}"/>
    <cellStyle name="20% - Accent6 3 2 2" xfId="616" xr:uid="{00000000-0005-0000-0000-000074030000}"/>
    <cellStyle name="20% - Accent6 3 2 2 2" xfId="2887" xr:uid="{00000000-0005-0000-0000-000075030000}"/>
    <cellStyle name="20% - Accent6 3 2 2 2 2" xfId="7109" xr:uid="{00000000-0005-0000-0000-000076030000}"/>
    <cellStyle name="20% - Accent6 3 2 2 2 2 2" xfId="15559" xr:uid="{4D611873-DEC6-467A-8017-DF4897860DD9}"/>
    <cellStyle name="20% - Accent6 3 2 2 2 2 3" xfId="23999" xr:uid="{C7B1CFBE-0441-446E-A8D1-B1745C0542E6}"/>
    <cellStyle name="20% - Accent6 3 2 2 2 2 4" xfId="32439" xr:uid="{77B6D4A2-C5C4-4E09-A329-509C3A98A5CD}"/>
    <cellStyle name="20% - Accent6 3 2 2 2 3" xfId="11341" xr:uid="{52B7C80E-3688-4CA8-805C-ABF06BAF630F}"/>
    <cellStyle name="20% - Accent6 3 2 2 2 4" xfId="19782" xr:uid="{9C2CE48E-F6C4-4E1E-87EC-E1158F371043}"/>
    <cellStyle name="20% - Accent6 3 2 2 2 5" xfId="28222" xr:uid="{A96A7D5E-5C84-44F3-9863-CAF53D1E28E1}"/>
    <cellStyle name="20% - Accent6 3 2 2 3" xfId="4964" xr:uid="{00000000-0005-0000-0000-000077030000}"/>
    <cellStyle name="20% - Accent6 3 2 2 3 2" xfId="13414" xr:uid="{5F8F6B51-7AE6-44D1-8272-0635D9235E7F}"/>
    <cellStyle name="20% - Accent6 3 2 2 3 3" xfId="21854" xr:uid="{F94C34EA-560A-4024-A970-9A3827FDC708}"/>
    <cellStyle name="20% - Accent6 3 2 2 3 4" xfId="30294" xr:uid="{E8A40056-CD2D-43C3-867E-DE42987384DD}"/>
    <cellStyle name="20% - Accent6 3 2 2 4" xfId="9196" xr:uid="{D960BAA3-0864-4F17-9287-ADCC8EE6B8E1}"/>
    <cellStyle name="20% - Accent6 3 2 2 5" xfId="17637" xr:uid="{FEBCE7B0-EFB9-4613-A303-D3A2FACF1895}"/>
    <cellStyle name="20% - Accent6 3 2 2 6" xfId="26077" xr:uid="{CD1224DA-AA8D-4AF4-8416-569487F4E885}"/>
    <cellStyle name="20% - Accent6 3 2 3" xfId="1069" xr:uid="{00000000-0005-0000-0000-000078030000}"/>
    <cellStyle name="20% - Accent6 3 2 3 2" xfId="3300" xr:uid="{00000000-0005-0000-0000-000079030000}"/>
    <cellStyle name="20% - Accent6 3 2 3 2 2" xfId="7522" xr:uid="{00000000-0005-0000-0000-00007A030000}"/>
    <cellStyle name="20% - Accent6 3 2 3 2 2 2" xfId="15972" xr:uid="{017F0C3C-870A-49AE-B0A9-EC3B3255D5AA}"/>
    <cellStyle name="20% - Accent6 3 2 3 2 2 3" xfId="24412" xr:uid="{3553844D-A65C-4198-8B0A-6BF1A010AD47}"/>
    <cellStyle name="20% - Accent6 3 2 3 2 2 4" xfId="32852" xr:uid="{DCB51B89-5E94-4D51-8F77-74164B0873E8}"/>
    <cellStyle name="20% - Accent6 3 2 3 2 3" xfId="11754" xr:uid="{3030FEF0-C6EB-414C-9ADF-8174126BA829}"/>
    <cellStyle name="20% - Accent6 3 2 3 2 4" xfId="20195" xr:uid="{FF60353E-5C92-4739-AB98-B869FC73D526}"/>
    <cellStyle name="20% - Accent6 3 2 3 2 5" xfId="28635" xr:uid="{ADA209AD-2900-4B92-A613-55187905CB71}"/>
    <cellStyle name="20% - Accent6 3 2 3 3" xfId="5377" xr:uid="{00000000-0005-0000-0000-00007B030000}"/>
    <cellStyle name="20% - Accent6 3 2 3 3 2" xfId="13827" xr:uid="{C210AEB1-9D98-4497-9BAA-BC772D9DB7FB}"/>
    <cellStyle name="20% - Accent6 3 2 3 3 3" xfId="22267" xr:uid="{FA8FFB87-75BF-4BFF-8DC1-3A5113424FE6}"/>
    <cellStyle name="20% - Accent6 3 2 3 3 4" xfId="30707" xr:uid="{BCC943ED-516C-4856-96FE-233A8819B7DD}"/>
    <cellStyle name="20% - Accent6 3 2 3 4" xfId="9609" xr:uid="{7A573A95-4C6A-430A-89CD-2627CADEBB4C}"/>
    <cellStyle name="20% - Accent6 3 2 3 5" xfId="18050" xr:uid="{96A0E569-5D51-4660-895E-67AE1941C99C}"/>
    <cellStyle name="20% - Accent6 3 2 3 6" xfId="26490" xr:uid="{08BDE07C-99B9-4940-995F-70AD431BAEFF}"/>
    <cellStyle name="20% - Accent6 3 2 4" xfId="1483" xr:uid="{00000000-0005-0000-0000-00007C030000}"/>
    <cellStyle name="20% - Accent6 3 2 4 2" xfId="3713" xr:uid="{00000000-0005-0000-0000-00007D030000}"/>
    <cellStyle name="20% - Accent6 3 2 4 2 2" xfId="7935" xr:uid="{00000000-0005-0000-0000-00007E030000}"/>
    <cellStyle name="20% - Accent6 3 2 4 2 2 2" xfId="16385" xr:uid="{DC250455-D2B7-4B66-B7EF-225D3B88E5A7}"/>
    <cellStyle name="20% - Accent6 3 2 4 2 2 3" xfId="24825" xr:uid="{CE4B5734-071E-4FD6-AF74-07A949F9000A}"/>
    <cellStyle name="20% - Accent6 3 2 4 2 2 4" xfId="33265" xr:uid="{5D7A9E32-B7F4-48D9-8C94-C2105006E2F0}"/>
    <cellStyle name="20% - Accent6 3 2 4 2 3" xfId="12167" xr:uid="{1FD15A33-B347-47DD-9280-74EA00623DA3}"/>
    <cellStyle name="20% - Accent6 3 2 4 2 4" xfId="20608" xr:uid="{B1B36C2D-5BA1-4915-928C-A1095575CEFE}"/>
    <cellStyle name="20% - Accent6 3 2 4 2 5" xfId="29048" xr:uid="{087C071F-A7F7-4ABB-91C5-746F46608D84}"/>
    <cellStyle name="20% - Accent6 3 2 4 3" xfId="5790" xr:uid="{00000000-0005-0000-0000-00007F030000}"/>
    <cellStyle name="20% - Accent6 3 2 4 3 2" xfId="14240" xr:uid="{793F32A8-D0C1-4393-8ADC-7C0B0124A821}"/>
    <cellStyle name="20% - Accent6 3 2 4 3 3" xfId="22680" xr:uid="{FCCCFA98-713B-4D65-ADB3-E6069FD65AA4}"/>
    <cellStyle name="20% - Accent6 3 2 4 3 4" xfId="31120" xr:uid="{87CB35FB-0BDE-4532-B220-AEF87F5CEFC6}"/>
    <cellStyle name="20% - Accent6 3 2 4 4" xfId="10022" xr:uid="{D649F261-8889-4BB0-A04B-2DB5C727EEE9}"/>
    <cellStyle name="20% - Accent6 3 2 4 5" xfId="18463" xr:uid="{52010E67-F8EE-4CAC-8066-560FB16DF346}"/>
    <cellStyle name="20% - Accent6 3 2 4 6" xfId="26903" xr:uid="{D51E4D84-A4B4-4327-B106-A1070C4429DF}"/>
    <cellStyle name="20% - Accent6 3 2 5" xfId="1897" xr:uid="{00000000-0005-0000-0000-000080030000}"/>
    <cellStyle name="20% - Accent6 3 2 5 2" xfId="4126" xr:uid="{00000000-0005-0000-0000-000081030000}"/>
    <cellStyle name="20% - Accent6 3 2 5 2 2" xfId="8348" xr:uid="{00000000-0005-0000-0000-000082030000}"/>
    <cellStyle name="20% - Accent6 3 2 5 2 2 2" xfId="16798" xr:uid="{1AFADE93-8C9C-4426-A0B7-240DCF20D940}"/>
    <cellStyle name="20% - Accent6 3 2 5 2 2 3" xfId="25238" xr:uid="{C33E6670-8A8F-4288-8846-D24327CEE9C6}"/>
    <cellStyle name="20% - Accent6 3 2 5 2 2 4" xfId="33678" xr:uid="{95C35AD1-1990-43C9-B1CE-F739C3B231ED}"/>
    <cellStyle name="20% - Accent6 3 2 5 2 3" xfId="12580" xr:uid="{AF1D3442-CD00-4EDC-AD6D-E99323126C57}"/>
    <cellStyle name="20% - Accent6 3 2 5 2 4" xfId="21021" xr:uid="{D1D59B5E-CF7A-4CAF-8528-E44714968FFA}"/>
    <cellStyle name="20% - Accent6 3 2 5 2 5" xfId="29461" xr:uid="{194B503F-932F-4D05-98A3-701CD8C82825}"/>
    <cellStyle name="20% - Accent6 3 2 5 3" xfId="6203" xr:uid="{00000000-0005-0000-0000-000083030000}"/>
    <cellStyle name="20% - Accent6 3 2 5 3 2" xfId="14653" xr:uid="{9A2EBDE5-BC50-4136-BA8C-5EBAB36D54C8}"/>
    <cellStyle name="20% - Accent6 3 2 5 3 3" xfId="23093" xr:uid="{25D55CF8-87A7-431A-BCA5-EDAE09CDBFCA}"/>
    <cellStyle name="20% - Accent6 3 2 5 3 4" xfId="31533" xr:uid="{61856448-550E-4ED8-9729-EEE04F84D0BA}"/>
    <cellStyle name="20% - Accent6 3 2 5 4" xfId="10435" xr:uid="{1DDB67A2-3DD0-48F1-B4BE-D619E5961BA7}"/>
    <cellStyle name="20% - Accent6 3 2 5 5" xfId="18876" xr:uid="{FD26BF5A-EB6B-4E56-A201-CC042979BA04}"/>
    <cellStyle name="20% - Accent6 3 2 5 6" xfId="27316" xr:uid="{32AAF046-A04C-4EA3-9353-AE2E14E655F4}"/>
    <cellStyle name="20% - Accent6 3 2 6" xfId="2310" xr:uid="{00000000-0005-0000-0000-000084030000}"/>
    <cellStyle name="20% - Accent6 3 2 6 2" xfId="6616" xr:uid="{00000000-0005-0000-0000-000085030000}"/>
    <cellStyle name="20% - Accent6 3 2 6 2 2" xfId="15066" xr:uid="{DF410CB8-AA19-4104-955B-A06EA31E58CC}"/>
    <cellStyle name="20% - Accent6 3 2 6 2 3" xfId="23506" xr:uid="{BB181B7D-B6EA-4A8B-BBC5-0AE6FB13304F}"/>
    <cellStyle name="20% - Accent6 3 2 6 2 4" xfId="31946" xr:uid="{3C01872A-2429-4979-A94D-0DED27AD3193}"/>
    <cellStyle name="20% - Accent6 3 2 6 3" xfId="10848" xr:uid="{177BB2F8-044A-4AA3-9C3D-4D294C04C4C7}"/>
    <cellStyle name="20% - Accent6 3 2 6 4" xfId="19289" xr:uid="{59C420FC-50DC-48DB-B9AC-1694AF1DC355}"/>
    <cellStyle name="20% - Accent6 3 2 6 5" xfId="27729" xr:uid="{2C1CC799-1142-400C-95E2-73DB78CA1F7C}"/>
    <cellStyle name="20% - Accent6 3 2 7" xfId="4550" xr:uid="{00000000-0005-0000-0000-000086030000}"/>
    <cellStyle name="20% - Accent6 3 2 7 2" xfId="13000" xr:uid="{BF06A57A-86FC-4C18-8708-45BAA391F2E2}"/>
    <cellStyle name="20% - Accent6 3 2 7 3" xfId="21440" xr:uid="{AB00E79C-ACB1-44F1-9AC7-4F6DBCB8200A}"/>
    <cellStyle name="20% - Accent6 3 2 7 4" xfId="29880" xr:uid="{A21A9980-112F-4B45-A65C-00413640FC16}"/>
    <cellStyle name="20% - Accent6 3 2 8" xfId="8782" xr:uid="{57DC4B89-945A-4FA2-9AC0-248D8D0EADAA}"/>
    <cellStyle name="20% - Accent6 3 2 9" xfId="17223" xr:uid="{4293A741-08FD-4277-9C01-57E20939F35F}"/>
    <cellStyle name="20% - Accent6 3 3" xfId="615" xr:uid="{00000000-0005-0000-0000-000087030000}"/>
    <cellStyle name="20% - Accent6 3 3 2" xfId="2886" xr:uid="{00000000-0005-0000-0000-000088030000}"/>
    <cellStyle name="20% - Accent6 3 3 2 2" xfId="7108" xr:uid="{00000000-0005-0000-0000-000089030000}"/>
    <cellStyle name="20% - Accent6 3 3 2 2 2" xfId="15558" xr:uid="{0A04C3F6-0D3F-49F4-AEDA-1BCE6E4A0D30}"/>
    <cellStyle name="20% - Accent6 3 3 2 2 3" xfId="23998" xr:uid="{16D1C0F2-ACB1-4C6E-96A4-D30F3488679C}"/>
    <cellStyle name="20% - Accent6 3 3 2 2 4" xfId="32438" xr:uid="{DFD7BC82-C141-4BBD-A63C-07B702AD9BE4}"/>
    <cellStyle name="20% - Accent6 3 3 2 3" xfId="11340" xr:uid="{9DF018AC-2660-447C-9119-90A914E1B174}"/>
    <cellStyle name="20% - Accent6 3 3 2 4" xfId="19781" xr:uid="{88290D64-2932-43D3-B544-82E319445B8A}"/>
    <cellStyle name="20% - Accent6 3 3 2 5" xfId="28221" xr:uid="{C561B6F3-CAF4-4040-BE05-05CF31F1260D}"/>
    <cellStyle name="20% - Accent6 3 3 3" xfId="4963" xr:uid="{00000000-0005-0000-0000-00008A030000}"/>
    <cellStyle name="20% - Accent6 3 3 3 2" xfId="13413" xr:uid="{4FA99D25-E03C-485D-9A3E-58B829F8F053}"/>
    <cellStyle name="20% - Accent6 3 3 3 3" xfId="21853" xr:uid="{1584C79F-D51D-4AC6-95FC-32A5940DAE76}"/>
    <cellStyle name="20% - Accent6 3 3 3 4" xfId="30293" xr:uid="{3C2C6481-6814-4FBF-85B0-9DE8A6EE984D}"/>
    <cellStyle name="20% - Accent6 3 3 4" xfId="9195" xr:uid="{0D72DBA9-E50E-4E9E-BEF2-89F372DA6544}"/>
    <cellStyle name="20% - Accent6 3 3 5" xfId="17636" xr:uid="{3AFB035A-9B50-4D10-8E03-BC43262FE2E4}"/>
    <cellStyle name="20% - Accent6 3 3 6" xfId="26076" xr:uid="{471DEC97-F2CB-41A6-8BC2-2768A30FACC5}"/>
    <cellStyle name="20% - Accent6 3 4" xfId="1068" xr:uid="{00000000-0005-0000-0000-00008B030000}"/>
    <cellStyle name="20% - Accent6 3 4 2" xfId="3299" xr:uid="{00000000-0005-0000-0000-00008C030000}"/>
    <cellStyle name="20% - Accent6 3 4 2 2" xfId="7521" xr:uid="{00000000-0005-0000-0000-00008D030000}"/>
    <cellStyle name="20% - Accent6 3 4 2 2 2" xfId="15971" xr:uid="{17E6C743-DE59-4831-B87B-C3C6C14DE560}"/>
    <cellStyle name="20% - Accent6 3 4 2 2 3" xfId="24411" xr:uid="{D1766846-39DC-4BF6-8892-CB89E5CADD67}"/>
    <cellStyle name="20% - Accent6 3 4 2 2 4" xfId="32851" xr:uid="{C94C725D-4C37-4B2C-A030-2F9C3557CB56}"/>
    <cellStyle name="20% - Accent6 3 4 2 3" xfId="11753" xr:uid="{5FE5DC8B-7D6A-4C4E-8ED3-096545F54D5A}"/>
    <cellStyle name="20% - Accent6 3 4 2 4" xfId="20194" xr:uid="{B54775C6-A93C-4660-92D8-E3EACD27E018}"/>
    <cellStyle name="20% - Accent6 3 4 2 5" xfId="28634" xr:uid="{D4FA9B17-ED08-4A74-B27D-B709CE284169}"/>
    <cellStyle name="20% - Accent6 3 4 3" xfId="5376" xr:uid="{00000000-0005-0000-0000-00008E030000}"/>
    <cellStyle name="20% - Accent6 3 4 3 2" xfId="13826" xr:uid="{00482083-782B-4027-8B57-8ED61B3E5562}"/>
    <cellStyle name="20% - Accent6 3 4 3 3" xfId="22266" xr:uid="{8E5CB1EE-F82E-470A-BA7C-4D3BAA0B3302}"/>
    <cellStyle name="20% - Accent6 3 4 3 4" xfId="30706" xr:uid="{976E7EB5-8A91-49BE-8C87-66396304E2D0}"/>
    <cellStyle name="20% - Accent6 3 4 4" xfId="9608" xr:uid="{85BE3407-7A1D-410E-8193-839AEE9A0E7E}"/>
    <cellStyle name="20% - Accent6 3 4 5" xfId="18049" xr:uid="{1FEF4445-7AB6-41BC-A397-AD2CB37E9F9B}"/>
    <cellStyle name="20% - Accent6 3 4 6" xfId="26489" xr:uid="{CFEAF2CB-550F-4B28-8BD6-7148A11205D2}"/>
    <cellStyle name="20% - Accent6 3 5" xfId="1482" xr:uid="{00000000-0005-0000-0000-00008F030000}"/>
    <cellStyle name="20% - Accent6 3 5 2" xfId="3712" xr:uid="{00000000-0005-0000-0000-000090030000}"/>
    <cellStyle name="20% - Accent6 3 5 2 2" xfId="7934" xr:uid="{00000000-0005-0000-0000-000091030000}"/>
    <cellStyle name="20% - Accent6 3 5 2 2 2" xfId="16384" xr:uid="{75E3B342-606B-4488-B303-DC8CE7681B8B}"/>
    <cellStyle name="20% - Accent6 3 5 2 2 3" xfId="24824" xr:uid="{E2591F5D-3F09-4549-8A08-B7DBB5C7BBA8}"/>
    <cellStyle name="20% - Accent6 3 5 2 2 4" xfId="33264" xr:uid="{DDDE3DED-657D-4499-9BE7-55B7EF5D1B13}"/>
    <cellStyle name="20% - Accent6 3 5 2 3" xfId="12166" xr:uid="{6936A7C9-2E0D-4ACC-9744-6DEB5749ED3A}"/>
    <cellStyle name="20% - Accent6 3 5 2 4" xfId="20607" xr:uid="{7D970E07-EAF3-4216-B3C1-EC43ADC216CE}"/>
    <cellStyle name="20% - Accent6 3 5 2 5" xfId="29047" xr:uid="{DE122C3A-02B6-419E-A6D1-81DB46268C26}"/>
    <cellStyle name="20% - Accent6 3 5 3" xfId="5789" xr:uid="{00000000-0005-0000-0000-000092030000}"/>
    <cellStyle name="20% - Accent6 3 5 3 2" xfId="14239" xr:uid="{A160679E-B521-4BE5-8819-6B1E27A84208}"/>
    <cellStyle name="20% - Accent6 3 5 3 3" xfId="22679" xr:uid="{D2C71852-F738-486F-8E4C-F431E00DEF70}"/>
    <cellStyle name="20% - Accent6 3 5 3 4" xfId="31119" xr:uid="{A3203218-459C-4A62-B650-97288D5DDD28}"/>
    <cellStyle name="20% - Accent6 3 5 4" xfId="10021" xr:uid="{B35A10DD-458A-4413-8208-FCA661767628}"/>
    <cellStyle name="20% - Accent6 3 5 5" xfId="18462" xr:uid="{F031BCF4-2288-4E9F-95C4-83ABEECD5F44}"/>
    <cellStyle name="20% - Accent6 3 5 6" xfId="26902" xr:uid="{2F779851-CEFA-4391-A2EB-7D69534C5CFD}"/>
    <cellStyle name="20% - Accent6 3 6" xfId="1896" xr:uid="{00000000-0005-0000-0000-000093030000}"/>
    <cellStyle name="20% - Accent6 3 6 2" xfId="4125" xr:uid="{00000000-0005-0000-0000-000094030000}"/>
    <cellStyle name="20% - Accent6 3 6 2 2" xfId="8347" xr:uid="{00000000-0005-0000-0000-000095030000}"/>
    <cellStyle name="20% - Accent6 3 6 2 2 2" xfId="16797" xr:uid="{F4039DB7-5016-4B74-900F-DEF42D0A5ED5}"/>
    <cellStyle name="20% - Accent6 3 6 2 2 3" xfId="25237" xr:uid="{4F9D15A2-5A7A-43BF-9C2F-1D603FDDED90}"/>
    <cellStyle name="20% - Accent6 3 6 2 2 4" xfId="33677" xr:uid="{7437B607-40A4-454C-A3B2-860A3E02EC24}"/>
    <cellStyle name="20% - Accent6 3 6 2 3" xfId="12579" xr:uid="{8E948ED5-7060-41D3-B497-375F2C3C260A}"/>
    <cellStyle name="20% - Accent6 3 6 2 4" xfId="21020" xr:uid="{18444C8A-2956-492F-AB93-B6F2C8402B45}"/>
    <cellStyle name="20% - Accent6 3 6 2 5" xfId="29460" xr:uid="{9725EC09-0B9B-487D-B04E-820561B4CE39}"/>
    <cellStyle name="20% - Accent6 3 6 3" xfId="6202" xr:uid="{00000000-0005-0000-0000-000096030000}"/>
    <cellStyle name="20% - Accent6 3 6 3 2" xfId="14652" xr:uid="{3A9E7557-468A-4094-9001-1974143D2412}"/>
    <cellStyle name="20% - Accent6 3 6 3 3" xfId="23092" xr:uid="{3CB90494-3C91-45C2-BD8F-83F62157CFE8}"/>
    <cellStyle name="20% - Accent6 3 6 3 4" xfId="31532" xr:uid="{E07CF482-D63F-405C-89BA-B7236FDE113F}"/>
    <cellStyle name="20% - Accent6 3 6 4" xfId="10434" xr:uid="{E6E715B7-0125-496B-85B4-F7B9EE76987C}"/>
    <cellStyle name="20% - Accent6 3 6 5" xfId="18875" xr:uid="{5B7CA243-A1DC-42D7-98EA-9C7BEE70F274}"/>
    <cellStyle name="20% - Accent6 3 6 6" xfId="27315" xr:uid="{1F345E48-82BE-44FB-A62E-C4578CF722E3}"/>
    <cellStyle name="20% - Accent6 3 7" xfId="2309" xr:uid="{00000000-0005-0000-0000-000097030000}"/>
    <cellStyle name="20% - Accent6 3 7 2" xfId="6615" xr:uid="{00000000-0005-0000-0000-000098030000}"/>
    <cellStyle name="20% - Accent6 3 7 2 2" xfId="15065" xr:uid="{0FF8238F-4396-41DD-AD5F-7C30CA78321B}"/>
    <cellStyle name="20% - Accent6 3 7 2 3" xfId="23505" xr:uid="{90DC74E3-2BB4-498B-8938-4BAF58D6542E}"/>
    <cellStyle name="20% - Accent6 3 7 2 4" xfId="31945" xr:uid="{CF7BE3BF-4D26-429A-BE51-27B76B9FA7F5}"/>
    <cellStyle name="20% - Accent6 3 7 3" xfId="10847" xr:uid="{B014B148-0865-4042-B6F6-00011614EA7D}"/>
    <cellStyle name="20% - Accent6 3 7 4" xfId="19288" xr:uid="{D3ED58B1-85BE-486D-B692-58E4F0C0FDF0}"/>
    <cellStyle name="20% - Accent6 3 7 5" xfId="27728" xr:uid="{F0D607E7-7ACC-4543-AF9A-AD6B359AD026}"/>
    <cellStyle name="20% - Accent6 3 8" xfId="4549" xr:uid="{00000000-0005-0000-0000-000099030000}"/>
    <cellStyle name="20% - Accent6 3 8 2" xfId="12999" xr:uid="{274FB63A-B918-4ED3-8BB2-C616DE5CFD3E}"/>
    <cellStyle name="20% - Accent6 3 8 3" xfId="21439" xr:uid="{F4295756-65A9-4A7B-8151-F4E91A1623D4}"/>
    <cellStyle name="20% - Accent6 3 8 4" xfId="29879" xr:uid="{5890A03C-B61B-4932-9D25-25243AE6375F}"/>
    <cellStyle name="20% - Accent6 3 9" xfId="8781" xr:uid="{31FDDC43-EECF-425C-A48C-E3B600B67228}"/>
    <cellStyle name="20% - Accent6 4" xfId="48" xr:uid="{00000000-0005-0000-0000-00009A030000}"/>
    <cellStyle name="20% - Accent6 4 10" xfId="25664" xr:uid="{BF89D166-7605-48A1-A3C1-6773B0AD075B}"/>
    <cellStyle name="20% - Accent6 4 2" xfId="617" xr:uid="{00000000-0005-0000-0000-00009B030000}"/>
    <cellStyle name="20% - Accent6 4 2 2" xfId="2888" xr:uid="{00000000-0005-0000-0000-00009C030000}"/>
    <cellStyle name="20% - Accent6 4 2 2 2" xfId="7110" xr:uid="{00000000-0005-0000-0000-00009D030000}"/>
    <cellStyle name="20% - Accent6 4 2 2 2 2" xfId="15560" xr:uid="{CADBADFA-B006-42B5-BACB-3FBAA8967DBE}"/>
    <cellStyle name="20% - Accent6 4 2 2 2 3" xfId="24000" xr:uid="{58E9DDAC-9F32-4DF8-BB19-8308EC852060}"/>
    <cellStyle name="20% - Accent6 4 2 2 2 4" xfId="32440" xr:uid="{614E2C48-FF13-4D72-B46F-857E5B8FA14E}"/>
    <cellStyle name="20% - Accent6 4 2 2 3" xfId="11342" xr:uid="{893233A3-6497-4464-BCB5-FE465D45F978}"/>
    <cellStyle name="20% - Accent6 4 2 2 4" xfId="19783" xr:uid="{F749B8DF-8019-45E8-B125-E323221AAC30}"/>
    <cellStyle name="20% - Accent6 4 2 2 5" xfId="28223" xr:uid="{7910B096-2150-416B-902E-40E985083445}"/>
    <cellStyle name="20% - Accent6 4 2 3" xfId="4965" xr:uid="{00000000-0005-0000-0000-00009E030000}"/>
    <cellStyle name="20% - Accent6 4 2 3 2" xfId="13415" xr:uid="{2C3D057E-8DD4-407E-818E-FE5E908C2EB4}"/>
    <cellStyle name="20% - Accent6 4 2 3 3" xfId="21855" xr:uid="{C622A1B3-EC0F-4E39-A469-716727809605}"/>
    <cellStyle name="20% - Accent6 4 2 3 4" xfId="30295" xr:uid="{1E01B991-137F-4AC4-BA12-B8FA1E16BA4F}"/>
    <cellStyle name="20% - Accent6 4 2 4" xfId="9197" xr:uid="{4E53542C-A9BA-412D-BB9F-E8F55842377E}"/>
    <cellStyle name="20% - Accent6 4 2 5" xfId="17638" xr:uid="{B41C8A46-863B-4D56-B59B-4CD21A94A0C4}"/>
    <cellStyle name="20% - Accent6 4 2 6" xfId="26078" xr:uid="{1852BEC3-D57E-4F59-8169-B0610E0F7E5D}"/>
    <cellStyle name="20% - Accent6 4 3" xfId="1070" xr:uid="{00000000-0005-0000-0000-00009F030000}"/>
    <cellStyle name="20% - Accent6 4 3 2" xfId="3301" xr:uid="{00000000-0005-0000-0000-0000A0030000}"/>
    <cellStyle name="20% - Accent6 4 3 2 2" xfId="7523" xr:uid="{00000000-0005-0000-0000-0000A1030000}"/>
    <cellStyle name="20% - Accent6 4 3 2 2 2" xfId="15973" xr:uid="{2E2D25F8-BC98-4F9A-9222-824390FBF1D1}"/>
    <cellStyle name="20% - Accent6 4 3 2 2 3" xfId="24413" xr:uid="{5A4A160F-DAF6-4E47-8047-CA27BDE2196D}"/>
    <cellStyle name="20% - Accent6 4 3 2 2 4" xfId="32853" xr:uid="{C3C94249-BC96-401C-B643-6744DF2AC788}"/>
    <cellStyle name="20% - Accent6 4 3 2 3" xfId="11755" xr:uid="{09E14596-E651-4E8D-AD07-76715B4A8E88}"/>
    <cellStyle name="20% - Accent6 4 3 2 4" xfId="20196" xr:uid="{8D0F979D-F6C8-472C-BB5E-93D003E064C1}"/>
    <cellStyle name="20% - Accent6 4 3 2 5" xfId="28636" xr:uid="{47B9AB48-4E53-4860-AC0D-8F83A93A6D71}"/>
    <cellStyle name="20% - Accent6 4 3 3" xfId="5378" xr:uid="{00000000-0005-0000-0000-0000A2030000}"/>
    <cellStyle name="20% - Accent6 4 3 3 2" xfId="13828" xr:uid="{19DD78DD-1EE9-444D-A3D8-F1A60FFD41B1}"/>
    <cellStyle name="20% - Accent6 4 3 3 3" xfId="22268" xr:uid="{839184B5-5F82-4482-8B37-B4903CBB3E42}"/>
    <cellStyle name="20% - Accent6 4 3 3 4" xfId="30708" xr:uid="{BD7F7768-4765-4757-8245-8EAAA36AED20}"/>
    <cellStyle name="20% - Accent6 4 3 4" xfId="9610" xr:uid="{7B1243AF-4EAF-48E5-A500-D4ECB8504D46}"/>
    <cellStyle name="20% - Accent6 4 3 5" xfId="18051" xr:uid="{35D60375-FC60-455D-86B3-8D4E82935144}"/>
    <cellStyle name="20% - Accent6 4 3 6" xfId="26491" xr:uid="{D0626C82-9D84-4A9D-86CF-B983FA25E736}"/>
    <cellStyle name="20% - Accent6 4 4" xfId="1484" xr:uid="{00000000-0005-0000-0000-0000A3030000}"/>
    <cellStyle name="20% - Accent6 4 4 2" xfId="3714" xr:uid="{00000000-0005-0000-0000-0000A4030000}"/>
    <cellStyle name="20% - Accent6 4 4 2 2" xfId="7936" xr:uid="{00000000-0005-0000-0000-0000A5030000}"/>
    <cellStyle name="20% - Accent6 4 4 2 2 2" xfId="16386" xr:uid="{2F0C369E-9114-4873-9969-8EEE7944522B}"/>
    <cellStyle name="20% - Accent6 4 4 2 2 3" xfId="24826" xr:uid="{B620F165-EC3C-4442-AB57-38AE11CC753E}"/>
    <cellStyle name="20% - Accent6 4 4 2 2 4" xfId="33266" xr:uid="{A00705C7-BB65-4DDE-8AA5-C5EB0AF8A8D3}"/>
    <cellStyle name="20% - Accent6 4 4 2 3" xfId="12168" xr:uid="{97AEF7EC-2771-429D-BB21-6A017BF89E07}"/>
    <cellStyle name="20% - Accent6 4 4 2 4" xfId="20609" xr:uid="{85751E99-3D20-4503-A65D-0B40E4877F3B}"/>
    <cellStyle name="20% - Accent6 4 4 2 5" xfId="29049" xr:uid="{C96168AF-F273-4ECA-B4B1-51C763CE8B37}"/>
    <cellStyle name="20% - Accent6 4 4 3" xfId="5791" xr:uid="{00000000-0005-0000-0000-0000A6030000}"/>
    <cellStyle name="20% - Accent6 4 4 3 2" xfId="14241" xr:uid="{3E1878A0-6617-4867-AFCA-FAB29221DDBF}"/>
    <cellStyle name="20% - Accent6 4 4 3 3" xfId="22681" xr:uid="{136E73C7-E622-49B3-95F6-DCE60EC62D01}"/>
    <cellStyle name="20% - Accent6 4 4 3 4" xfId="31121" xr:uid="{57B947DB-5DA7-4F89-B360-86673993A493}"/>
    <cellStyle name="20% - Accent6 4 4 4" xfId="10023" xr:uid="{43BBD3E9-B1EC-4CD9-B98A-98AB9823989C}"/>
    <cellStyle name="20% - Accent6 4 4 5" xfId="18464" xr:uid="{44065DA3-E7E3-44DA-8D8E-67C26F28EE7E}"/>
    <cellStyle name="20% - Accent6 4 4 6" xfId="26904" xr:uid="{29202B73-2824-4ED8-8272-1A95D38E8ED3}"/>
    <cellStyle name="20% - Accent6 4 5" xfId="1898" xr:uid="{00000000-0005-0000-0000-0000A7030000}"/>
    <cellStyle name="20% - Accent6 4 5 2" xfId="4127" xr:uid="{00000000-0005-0000-0000-0000A8030000}"/>
    <cellStyle name="20% - Accent6 4 5 2 2" xfId="8349" xr:uid="{00000000-0005-0000-0000-0000A9030000}"/>
    <cellStyle name="20% - Accent6 4 5 2 2 2" xfId="16799" xr:uid="{C54EA005-7490-40EE-ABB1-966C739DB275}"/>
    <cellStyle name="20% - Accent6 4 5 2 2 3" xfId="25239" xr:uid="{EFD4A97F-B30A-4EB3-BC86-C00D15091CF8}"/>
    <cellStyle name="20% - Accent6 4 5 2 2 4" xfId="33679" xr:uid="{1EC46F19-7844-4E86-B2AA-2E4F96E2C8AA}"/>
    <cellStyle name="20% - Accent6 4 5 2 3" xfId="12581" xr:uid="{E9E95570-A621-427C-9B6C-C5ACEDB2B817}"/>
    <cellStyle name="20% - Accent6 4 5 2 4" xfId="21022" xr:uid="{A96D4B25-1CBC-4A00-B475-471DF67E9194}"/>
    <cellStyle name="20% - Accent6 4 5 2 5" xfId="29462" xr:uid="{70371FA4-5215-4FF3-834D-BC767A589771}"/>
    <cellStyle name="20% - Accent6 4 5 3" xfId="6204" xr:uid="{00000000-0005-0000-0000-0000AA030000}"/>
    <cellStyle name="20% - Accent6 4 5 3 2" xfId="14654" xr:uid="{1A48F867-D685-446F-BBF0-FE359BB5688B}"/>
    <cellStyle name="20% - Accent6 4 5 3 3" xfId="23094" xr:uid="{1F99FBDF-A7ED-4DED-BE52-A95CC79BFD30}"/>
    <cellStyle name="20% - Accent6 4 5 3 4" xfId="31534" xr:uid="{4711AF43-2C83-4F37-9BFD-572E09115D82}"/>
    <cellStyle name="20% - Accent6 4 5 4" xfId="10436" xr:uid="{0EDE3F04-DE70-4D49-A4FA-4E2F266D27C2}"/>
    <cellStyle name="20% - Accent6 4 5 5" xfId="18877" xr:uid="{053D39EF-C0A2-4C60-948F-D638CEFDBC49}"/>
    <cellStyle name="20% - Accent6 4 5 6" xfId="27317" xr:uid="{E12A0A11-E7B4-4361-9C48-EDC08C0C8598}"/>
    <cellStyle name="20% - Accent6 4 6" xfId="2311" xr:uid="{00000000-0005-0000-0000-0000AB030000}"/>
    <cellStyle name="20% - Accent6 4 6 2" xfId="6617" xr:uid="{00000000-0005-0000-0000-0000AC030000}"/>
    <cellStyle name="20% - Accent6 4 6 2 2" xfId="15067" xr:uid="{1E3ED8D3-2C14-4FC8-90BA-AFEF3DAD0335}"/>
    <cellStyle name="20% - Accent6 4 6 2 3" xfId="23507" xr:uid="{989E1D3F-1796-4113-9EEC-D8ACA490A6BF}"/>
    <cellStyle name="20% - Accent6 4 6 2 4" xfId="31947" xr:uid="{8164AD2E-5783-444A-9FCD-A4E4DC51D681}"/>
    <cellStyle name="20% - Accent6 4 6 3" xfId="10849" xr:uid="{9771FC04-D4C7-4308-8A2A-1ADB419B1841}"/>
    <cellStyle name="20% - Accent6 4 6 4" xfId="19290" xr:uid="{EB0F22DC-E4A4-451C-934A-BD7ABB121932}"/>
    <cellStyle name="20% - Accent6 4 6 5" xfId="27730" xr:uid="{DABDBC76-608A-4CF1-BEC9-0AB5D0CA2D17}"/>
    <cellStyle name="20% - Accent6 4 7" xfId="4551" xr:uid="{00000000-0005-0000-0000-0000AD030000}"/>
    <cellStyle name="20% - Accent6 4 7 2" xfId="13001" xr:uid="{C258AF46-384B-4EE1-A98A-B14F755C681E}"/>
    <cellStyle name="20% - Accent6 4 7 3" xfId="21441" xr:uid="{AEAA9138-A330-443C-97D7-E8522BCACF1C}"/>
    <cellStyle name="20% - Accent6 4 7 4" xfId="29881" xr:uid="{1A056798-52EF-423B-807C-29D8D30A82B2}"/>
    <cellStyle name="20% - Accent6 4 8" xfId="8783" xr:uid="{97AA2FCE-322F-4184-8609-C8F6C96CC977}"/>
    <cellStyle name="20% - Accent6 4 9" xfId="17224" xr:uid="{FC819BCC-1583-422B-A920-902758341CFE}"/>
    <cellStyle name="20% - Accent6 5" xfId="610" xr:uid="{00000000-0005-0000-0000-0000AE030000}"/>
    <cellStyle name="20% - Accent6 5 2" xfId="2881" xr:uid="{00000000-0005-0000-0000-0000AF030000}"/>
    <cellStyle name="20% - Accent6 5 2 2" xfId="7103" xr:uid="{00000000-0005-0000-0000-0000B0030000}"/>
    <cellStyle name="20% - Accent6 5 2 2 2" xfId="15553" xr:uid="{EEE566C4-5C0D-4789-BC99-4AA67B060E55}"/>
    <cellStyle name="20% - Accent6 5 2 2 3" xfId="23993" xr:uid="{35BA552C-4FE2-4DC1-88EC-901029F33694}"/>
    <cellStyle name="20% - Accent6 5 2 2 4" xfId="32433" xr:uid="{26C6E30C-BF51-4CE6-A14F-B60FF0507B2D}"/>
    <cellStyle name="20% - Accent6 5 2 3" xfId="11335" xr:uid="{39F9E5F3-9A33-4778-85E7-F644C05BC23C}"/>
    <cellStyle name="20% - Accent6 5 2 4" xfId="19776" xr:uid="{37E1C48C-8FAB-4D6A-AD24-2652FC808CC8}"/>
    <cellStyle name="20% - Accent6 5 2 5" xfId="28216" xr:uid="{82E4E47D-8683-422E-8BAF-25EB5CE0005D}"/>
    <cellStyle name="20% - Accent6 5 3" xfId="4958" xr:uid="{00000000-0005-0000-0000-0000B1030000}"/>
    <cellStyle name="20% - Accent6 5 3 2" xfId="13408" xr:uid="{81A6A7C8-0A38-41FC-A9F4-A989DEE56565}"/>
    <cellStyle name="20% - Accent6 5 3 3" xfId="21848" xr:uid="{0A83AADF-2AE9-44BE-96A0-181049BA477A}"/>
    <cellStyle name="20% - Accent6 5 3 4" xfId="30288" xr:uid="{434E270A-5494-496A-B165-92C24ECB6E38}"/>
    <cellStyle name="20% - Accent6 5 4" xfId="9190" xr:uid="{197C0F24-691A-4C79-8A49-1F1311DF1ADD}"/>
    <cellStyle name="20% - Accent6 5 5" xfId="17631" xr:uid="{51FFBECE-3CBA-4BB6-AA2B-B1C7BC454871}"/>
    <cellStyle name="20% - Accent6 5 6" xfId="26071" xr:uid="{A22AD93C-B508-4723-B34D-4E13275BE198}"/>
    <cellStyle name="20% - Accent6 6" xfId="1063" xr:uid="{00000000-0005-0000-0000-0000B2030000}"/>
    <cellStyle name="20% - Accent6 6 2" xfId="3294" xr:uid="{00000000-0005-0000-0000-0000B3030000}"/>
    <cellStyle name="20% - Accent6 6 2 2" xfId="7516" xr:uid="{00000000-0005-0000-0000-0000B4030000}"/>
    <cellStyle name="20% - Accent6 6 2 2 2" xfId="15966" xr:uid="{34F180F9-222A-47A9-8F4A-EF4902FA4CF6}"/>
    <cellStyle name="20% - Accent6 6 2 2 3" xfId="24406" xr:uid="{8357E857-EB09-45D0-BD4F-922C543A172F}"/>
    <cellStyle name="20% - Accent6 6 2 2 4" xfId="32846" xr:uid="{2B55FA65-3906-44F3-B66C-16F05CC09B86}"/>
    <cellStyle name="20% - Accent6 6 2 3" xfId="11748" xr:uid="{38DEA233-6D78-478F-9249-6CA9C32781A8}"/>
    <cellStyle name="20% - Accent6 6 2 4" xfId="20189" xr:uid="{256B3404-5DD3-4F26-8E59-27CCB33A873E}"/>
    <cellStyle name="20% - Accent6 6 2 5" xfId="28629" xr:uid="{C612B3AB-7904-4848-8D8A-5E96A38D3DF4}"/>
    <cellStyle name="20% - Accent6 6 3" xfId="5371" xr:uid="{00000000-0005-0000-0000-0000B5030000}"/>
    <cellStyle name="20% - Accent6 6 3 2" xfId="13821" xr:uid="{1CE85323-3995-402E-BDA6-9A0017C34FF8}"/>
    <cellStyle name="20% - Accent6 6 3 3" xfId="22261" xr:uid="{09DEC87C-124C-43DC-ACF4-F40BBEA0F312}"/>
    <cellStyle name="20% - Accent6 6 3 4" xfId="30701" xr:uid="{A48DCBA3-B9C5-463D-BA99-C58376C9D353}"/>
    <cellStyle name="20% - Accent6 6 4" xfId="9603" xr:uid="{220C3600-B398-45BA-A9B0-2D84ABC1B13E}"/>
    <cellStyle name="20% - Accent6 6 5" xfId="18044" xr:uid="{F1F7BDB8-6559-4A89-BA9B-BFF2DC62A7B1}"/>
    <cellStyle name="20% - Accent6 6 6" xfId="26484" xr:uid="{9B2E37F6-3EDA-4D71-AB69-0C85CFE12508}"/>
    <cellStyle name="20% - Accent6 7" xfId="1477" xr:uid="{00000000-0005-0000-0000-0000B6030000}"/>
    <cellStyle name="20% - Accent6 7 2" xfId="3707" xr:uid="{00000000-0005-0000-0000-0000B7030000}"/>
    <cellStyle name="20% - Accent6 7 2 2" xfId="7929" xr:uid="{00000000-0005-0000-0000-0000B8030000}"/>
    <cellStyle name="20% - Accent6 7 2 2 2" xfId="16379" xr:uid="{90B3C21C-6D58-4CE1-81A3-571981EAFD90}"/>
    <cellStyle name="20% - Accent6 7 2 2 3" xfId="24819" xr:uid="{CF08F3D1-5AFB-44E9-A40E-D362187B7CBD}"/>
    <cellStyle name="20% - Accent6 7 2 2 4" xfId="33259" xr:uid="{4AD79445-8828-4880-9BE2-D636A6D6E65B}"/>
    <cellStyle name="20% - Accent6 7 2 3" xfId="12161" xr:uid="{C73C5D77-DC94-4D5E-8021-1BE59867C79C}"/>
    <cellStyle name="20% - Accent6 7 2 4" xfId="20602" xr:uid="{E338B5DF-DCA2-4072-9E9F-46B18B9B70F0}"/>
    <cellStyle name="20% - Accent6 7 2 5" xfId="29042" xr:uid="{CA6E7876-063E-4385-93AD-E782DE4D24A2}"/>
    <cellStyle name="20% - Accent6 7 3" xfId="5784" xr:uid="{00000000-0005-0000-0000-0000B9030000}"/>
    <cellStyle name="20% - Accent6 7 3 2" xfId="14234" xr:uid="{C52EA111-A427-412B-B576-2DD34E63C6B2}"/>
    <cellStyle name="20% - Accent6 7 3 3" xfId="22674" xr:uid="{13CC993E-EEB5-472A-927C-5A5D36181B22}"/>
    <cellStyle name="20% - Accent6 7 3 4" xfId="31114" xr:uid="{29C404FA-94E2-4537-8EB6-2FEC2AFABC18}"/>
    <cellStyle name="20% - Accent6 7 4" xfId="10016" xr:uid="{2B312E2C-9970-464C-A3C1-87E43AA38D4D}"/>
    <cellStyle name="20% - Accent6 7 5" xfId="18457" xr:uid="{176AA04E-127F-4F80-BF2A-C63CE8F20AD5}"/>
    <cellStyle name="20% - Accent6 7 6" xfId="26897" xr:uid="{56F8B906-27F9-4EBC-968C-B5F2E782C00F}"/>
    <cellStyle name="20% - Accent6 8" xfId="1891" xr:uid="{00000000-0005-0000-0000-0000BA030000}"/>
    <cellStyle name="20% - Accent6 8 2" xfId="4120" xr:uid="{00000000-0005-0000-0000-0000BB030000}"/>
    <cellStyle name="20% - Accent6 8 2 2" xfId="8342" xr:uid="{00000000-0005-0000-0000-0000BC030000}"/>
    <cellStyle name="20% - Accent6 8 2 2 2" xfId="16792" xr:uid="{92A3DBB4-237C-4A7A-91E7-4EDB182FBD34}"/>
    <cellStyle name="20% - Accent6 8 2 2 3" xfId="25232" xr:uid="{663B1225-9224-4BFC-99C4-14B9CB4A73BF}"/>
    <cellStyle name="20% - Accent6 8 2 2 4" xfId="33672" xr:uid="{A5F4D3AD-13C0-40A8-BF78-7181FD611C3D}"/>
    <cellStyle name="20% - Accent6 8 2 3" xfId="12574" xr:uid="{9F281EAB-5627-4663-86AD-8737B705F704}"/>
    <cellStyle name="20% - Accent6 8 2 4" xfId="21015" xr:uid="{55851733-BA4D-4D97-9EFF-6ADBB8827671}"/>
    <cellStyle name="20% - Accent6 8 2 5" xfId="29455" xr:uid="{FEADA3D2-F085-4BB0-96CF-4DB6CF943442}"/>
    <cellStyle name="20% - Accent6 8 3" xfId="6197" xr:uid="{00000000-0005-0000-0000-0000BD030000}"/>
    <cellStyle name="20% - Accent6 8 3 2" xfId="14647" xr:uid="{C1354135-1C6D-41AA-B0E7-B3B2D5BA616C}"/>
    <cellStyle name="20% - Accent6 8 3 3" xfId="23087" xr:uid="{9C12E48A-CC94-4059-9E1A-02C560BA96A7}"/>
    <cellStyle name="20% - Accent6 8 3 4" xfId="31527" xr:uid="{247CE1B6-5218-40EF-8C7B-3A7C5C61FCD4}"/>
    <cellStyle name="20% - Accent6 8 4" xfId="10429" xr:uid="{689DB819-BE50-416F-A07F-6EE8EAA75A3D}"/>
    <cellStyle name="20% - Accent6 8 5" xfId="18870" xr:uid="{CBD39082-56E9-4A98-BA84-4660EC6908F6}"/>
    <cellStyle name="20% - Accent6 8 6" xfId="27310" xr:uid="{1D452A63-2CDF-468C-8930-23F496D73D6A}"/>
    <cellStyle name="20% - Accent6 9" xfId="2304" xr:uid="{00000000-0005-0000-0000-0000BE030000}"/>
    <cellStyle name="20% - Accent6 9 2" xfId="6610" xr:uid="{00000000-0005-0000-0000-0000BF030000}"/>
    <cellStyle name="20% - Accent6 9 2 2" xfId="15060" xr:uid="{22CAA524-79EA-45D6-A637-14DAEF7C6FE0}"/>
    <cellStyle name="20% - Accent6 9 2 3" xfId="23500" xr:uid="{97F104DE-10C3-4A41-B19D-575D1EA7D9CB}"/>
    <cellStyle name="20% - Accent6 9 2 4" xfId="31940" xr:uid="{780CEEA6-BC5D-49A3-8A9E-A2D2A69B274F}"/>
    <cellStyle name="20% - Accent6 9 3" xfId="10842" xr:uid="{199F5AE6-637F-44DE-ADC5-07BEB4BCEDD9}"/>
    <cellStyle name="20% - Accent6 9 4" xfId="19283" xr:uid="{949C97F8-473C-4FAA-A864-BEA78EB16248}"/>
    <cellStyle name="20% - Accent6 9 5" xfId="27723" xr:uid="{5C6A5D1F-0A60-4F6B-9B60-29C605176725}"/>
    <cellStyle name="40% - Accent1" xfId="49" builtinId="31" customBuiltin="1"/>
    <cellStyle name="40% - Accent1 10" xfId="4552" xr:uid="{00000000-0005-0000-0000-0000C1030000}"/>
    <cellStyle name="40% - Accent1 10 2" xfId="13002" xr:uid="{258BBEB5-D9DA-45E9-AD50-B7542DF0B351}"/>
    <cellStyle name="40% - Accent1 10 3" xfId="21442" xr:uid="{6DC66220-B476-43F1-8579-79B5D353CEE3}"/>
    <cellStyle name="40% - Accent1 10 4" xfId="29882" xr:uid="{774C31E5-78B4-4C07-8990-BBE8B891730E}"/>
    <cellStyle name="40% - Accent1 11" xfId="8784" xr:uid="{EA386310-CD82-4E8F-BC29-86972828B345}"/>
    <cellStyle name="40% - Accent1 12" xfId="17225" xr:uid="{36C6F151-1670-410C-9E71-2EA592E51A49}"/>
    <cellStyle name="40% - Accent1 13" xfId="25665" xr:uid="{8E575EDB-51CB-4903-85BD-57E2B2A2D459}"/>
    <cellStyle name="40% - Accent1 2" xfId="50" xr:uid="{00000000-0005-0000-0000-0000C2030000}"/>
    <cellStyle name="40% - Accent1 2 10" xfId="8785" xr:uid="{1BA3ED93-32AF-464D-BB70-7DA2C7CC7748}"/>
    <cellStyle name="40% - Accent1 2 11" xfId="17226" xr:uid="{5B87E33E-FAE5-486C-8949-D2AE3CF36B01}"/>
    <cellStyle name="40% - Accent1 2 12" xfId="25666" xr:uid="{CC897596-41D0-4E47-8823-928445756494}"/>
    <cellStyle name="40% - Accent1 2 2" xfId="51" xr:uid="{00000000-0005-0000-0000-0000C3030000}"/>
    <cellStyle name="40% - Accent1 2 2 10" xfId="17227" xr:uid="{9166877C-935C-405F-9420-F70FC7B070CA}"/>
    <cellStyle name="40% - Accent1 2 2 11" xfId="25667" xr:uid="{16958E28-6C05-466D-9C69-59212905037D}"/>
    <cellStyle name="40% - Accent1 2 2 2" xfId="52" xr:uid="{00000000-0005-0000-0000-0000C4030000}"/>
    <cellStyle name="40% - Accent1 2 2 2 10" xfId="25668" xr:uid="{FCC95F2B-A15D-4841-BDE5-A71A8C0E168C}"/>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2 2 2" xfId="15564" xr:uid="{277D4EB6-6EFC-4458-A2D4-9CF024C37029}"/>
    <cellStyle name="40% - Accent1 2 2 2 2 2 2 3" xfId="24004" xr:uid="{90E7C6D0-0E5B-452D-90E8-81F40F8381FA}"/>
    <cellStyle name="40% - Accent1 2 2 2 2 2 2 4" xfId="32444" xr:uid="{50A95A8C-E0EC-43DA-B9F0-343AFB9277A5}"/>
    <cellStyle name="40% - Accent1 2 2 2 2 2 3" xfId="11346" xr:uid="{780CB7CA-8579-4D14-82D5-1D3E9DB23679}"/>
    <cellStyle name="40% - Accent1 2 2 2 2 2 4" xfId="19787" xr:uid="{827DBB28-034B-43BD-BC2F-4DB13239BD6A}"/>
    <cellStyle name="40% - Accent1 2 2 2 2 2 5" xfId="28227" xr:uid="{84C3DA4F-A2BA-4B00-9DB5-F7AB78B61EE8}"/>
    <cellStyle name="40% - Accent1 2 2 2 2 3" xfId="4969" xr:uid="{00000000-0005-0000-0000-0000C8030000}"/>
    <cellStyle name="40% - Accent1 2 2 2 2 3 2" xfId="13419" xr:uid="{363AEA32-C499-492E-9AD8-B026EF4EDB70}"/>
    <cellStyle name="40% - Accent1 2 2 2 2 3 3" xfId="21859" xr:uid="{83C5FB50-2261-43E1-8DF8-428639D1B848}"/>
    <cellStyle name="40% - Accent1 2 2 2 2 3 4" xfId="30299" xr:uid="{FD49BDF0-C179-4360-A5E7-42CAF9B83DEB}"/>
    <cellStyle name="40% - Accent1 2 2 2 2 4" xfId="9201" xr:uid="{FBEADD57-0E39-4FE0-A222-376692164D65}"/>
    <cellStyle name="40% - Accent1 2 2 2 2 5" xfId="17642" xr:uid="{F9EFD388-9B08-45A5-A15E-FA477A1F7519}"/>
    <cellStyle name="40% - Accent1 2 2 2 2 6" xfId="26082" xr:uid="{B4B60E13-B0CD-410A-B33E-5F8E31B10E3B}"/>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2 2 2" xfId="15977" xr:uid="{79B9C717-7C46-4380-B2B4-32EDEEE8EA45}"/>
    <cellStyle name="40% - Accent1 2 2 2 3 2 2 3" xfId="24417" xr:uid="{B24F32CF-8FF1-4534-9345-A16DB97EB011}"/>
    <cellStyle name="40% - Accent1 2 2 2 3 2 2 4" xfId="32857" xr:uid="{3E03DEDE-78EE-4E7B-A3D1-C86F23C49491}"/>
    <cellStyle name="40% - Accent1 2 2 2 3 2 3" xfId="11759" xr:uid="{FDD51216-85A8-41BE-8AC7-B429DDFE6B34}"/>
    <cellStyle name="40% - Accent1 2 2 2 3 2 4" xfId="20200" xr:uid="{DD2456D4-CC51-4C09-83D2-2DA1962FFF83}"/>
    <cellStyle name="40% - Accent1 2 2 2 3 2 5" xfId="28640" xr:uid="{300541B1-BC85-4AD3-A1C1-731F033B1DAF}"/>
    <cellStyle name="40% - Accent1 2 2 2 3 3" xfId="5382" xr:uid="{00000000-0005-0000-0000-0000CC030000}"/>
    <cellStyle name="40% - Accent1 2 2 2 3 3 2" xfId="13832" xr:uid="{6309A43F-3805-432B-8C1D-FCEFD3D672C5}"/>
    <cellStyle name="40% - Accent1 2 2 2 3 3 3" xfId="22272" xr:uid="{743E2494-023E-4DAF-97C6-62A9B84F5BC4}"/>
    <cellStyle name="40% - Accent1 2 2 2 3 3 4" xfId="30712" xr:uid="{1E911BE8-9070-4A16-9962-DD90A52CED34}"/>
    <cellStyle name="40% - Accent1 2 2 2 3 4" xfId="9614" xr:uid="{2A6C744C-91F2-4A52-B150-FA6C9F902927}"/>
    <cellStyle name="40% - Accent1 2 2 2 3 5" xfId="18055" xr:uid="{8FFF654A-FDFB-4A9D-8C1F-409345649535}"/>
    <cellStyle name="40% - Accent1 2 2 2 3 6" xfId="26495" xr:uid="{21857187-7EE3-44F8-9762-B4DC4883D437}"/>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2 2 2" xfId="16390" xr:uid="{769E56A0-59EC-45C8-88D9-04B8F52E41E8}"/>
    <cellStyle name="40% - Accent1 2 2 2 4 2 2 3" xfId="24830" xr:uid="{018B7319-AE44-4404-A0ED-F3EB42BBDA83}"/>
    <cellStyle name="40% - Accent1 2 2 2 4 2 2 4" xfId="33270" xr:uid="{FF27B152-A146-4459-88D5-FF097CC6062F}"/>
    <cellStyle name="40% - Accent1 2 2 2 4 2 3" xfId="12172" xr:uid="{27260CE3-3361-499D-9E08-26C827181A9A}"/>
    <cellStyle name="40% - Accent1 2 2 2 4 2 4" xfId="20613" xr:uid="{B4E3D788-C6D6-4B29-84DB-81B99789B500}"/>
    <cellStyle name="40% - Accent1 2 2 2 4 2 5" xfId="29053" xr:uid="{32AA49AE-39B8-4664-B9D7-76F582FC3347}"/>
    <cellStyle name="40% - Accent1 2 2 2 4 3" xfId="5795" xr:uid="{00000000-0005-0000-0000-0000D0030000}"/>
    <cellStyle name="40% - Accent1 2 2 2 4 3 2" xfId="14245" xr:uid="{41B73D74-4DCF-47D4-A20A-2A03B3166443}"/>
    <cellStyle name="40% - Accent1 2 2 2 4 3 3" xfId="22685" xr:uid="{20F3B222-727E-410F-803D-672ACD976E2C}"/>
    <cellStyle name="40% - Accent1 2 2 2 4 3 4" xfId="31125" xr:uid="{42183143-1763-4607-8A1B-4DC6BC96C6A8}"/>
    <cellStyle name="40% - Accent1 2 2 2 4 4" xfId="10027" xr:uid="{4C095869-C486-44FD-8B86-5DDA444D4412}"/>
    <cellStyle name="40% - Accent1 2 2 2 4 5" xfId="18468" xr:uid="{DDE29EFC-D906-41C9-AC45-439CF8451F30}"/>
    <cellStyle name="40% - Accent1 2 2 2 4 6" xfId="26908" xr:uid="{FACADF00-2487-4870-AF21-2DCD661B89E3}"/>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2 2 2" xfId="16803" xr:uid="{F3C65375-ACD1-42D8-B6C4-2B3A9A83C01F}"/>
    <cellStyle name="40% - Accent1 2 2 2 5 2 2 3" xfId="25243" xr:uid="{BE1A6ACB-76D3-488F-8AFC-09AAFDF23399}"/>
    <cellStyle name="40% - Accent1 2 2 2 5 2 2 4" xfId="33683" xr:uid="{2C7671A9-677E-452E-BA84-9C50ED7D95E3}"/>
    <cellStyle name="40% - Accent1 2 2 2 5 2 3" xfId="12585" xr:uid="{43C957BC-30A6-437E-AFC9-A3772ED19780}"/>
    <cellStyle name="40% - Accent1 2 2 2 5 2 4" xfId="21026" xr:uid="{BE44AA30-F7C0-4E70-8D09-8F77BC1441B0}"/>
    <cellStyle name="40% - Accent1 2 2 2 5 2 5" xfId="29466" xr:uid="{E8EA212C-B5AD-499F-ABF6-DCC6563AD82E}"/>
    <cellStyle name="40% - Accent1 2 2 2 5 3" xfId="6208" xr:uid="{00000000-0005-0000-0000-0000D4030000}"/>
    <cellStyle name="40% - Accent1 2 2 2 5 3 2" xfId="14658" xr:uid="{7348EAAA-89F9-42AE-9904-045D684C3F41}"/>
    <cellStyle name="40% - Accent1 2 2 2 5 3 3" xfId="23098" xr:uid="{6AEB3B1F-2660-431C-9EFE-623AC309D8B7}"/>
    <cellStyle name="40% - Accent1 2 2 2 5 3 4" xfId="31538" xr:uid="{07815A02-7E45-4D8B-A3DB-AC409118E93D}"/>
    <cellStyle name="40% - Accent1 2 2 2 5 4" xfId="10440" xr:uid="{4B2878C7-E549-426F-8826-FC48FAC89844}"/>
    <cellStyle name="40% - Accent1 2 2 2 5 5" xfId="18881" xr:uid="{EF693C3F-14C2-458F-88B2-A0AB0AD52A6D}"/>
    <cellStyle name="40% - Accent1 2 2 2 5 6" xfId="27321" xr:uid="{B7E7136E-F25C-4A3D-A550-36B37769E741}"/>
    <cellStyle name="40% - Accent1 2 2 2 6" xfId="2315" xr:uid="{00000000-0005-0000-0000-0000D5030000}"/>
    <cellStyle name="40% - Accent1 2 2 2 6 2" xfId="6621" xr:uid="{00000000-0005-0000-0000-0000D6030000}"/>
    <cellStyle name="40% - Accent1 2 2 2 6 2 2" xfId="15071" xr:uid="{0391065D-9BFA-4C38-8205-3CF9C19F3653}"/>
    <cellStyle name="40% - Accent1 2 2 2 6 2 3" xfId="23511" xr:uid="{E9CAB9AE-8AB5-4B81-95AC-3DECC8EF009D}"/>
    <cellStyle name="40% - Accent1 2 2 2 6 2 4" xfId="31951" xr:uid="{8635372B-9293-4CBD-9CE6-D932EEB2F2BA}"/>
    <cellStyle name="40% - Accent1 2 2 2 6 3" xfId="10853" xr:uid="{71D583F0-6622-4CF5-AF88-9933C0CC7FE2}"/>
    <cellStyle name="40% - Accent1 2 2 2 6 4" xfId="19294" xr:uid="{4EF65206-E81B-418C-A82E-79519138C9FC}"/>
    <cellStyle name="40% - Accent1 2 2 2 6 5" xfId="27734" xr:uid="{1D1551BC-58AC-4E71-90D3-7BD1CD5A8E36}"/>
    <cellStyle name="40% - Accent1 2 2 2 7" xfId="4555" xr:uid="{00000000-0005-0000-0000-0000D7030000}"/>
    <cellStyle name="40% - Accent1 2 2 2 7 2" xfId="13005" xr:uid="{E7F8F58A-2367-4D2C-8955-6576DDFD27A6}"/>
    <cellStyle name="40% - Accent1 2 2 2 7 3" xfId="21445" xr:uid="{DB778764-FE9B-458F-B23D-FFF2B7E976E9}"/>
    <cellStyle name="40% - Accent1 2 2 2 7 4" xfId="29885" xr:uid="{88D59C77-28B6-4008-AE0B-6229851DEDCF}"/>
    <cellStyle name="40% - Accent1 2 2 2 8" xfId="8787" xr:uid="{F90F198B-B7A1-4340-9DF2-4996B82ECD7B}"/>
    <cellStyle name="40% - Accent1 2 2 2 9" xfId="17228" xr:uid="{BDA571C8-B400-482B-A9DE-781E21309237}"/>
    <cellStyle name="40% - Accent1 2 2 3" xfId="620" xr:uid="{00000000-0005-0000-0000-0000D8030000}"/>
    <cellStyle name="40% - Accent1 2 2 3 2" xfId="2891" xr:uid="{00000000-0005-0000-0000-0000D9030000}"/>
    <cellStyle name="40% - Accent1 2 2 3 2 2" xfId="7113" xr:uid="{00000000-0005-0000-0000-0000DA030000}"/>
    <cellStyle name="40% - Accent1 2 2 3 2 2 2" xfId="15563" xr:uid="{6A0F44DA-10FD-4ECA-8E80-C05A1987E7FB}"/>
    <cellStyle name="40% - Accent1 2 2 3 2 2 3" xfId="24003" xr:uid="{33EE1455-8D78-4BE5-8928-E08E582C5706}"/>
    <cellStyle name="40% - Accent1 2 2 3 2 2 4" xfId="32443" xr:uid="{EECCF1B8-1005-4785-A948-425A1B512456}"/>
    <cellStyle name="40% - Accent1 2 2 3 2 3" xfId="11345" xr:uid="{4F5FC5EE-39A5-4D3E-9309-8FA25C473135}"/>
    <cellStyle name="40% - Accent1 2 2 3 2 4" xfId="19786" xr:uid="{FCBAC924-E9C0-4F52-831F-B2F45E8924A4}"/>
    <cellStyle name="40% - Accent1 2 2 3 2 5" xfId="28226" xr:uid="{2CBA0933-C41B-4BFA-B433-16159A7A24BB}"/>
    <cellStyle name="40% - Accent1 2 2 3 3" xfId="4968" xr:uid="{00000000-0005-0000-0000-0000DB030000}"/>
    <cellStyle name="40% - Accent1 2 2 3 3 2" xfId="13418" xr:uid="{9AABC024-8893-4FDE-83CE-910D5560A03F}"/>
    <cellStyle name="40% - Accent1 2 2 3 3 3" xfId="21858" xr:uid="{5F32DBDD-E35B-4537-A130-7CDAD4910D25}"/>
    <cellStyle name="40% - Accent1 2 2 3 3 4" xfId="30298" xr:uid="{C691BC70-2DDA-4412-9300-A58920D62493}"/>
    <cellStyle name="40% - Accent1 2 2 3 4" xfId="9200" xr:uid="{A21A97F3-D4A5-4543-B796-6B6132395BB9}"/>
    <cellStyle name="40% - Accent1 2 2 3 5" xfId="17641" xr:uid="{540545FF-D2D9-4C0C-A9B8-502022A4EB7F}"/>
    <cellStyle name="40% - Accent1 2 2 3 6" xfId="26081" xr:uid="{4EF7C7FF-E8AA-40E1-8622-BF39767D4CA1}"/>
    <cellStyle name="40% - Accent1 2 2 4" xfId="1073" xr:uid="{00000000-0005-0000-0000-0000DC030000}"/>
    <cellStyle name="40% - Accent1 2 2 4 2" xfId="3304" xr:uid="{00000000-0005-0000-0000-0000DD030000}"/>
    <cellStyle name="40% - Accent1 2 2 4 2 2" xfId="7526" xr:uid="{00000000-0005-0000-0000-0000DE030000}"/>
    <cellStyle name="40% - Accent1 2 2 4 2 2 2" xfId="15976" xr:uid="{F6DC90B8-36E2-4197-95A7-3313165961DA}"/>
    <cellStyle name="40% - Accent1 2 2 4 2 2 3" xfId="24416" xr:uid="{49AA87CB-53D6-4C1C-84F2-A441840FD40E}"/>
    <cellStyle name="40% - Accent1 2 2 4 2 2 4" xfId="32856" xr:uid="{DF88886F-7EC1-4C4E-840B-F684D1AE115F}"/>
    <cellStyle name="40% - Accent1 2 2 4 2 3" xfId="11758" xr:uid="{194ADE4B-DCB1-4B13-913D-A6DF56054552}"/>
    <cellStyle name="40% - Accent1 2 2 4 2 4" xfId="20199" xr:uid="{38FBA758-0EBE-46F1-B911-9DB657237664}"/>
    <cellStyle name="40% - Accent1 2 2 4 2 5" xfId="28639" xr:uid="{2627A899-8C3F-44B7-BDD5-4B6F6E213206}"/>
    <cellStyle name="40% - Accent1 2 2 4 3" xfId="5381" xr:uid="{00000000-0005-0000-0000-0000DF030000}"/>
    <cellStyle name="40% - Accent1 2 2 4 3 2" xfId="13831" xr:uid="{4A0CA44D-ADDB-44BD-ABCF-3B1D3FE2710B}"/>
    <cellStyle name="40% - Accent1 2 2 4 3 3" xfId="22271" xr:uid="{912E9BAA-8B39-409B-A709-08A3720B2E0C}"/>
    <cellStyle name="40% - Accent1 2 2 4 3 4" xfId="30711" xr:uid="{D396E9F7-DACA-4969-8BFA-6932D891111F}"/>
    <cellStyle name="40% - Accent1 2 2 4 4" xfId="9613" xr:uid="{1DEFA1D3-D3EA-4A46-8845-9B89507E4699}"/>
    <cellStyle name="40% - Accent1 2 2 4 5" xfId="18054" xr:uid="{F72E20D5-7969-4B4E-91A4-F6BE235D7651}"/>
    <cellStyle name="40% - Accent1 2 2 4 6" xfId="26494" xr:uid="{04D0646B-0FA9-4FE1-81A1-2026DA5D3354}"/>
    <cellStyle name="40% - Accent1 2 2 5" xfId="1487" xr:uid="{00000000-0005-0000-0000-0000E0030000}"/>
    <cellStyle name="40% - Accent1 2 2 5 2" xfId="3717" xr:uid="{00000000-0005-0000-0000-0000E1030000}"/>
    <cellStyle name="40% - Accent1 2 2 5 2 2" xfId="7939" xr:uid="{00000000-0005-0000-0000-0000E2030000}"/>
    <cellStyle name="40% - Accent1 2 2 5 2 2 2" xfId="16389" xr:uid="{9C939DCC-F2BE-41E2-B5E5-57F9ACCF8142}"/>
    <cellStyle name="40% - Accent1 2 2 5 2 2 3" xfId="24829" xr:uid="{A7CA9668-EAEF-487A-9376-680D92B85D05}"/>
    <cellStyle name="40% - Accent1 2 2 5 2 2 4" xfId="33269" xr:uid="{8AAE92C6-63F6-4B9C-B029-7934A2A77BA7}"/>
    <cellStyle name="40% - Accent1 2 2 5 2 3" xfId="12171" xr:uid="{6E9FF9D0-AF8A-4054-938B-9A2DAF8A2950}"/>
    <cellStyle name="40% - Accent1 2 2 5 2 4" xfId="20612" xr:uid="{738C3457-FBA2-4573-8536-6D429AF3A022}"/>
    <cellStyle name="40% - Accent1 2 2 5 2 5" xfId="29052" xr:uid="{1CDA9E19-DCAC-459B-A5F7-18586C04EA22}"/>
    <cellStyle name="40% - Accent1 2 2 5 3" xfId="5794" xr:uid="{00000000-0005-0000-0000-0000E3030000}"/>
    <cellStyle name="40% - Accent1 2 2 5 3 2" xfId="14244" xr:uid="{FE9E2394-787A-4ECA-8695-90FD07BA6859}"/>
    <cellStyle name="40% - Accent1 2 2 5 3 3" xfId="22684" xr:uid="{16169BD5-B19C-4E5E-95FD-ABB2E4A9B9D8}"/>
    <cellStyle name="40% - Accent1 2 2 5 3 4" xfId="31124" xr:uid="{0EF30EAE-8F58-43AA-9049-66A1D305F88B}"/>
    <cellStyle name="40% - Accent1 2 2 5 4" xfId="10026" xr:uid="{2273E47F-8762-45A3-B351-6548CF2ADFE7}"/>
    <cellStyle name="40% - Accent1 2 2 5 5" xfId="18467" xr:uid="{E8A9209D-2120-4378-AFA0-CC018D210A61}"/>
    <cellStyle name="40% - Accent1 2 2 5 6" xfId="26907" xr:uid="{451C9F0C-C866-40E0-82F6-812E07334E37}"/>
    <cellStyle name="40% - Accent1 2 2 6" xfId="1901" xr:uid="{00000000-0005-0000-0000-0000E4030000}"/>
    <cellStyle name="40% - Accent1 2 2 6 2" xfId="4130" xr:uid="{00000000-0005-0000-0000-0000E5030000}"/>
    <cellStyle name="40% - Accent1 2 2 6 2 2" xfId="8352" xr:uid="{00000000-0005-0000-0000-0000E6030000}"/>
    <cellStyle name="40% - Accent1 2 2 6 2 2 2" xfId="16802" xr:uid="{4418B997-3245-44A0-A4E4-FC9F0DC79B35}"/>
    <cellStyle name="40% - Accent1 2 2 6 2 2 3" xfId="25242" xr:uid="{1F1DA223-4426-4A43-A90B-870CDF687AE2}"/>
    <cellStyle name="40% - Accent1 2 2 6 2 2 4" xfId="33682" xr:uid="{9EB9ADF0-4140-4D03-B1C2-653A7102FFD9}"/>
    <cellStyle name="40% - Accent1 2 2 6 2 3" xfId="12584" xr:uid="{6E740D7A-1D27-431A-9677-ED0C4C682EB0}"/>
    <cellStyle name="40% - Accent1 2 2 6 2 4" xfId="21025" xr:uid="{BDD648F4-432E-40D2-87E0-A1C86E35BD59}"/>
    <cellStyle name="40% - Accent1 2 2 6 2 5" xfId="29465" xr:uid="{14DDF5FB-76E0-4FC3-A2FD-0B0E750B5B28}"/>
    <cellStyle name="40% - Accent1 2 2 6 3" xfId="6207" xr:uid="{00000000-0005-0000-0000-0000E7030000}"/>
    <cellStyle name="40% - Accent1 2 2 6 3 2" xfId="14657" xr:uid="{DA4097C6-52A0-4B56-91E9-D7F85AF21D88}"/>
    <cellStyle name="40% - Accent1 2 2 6 3 3" xfId="23097" xr:uid="{2204AB33-3D62-4CDB-AD20-CAEF9F25DAF9}"/>
    <cellStyle name="40% - Accent1 2 2 6 3 4" xfId="31537" xr:uid="{AB24AEBC-DED4-4CE2-8C33-AB6B3521381A}"/>
    <cellStyle name="40% - Accent1 2 2 6 4" xfId="10439" xr:uid="{C68B5064-7EF9-4E8C-BE1C-73700FE86E80}"/>
    <cellStyle name="40% - Accent1 2 2 6 5" xfId="18880" xr:uid="{E2F8143B-5349-4930-83A3-B0F48A3FDC21}"/>
    <cellStyle name="40% - Accent1 2 2 6 6" xfId="27320" xr:uid="{18BBE7B0-27A3-41D8-B293-F0DC8DA4DA9B}"/>
    <cellStyle name="40% - Accent1 2 2 7" xfId="2314" xr:uid="{00000000-0005-0000-0000-0000E8030000}"/>
    <cellStyle name="40% - Accent1 2 2 7 2" xfId="6620" xr:uid="{00000000-0005-0000-0000-0000E9030000}"/>
    <cellStyle name="40% - Accent1 2 2 7 2 2" xfId="15070" xr:uid="{989405FF-776B-4396-8CA9-C0B005A9BE78}"/>
    <cellStyle name="40% - Accent1 2 2 7 2 3" xfId="23510" xr:uid="{920DB0EA-9C5E-41B1-9F2B-050A353D25ED}"/>
    <cellStyle name="40% - Accent1 2 2 7 2 4" xfId="31950" xr:uid="{6A231E12-DE56-4178-9704-7B1B9953D32E}"/>
    <cellStyle name="40% - Accent1 2 2 7 3" xfId="10852" xr:uid="{99305B81-34B3-4714-811D-33C2756FAB92}"/>
    <cellStyle name="40% - Accent1 2 2 7 4" xfId="19293" xr:uid="{08E5A781-8EAC-43FD-AFCC-9AA9468AEB21}"/>
    <cellStyle name="40% - Accent1 2 2 7 5" xfId="27733" xr:uid="{86E584E5-0E67-4774-853B-D445413C3611}"/>
    <cellStyle name="40% - Accent1 2 2 8" xfId="4554" xr:uid="{00000000-0005-0000-0000-0000EA030000}"/>
    <cellStyle name="40% - Accent1 2 2 8 2" xfId="13004" xr:uid="{7CD9B470-0784-4F84-949D-03A4157B122A}"/>
    <cellStyle name="40% - Accent1 2 2 8 3" xfId="21444" xr:uid="{208B45D8-B5FE-4392-87E5-C1C9EC49FE80}"/>
    <cellStyle name="40% - Accent1 2 2 8 4" xfId="29884" xr:uid="{DE2699AD-CE7D-4B68-801A-ABF5D5B1B8B6}"/>
    <cellStyle name="40% - Accent1 2 2 9" xfId="8786" xr:uid="{84AC5E02-9020-432E-8AC1-FFCC2630E4E5}"/>
    <cellStyle name="40% - Accent1 2 3" xfId="53" xr:uid="{00000000-0005-0000-0000-0000EB030000}"/>
    <cellStyle name="40% - Accent1 2 3 10" xfId="25669" xr:uid="{8C6E4E29-4BB5-45B7-A1F4-2C0BD71AF5BC}"/>
    <cellStyle name="40% - Accent1 2 3 2" xfId="622" xr:uid="{00000000-0005-0000-0000-0000EC030000}"/>
    <cellStyle name="40% - Accent1 2 3 2 2" xfId="2893" xr:uid="{00000000-0005-0000-0000-0000ED030000}"/>
    <cellStyle name="40% - Accent1 2 3 2 2 2" xfId="7115" xr:uid="{00000000-0005-0000-0000-0000EE030000}"/>
    <cellStyle name="40% - Accent1 2 3 2 2 2 2" xfId="15565" xr:uid="{84AA7CFB-9484-4AC1-BAF2-89674E4DC8EA}"/>
    <cellStyle name="40% - Accent1 2 3 2 2 2 3" xfId="24005" xr:uid="{C0741713-CF64-4A9C-B30C-6C60817667EE}"/>
    <cellStyle name="40% - Accent1 2 3 2 2 2 4" xfId="32445" xr:uid="{CEE1EB76-CFBE-4FF0-84D7-516CB0EB347C}"/>
    <cellStyle name="40% - Accent1 2 3 2 2 3" xfId="11347" xr:uid="{31E7DF37-2744-4E2A-B9E0-005091C79B29}"/>
    <cellStyle name="40% - Accent1 2 3 2 2 4" xfId="19788" xr:uid="{4D2D986F-BE52-451B-A940-F41B29A06965}"/>
    <cellStyle name="40% - Accent1 2 3 2 2 5" xfId="28228" xr:uid="{0D2A91B3-65A2-4611-9FDE-C7CBAC0DCD06}"/>
    <cellStyle name="40% - Accent1 2 3 2 3" xfId="4970" xr:uid="{00000000-0005-0000-0000-0000EF030000}"/>
    <cellStyle name="40% - Accent1 2 3 2 3 2" xfId="13420" xr:uid="{CE6F77E8-346B-43AC-BD07-26AA04E8FB51}"/>
    <cellStyle name="40% - Accent1 2 3 2 3 3" xfId="21860" xr:uid="{C19BB9A6-689C-44F5-BDDA-408BF17C8C70}"/>
    <cellStyle name="40% - Accent1 2 3 2 3 4" xfId="30300" xr:uid="{9FCD38A2-37F4-4E92-94FA-3EF90A77EE85}"/>
    <cellStyle name="40% - Accent1 2 3 2 4" xfId="9202" xr:uid="{F751332B-1C97-4B59-BA0F-F17CFD8C168F}"/>
    <cellStyle name="40% - Accent1 2 3 2 5" xfId="17643" xr:uid="{26B206A4-59DB-47FB-AC4E-8A166FBC942C}"/>
    <cellStyle name="40% - Accent1 2 3 2 6" xfId="26083" xr:uid="{06F59170-5123-4F34-AC30-AC924CE5B176}"/>
    <cellStyle name="40% - Accent1 2 3 3" xfId="1075" xr:uid="{00000000-0005-0000-0000-0000F0030000}"/>
    <cellStyle name="40% - Accent1 2 3 3 2" xfId="3306" xr:uid="{00000000-0005-0000-0000-0000F1030000}"/>
    <cellStyle name="40% - Accent1 2 3 3 2 2" xfId="7528" xr:uid="{00000000-0005-0000-0000-0000F2030000}"/>
    <cellStyle name="40% - Accent1 2 3 3 2 2 2" xfId="15978" xr:uid="{04A45DE1-D958-4D68-8915-6592A6A39F64}"/>
    <cellStyle name="40% - Accent1 2 3 3 2 2 3" xfId="24418" xr:uid="{04DFDE6B-9B9C-4D16-BA92-C43A8829E43E}"/>
    <cellStyle name="40% - Accent1 2 3 3 2 2 4" xfId="32858" xr:uid="{B9B31312-0AB7-4479-A841-8A3006C89F02}"/>
    <cellStyle name="40% - Accent1 2 3 3 2 3" xfId="11760" xr:uid="{9570E555-9581-4AB5-9D65-CA175BD98EC6}"/>
    <cellStyle name="40% - Accent1 2 3 3 2 4" xfId="20201" xr:uid="{11FF82E0-6EEC-415E-9506-795AB928965E}"/>
    <cellStyle name="40% - Accent1 2 3 3 2 5" xfId="28641" xr:uid="{84F2D5DD-AD66-4E10-8B0D-DC7372D9518F}"/>
    <cellStyle name="40% - Accent1 2 3 3 3" xfId="5383" xr:uid="{00000000-0005-0000-0000-0000F3030000}"/>
    <cellStyle name="40% - Accent1 2 3 3 3 2" xfId="13833" xr:uid="{73A1A739-135D-4C49-84A0-3504A4C06A72}"/>
    <cellStyle name="40% - Accent1 2 3 3 3 3" xfId="22273" xr:uid="{B8763210-71E6-4501-A6AC-EC0C307F6E93}"/>
    <cellStyle name="40% - Accent1 2 3 3 3 4" xfId="30713" xr:uid="{6E9DDD0E-ABD8-4C5D-9625-8A320E7492A2}"/>
    <cellStyle name="40% - Accent1 2 3 3 4" xfId="9615" xr:uid="{8592A41D-425C-4688-986D-B94C381C1F9B}"/>
    <cellStyle name="40% - Accent1 2 3 3 5" xfId="18056" xr:uid="{48ECF7E3-EB0E-47F7-8991-C36FAB1B2D77}"/>
    <cellStyle name="40% - Accent1 2 3 3 6" xfId="26496" xr:uid="{C1288030-9766-4E55-AB1D-69C111D06968}"/>
    <cellStyle name="40% - Accent1 2 3 4" xfId="1489" xr:uid="{00000000-0005-0000-0000-0000F4030000}"/>
    <cellStyle name="40% - Accent1 2 3 4 2" xfId="3719" xr:uid="{00000000-0005-0000-0000-0000F5030000}"/>
    <cellStyle name="40% - Accent1 2 3 4 2 2" xfId="7941" xr:uid="{00000000-0005-0000-0000-0000F6030000}"/>
    <cellStyle name="40% - Accent1 2 3 4 2 2 2" xfId="16391" xr:uid="{C37046B4-1516-45B5-BF2F-7135B0FA5426}"/>
    <cellStyle name="40% - Accent1 2 3 4 2 2 3" xfId="24831" xr:uid="{22DBBA8D-535F-46C5-850A-5C877C0F6EA7}"/>
    <cellStyle name="40% - Accent1 2 3 4 2 2 4" xfId="33271" xr:uid="{FD0B76A5-DFA5-4BD3-8702-9C19BC9FC7EA}"/>
    <cellStyle name="40% - Accent1 2 3 4 2 3" xfId="12173" xr:uid="{7C59F13C-073F-4B58-AA1B-BF05C9871B58}"/>
    <cellStyle name="40% - Accent1 2 3 4 2 4" xfId="20614" xr:uid="{FB45CAE4-CA52-48EB-8ABB-F7F6FCCCDF19}"/>
    <cellStyle name="40% - Accent1 2 3 4 2 5" xfId="29054" xr:uid="{48D8013D-21F3-49BB-83B5-E9C9281442FC}"/>
    <cellStyle name="40% - Accent1 2 3 4 3" xfId="5796" xr:uid="{00000000-0005-0000-0000-0000F7030000}"/>
    <cellStyle name="40% - Accent1 2 3 4 3 2" xfId="14246" xr:uid="{C2E4A98A-E17B-4CBB-9092-EB2D7116E748}"/>
    <cellStyle name="40% - Accent1 2 3 4 3 3" xfId="22686" xr:uid="{81ED3828-4AFE-4750-A3F7-09FEEE4CC5C1}"/>
    <cellStyle name="40% - Accent1 2 3 4 3 4" xfId="31126" xr:uid="{14238F09-B397-424A-95AB-C1977E0CA84E}"/>
    <cellStyle name="40% - Accent1 2 3 4 4" xfId="10028" xr:uid="{CC402BD9-6E25-4335-9994-16EBF37C89A1}"/>
    <cellStyle name="40% - Accent1 2 3 4 5" xfId="18469" xr:uid="{6FF63B00-956D-4779-A4F8-B54A431BCBF0}"/>
    <cellStyle name="40% - Accent1 2 3 4 6" xfId="26909" xr:uid="{AEB8EB98-43AD-443C-82DD-5B1363497A66}"/>
    <cellStyle name="40% - Accent1 2 3 5" xfId="1903" xr:uid="{00000000-0005-0000-0000-0000F8030000}"/>
    <cellStyle name="40% - Accent1 2 3 5 2" xfId="4132" xr:uid="{00000000-0005-0000-0000-0000F9030000}"/>
    <cellStyle name="40% - Accent1 2 3 5 2 2" xfId="8354" xr:uid="{00000000-0005-0000-0000-0000FA030000}"/>
    <cellStyle name="40% - Accent1 2 3 5 2 2 2" xfId="16804" xr:uid="{FB89B24F-1725-4E20-9D6E-32CAFDAC3691}"/>
    <cellStyle name="40% - Accent1 2 3 5 2 2 3" xfId="25244" xr:uid="{FDE3AC0B-0156-4558-B5B5-2EF1EC2A5C5F}"/>
    <cellStyle name="40% - Accent1 2 3 5 2 2 4" xfId="33684" xr:uid="{3C914B3D-74E7-4E19-B78A-513AB29E2344}"/>
    <cellStyle name="40% - Accent1 2 3 5 2 3" xfId="12586" xr:uid="{6365C322-66EB-487E-B950-0BC4CC1C4E45}"/>
    <cellStyle name="40% - Accent1 2 3 5 2 4" xfId="21027" xr:uid="{52D1E733-CB38-4DD5-B1B7-A54B19FBAFE0}"/>
    <cellStyle name="40% - Accent1 2 3 5 2 5" xfId="29467" xr:uid="{E4823177-78CF-4212-94B2-374A88523BCA}"/>
    <cellStyle name="40% - Accent1 2 3 5 3" xfId="6209" xr:uid="{00000000-0005-0000-0000-0000FB030000}"/>
    <cellStyle name="40% - Accent1 2 3 5 3 2" xfId="14659" xr:uid="{81D6F309-FE31-4F2E-8F11-7BE1B87F23FA}"/>
    <cellStyle name="40% - Accent1 2 3 5 3 3" xfId="23099" xr:uid="{18A1C50C-BD92-436B-94E2-E50717CB404E}"/>
    <cellStyle name="40% - Accent1 2 3 5 3 4" xfId="31539" xr:uid="{BA8B92C2-C86B-4BB5-8504-E26D741C795F}"/>
    <cellStyle name="40% - Accent1 2 3 5 4" xfId="10441" xr:uid="{6512AD1E-1092-4C09-A9C8-6DC822C9B9CA}"/>
    <cellStyle name="40% - Accent1 2 3 5 5" xfId="18882" xr:uid="{F39C88E5-E18E-421C-A8FD-C29C69682D25}"/>
    <cellStyle name="40% - Accent1 2 3 5 6" xfId="27322" xr:uid="{55A54C14-3AB4-4B49-B3E5-6AB89A7DF0C6}"/>
    <cellStyle name="40% - Accent1 2 3 6" xfId="2316" xr:uid="{00000000-0005-0000-0000-0000FC030000}"/>
    <cellStyle name="40% - Accent1 2 3 6 2" xfId="6622" xr:uid="{00000000-0005-0000-0000-0000FD030000}"/>
    <cellStyle name="40% - Accent1 2 3 6 2 2" xfId="15072" xr:uid="{99C0CD47-3611-4ABF-8A73-FE567E76BA01}"/>
    <cellStyle name="40% - Accent1 2 3 6 2 3" xfId="23512" xr:uid="{683517E0-8546-4D7C-97CF-062019D634C3}"/>
    <cellStyle name="40% - Accent1 2 3 6 2 4" xfId="31952" xr:uid="{2560D35D-AEB5-49E8-90EA-7722A39BA351}"/>
    <cellStyle name="40% - Accent1 2 3 6 3" xfId="10854" xr:uid="{49643D04-4B09-440E-ADE9-5A8EAF20C39B}"/>
    <cellStyle name="40% - Accent1 2 3 6 4" xfId="19295" xr:uid="{9D79803F-B76D-41A4-BFFB-F8D604B25F40}"/>
    <cellStyle name="40% - Accent1 2 3 6 5" xfId="27735" xr:uid="{55C36713-65E9-400D-ADF8-ADADB278DA42}"/>
    <cellStyle name="40% - Accent1 2 3 7" xfId="4556" xr:uid="{00000000-0005-0000-0000-0000FE030000}"/>
    <cellStyle name="40% - Accent1 2 3 7 2" xfId="13006" xr:uid="{38502283-C601-415D-A790-01E2153D4BFC}"/>
    <cellStyle name="40% - Accent1 2 3 7 3" xfId="21446" xr:uid="{1308BB4A-D15E-4E79-8A1C-33BC3CCB47E7}"/>
    <cellStyle name="40% - Accent1 2 3 7 4" xfId="29886" xr:uid="{2E8561E9-112F-442E-8BF5-3F030D4BB374}"/>
    <cellStyle name="40% - Accent1 2 3 8" xfId="8788" xr:uid="{3C6CA86E-3CBE-4D0B-8FD3-A6049CC69987}"/>
    <cellStyle name="40% - Accent1 2 3 9" xfId="17229" xr:uid="{376635B0-7BD9-41B3-82D7-64700F03C2FA}"/>
    <cellStyle name="40% - Accent1 2 4" xfId="619" xr:uid="{00000000-0005-0000-0000-0000FF030000}"/>
    <cellStyle name="40% - Accent1 2 4 2" xfId="2890" xr:uid="{00000000-0005-0000-0000-000000040000}"/>
    <cellStyle name="40% - Accent1 2 4 2 2" xfId="7112" xr:uid="{00000000-0005-0000-0000-000001040000}"/>
    <cellStyle name="40% - Accent1 2 4 2 2 2" xfId="15562" xr:uid="{4C5EC12D-E4D6-4275-B13C-68106E74DE8B}"/>
    <cellStyle name="40% - Accent1 2 4 2 2 3" xfId="24002" xr:uid="{06AC8371-F7A3-4B01-BDA9-3FF4DF1A139C}"/>
    <cellStyle name="40% - Accent1 2 4 2 2 4" xfId="32442" xr:uid="{64AC8FF2-4A43-499C-A820-5D04A315D252}"/>
    <cellStyle name="40% - Accent1 2 4 2 3" xfId="11344" xr:uid="{C5FB65E4-7E54-41F0-8402-3954CD11C2E5}"/>
    <cellStyle name="40% - Accent1 2 4 2 4" xfId="19785" xr:uid="{DC49FA29-902F-444F-A559-05EE027DFC0C}"/>
    <cellStyle name="40% - Accent1 2 4 2 5" xfId="28225" xr:uid="{C0002353-C826-4B8A-B10D-B850341938DD}"/>
    <cellStyle name="40% - Accent1 2 4 3" xfId="4967" xr:uid="{00000000-0005-0000-0000-000002040000}"/>
    <cellStyle name="40% - Accent1 2 4 3 2" xfId="13417" xr:uid="{4B7469A6-B3C5-46FC-AC47-4DB21FC32989}"/>
    <cellStyle name="40% - Accent1 2 4 3 3" xfId="21857" xr:uid="{5D83A7DF-7264-460B-9F9D-800B143DF20B}"/>
    <cellStyle name="40% - Accent1 2 4 3 4" xfId="30297" xr:uid="{BD0A5B94-534E-4ED1-9839-4199F7AA3A59}"/>
    <cellStyle name="40% - Accent1 2 4 4" xfId="9199" xr:uid="{04E98975-1657-4661-8B5C-CB3D0C35FA9F}"/>
    <cellStyle name="40% - Accent1 2 4 5" xfId="17640" xr:uid="{829910C7-40DA-418D-8984-F80FE0CB53DD}"/>
    <cellStyle name="40% - Accent1 2 4 6" xfId="26080" xr:uid="{17EE4C81-0428-4518-A1D4-7E173C3F1BCF}"/>
    <cellStyle name="40% - Accent1 2 5" xfId="1072" xr:uid="{00000000-0005-0000-0000-000003040000}"/>
    <cellStyle name="40% - Accent1 2 5 2" xfId="3303" xr:uid="{00000000-0005-0000-0000-000004040000}"/>
    <cellStyle name="40% - Accent1 2 5 2 2" xfId="7525" xr:uid="{00000000-0005-0000-0000-000005040000}"/>
    <cellStyle name="40% - Accent1 2 5 2 2 2" xfId="15975" xr:uid="{28090A1F-1D39-4B26-B8A2-E9B3A6EA4922}"/>
    <cellStyle name="40% - Accent1 2 5 2 2 3" xfId="24415" xr:uid="{6ED0F54F-DE18-423C-86A8-C348DD52B070}"/>
    <cellStyle name="40% - Accent1 2 5 2 2 4" xfId="32855" xr:uid="{D6F04D08-A9D2-490C-8CF0-98A595BFEE9A}"/>
    <cellStyle name="40% - Accent1 2 5 2 3" xfId="11757" xr:uid="{175ADB00-6D9C-4200-B3BB-AC2E8E06FBDF}"/>
    <cellStyle name="40% - Accent1 2 5 2 4" xfId="20198" xr:uid="{7EA9B153-968F-4D85-94EB-0F3C954FB838}"/>
    <cellStyle name="40% - Accent1 2 5 2 5" xfId="28638" xr:uid="{D47059D0-DD57-4C09-919E-923D28E8794C}"/>
    <cellStyle name="40% - Accent1 2 5 3" xfId="5380" xr:uid="{00000000-0005-0000-0000-000006040000}"/>
    <cellStyle name="40% - Accent1 2 5 3 2" xfId="13830" xr:uid="{9D3609E1-11D9-47F6-BC8F-EFBDA0A97A95}"/>
    <cellStyle name="40% - Accent1 2 5 3 3" xfId="22270" xr:uid="{3FE80AA8-71A4-4738-A493-65E3C89A808B}"/>
    <cellStyle name="40% - Accent1 2 5 3 4" xfId="30710" xr:uid="{467AAB37-1D2B-4CA9-BBC2-F10500E152A3}"/>
    <cellStyle name="40% - Accent1 2 5 4" xfId="9612" xr:uid="{ED0277BC-523D-4606-B37A-336FA55A3145}"/>
    <cellStyle name="40% - Accent1 2 5 5" xfId="18053" xr:uid="{DD85304A-49F2-4733-9D1D-161C12165655}"/>
    <cellStyle name="40% - Accent1 2 5 6" xfId="26493" xr:uid="{7FF373BC-E5AC-4DE9-98A8-40BF9AECA7EE}"/>
    <cellStyle name="40% - Accent1 2 6" xfId="1486" xr:uid="{00000000-0005-0000-0000-000007040000}"/>
    <cellStyle name="40% - Accent1 2 6 2" xfId="3716" xr:uid="{00000000-0005-0000-0000-000008040000}"/>
    <cellStyle name="40% - Accent1 2 6 2 2" xfId="7938" xr:uid="{00000000-0005-0000-0000-000009040000}"/>
    <cellStyle name="40% - Accent1 2 6 2 2 2" xfId="16388" xr:uid="{65DE5EEB-EAC0-4B32-BE6A-4A16A817140F}"/>
    <cellStyle name="40% - Accent1 2 6 2 2 3" xfId="24828" xr:uid="{C901D007-C54B-4F6F-835A-D1347BA80B1F}"/>
    <cellStyle name="40% - Accent1 2 6 2 2 4" xfId="33268" xr:uid="{BBDD8A91-F105-4253-9F10-5242D0D31058}"/>
    <cellStyle name="40% - Accent1 2 6 2 3" xfId="12170" xr:uid="{BFFAE991-870C-4023-9BE7-86191EDE2231}"/>
    <cellStyle name="40% - Accent1 2 6 2 4" xfId="20611" xr:uid="{9D250959-34FF-4104-B2BE-E81BBF744772}"/>
    <cellStyle name="40% - Accent1 2 6 2 5" xfId="29051" xr:uid="{876CC082-A74A-43F8-B7A0-5B5142784CA7}"/>
    <cellStyle name="40% - Accent1 2 6 3" xfId="5793" xr:uid="{00000000-0005-0000-0000-00000A040000}"/>
    <cellStyle name="40% - Accent1 2 6 3 2" xfId="14243" xr:uid="{0CC76EB8-1B04-4A14-A183-ACAE6B2BE82C}"/>
    <cellStyle name="40% - Accent1 2 6 3 3" xfId="22683" xr:uid="{C25B1E90-6CE6-4629-8884-D2A7A6C178FA}"/>
    <cellStyle name="40% - Accent1 2 6 3 4" xfId="31123" xr:uid="{B2D901E8-A367-4D01-91BB-26211559FBA0}"/>
    <cellStyle name="40% - Accent1 2 6 4" xfId="10025" xr:uid="{C93594AD-0870-4011-8777-34C18E5776E4}"/>
    <cellStyle name="40% - Accent1 2 6 5" xfId="18466" xr:uid="{E68AE63C-9297-444B-B706-22AC2DFD4C40}"/>
    <cellStyle name="40% - Accent1 2 6 6" xfId="26906" xr:uid="{0449E5A4-5A04-4476-9E5D-2B5CC6499795}"/>
    <cellStyle name="40% - Accent1 2 7" xfId="1900" xr:uid="{00000000-0005-0000-0000-00000B040000}"/>
    <cellStyle name="40% - Accent1 2 7 2" xfId="4129" xr:uid="{00000000-0005-0000-0000-00000C040000}"/>
    <cellStyle name="40% - Accent1 2 7 2 2" xfId="8351" xr:uid="{00000000-0005-0000-0000-00000D040000}"/>
    <cellStyle name="40% - Accent1 2 7 2 2 2" xfId="16801" xr:uid="{C827F631-519B-4B96-B2FE-3416CCCDB174}"/>
    <cellStyle name="40% - Accent1 2 7 2 2 3" xfId="25241" xr:uid="{86F12E88-7EBF-45A1-9F71-9C1B240F0850}"/>
    <cellStyle name="40% - Accent1 2 7 2 2 4" xfId="33681" xr:uid="{17696A83-B31C-4E99-8107-2DF0E80DF204}"/>
    <cellStyle name="40% - Accent1 2 7 2 3" xfId="12583" xr:uid="{A24DB20D-22C5-4C1A-83E9-BC45A43B0455}"/>
    <cellStyle name="40% - Accent1 2 7 2 4" xfId="21024" xr:uid="{5EF79A34-993C-45F9-B175-EA4130C2F43E}"/>
    <cellStyle name="40% - Accent1 2 7 2 5" xfId="29464" xr:uid="{117CB8C5-B555-4327-98B2-B69F7BBE969F}"/>
    <cellStyle name="40% - Accent1 2 7 3" xfId="6206" xr:uid="{00000000-0005-0000-0000-00000E040000}"/>
    <cellStyle name="40% - Accent1 2 7 3 2" xfId="14656" xr:uid="{28B20AB4-B0D0-4383-9CF6-1B1D2E2DD4CA}"/>
    <cellStyle name="40% - Accent1 2 7 3 3" xfId="23096" xr:uid="{AFB40885-4155-4285-8A2C-3DA8F4A09D4F}"/>
    <cellStyle name="40% - Accent1 2 7 3 4" xfId="31536" xr:uid="{1EFC9548-AFFD-4E50-B7FF-F0D4F30802A6}"/>
    <cellStyle name="40% - Accent1 2 7 4" xfId="10438" xr:uid="{72B3DA10-DE73-4F9B-BA41-981BA6450F1B}"/>
    <cellStyle name="40% - Accent1 2 7 5" xfId="18879" xr:uid="{7BA32024-2CA9-4713-AAF1-3C62953FB4E2}"/>
    <cellStyle name="40% - Accent1 2 7 6" xfId="27319" xr:uid="{4B69D6C3-D8A9-4D29-9F60-D94E6878D39B}"/>
    <cellStyle name="40% - Accent1 2 8" xfId="2313" xr:uid="{00000000-0005-0000-0000-00000F040000}"/>
    <cellStyle name="40% - Accent1 2 8 2" xfId="6619" xr:uid="{00000000-0005-0000-0000-000010040000}"/>
    <cellStyle name="40% - Accent1 2 8 2 2" xfId="15069" xr:uid="{49261F92-83D8-4F7A-97DC-EA68DFF0BB9B}"/>
    <cellStyle name="40% - Accent1 2 8 2 3" xfId="23509" xr:uid="{64E6D2C9-6875-4028-B338-E5532F1EB8D6}"/>
    <cellStyle name="40% - Accent1 2 8 2 4" xfId="31949" xr:uid="{18BD95FD-AA62-46D2-8958-0447EF700FE9}"/>
    <cellStyle name="40% - Accent1 2 8 3" xfId="10851" xr:uid="{19940EA3-10A2-464F-9BB9-21D3BA78E2EA}"/>
    <cellStyle name="40% - Accent1 2 8 4" xfId="19292" xr:uid="{38F6A795-87AF-40E5-8935-50E6670E1775}"/>
    <cellStyle name="40% - Accent1 2 8 5" xfId="27732" xr:uid="{F3406D17-E090-48B6-A431-2FA486D6ADB1}"/>
    <cellStyle name="40% - Accent1 2 9" xfId="4553" xr:uid="{00000000-0005-0000-0000-000011040000}"/>
    <cellStyle name="40% - Accent1 2 9 2" xfId="13003" xr:uid="{B981865C-21D6-4B70-82BD-DAF734BEBE00}"/>
    <cellStyle name="40% - Accent1 2 9 3" xfId="21443" xr:uid="{7A699939-D3B8-4433-9306-8D1D7C0D4D84}"/>
    <cellStyle name="40% - Accent1 2 9 4" xfId="29883" xr:uid="{314E14C7-FDC0-4FE4-9F33-091C4A72BF74}"/>
    <cellStyle name="40% - Accent1 3" xfId="54" xr:uid="{00000000-0005-0000-0000-000012040000}"/>
    <cellStyle name="40% - Accent1 3 10" xfId="17230" xr:uid="{DA742D93-3E93-4220-8892-BDA09C166C8C}"/>
    <cellStyle name="40% - Accent1 3 11" xfId="25670" xr:uid="{FB237893-5226-4D24-B49C-5336D865610D}"/>
    <cellStyle name="40% - Accent1 3 2" xfId="55" xr:uid="{00000000-0005-0000-0000-000013040000}"/>
    <cellStyle name="40% - Accent1 3 2 10" xfId="25671" xr:uid="{80176078-FF79-43CB-A641-9379A2DD6160}"/>
    <cellStyle name="40% - Accent1 3 2 2" xfId="624" xr:uid="{00000000-0005-0000-0000-000014040000}"/>
    <cellStyle name="40% - Accent1 3 2 2 2" xfId="2895" xr:uid="{00000000-0005-0000-0000-000015040000}"/>
    <cellStyle name="40% - Accent1 3 2 2 2 2" xfId="7117" xr:uid="{00000000-0005-0000-0000-000016040000}"/>
    <cellStyle name="40% - Accent1 3 2 2 2 2 2" xfId="15567" xr:uid="{22A5B87E-7DA6-480E-9416-9E1731CB4901}"/>
    <cellStyle name="40% - Accent1 3 2 2 2 2 3" xfId="24007" xr:uid="{8DAA3066-0527-4DF8-B58A-1768DEFE0C31}"/>
    <cellStyle name="40% - Accent1 3 2 2 2 2 4" xfId="32447" xr:uid="{22FBFD4F-7C9B-43B2-934F-FC7038FE1805}"/>
    <cellStyle name="40% - Accent1 3 2 2 2 3" xfId="11349" xr:uid="{FDF2928A-E4B9-4416-9D2F-20935D73FBFC}"/>
    <cellStyle name="40% - Accent1 3 2 2 2 4" xfId="19790" xr:uid="{A703CD50-E54A-4315-B5E5-E8FE07937D88}"/>
    <cellStyle name="40% - Accent1 3 2 2 2 5" xfId="28230" xr:uid="{34D5BF76-8309-453A-A5D9-4163868D4DB6}"/>
    <cellStyle name="40% - Accent1 3 2 2 3" xfId="4972" xr:uid="{00000000-0005-0000-0000-000017040000}"/>
    <cellStyle name="40% - Accent1 3 2 2 3 2" xfId="13422" xr:uid="{448AE9F1-287C-4833-9A4D-AB342CAC4DA8}"/>
    <cellStyle name="40% - Accent1 3 2 2 3 3" xfId="21862" xr:uid="{9E848992-0B4A-40A0-9073-DE24C6E16109}"/>
    <cellStyle name="40% - Accent1 3 2 2 3 4" xfId="30302" xr:uid="{0CF5384B-CBA0-4BC4-AC0C-D4959DCF9027}"/>
    <cellStyle name="40% - Accent1 3 2 2 4" xfId="9204" xr:uid="{D9B3AF41-9B7B-4853-AA16-9415C550A2C9}"/>
    <cellStyle name="40% - Accent1 3 2 2 5" xfId="17645" xr:uid="{B928210C-39FC-4B67-9B8D-68AEB675975F}"/>
    <cellStyle name="40% - Accent1 3 2 2 6" xfId="26085" xr:uid="{BA72C9C7-C5BB-4225-B12F-C6C84F0B02FF}"/>
    <cellStyle name="40% - Accent1 3 2 3" xfId="1077" xr:uid="{00000000-0005-0000-0000-000018040000}"/>
    <cellStyle name="40% - Accent1 3 2 3 2" xfId="3308" xr:uid="{00000000-0005-0000-0000-000019040000}"/>
    <cellStyle name="40% - Accent1 3 2 3 2 2" xfId="7530" xr:uid="{00000000-0005-0000-0000-00001A040000}"/>
    <cellStyle name="40% - Accent1 3 2 3 2 2 2" xfId="15980" xr:uid="{A342245D-9ABD-4C6A-B669-9776315F4011}"/>
    <cellStyle name="40% - Accent1 3 2 3 2 2 3" xfId="24420" xr:uid="{82DF0903-EB43-40E8-861F-670C065C0F07}"/>
    <cellStyle name="40% - Accent1 3 2 3 2 2 4" xfId="32860" xr:uid="{58927EF6-044B-43D9-A1F3-BB225ACCA1D4}"/>
    <cellStyle name="40% - Accent1 3 2 3 2 3" xfId="11762" xr:uid="{96EA092A-065F-40F6-8459-9FC1F9661AA3}"/>
    <cellStyle name="40% - Accent1 3 2 3 2 4" xfId="20203" xr:uid="{B6037F04-2118-4401-B24F-D55A6C5C13CC}"/>
    <cellStyle name="40% - Accent1 3 2 3 2 5" xfId="28643" xr:uid="{450491E7-7C67-426C-8929-F4CB3F85E8DF}"/>
    <cellStyle name="40% - Accent1 3 2 3 3" xfId="5385" xr:uid="{00000000-0005-0000-0000-00001B040000}"/>
    <cellStyle name="40% - Accent1 3 2 3 3 2" xfId="13835" xr:uid="{3FC5B093-23BE-4EE4-8952-53659A7C3578}"/>
    <cellStyle name="40% - Accent1 3 2 3 3 3" xfId="22275" xr:uid="{31A101BF-5EA3-453F-975B-B547DD85EA2B}"/>
    <cellStyle name="40% - Accent1 3 2 3 3 4" xfId="30715" xr:uid="{0DED534F-F312-418F-ADC8-AF0E473050E2}"/>
    <cellStyle name="40% - Accent1 3 2 3 4" xfId="9617" xr:uid="{096CD51E-5A89-4B25-8E6E-78C747C7ABB4}"/>
    <cellStyle name="40% - Accent1 3 2 3 5" xfId="18058" xr:uid="{07F35021-4EB8-4E32-BB1F-C65FCDDA89BE}"/>
    <cellStyle name="40% - Accent1 3 2 3 6" xfId="26498" xr:uid="{F292F95C-2E9A-48BE-ADD9-CECF98CF36C7}"/>
    <cellStyle name="40% - Accent1 3 2 4" xfId="1491" xr:uid="{00000000-0005-0000-0000-00001C040000}"/>
    <cellStyle name="40% - Accent1 3 2 4 2" xfId="3721" xr:uid="{00000000-0005-0000-0000-00001D040000}"/>
    <cellStyle name="40% - Accent1 3 2 4 2 2" xfId="7943" xr:uid="{00000000-0005-0000-0000-00001E040000}"/>
    <cellStyle name="40% - Accent1 3 2 4 2 2 2" xfId="16393" xr:uid="{DFACF297-6CA4-435A-8EFC-5FB28177ED43}"/>
    <cellStyle name="40% - Accent1 3 2 4 2 2 3" xfId="24833" xr:uid="{083806FC-0F0C-4A49-9E55-BB5A6AA37C26}"/>
    <cellStyle name="40% - Accent1 3 2 4 2 2 4" xfId="33273" xr:uid="{39C49689-7935-43CC-A9E6-8B9F66BEC013}"/>
    <cellStyle name="40% - Accent1 3 2 4 2 3" xfId="12175" xr:uid="{C5AFD0A6-729D-4B07-8F90-4A9FC2DD9564}"/>
    <cellStyle name="40% - Accent1 3 2 4 2 4" xfId="20616" xr:uid="{E04831F4-238C-4145-9F3E-7B31C55D2D48}"/>
    <cellStyle name="40% - Accent1 3 2 4 2 5" xfId="29056" xr:uid="{A94228DB-14B8-4B35-BB34-9B99B40F1F77}"/>
    <cellStyle name="40% - Accent1 3 2 4 3" xfId="5798" xr:uid="{00000000-0005-0000-0000-00001F040000}"/>
    <cellStyle name="40% - Accent1 3 2 4 3 2" xfId="14248" xr:uid="{A28C9CB2-3079-4AD6-817E-6C9D78FAA66F}"/>
    <cellStyle name="40% - Accent1 3 2 4 3 3" xfId="22688" xr:uid="{75EC4093-0A39-47F0-A28A-BE71BD302365}"/>
    <cellStyle name="40% - Accent1 3 2 4 3 4" xfId="31128" xr:uid="{840AF742-4D7D-4AA8-8F3C-8F03D91ABDC2}"/>
    <cellStyle name="40% - Accent1 3 2 4 4" xfId="10030" xr:uid="{74422336-6BE7-4335-8664-E20537EB3494}"/>
    <cellStyle name="40% - Accent1 3 2 4 5" xfId="18471" xr:uid="{9E09E1B5-A2A3-489E-BCE3-2E207074FED4}"/>
    <cellStyle name="40% - Accent1 3 2 4 6" xfId="26911" xr:uid="{EEDAD938-1781-44AC-BD93-420065F79DA4}"/>
    <cellStyle name="40% - Accent1 3 2 5" xfId="1905" xr:uid="{00000000-0005-0000-0000-000020040000}"/>
    <cellStyle name="40% - Accent1 3 2 5 2" xfId="4134" xr:uid="{00000000-0005-0000-0000-000021040000}"/>
    <cellStyle name="40% - Accent1 3 2 5 2 2" xfId="8356" xr:uid="{00000000-0005-0000-0000-000022040000}"/>
    <cellStyle name="40% - Accent1 3 2 5 2 2 2" xfId="16806" xr:uid="{07BD6496-151F-4E0B-87A8-0B434C68A9FB}"/>
    <cellStyle name="40% - Accent1 3 2 5 2 2 3" xfId="25246" xr:uid="{5746225F-A2D6-49D4-983A-55B91926C586}"/>
    <cellStyle name="40% - Accent1 3 2 5 2 2 4" xfId="33686" xr:uid="{2C04F069-C36A-410E-9318-9A3FDA00FC58}"/>
    <cellStyle name="40% - Accent1 3 2 5 2 3" xfId="12588" xr:uid="{F660C71C-938A-4EA5-9176-5742C30ABEF8}"/>
    <cellStyle name="40% - Accent1 3 2 5 2 4" xfId="21029" xr:uid="{CFAB8ED1-0E0A-400E-93DF-C8CF99724314}"/>
    <cellStyle name="40% - Accent1 3 2 5 2 5" xfId="29469" xr:uid="{375B9873-62EA-49BA-81D6-771FA2CFC635}"/>
    <cellStyle name="40% - Accent1 3 2 5 3" xfId="6211" xr:uid="{00000000-0005-0000-0000-000023040000}"/>
    <cellStyle name="40% - Accent1 3 2 5 3 2" xfId="14661" xr:uid="{41632E13-01A5-46D3-9D13-8C8A336DAFCB}"/>
    <cellStyle name="40% - Accent1 3 2 5 3 3" xfId="23101" xr:uid="{09CC4108-F2DD-4148-8289-C2399856B5C0}"/>
    <cellStyle name="40% - Accent1 3 2 5 3 4" xfId="31541" xr:uid="{AC140D15-FA79-4451-BE0B-4550D538C0E1}"/>
    <cellStyle name="40% - Accent1 3 2 5 4" xfId="10443" xr:uid="{C7C9025F-6BC5-44ED-8BDB-082F722781B3}"/>
    <cellStyle name="40% - Accent1 3 2 5 5" xfId="18884" xr:uid="{EA9572F6-D4D2-48A8-B69A-E574D6473FD8}"/>
    <cellStyle name="40% - Accent1 3 2 5 6" xfId="27324" xr:uid="{242FA5E6-6A13-4D76-A46B-F7828F7B099F}"/>
    <cellStyle name="40% - Accent1 3 2 6" xfId="2318" xr:uid="{00000000-0005-0000-0000-000024040000}"/>
    <cellStyle name="40% - Accent1 3 2 6 2" xfId="6624" xr:uid="{00000000-0005-0000-0000-000025040000}"/>
    <cellStyle name="40% - Accent1 3 2 6 2 2" xfId="15074" xr:uid="{F60DF1B0-6C93-41CD-87D7-58DBDDEBCCE3}"/>
    <cellStyle name="40% - Accent1 3 2 6 2 3" xfId="23514" xr:uid="{0953467D-314C-43E0-930C-6366E2C6A6B9}"/>
    <cellStyle name="40% - Accent1 3 2 6 2 4" xfId="31954" xr:uid="{09267198-922C-458A-8380-EEFF62FBBDF8}"/>
    <cellStyle name="40% - Accent1 3 2 6 3" xfId="10856" xr:uid="{C40D55BD-C3D8-46AA-984F-0CBBFD65BBDE}"/>
    <cellStyle name="40% - Accent1 3 2 6 4" xfId="19297" xr:uid="{2EE9614C-D9A1-4A99-949B-905DC7FDC021}"/>
    <cellStyle name="40% - Accent1 3 2 6 5" xfId="27737" xr:uid="{A66C3585-6245-4A44-BD63-04E580D25909}"/>
    <cellStyle name="40% - Accent1 3 2 7" xfId="4558" xr:uid="{00000000-0005-0000-0000-000026040000}"/>
    <cellStyle name="40% - Accent1 3 2 7 2" xfId="13008" xr:uid="{702F9D09-EAD5-41F6-AC5B-4B9913FA8F38}"/>
    <cellStyle name="40% - Accent1 3 2 7 3" xfId="21448" xr:uid="{3C478C4D-42F9-4EFD-8B45-F8A04A76BFFC}"/>
    <cellStyle name="40% - Accent1 3 2 7 4" xfId="29888" xr:uid="{C9F5FBBE-45CC-4774-8919-F54CD01F5E88}"/>
    <cellStyle name="40% - Accent1 3 2 8" xfId="8790" xr:uid="{AA4B471F-E8B1-4DE5-BDA1-C8F59AAB4004}"/>
    <cellStyle name="40% - Accent1 3 2 9" xfId="17231" xr:uid="{0482131B-7148-4392-93AD-004C13CB4701}"/>
    <cellStyle name="40% - Accent1 3 3" xfId="623" xr:uid="{00000000-0005-0000-0000-000027040000}"/>
    <cellStyle name="40% - Accent1 3 3 2" xfId="2894" xr:uid="{00000000-0005-0000-0000-000028040000}"/>
    <cellStyle name="40% - Accent1 3 3 2 2" xfId="7116" xr:uid="{00000000-0005-0000-0000-000029040000}"/>
    <cellStyle name="40% - Accent1 3 3 2 2 2" xfId="15566" xr:uid="{6106EC7B-1777-4FD9-AA54-FF751548AA73}"/>
    <cellStyle name="40% - Accent1 3 3 2 2 3" xfId="24006" xr:uid="{E06A1AB7-63CF-473F-8B4B-18744DBB46EC}"/>
    <cellStyle name="40% - Accent1 3 3 2 2 4" xfId="32446" xr:uid="{F64F3314-3064-44E8-8D59-866FCB8DF63E}"/>
    <cellStyle name="40% - Accent1 3 3 2 3" xfId="11348" xr:uid="{9B418893-3877-481E-864D-4D24EAA817B0}"/>
    <cellStyle name="40% - Accent1 3 3 2 4" xfId="19789" xr:uid="{020095F8-5A8D-4A36-89A3-F4D0DED8B648}"/>
    <cellStyle name="40% - Accent1 3 3 2 5" xfId="28229" xr:uid="{3FCE7494-2292-4FFA-9D20-E72AAA837132}"/>
    <cellStyle name="40% - Accent1 3 3 3" xfId="4971" xr:uid="{00000000-0005-0000-0000-00002A040000}"/>
    <cellStyle name="40% - Accent1 3 3 3 2" xfId="13421" xr:uid="{808DE73A-4D05-42CB-B9C1-0EB065F192C9}"/>
    <cellStyle name="40% - Accent1 3 3 3 3" xfId="21861" xr:uid="{CEF73C4E-0B46-4377-9EDC-C82360874482}"/>
    <cellStyle name="40% - Accent1 3 3 3 4" xfId="30301" xr:uid="{42D47F52-AC93-4642-BE25-8395A5A4D46F}"/>
    <cellStyle name="40% - Accent1 3 3 4" xfId="9203" xr:uid="{B8D103B7-B60E-4A24-A8D5-AEC306213A87}"/>
    <cellStyle name="40% - Accent1 3 3 5" xfId="17644" xr:uid="{FA3CC3A3-4D2D-48A6-A1B1-AA4B71765B38}"/>
    <cellStyle name="40% - Accent1 3 3 6" xfId="26084" xr:uid="{1687654F-BAE1-42E4-93DE-B446ECB735AF}"/>
    <cellStyle name="40% - Accent1 3 4" xfId="1076" xr:uid="{00000000-0005-0000-0000-00002B040000}"/>
    <cellStyle name="40% - Accent1 3 4 2" xfId="3307" xr:uid="{00000000-0005-0000-0000-00002C040000}"/>
    <cellStyle name="40% - Accent1 3 4 2 2" xfId="7529" xr:uid="{00000000-0005-0000-0000-00002D040000}"/>
    <cellStyle name="40% - Accent1 3 4 2 2 2" xfId="15979" xr:uid="{36ADB8E0-4C16-4FB7-9280-F41604AC6DA0}"/>
    <cellStyle name="40% - Accent1 3 4 2 2 3" xfId="24419" xr:uid="{AEF9615F-3E97-4338-A39A-4F42AC5CB09A}"/>
    <cellStyle name="40% - Accent1 3 4 2 2 4" xfId="32859" xr:uid="{9FB89EAE-2270-4670-A81B-33BBA82E488C}"/>
    <cellStyle name="40% - Accent1 3 4 2 3" xfId="11761" xr:uid="{3A5389FF-BDC6-4306-8698-5AE48D7DF7C0}"/>
    <cellStyle name="40% - Accent1 3 4 2 4" xfId="20202" xr:uid="{8F0354FE-14A7-4B1E-81F9-E6C716B7F533}"/>
    <cellStyle name="40% - Accent1 3 4 2 5" xfId="28642" xr:uid="{1114FB49-A174-4236-AB98-362844102644}"/>
    <cellStyle name="40% - Accent1 3 4 3" xfId="5384" xr:uid="{00000000-0005-0000-0000-00002E040000}"/>
    <cellStyle name="40% - Accent1 3 4 3 2" xfId="13834" xr:uid="{B8B74464-E16D-4CF9-AF58-8A075BAF2219}"/>
    <cellStyle name="40% - Accent1 3 4 3 3" xfId="22274" xr:uid="{F1B5F871-7FC2-43F5-A57D-F9296FA1469A}"/>
    <cellStyle name="40% - Accent1 3 4 3 4" xfId="30714" xr:uid="{480D12E4-358A-46D8-93EC-C93BC8EA6656}"/>
    <cellStyle name="40% - Accent1 3 4 4" xfId="9616" xr:uid="{93149100-7AB2-4CA9-B4DE-CEE63791DE30}"/>
    <cellStyle name="40% - Accent1 3 4 5" xfId="18057" xr:uid="{CBDDE67C-7374-44BE-8798-586636DC3FD4}"/>
    <cellStyle name="40% - Accent1 3 4 6" xfId="26497" xr:uid="{3F15D99D-B6CE-4AB3-9B01-53005CD987DB}"/>
    <cellStyle name="40% - Accent1 3 5" xfId="1490" xr:uid="{00000000-0005-0000-0000-00002F040000}"/>
    <cellStyle name="40% - Accent1 3 5 2" xfId="3720" xr:uid="{00000000-0005-0000-0000-000030040000}"/>
    <cellStyle name="40% - Accent1 3 5 2 2" xfId="7942" xr:uid="{00000000-0005-0000-0000-000031040000}"/>
    <cellStyle name="40% - Accent1 3 5 2 2 2" xfId="16392" xr:uid="{E011D8A9-3795-4805-B36B-D0A28252B493}"/>
    <cellStyle name="40% - Accent1 3 5 2 2 3" xfId="24832" xr:uid="{FC26F30F-2247-4B97-B574-8530B75FFA9B}"/>
    <cellStyle name="40% - Accent1 3 5 2 2 4" xfId="33272" xr:uid="{F89BAFC8-A020-4915-AE44-C07A72BF45F4}"/>
    <cellStyle name="40% - Accent1 3 5 2 3" xfId="12174" xr:uid="{A9A1F672-4DC2-47BC-8A6B-4940DB0C5FC2}"/>
    <cellStyle name="40% - Accent1 3 5 2 4" xfId="20615" xr:uid="{4E1BF29B-F8FB-4B74-86B3-76A5B4B43DFD}"/>
    <cellStyle name="40% - Accent1 3 5 2 5" xfId="29055" xr:uid="{996C7480-9BA6-476E-A09E-3324E7F66B88}"/>
    <cellStyle name="40% - Accent1 3 5 3" xfId="5797" xr:uid="{00000000-0005-0000-0000-000032040000}"/>
    <cellStyle name="40% - Accent1 3 5 3 2" xfId="14247" xr:uid="{D21F8D16-AC64-4DC0-9ACB-B318C482512C}"/>
    <cellStyle name="40% - Accent1 3 5 3 3" xfId="22687" xr:uid="{345B6424-500A-4329-999B-225C6F16A18E}"/>
    <cellStyle name="40% - Accent1 3 5 3 4" xfId="31127" xr:uid="{D920AD59-61FF-4C82-8CF4-8EDE8D4EA3BA}"/>
    <cellStyle name="40% - Accent1 3 5 4" xfId="10029" xr:uid="{07217427-99DD-4288-986A-8842F831A03A}"/>
    <cellStyle name="40% - Accent1 3 5 5" xfId="18470" xr:uid="{85C86625-9C82-45AF-897B-1431DB5E7A24}"/>
    <cellStyle name="40% - Accent1 3 5 6" xfId="26910" xr:uid="{BB509C0B-F80E-4E58-9A6D-93D3FA81F7B2}"/>
    <cellStyle name="40% - Accent1 3 6" xfId="1904" xr:uid="{00000000-0005-0000-0000-000033040000}"/>
    <cellStyle name="40% - Accent1 3 6 2" xfId="4133" xr:uid="{00000000-0005-0000-0000-000034040000}"/>
    <cellStyle name="40% - Accent1 3 6 2 2" xfId="8355" xr:uid="{00000000-0005-0000-0000-000035040000}"/>
    <cellStyle name="40% - Accent1 3 6 2 2 2" xfId="16805" xr:uid="{161BAA05-0B42-4699-A14F-322E79D1E033}"/>
    <cellStyle name="40% - Accent1 3 6 2 2 3" xfId="25245" xr:uid="{25CBA88D-0C0D-4ACD-A024-1FAFD17D4D61}"/>
    <cellStyle name="40% - Accent1 3 6 2 2 4" xfId="33685" xr:uid="{567DEC33-195D-4587-ADD2-3DF3EEE474B8}"/>
    <cellStyle name="40% - Accent1 3 6 2 3" xfId="12587" xr:uid="{8EFDDB49-EB84-4E61-B2CA-7BB487D28015}"/>
    <cellStyle name="40% - Accent1 3 6 2 4" xfId="21028" xr:uid="{DBD684F9-EB84-42A3-A2A8-A652F7723B40}"/>
    <cellStyle name="40% - Accent1 3 6 2 5" xfId="29468" xr:uid="{3A3501DB-D5B3-4F87-94A3-69BE78D1A1A4}"/>
    <cellStyle name="40% - Accent1 3 6 3" xfId="6210" xr:uid="{00000000-0005-0000-0000-000036040000}"/>
    <cellStyle name="40% - Accent1 3 6 3 2" xfId="14660" xr:uid="{A5E3A627-8A1F-48D4-A531-6B477FB0026A}"/>
    <cellStyle name="40% - Accent1 3 6 3 3" xfId="23100" xr:uid="{2A530FF4-B302-44FA-B2F8-7B3C9C8CBF7D}"/>
    <cellStyle name="40% - Accent1 3 6 3 4" xfId="31540" xr:uid="{C8F20625-733D-45FC-A6F6-CD10FB4D6400}"/>
    <cellStyle name="40% - Accent1 3 6 4" xfId="10442" xr:uid="{6EFD6735-831E-4B55-847E-DD060ECF6F8A}"/>
    <cellStyle name="40% - Accent1 3 6 5" xfId="18883" xr:uid="{996A16FF-703E-4AAC-A433-614693942674}"/>
    <cellStyle name="40% - Accent1 3 6 6" xfId="27323" xr:uid="{035D8D03-2843-4B71-9708-E0E634581DD8}"/>
    <cellStyle name="40% - Accent1 3 7" xfId="2317" xr:uid="{00000000-0005-0000-0000-000037040000}"/>
    <cellStyle name="40% - Accent1 3 7 2" xfId="6623" xr:uid="{00000000-0005-0000-0000-000038040000}"/>
    <cellStyle name="40% - Accent1 3 7 2 2" xfId="15073" xr:uid="{91B704D5-98D9-47CA-93AD-768277692187}"/>
    <cellStyle name="40% - Accent1 3 7 2 3" xfId="23513" xr:uid="{A9BFE38E-6E24-4053-8015-3064B381DCB7}"/>
    <cellStyle name="40% - Accent1 3 7 2 4" xfId="31953" xr:uid="{41452162-97D0-4CC0-838C-4C1A18B48155}"/>
    <cellStyle name="40% - Accent1 3 7 3" xfId="10855" xr:uid="{4631B7C1-80A5-4F7B-B3AB-F6BA8A27972D}"/>
    <cellStyle name="40% - Accent1 3 7 4" xfId="19296" xr:uid="{6FD793F9-15F0-4684-9E6C-14A20C492C65}"/>
    <cellStyle name="40% - Accent1 3 7 5" xfId="27736" xr:uid="{EDDBB707-1D41-4071-BF59-FD9CF4B80876}"/>
    <cellStyle name="40% - Accent1 3 8" xfId="4557" xr:uid="{00000000-0005-0000-0000-000039040000}"/>
    <cellStyle name="40% - Accent1 3 8 2" xfId="13007" xr:uid="{CCD87623-F326-479C-A49A-F6012682408D}"/>
    <cellStyle name="40% - Accent1 3 8 3" xfId="21447" xr:uid="{225D7374-79F3-430B-B738-1EF296965BEE}"/>
    <cellStyle name="40% - Accent1 3 8 4" xfId="29887" xr:uid="{6B417E7D-AAB1-436A-850A-6C7C8791E4FD}"/>
    <cellStyle name="40% - Accent1 3 9" xfId="8789" xr:uid="{1C166B25-0206-4AB6-949E-8416E0227A01}"/>
    <cellStyle name="40% - Accent1 4" xfId="56" xr:uid="{00000000-0005-0000-0000-00003A040000}"/>
    <cellStyle name="40% - Accent1 4 10" xfId="25672" xr:uid="{7815A6A4-3229-42F3-B19F-C280051A694A}"/>
    <cellStyle name="40% - Accent1 4 2" xfId="625" xr:uid="{00000000-0005-0000-0000-00003B040000}"/>
    <cellStyle name="40% - Accent1 4 2 2" xfId="2896" xr:uid="{00000000-0005-0000-0000-00003C040000}"/>
    <cellStyle name="40% - Accent1 4 2 2 2" xfId="7118" xr:uid="{00000000-0005-0000-0000-00003D040000}"/>
    <cellStyle name="40% - Accent1 4 2 2 2 2" xfId="15568" xr:uid="{8B04B233-EA90-4750-89ED-5D38750C63F6}"/>
    <cellStyle name="40% - Accent1 4 2 2 2 3" xfId="24008" xr:uid="{E33AE19A-B7B2-4224-9860-FE921364C05A}"/>
    <cellStyle name="40% - Accent1 4 2 2 2 4" xfId="32448" xr:uid="{00C58D8B-21DD-4ADD-B55D-A94D2E93161F}"/>
    <cellStyle name="40% - Accent1 4 2 2 3" xfId="11350" xr:uid="{1D14B18B-A53C-45E7-A720-55C48B0C3A60}"/>
    <cellStyle name="40% - Accent1 4 2 2 4" xfId="19791" xr:uid="{550D7AB8-BE93-48DB-B93A-FDAA6794FC63}"/>
    <cellStyle name="40% - Accent1 4 2 2 5" xfId="28231" xr:uid="{C73BDD8E-62BB-4780-9C90-842F04E920AB}"/>
    <cellStyle name="40% - Accent1 4 2 3" xfId="4973" xr:uid="{00000000-0005-0000-0000-00003E040000}"/>
    <cellStyle name="40% - Accent1 4 2 3 2" xfId="13423" xr:uid="{8EA194C1-F8CA-453D-9A6E-AD34795ED238}"/>
    <cellStyle name="40% - Accent1 4 2 3 3" xfId="21863" xr:uid="{A1DCD8F0-C61B-49D5-B3CB-AFC967EB9133}"/>
    <cellStyle name="40% - Accent1 4 2 3 4" xfId="30303" xr:uid="{B5E56DC7-67F3-4029-BA17-09DBE7156E99}"/>
    <cellStyle name="40% - Accent1 4 2 4" xfId="9205" xr:uid="{EE608486-221D-426A-888B-5DE98E583731}"/>
    <cellStyle name="40% - Accent1 4 2 5" xfId="17646" xr:uid="{6A10240C-18CF-4DA1-8521-C1458E25B57A}"/>
    <cellStyle name="40% - Accent1 4 2 6" xfId="26086" xr:uid="{1960B519-4E05-48BA-A7A9-7B582D0C0F68}"/>
    <cellStyle name="40% - Accent1 4 3" xfId="1078" xr:uid="{00000000-0005-0000-0000-00003F040000}"/>
    <cellStyle name="40% - Accent1 4 3 2" xfId="3309" xr:uid="{00000000-0005-0000-0000-000040040000}"/>
    <cellStyle name="40% - Accent1 4 3 2 2" xfId="7531" xr:uid="{00000000-0005-0000-0000-000041040000}"/>
    <cellStyle name="40% - Accent1 4 3 2 2 2" xfId="15981" xr:uid="{3CEC20D5-CD2B-463D-B456-0A42EAE04ED0}"/>
    <cellStyle name="40% - Accent1 4 3 2 2 3" xfId="24421" xr:uid="{5FD27CCB-A556-4D39-AAAE-1E0055E5419D}"/>
    <cellStyle name="40% - Accent1 4 3 2 2 4" xfId="32861" xr:uid="{BDE35ABF-6602-4FE3-B5EC-022F6A2DF65C}"/>
    <cellStyle name="40% - Accent1 4 3 2 3" xfId="11763" xr:uid="{AE3A20B4-1C2E-440E-B939-A077AA83BA02}"/>
    <cellStyle name="40% - Accent1 4 3 2 4" xfId="20204" xr:uid="{67B8B1C8-4475-4BFB-A21E-9A4E05147C50}"/>
    <cellStyle name="40% - Accent1 4 3 2 5" xfId="28644" xr:uid="{E4F5269F-584D-4893-B365-CEE3C163B596}"/>
    <cellStyle name="40% - Accent1 4 3 3" xfId="5386" xr:uid="{00000000-0005-0000-0000-000042040000}"/>
    <cellStyle name="40% - Accent1 4 3 3 2" xfId="13836" xr:uid="{2F05CECF-CC54-4CC6-9829-09690FBF358F}"/>
    <cellStyle name="40% - Accent1 4 3 3 3" xfId="22276" xr:uid="{79841CFB-71F4-4C86-950E-DF0A9114EE5E}"/>
    <cellStyle name="40% - Accent1 4 3 3 4" xfId="30716" xr:uid="{FB7070AA-8527-4153-97A8-2494E4DF08F6}"/>
    <cellStyle name="40% - Accent1 4 3 4" xfId="9618" xr:uid="{0DD12ECD-ABED-4E6F-B2D0-F15328D54B81}"/>
    <cellStyle name="40% - Accent1 4 3 5" xfId="18059" xr:uid="{3DCF4A3D-1D58-43DD-B094-211314F567BF}"/>
    <cellStyle name="40% - Accent1 4 3 6" xfId="26499" xr:uid="{356003FB-33D3-4B5E-BD2D-79750BB4EB03}"/>
    <cellStyle name="40% - Accent1 4 4" xfId="1492" xr:uid="{00000000-0005-0000-0000-000043040000}"/>
    <cellStyle name="40% - Accent1 4 4 2" xfId="3722" xr:uid="{00000000-0005-0000-0000-000044040000}"/>
    <cellStyle name="40% - Accent1 4 4 2 2" xfId="7944" xr:uid="{00000000-0005-0000-0000-000045040000}"/>
    <cellStyle name="40% - Accent1 4 4 2 2 2" xfId="16394" xr:uid="{02DDA129-BB49-424B-B23A-E4F173B8AB43}"/>
    <cellStyle name="40% - Accent1 4 4 2 2 3" xfId="24834" xr:uid="{9870EBA1-E308-4FFA-8E41-343D532509DB}"/>
    <cellStyle name="40% - Accent1 4 4 2 2 4" xfId="33274" xr:uid="{083C416F-4ADC-4F3C-A8D9-A9CE630F3514}"/>
    <cellStyle name="40% - Accent1 4 4 2 3" xfId="12176" xr:uid="{B636610B-8562-4BB4-8810-CCCAB96AF78F}"/>
    <cellStyle name="40% - Accent1 4 4 2 4" xfId="20617" xr:uid="{A324E470-E7E1-4CCE-97E2-3A1D3B2E0348}"/>
    <cellStyle name="40% - Accent1 4 4 2 5" xfId="29057" xr:uid="{919BD17D-52DC-4819-9CD4-60E62E8DEB79}"/>
    <cellStyle name="40% - Accent1 4 4 3" xfId="5799" xr:uid="{00000000-0005-0000-0000-000046040000}"/>
    <cellStyle name="40% - Accent1 4 4 3 2" xfId="14249" xr:uid="{46EF5773-4971-4BCF-986F-12727C4D1B0F}"/>
    <cellStyle name="40% - Accent1 4 4 3 3" xfId="22689" xr:uid="{A40F7C43-69F4-4270-B766-6778C7DD4CA6}"/>
    <cellStyle name="40% - Accent1 4 4 3 4" xfId="31129" xr:uid="{36DF5FBD-2219-48E4-9EED-EF099E9E7E3D}"/>
    <cellStyle name="40% - Accent1 4 4 4" xfId="10031" xr:uid="{A5FFC7A3-182C-47F6-9614-3528DBC53E1F}"/>
    <cellStyle name="40% - Accent1 4 4 5" xfId="18472" xr:uid="{E5EE24F4-D69B-4A47-AC63-699DEF969A55}"/>
    <cellStyle name="40% - Accent1 4 4 6" xfId="26912" xr:uid="{28C04D47-342C-44F4-A5F6-295421E4B525}"/>
    <cellStyle name="40% - Accent1 4 5" xfId="1906" xr:uid="{00000000-0005-0000-0000-000047040000}"/>
    <cellStyle name="40% - Accent1 4 5 2" xfId="4135" xr:uid="{00000000-0005-0000-0000-000048040000}"/>
    <cellStyle name="40% - Accent1 4 5 2 2" xfId="8357" xr:uid="{00000000-0005-0000-0000-000049040000}"/>
    <cellStyle name="40% - Accent1 4 5 2 2 2" xfId="16807" xr:uid="{58596CB1-5B6F-41C2-96F1-2479533F7C88}"/>
    <cellStyle name="40% - Accent1 4 5 2 2 3" xfId="25247" xr:uid="{E47EF230-560A-41A9-88AD-573ED6DDC4A7}"/>
    <cellStyle name="40% - Accent1 4 5 2 2 4" xfId="33687" xr:uid="{449F6DAF-3C5C-4C72-9B4A-8204BFFCF046}"/>
    <cellStyle name="40% - Accent1 4 5 2 3" xfId="12589" xr:uid="{2EF4168F-C147-426E-B67F-08C2101FC3D6}"/>
    <cellStyle name="40% - Accent1 4 5 2 4" xfId="21030" xr:uid="{BDC85BE6-F377-458A-A98E-FFB438275D99}"/>
    <cellStyle name="40% - Accent1 4 5 2 5" xfId="29470" xr:uid="{BDACD1AD-0715-4EEF-A714-CB9490FE4D05}"/>
    <cellStyle name="40% - Accent1 4 5 3" xfId="6212" xr:uid="{00000000-0005-0000-0000-00004A040000}"/>
    <cellStyle name="40% - Accent1 4 5 3 2" xfId="14662" xr:uid="{83D080AF-7D9E-41EA-8437-AB7B21EC2251}"/>
    <cellStyle name="40% - Accent1 4 5 3 3" xfId="23102" xr:uid="{63913C95-1A68-476A-9B22-BF7CE2A48CC3}"/>
    <cellStyle name="40% - Accent1 4 5 3 4" xfId="31542" xr:uid="{2D897A73-5A9C-4313-95E1-A6AAC8A08EA6}"/>
    <cellStyle name="40% - Accent1 4 5 4" xfId="10444" xr:uid="{44AF7385-17D5-4A62-AB02-1F33CDE1CCD3}"/>
    <cellStyle name="40% - Accent1 4 5 5" xfId="18885" xr:uid="{AE2A8ED3-D010-417B-B3E2-A48E58F61E71}"/>
    <cellStyle name="40% - Accent1 4 5 6" xfId="27325" xr:uid="{15DF1E2A-88E2-4AF7-B0A9-DCB716A171ED}"/>
    <cellStyle name="40% - Accent1 4 6" xfId="2319" xr:uid="{00000000-0005-0000-0000-00004B040000}"/>
    <cellStyle name="40% - Accent1 4 6 2" xfId="6625" xr:uid="{00000000-0005-0000-0000-00004C040000}"/>
    <cellStyle name="40% - Accent1 4 6 2 2" xfId="15075" xr:uid="{6A997F84-2A0B-4A37-94CF-A3AF97DFD9A3}"/>
    <cellStyle name="40% - Accent1 4 6 2 3" xfId="23515" xr:uid="{19F8EAF1-908E-4F99-8F27-52B1008F5CEF}"/>
    <cellStyle name="40% - Accent1 4 6 2 4" xfId="31955" xr:uid="{370A8610-C251-49E0-8348-8454B66AB1EC}"/>
    <cellStyle name="40% - Accent1 4 6 3" xfId="10857" xr:uid="{B4DA6CD2-8289-4562-AE48-343C966800B1}"/>
    <cellStyle name="40% - Accent1 4 6 4" xfId="19298" xr:uid="{0F7F8B7E-A523-48BD-A0B9-2E1F0DE0A278}"/>
    <cellStyle name="40% - Accent1 4 6 5" xfId="27738" xr:uid="{AE9A3C29-88D2-408F-98D1-1B4E3D9082AB}"/>
    <cellStyle name="40% - Accent1 4 7" xfId="4559" xr:uid="{00000000-0005-0000-0000-00004D040000}"/>
    <cellStyle name="40% - Accent1 4 7 2" xfId="13009" xr:uid="{53EC520D-A94A-4646-B37B-496A50EEF55C}"/>
    <cellStyle name="40% - Accent1 4 7 3" xfId="21449" xr:uid="{3514918B-5399-49A2-A325-B3513ACCBF51}"/>
    <cellStyle name="40% - Accent1 4 7 4" xfId="29889" xr:uid="{978E6561-9F0C-4AC4-9CB3-C322B54919A8}"/>
    <cellStyle name="40% - Accent1 4 8" xfId="8791" xr:uid="{B86C65E3-550D-4719-A94D-938D911F7DD1}"/>
    <cellStyle name="40% - Accent1 4 9" xfId="17232" xr:uid="{640D6E39-887F-4D7B-826D-36354988E79F}"/>
    <cellStyle name="40% - Accent1 5" xfId="618" xr:uid="{00000000-0005-0000-0000-00004E040000}"/>
    <cellStyle name="40% - Accent1 5 2" xfId="2889" xr:uid="{00000000-0005-0000-0000-00004F040000}"/>
    <cellStyle name="40% - Accent1 5 2 2" xfId="7111" xr:uid="{00000000-0005-0000-0000-000050040000}"/>
    <cellStyle name="40% - Accent1 5 2 2 2" xfId="15561" xr:uid="{03F06309-0D04-48EA-9367-226522784E58}"/>
    <cellStyle name="40% - Accent1 5 2 2 3" xfId="24001" xr:uid="{E5981645-7CB6-4198-A205-AD63C5C37927}"/>
    <cellStyle name="40% - Accent1 5 2 2 4" xfId="32441" xr:uid="{AE7C50F4-A59D-45A5-A1CD-E91A10EEF03C}"/>
    <cellStyle name="40% - Accent1 5 2 3" xfId="11343" xr:uid="{878CC782-4F93-4DF4-B1E7-86D1951B36F8}"/>
    <cellStyle name="40% - Accent1 5 2 4" xfId="19784" xr:uid="{DB0145E4-904E-40A9-A878-0B789B2AF26B}"/>
    <cellStyle name="40% - Accent1 5 2 5" xfId="28224" xr:uid="{76C70697-DA40-4349-9184-0DBE2B961DD5}"/>
    <cellStyle name="40% - Accent1 5 3" xfId="4966" xr:uid="{00000000-0005-0000-0000-000051040000}"/>
    <cellStyle name="40% - Accent1 5 3 2" xfId="13416" xr:uid="{DEFF6178-8794-469C-92D4-ED901678B879}"/>
    <cellStyle name="40% - Accent1 5 3 3" xfId="21856" xr:uid="{5A608C83-5556-49B2-9EB6-FCA6A7A0B436}"/>
    <cellStyle name="40% - Accent1 5 3 4" xfId="30296" xr:uid="{F467524E-BE33-4F76-9EF3-C62FBDECF816}"/>
    <cellStyle name="40% - Accent1 5 4" xfId="9198" xr:uid="{E4DB1A50-9EE6-4D1A-821E-DCD45DBEE6A7}"/>
    <cellStyle name="40% - Accent1 5 5" xfId="17639" xr:uid="{ECBEC95B-55B1-43BC-A285-531B63303ADE}"/>
    <cellStyle name="40% - Accent1 5 6" xfId="26079" xr:uid="{1220A18E-7448-4AAB-870E-ED075C3C5541}"/>
    <cellStyle name="40% - Accent1 6" xfId="1071" xr:uid="{00000000-0005-0000-0000-000052040000}"/>
    <cellStyle name="40% - Accent1 6 2" xfId="3302" xr:uid="{00000000-0005-0000-0000-000053040000}"/>
    <cellStyle name="40% - Accent1 6 2 2" xfId="7524" xr:uid="{00000000-0005-0000-0000-000054040000}"/>
    <cellStyle name="40% - Accent1 6 2 2 2" xfId="15974" xr:uid="{AA144544-09F6-4C8F-94B6-E0715305C246}"/>
    <cellStyle name="40% - Accent1 6 2 2 3" xfId="24414" xr:uid="{E7FA05CD-6B00-4DEC-BEA8-BACBA851A9BE}"/>
    <cellStyle name="40% - Accent1 6 2 2 4" xfId="32854" xr:uid="{5687E51C-A617-4308-82FA-C91DB94ADB0E}"/>
    <cellStyle name="40% - Accent1 6 2 3" xfId="11756" xr:uid="{8A6A4324-5F0B-4B5F-A617-8E32EA6A9F25}"/>
    <cellStyle name="40% - Accent1 6 2 4" xfId="20197" xr:uid="{A0C59002-DDA6-4C49-B4A5-3DE7D2070469}"/>
    <cellStyle name="40% - Accent1 6 2 5" xfId="28637" xr:uid="{83AF7597-8A44-4076-91D0-314B6E49938B}"/>
    <cellStyle name="40% - Accent1 6 3" xfId="5379" xr:uid="{00000000-0005-0000-0000-000055040000}"/>
    <cellStyle name="40% - Accent1 6 3 2" xfId="13829" xr:uid="{27AB3835-A2DA-48E9-83E9-EB0BA900D4AD}"/>
    <cellStyle name="40% - Accent1 6 3 3" xfId="22269" xr:uid="{C1AD69F6-4108-4462-A6CA-75A4866DACDB}"/>
    <cellStyle name="40% - Accent1 6 3 4" xfId="30709" xr:uid="{41064218-1CB7-4B17-8C66-A38977D5EDFD}"/>
    <cellStyle name="40% - Accent1 6 4" xfId="9611" xr:uid="{20535E9E-9B70-4A79-929B-1399A3DA6087}"/>
    <cellStyle name="40% - Accent1 6 5" xfId="18052" xr:uid="{17BDCE5B-D11A-422C-8573-DC7ABE39581C}"/>
    <cellStyle name="40% - Accent1 6 6" xfId="26492" xr:uid="{3EAD7581-A2C6-496A-8A94-96A545506C69}"/>
    <cellStyle name="40% - Accent1 7" xfId="1485" xr:uid="{00000000-0005-0000-0000-000056040000}"/>
    <cellStyle name="40% - Accent1 7 2" xfId="3715" xr:uid="{00000000-0005-0000-0000-000057040000}"/>
    <cellStyle name="40% - Accent1 7 2 2" xfId="7937" xr:uid="{00000000-0005-0000-0000-000058040000}"/>
    <cellStyle name="40% - Accent1 7 2 2 2" xfId="16387" xr:uid="{3CE0E6DB-E42D-4AAA-B47C-4E1DBE9380DF}"/>
    <cellStyle name="40% - Accent1 7 2 2 3" xfId="24827" xr:uid="{86F8BEAD-751A-4423-BC87-FAB7EB5FCF77}"/>
    <cellStyle name="40% - Accent1 7 2 2 4" xfId="33267" xr:uid="{61584EEC-1E87-4E35-9166-41F101584A71}"/>
    <cellStyle name="40% - Accent1 7 2 3" xfId="12169" xr:uid="{D35F0155-F281-40B7-89C6-3ABAF9F1CD9C}"/>
    <cellStyle name="40% - Accent1 7 2 4" xfId="20610" xr:uid="{9D7F31F2-8255-4293-80A1-5F5E98DBAFCA}"/>
    <cellStyle name="40% - Accent1 7 2 5" xfId="29050" xr:uid="{AE603CE3-4193-4F22-A296-E9670D9E6BB5}"/>
    <cellStyle name="40% - Accent1 7 3" xfId="5792" xr:uid="{00000000-0005-0000-0000-000059040000}"/>
    <cellStyle name="40% - Accent1 7 3 2" xfId="14242" xr:uid="{489BBF18-3E0C-4112-BBDF-1C2EDDFBDFDD}"/>
    <cellStyle name="40% - Accent1 7 3 3" xfId="22682" xr:uid="{B828A20A-5FD4-4127-9099-4B0000656D72}"/>
    <cellStyle name="40% - Accent1 7 3 4" xfId="31122" xr:uid="{5DBD76C2-D19B-4136-AF32-6E2C1E8498C4}"/>
    <cellStyle name="40% - Accent1 7 4" xfId="10024" xr:uid="{26A973AF-72B5-4DFB-AAE2-AB3D7EE582B1}"/>
    <cellStyle name="40% - Accent1 7 5" xfId="18465" xr:uid="{F40A9787-71E8-416B-91CB-79A389BC88B6}"/>
    <cellStyle name="40% - Accent1 7 6" xfId="26905" xr:uid="{64F8C325-3D5D-415F-BE4F-A80A1181A7AF}"/>
    <cellStyle name="40% - Accent1 8" xfId="1899" xr:uid="{00000000-0005-0000-0000-00005A040000}"/>
    <cellStyle name="40% - Accent1 8 2" xfId="4128" xr:uid="{00000000-0005-0000-0000-00005B040000}"/>
    <cellStyle name="40% - Accent1 8 2 2" xfId="8350" xr:uid="{00000000-0005-0000-0000-00005C040000}"/>
    <cellStyle name="40% - Accent1 8 2 2 2" xfId="16800" xr:uid="{7526CB02-1FA0-4248-8CAC-15CF2C2823F1}"/>
    <cellStyle name="40% - Accent1 8 2 2 3" xfId="25240" xr:uid="{39C40D5A-E761-4E53-ABEE-DBD442D253AC}"/>
    <cellStyle name="40% - Accent1 8 2 2 4" xfId="33680" xr:uid="{5CF442DC-6899-4321-AADF-C140AD96B1B8}"/>
    <cellStyle name="40% - Accent1 8 2 3" xfId="12582" xr:uid="{3FDDFA01-F867-44E5-B8BF-34BE0504A60F}"/>
    <cellStyle name="40% - Accent1 8 2 4" xfId="21023" xr:uid="{0E7C1EC9-B0F6-4DBE-887F-B3098975A14A}"/>
    <cellStyle name="40% - Accent1 8 2 5" xfId="29463" xr:uid="{0BBD9037-E86A-4FF8-AC6A-B89CA0F32C06}"/>
    <cellStyle name="40% - Accent1 8 3" xfId="6205" xr:uid="{00000000-0005-0000-0000-00005D040000}"/>
    <cellStyle name="40% - Accent1 8 3 2" xfId="14655" xr:uid="{E162F6FA-FA4C-4F78-8D7A-81153D33384E}"/>
    <cellStyle name="40% - Accent1 8 3 3" xfId="23095" xr:uid="{57D53129-6A6B-41DC-9D04-429405B6CB95}"/>
    <cellStyle name="40% - Accent1 8 3 4" xfId="31535" xr:uid="{9136BE33-8509-48BD-AC9A-1E447D527168}"/>
    <cellStyle name="40% - Accent1 8 4" xfId="10437" xr:uid="{6273F31C-F29D-4AEA-8FE0-E3067EF3E3BC}"/>
    <cellStyle name="40% - Accent1 8 5" xfId="18878" xr:uid="{8FC63BB4-6F34-47E0-84AC-E557B54CCB6E}"/>
    <cellStyle name="40% - Accent1 8 6" xfId="27318" xr:uid="{F39D2ABA-A900-45F2-B16F-D3F8E05A268E}"/>
    <cellStyle name="40% - Accent1 9" xfId="2312" xr:uid="{00000000-0005-0000-0000-00005E040000}"/>
    <cellStyle name="40% - Accent1 9 2" xfId="6618" xr:uid="{00000000-0005-0000-0000-00005F040000}"/>
    <cellStyle name="40% - Accent1 9 2 2" xfId="15068" xr:uid="{A34D0384-5A66-4B49-B4A7-2BCFC699868D}"/>
    <cellStyle name="40% - Accent1 9 2 3" xfId="23508" xr:uid="{B919C3B7-234C-4A9A-A4FA-AB7F1EA6FA92}"/>
    <cellStyle name="40% - Accent1 9 2 4" xfId="31948" xr:uid="{38650D3F-A35B-4694-9528-A73E95E4F615}"/>
    <cellStyle name="40% - Accent1 9 3" xfId="10850" xr:uid="{25F5C15F-67B7-4EC1-949B-253B7D70EA55}"/>
    <cellStyle name="40% - Accent1 9 4" xfId="19291" xr:uid="{F98656E4-C0EE-4548-BAB3-4E2D0674B602}"/>
    <cellStyle name="40% - Accent1 9 5" xfId="27731" xr:uid="{6F618AD1-1646-4D7E-A80D-6AF5FCEBE3A7}"/>
    <cellStyle name="40% - Accent2" xfId="57" builtinId="35" customBuiltin="1"/>
    <cellStyle name="40% - Accent2 10" xfId="4560" xr:uid="{00000000-0005-0000-0000-000061040000}"/>
    <cellStyle name="40% - Accent2 10 2" xfId="13010" xr:uid="{D85A694A-5D83-42ED-9AF3-063E23C8083D}"/>
    <cellStyle name="40% - Accent2 10 3" xfId="21450" xr:uid="{BF2131F1-1194-4984-979B-AF311B3352C7}"/>
    <cellStyle name="40% - Accent2 10 4" xfId="29890" xr:uid="{E45000BC-CCFE-41B3-B5AF-CBB72539EA74}"/>
    <cellStyle name="40% - Accent2 11" xfId="8792" xr:uid="{A499062E-8CD7-4CD2-89ED-2EACFB92BCD5}"/>
    <cellStyle name="40% - Accent2 12" xfId="17233" xr:uid="{7E96B099-8CFE-42E6-B4C9-D36D25A9A7F5}"/>
    <cellStyle name="40% - Accent2 13" xfId="25673" xr:uid="{B95A3A1D-4F98-4CAA-9404-F33C90A1E92C}"/>
    <cellStyle name="40% - Accent2 2" xfId="58" xr:uid="{00000000-0005-0000-0000-000062040000}"/>
    <cellStyle name="40% - Accent2 2 10" xfId="8793" xr:uid="{CC22932F-42F2-40FC-8AFA-637159BCA571}"/>
    <cellStyle name="40% - Accent2 2 11" xfId="17234" xr:uid="{6CD2167F-2BB2-45BD-AB38-6778D865511E}"/>
    <cellStyle name="40% - Accent2 2 12" xfId="25674" xr:uid="{63C56272-E737-433F-906B-D82BD60164D5}"/>
    <cellStyle name="40% - Accent2 2 2" xfId="59" xr:uid="{00000000-0005-0000-0000-000063040000}"/>
    <cellStyle name="40% - Accent2 2 2 10" xfId="17235" xr:uid="{20764992-3DBF-4390-8EF1-01C3E628DE0E}"/>
    <cellStyle name="40% - Accent2 2 2 11" xfId="25675" xr:uid="{B8DC8D05-3197-4A20-BEBC-4F8DC12DEF2F}"/>
    <cellStyle name="40% - Accent2 2 2 2" xfId="60" xr:uid="{00000000-0005-0000-0000-000064040000}"/>
    <cellStyle name="40% - Accent2 2 2 2 10" xfId="25676" xr:uid="{946E479B-1E97-45DC-B637-B698BA247E32}"/>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2 2 2" xfId="15572" xr:uid="{FA8ABB75-67FA-448F-A01E-1AE9F12C5283}"/>
    <cellStyle name="40% - Accent2 2 2 2 2 2 2 3" xfId="24012" xr:uid="{F0B818E4-8C2F-4249-9558-14ECAEE0BCB7}"/>
    <cellStyle name="40% - Accent2 2 2 2 2 2 2 4" xfId="32452" xr:uid="{26114A1E-1C91-412E-83C8-9B4589BACED2}"/>
    <cellStyle name="40% - Accent2 2 2 2 2 2 3" xfId="11354" xr:uid="{2991F837-B57B-497E-8F6D-5EA2AC2A5FAB}"/>
    <cellStyle name="40% - Accent2 2 2 2 2 2 4" xfId="19795" xr:uid="{48C60A15-9DEB-4880-861E-4D6D1A899D9D}"/>
    <cellStyle name="40% - Accent2 2 2 2 2 2 5" xfId="28235" xr:uid="{9754751C-2AE7-4B8D-AC6C-D1987A608E90}"/>
    <cellStyle name="40% - Accent2 2 2 2 2 3" xfId="4977" xr:uid="{00000000-0005-0000-0000-000068040000}"/>
    <cellStyle name="40% - Accent2 2 2 2 2 3 2" xfId="13427" xr:uid="{7710941F-A42F-4ADA-8081-541461E3C283}"/>
    <cellStyle name="40% - Accent2 2 2 2 2 3 3" xfId="21867" xr:uid="{6537B547-E020-47C2-9857-F0279CE761A5}"/>
    <cellStyle name="40% - Accent2 2 2 2 2 3 4" xfId="30307" xr:uid="{A61E18C6-F543-408D-8C64-E9C6A0D935C2}"/>
    <cellStyle name="40% - Accent2 2 2 2 2 4" xfId="9209" xr:uid="{D29ED679-5827-4E79-B05F-FB3F55EF4EA7}"/>
    <cellStyle name="40% - Accent2 2 2 2 2 5" xfId="17650" xr:uid="{2DAA6E48-2663-49E8-B16B-5B42190E34A6}"/>
    <cellStyle name="40% - Accent2 2 2 2 2 6" xfId="26090" xr:uid="{D9154B14-DE3B-4F8E-8175-9060441A7B7A}"/>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2 2 2" xfId="15985" xr:uid="{C512C94F-F454-4AAA-A0FD-AD3ACA4AF277}"/>
    <cellStyle name="40% - Accent2 2 2 2 3 2 2 3" xfId="24425" xr:uid="{2E3AA292-35AA-41D2-91C8-9D1802BC958A}"/>
    <cellStyle name="40% - Accent2 2 2 2 3 2 2 4" xfId="32865" xr:uid="{2A8A8316-A34D-4FE2-828B-208B9760F303}"/>
    <cellStyle name="40% - Accent2 2 2 2 3 2 3" xfId="11767" xr:uid="{83A05593-51F9-48B7-BF09-963D45CCBC28}"/>
    <cellStyle name="40% - Accent2 2 2 2 3 2 4" xfId="20208" xr:uid="{BFFC1B86-4616-4E5E-809A-11C6533D7A0E}"/>
    <cellStyle name="40% - Accent2 2 2 2 3 2 5" xfId="28648" xr:uid="{5D501107-A20B-48E2-9D56-BFA6C18D3E4A}"/>
    <cellStyle name="40% - Accent2 2 2 2 3 3" xfId="5390" xr:uid="{00000000-0005-0000-0000-00006C040000}"/>
    <cellStyle name="40% - Accent2 2 2 2 3 3 2" xfId="13840" xr:uid="{1E499016-CE2C-4BB7-AC49-FAADEB7EA340}"/>
    <cellStyle name="40% - Accent2 2 2 2 3 3 3" xfId="22280" xr:uid="{4563CB0A-FC63-481F-B10D-E17BDE4AA2AB}"/>
    <cellStyle name="40% - Accent2 2 2 2 3 3 4" xfId="30720" xr:uid="{14B3C8EB-0BC3-43C1-9534-559ED866CE60}"/>
    <cellStyle name="40% - Accent2 2 2 2 3 4" xfId="9622" xr:uid="{11657AB2-90B2-4B2D-A5BD-41775E943E69}"/>
    <cellStyle name="40% - Accent2 2 2 2 3 5" xfId="18063" xr:uid="{D76B9A19-5C9E-4090-A849-2ED986D8266C}"/>
    <cellStyle name="40% - Accent2 2 2 2 3 6" xfId="26503" xr:uid="{3E011280-CFF3-425C-9A9D-07C0903A172C}"/>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2 2 2" xfId="16398" xr:uid="{527F0DF9-703F-4985-AFCE-E08A87BAE0E9}"/>
    <cellStyle name="40% - Accent2 2 2 2 4 2 2 3" xfId="24838" xr:uid="{48368DBF-1312-4D8D-9EB9-0126C4C5B345}"/>
    <cellStyle name="40% - Accent2 2 2 2 4 2 2 4" xfId="33278" xr:uid="{00E1F9B2-A03E-47D7-9C23-F7970E1819F4}"/>
    <cellStyle name="40% - Accent2 2 2 2 4 2 3" xfId="12180" xr:uid="{B53073F8-7974-4BB4-8ECF-D83B6E4A5EEE}"/>
    <cellStyle name="40% - Accent2 2 2 2 4 2 4" xfId="20621" xr:uid="{34601615-779D-432B-8F77-D368285F041B}"/>
    <cellStyle name="40% - Accent2 2 2 2 4 2 5" xfId="29061" xr:uid="{19142D9D-0C3E-4FE6-8E7A-CB626FE6313A}"/>
    <cellStyle name="40% - Accent2 2 2 2 4 3" xfId="5803" xr:uid="{00000000-0005-0000-0000-000070040000}"/>
    <cellStyle name="40% - Accent2 2 2 2 4 3 2" xfId="14253" xr:uid="{A73867E3-5DFA-4F6F-BE8E-1A75950174B8}"/>
    <cellStyle name="40% - Accent2 2 2 2 4 3 3" xfId="22693" xr:uid="{A94D53B1-9360-4CBC-A373-804F5D2F6745}"/>
    <cellStyle name="40% - Accent2 2 2 2 4 3 4" xfId="31133" xr:uid="{87E1B01E-736B-4CE3-90DC-51B204D1E2DF}"/>
    <cellStyle name="40% - Accent2 2 2 2 4 4" xfId="10035" xr:uid="{88AD12EB-C56F-45D7-941D-676920D74938}"/>
    <cellStyle name="40% - Accent2 2 2 2 4 5" xfId="18476" xr:uid="{BD2B0DF1-75D7-4406-8067-40F2B2493495}"/>
    <cellStyle name="40% - Accent2 2 2 2 4 6" xfId="26916" xr:uid="{9CE0E2AE-507F-413C-B7A2-3C9EE30C7DD8}"/>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2 2 2" xfId="16811" xr:uid="{5569E795-CD60-4210-973C-3904BC05086D}"/>
    <cellStyle name="40% - Accent2 2 2 2 5 2 2 3" xfId="25251" xr:uid="{0385CC1A-46A4-4C1B-AEF0-A0D9AAAB01FD}"/>
    <cellStyle name="40% - Accent2 2 2 2 5 2 2 4" xfId="33691" xr:uid="{CBBCD06C-082F-4DF7-BFC2-664B18A5A48F}"/>
    <cellStyle name="40% - Accent2 2 2 2 5 2 3" xfId="12593" xr:uid="{A37F71E5-D034-4F13-A5A5-E7D408DFD97B}"/>
    <cellStyle name="40% - Accent2 2 2 2 5 2 4" xfId="21034" xr:uid="{F1CA64D3-7944-49D5-B7A3-6224937B0FB7}"/>
    <cellStyle name="40% - Accent2 2 2 2 5 2 5" xfId="29474" xr:uid="{517843E6-1B6B-40E4-9C49-6A2A1E873014}"/>
    <cellStyle name="40% - Accent2 2 2 2 5 3" xfId="6216" xr:uid="{00000000-0005-0000-0000-000074040000}"/>
    <cellStyle name="40% - Accent2 2 2 2 5 3 2" xfId="14666" xr:uid="{50D6C3A0-4C97-4051-BA68-3423E28B3385}"/>
    <cellStyle name="40% - Accent2 2 2 2 5 3 3" xfId="23106" xr:uid="{8B55A8CF-A34B-499A-9AFE-47615B823839}"/>
    <cellStyle name="40% - Accent2 2 2 2 5 3 4" xfId="31546" xr:uid="{0FB6CF37-0CC1-4FD0-A4AF-648519EC4A98}"/>
    <cellStyle name="40% - Accent2 2 2 2 5 4" xfId="10448" xr:uid="{8341EE90-30FB-4544-B696-5A4A696F0347}"/>
    <cellStyle name="40% - Accent2 2 2 2 5 5" xfId="18889" xr:uid="{04E08CA8-4ED5-42F4-AA22-4649C91DA991}"/>
    <cellStyle name="40% - Accent2 2 2 2 5 6" xfId="27329" xr:uid="{EC6ACC11-4B99-4444-BFE8-2754695E79A8}"/>
    <cellStyle name="40% - Accent2 2 2 2 6" xfId="2323" xr:uid="{00000000-0005-0000-0000-000075040000}"/>
    <cellStyle name="40% - Accent2 2 2 2 6 2" xfId="6629" xr:uid="{00000000-0005-0000-0000-000076040000}"/>
    <cellStyle name="40% - Accent2 2 2 2 6 2 2" xfId="15079" xr:uid="{B79AAC36-85FD-45FF-A1DD-134F54299B49}"/>
    <cellStyle name="40% - Accent2 2 2 2 6 2 3" xfId="23519" xr:uid="{2822E9DC-5552-4EF5-8BC7-FBCE46A4A93C}"/>
    <cellStyle name="40% - Accent2 2 2 2 6 2 4" xfId="31959" xr:uid="{D62127A5-50B3-4DBE-AFBC-4E54171325B7}"/>
    <cellStyle name="40% - Accent2 2 2 2 6 3" xfId="10861" xr:uid="{D84D3C42-780B-427C-861C-0741C3847B68}"/>
    <cellStyle name="40% - Accent2 2 2 2 6 4" xfId="19302" xr:uid="{DD36118D-FA14-46BB-97DA-8CB912FB0A51}"/>
    <cellStyle name="40% - Accent2 2 2 2 6 5" xfId="27742" xr:uid="{0AD9A5F0-2379-479D-8942-609C4570F6E5}"/>
    <cellStyle name="40% - Accent2 2 2 2 7" xfId="4563" xr:uid="{00000000-0005-0000-0000-000077040000}"/>
    <cellStyle name="40% - Accent2 2 2 2 7 2" xfId="13013" xr:uid="{44F8C12B-AB8A-429A-B411-A31D74596BCF}"/>
    <cellStyle name="40% - Accent2 2 2 2 7 3" xfId="21453" xr:uid="{ADA5DE75-A161-439E-A70C-937AE31909B4}"/>
    <cellStyle name="40% - Accent2 2 2 2 7 4" xfId="29893" xr:uid="{E6B11AAC-69AD-43F9-9034-C590C6903B5C}"/>
    <cellStyle name="40% - Accent2 2 2 2 8" xfId="8795" xr:uid="{853D12EE-7D5B-4966-8D5D-A5F6B46F411A}"/>
    <cellStyle name="40% - Accent2 2 2 2 9" xfId="17236" xr:uid="{EF9BA222-1AA3-4769-B7FF-65FE5DFF6557}"/>
    <cellStyle name="40% - Accent2 2 2 3" xfId="628" xr:uid="{00000000-0005-0000-0000-000078040000}"/>
    <cellStyle name="40% - Accent2 2 2 3 2" xfId="2899" xr:uid="{00000000-0005-0000-0000-000079040000}"/>
    <cellStyle name="40% - Accent2 2 2 3 2 2" xfId="7121" xr:uid="{00000000-0005-0000-0000-00007A040000}"/>
    <cellStyle name="40% - Accent2 2 2 3 2 2 2" xfId="15571" xr:uid="{E2AFA49A-4DD3-4D70-9348-821ADFCB6387}"/>
    <cellStyle name="40% - Accent2 2 2 3 2 2 3" xfId="24011" xr:uid="{84FCFD2D-F560-4D13-9F85-4842C839A4A0}"/>
    <cellStyle name="40% - Accent2 2 2 3 2 2 4" xfId="32451" xr:uid="{C379C4D6-A72B-4906-8542-868ED30365C4}"/>
    <cellStyle name="40% - Accent2 2 2 3 2 3" xfId="11353" xr:uid="{2E9B4790-2472-4EE6-98EB-528E85A6A781}"/>
    <cellStyle name="40% - Accent2 2 2 3 2 4" xfId="19794" xr:uid="{383D3E6B-E839-4CF5-99EC-4A56288401D4}"/>
    <cellStyle name="40% - Accent2 2 2 3 2 5" xfId="28234" xr:uid="{287FCC71-BFA7-49D6-86B5-2D74BA150692}"/>
    <cellStyle name="40% - Accent2 2 2 3 3" xfId="4976" xr:uid="{00000000-0005-0000-0000-00007B040000}"/>
    <cellStyle name="40% - Accent2 2 2 3 3 2" xfId="13426" xr:uid="{6ECBF7B6-A59E-49B0-AB20-BB71F4FEFCF4}"/>
    <cellStyle name="40% - Accent2 2 2 3 3 3" xfId="21866" xr:uid="{70899A5F-12E9-4B77-B974-DC0F7D245E59}"/>
    <cellStyle name="40% - Accent2 2 2 3 3 4" xfId="30306" xr:uid="{D44D3AB4-3568-4A94-9E72-793067A54A27}"/>
    <cellStyle name="40% - Accent2 2 2 3 4" xfId="9208" xr:uid="{B0DD075A-76E4-47B5-BD41-B3D9D9579CA6}"/>
    <cellStyle name="40% - Accent2 2 2 3 5" xfId="17649" xr:uid="{9CE68EC0-C60F-49E7-BDAD-D09BC34A6FA1}"/>
    <cellStyle name="40% - Accent2 2 2 3 6" xfId="26089" xr:uid="{C9A162FD-57DD-43DE-ADF9-73A198997B94}"/>
    <cellStyle name="40% - Accent2 2 2 4" xfId="1081" xr:uid="{00000000-0005-0000-0000-00007C040000}"/>
    <cellStyle name="40% - Accent2 2 2 4 2" xfId="3312" xr:uid="{00000000-0005-0000-0000-00007D040000}"/>
    <cellStyle name="40% - Accent2 2 2 4 2 2" xfId="7534" xr:uid="{00000000-0005-0000-0000-00007E040000}"/>
    <cellStyle name="40% - Accent2 2 2 4 2 2 2" xfId="15984" xr:uid="{C19D6082-D944-411F-BFAE-41C0CB6B4F92}"/>
    <cellStyle name="40% - Accent2 2 2 4 2 2 3" xfId="24424" xr:uid="{C24B60E1-A030-4967-98C7-23287B97539D}"/>
    <cellStyle name="40% - Accent2 2 2 4 2 2 4" xfId="32864" xr:uid="{C88240D3-9F6C-420C-92C9-62CA0373FCC3}"/>
    <cellStyle name="40% - Accent2 2 2 4 2 3" xfId="11766" xr:uid="{F726E22E-BA61-42F0-A289-F9F6FDB62282}"/>
    <cellStyle name="40% - Accent2 2 2 4 2 4" xfId="20207" xr:uid="{1EF2EEDB-ED8F-4F6B-80BD-2EE3CBC5A7DC}"/>
    <cellStyle name="40% - Accent2 2 2 4 2 5" xfId="28647" xr:uid="{AC9FC84F-8FA0-4C4C-BF33-8686FF084FF8}"/>
    <cellStyle name="40% - Accent2 2 2 4 3" xfId="5389" xr:uid="{00000000-0005-0000-0000-00007F040000}"/>
    <cellStyle name="40% - Accent2 2 2 4 3 2" xfId="13839" xr:uid="{E22A633B-0983-46FA-AA18-B050C77B34C9}"/>
    <cellStyle name="40% - Accent2 2 2 4 3 3" xfId="22279" xr:uid="{2AC550B4-0E50-4375-B06C-F76CCCCD0E96}"/>
    <cellStyle name="40% - Accent2 2 2 4 3 4" xfId="30719" xr:uid="{CFE530C4-E997-4B84-9B2D-9A1363508496}"/>
    <cellStyle name="40% - Accent2 2 2 4 4" xfId="9621" xr:uid="{164806A0-14D9-4B47-8CC9-AD80D7B34499}"/>
    <cellStyle name="40% - Accent2 2 2 4 5" xfId="18062" xr:uid="{66FC3467-C3D2-497A-A05E-A114AFCD7B54}"/>
    <cellStyle name="40% - Accent2 2 2 4 6" xfId="26502" xr:uid="{76C8C5C8-2B4E-4735-9BBB-D097103CB45E}"/>
    <cellStyle name="40% - Accent2 2 2 5" xfId="1495" xr:uid="{00000000-0005-0000-0000-000080040000}"/>
    <cellStyle name="40% - Accent2 2 2 5 2" xfId="3725" xr:uid="{00000000-0005-0000-0000-000081040000}"/>
    <cellStyle name="40% - Accent2 2 2 5 2 2" xfId="7947" xr:uid="{00000000-0005-0000-0000-000082040000}"/>
    <cellStyle name="40% - Accent2 2 2 5 2 2 2" xfId="16397" xr:uid="{603A7591-88B3-4900-AC4F-52814DCFCCDB}"/>
    <cellStyle name="40% - Accent2 2 2 5 2 2 3" xfId="24837" xr:uid="{0C5541B4-6BDC-40D8-8B6B-38216657A903}"/>
    <cellStyle name="40% - Accent2 2 2 5 2 2 4" xfId="33277" xr:uid="{867DB95A-9832-466A-8C8B-2F3D568681FA}"/>
    <cellStyle name="40% - Accent2 2 2 5 2 3" xfId="12179" xr:uid="{220D7EE9-7100-40C7-A6C1-6CD06828601A}"/>
    <cellStyle name="40% - Accent2 2 2 5 2 4" xfId="20620" xr:uid="{BFD981ED-B840-4570-9A72-F2524195347E}"/>
    <cellStyle name="40% - Accent2 2 2 5 2 5" xfId="29060" xr:uid="{4C45B2A8-7C31-4BE3-8BFF-EA7546E7157A}"/>
    <cellStyle name="40% - Accent2 2 2 5 3" xfId="5802" xr:uid="{00000000-0005-0000-0000-000083040000}"/>
    <cellStyle name="40% - Accent2 2 2 5 3 2" xfId="14252" xr:uid="{C6527B3D-8A9D-4929-B40C-74902B71494E}"/>
    <cellStyle name="40% - Accent2 2 2 5 3 3" xfId="22692" xr:uid="{C786C70C-FA6F-440B-955A-FFE7B118981B}"/>
    <cellStyle name="40% - Accent2 2 2 5 3 4" xfId="31132" xr:uid="{E5854F63-81E8-4245-8F95-A25C95D18F91}"/>
    <cellStyle name="40% - Accent2 2 2 5 4" xfId="10034" xr:uid="{C8F8FB42-76AE-4AF9-A3AA-A9A1FF88B960}"/>
    <cellStyle name="40% - Accent2 2 2 5 5" xfId="18475" xr:uid="{6D674168-FDA1-47D5-85E0-5D21C517A86A}"/>
    <cellStyle name="40% - Accent2 2 2 5 6" xfId="26915" xr:uid="{12E59A7F-9B32-4690-8D89-01BD162097E4}"/>
    <cellStyle name="40% - Accent2 2 2 6" xfId="1909" xr:uid="{00000000-0005-0000-0000-000084040000}"/>
    <cellStyle name="40% - Accent2 2 2 6 2" xfId="4138" xr:uid="{00000000-0005-0000-0000-000085040000}"/>
    <cellStyle name="40% - Accent2 2 2 6 2 2" xfId="8360" xr:uid="{00000000-0005-0000-0000-000086040000}"/>
    <cellStyle name="40% - Accent2 2 2 6 2 2 2" xfId="16810" xr:uid="{32037848-70E7-49D4-A7A7-549368673D37}"/>
    <cellStyle name="40% - Accent2 2 2 6 2 2 3" xfId="25250" xr:uid="{9DA915A6-B920-4E66-8B8B-A569FE4F7F86}"/>
    <cellStyle name="40% - Accent2 2 2 6 2 2 4" xfId="33690" xr:uid="{7497DD9A-B2F8-482A-AF00-92028F9B198D}"/>
    <cellStyle name="40% - Accent2 2 2 6 2 3" xfId="12592" xr:uid="{2BBA73A7-9AB8-4106-BD34-CDBA64B0C783}"/>
    <cellStyle name="40% - Accent2 2 2 6 2 4" xfId="21033" xr:uid="{B646C6F2-89E1-4AD0-80C7-515C9B1C9C65}"/>
    <cellStyle name="40% - Accent2 2 2 6 2 5" xfId="29473" xr:uid="{1CE28474-92E2-4209-A75F-BA75D901FE45}"/>
    <cellStyle name="40% - Accent2 2 2 6 3" xfId="6215" xr:uid="{00000000-0005-0000-0000-000087040000}"/>
    <cellStyle name="40% - Accent2 2 2 6 3 2" xfId="14665" xr:uid="{5559D36F-E264-4027-B70D-1C27CB5CFD93}"/>
    <cellStyle name="40% - Accent2 2 2 6 3 3" xfId="23105" xr:uid="{22F40E33-AAE8-4398-BB6D-8BADFED7FA2E}"/>
    <cellStyle name="40% - Accent2 2 2 6 3 4" xfId="31545" xr:uid="{2CDBB038-E512-44E0-A99F-CB7F62261CB0}"/>
    <cellStyle name="40% - Accent2 2 2 6 4" xfId="10447" xr:uid="{472B3189-DE32-440C-8BA7-D5BFAE9E5D99}"/>
    <cellStyle name="40% - Accent2 2 2 6 5" xfId="18888" xr:uid="{BD38C906-0F47-46A0-98D7-427BEFC31389}"/>
    <cellStyle name="40% - Accent2 2 2 6 6" xfId="27328" xr:uid="{1A78F992-545A-4094-B9DC-91A713243879}"/>
    <cellStyle name="40% - Accent2 2 2 7" xfId="2322" xr:uid="{00000000-0005-0000-0000-000088040000}"/>
    <cellStyle name="40% - Accent2 2 2 7 2" xfId="6628" xr:uid="{00000000-0005-0000-0000-000089040000}"/>
    <cellStyle name="40% - Accent2 2 2 7 2 2" xfId="15078" xr:uid="{0875B9DE-F8EA-4148-AC72-CC987DC6DACD}"/>
    <cellStyle name="40% - Accent2 2 2 7 2 3" xfId="23518" xr:uid="{0AE06BC2-C54E-41B7-85AE-F35BAA298C12}"/>
    <cellStyle name="40% - Accent2 2 2 7 2 4" xfId="31958" xr:uid="{FB2AC955-F1F2-4A41-9AB0-6A6A0F547A42}"/>
    <cellStyle name="40% - Accent2 2 2 7 3" xfId="10860" xr:uid="{CB8AFE67-9DF7-4B71-BA59-15D5079DC370}"/>
    <cellStyle name="40% - Accent2 2 2 7 4" xfId="19301" xr:uid="{C2E6FD04-75C0-43A4-9A07-59B9700A9B9B}"/>
    <cellStyle name="40% - Accent2 2 2 7 5" xfId="27741" xr:uid="{5D989B93-425D-42CA-8BAF-2567C7EF2361}"/>
    <cellStyle name="40% - Accent2 2 2 8" xfId="4562" xr:uid="{00000000-0005-0000-0000-00008A040000}"/>
    <cellStyle name="40% - Accent2 2 2 8 2" xfId="13012" xr:uid="{3CDF2E55-1E4F-49D3-BFB7-CE7D0F9C392D}"/>
    <cellStyle name="40% - Accent2 2 2 8 3" xfId="21452" xr:uid="{35E405DF-0DB5-47DE-9781-9A2E8DCC6F82}"/>
    <cellStyle name="40% - Accent2 2 2 8 4" xfId="29892" xr:uid="{271F824E-E34E-4ED9-BC35-F452B7C8C759}"/>
    <cellStyle name="40% - Accent2 2 2 9" xfId="8794" xr:uid="{60FD1F37-6099-417C-A543-AE2233F1ED51}"/>
    <cellStyle name="40% - Accent2 2 3" xfId="61" xr:uid="{00000000-0005-0000-0000-00008B040000}"/>
    <cellStyle name="40% - Accent2 2 3 10" xfId="25677" xr:uid="{3E820A1C-E872-4644-848B-64FFD724CE0D}"/>
    <cellStyle name="40% - Accent2 2 3 2" xfId="630" xr:uid="{00000000-0005-0000-0000-00008C040000}"/>
    <cellStyle name="40% - Accent2 2 3 2 2" xfId="2901" xr:uid="{00000000-0005-0000-0000-00008D040000}"/>
    <cellStyle name="40% - Accent2 2 3 2 2 2" xfId="7123" xr:uid="{00000000-0005-0000-0000-00008E040000}"/>
    <cellStyle name="40% - Accent2 2 3 2 2 2 2" xfId="15573" xr:uid="{5BC11F7E-7A2C-4D3E-A8E6-4509021916C8}"/>
    <cellStyle name="40% - Accent2 2 3 2 2 2 3" xfId="24013" xr:uid="{C621688A-2D3D-47E2-8B47-7C0EFA8EB976}"/>
    <cellStyle name="40% - Accent2 2 3 2 2 2 4" xfId="32453" xr:uid="{40CDF5CE-1BD6-44F5-BDC8-CDE2274DE1FF}"/>
    <cellStyle name="40% - Accent2 2 3 2 2 3" xfId="11355" xr:uid="{15A70125-F8A1-4B62-82DE-D4C545DDDAAC}"/>
    <cellStyle name="40% - Accent2 2 3 2 2 4" xfId="19796" xr:uid="{A85C4136-6F89-4D9E-9BEC-097209A8D7E7}"/>
    <cellStyle name="40% - Accent2 2 3 2 2 5" xfId="28236" xr:uid="{4DDF8194-2AE9-462A-A483-11781A3B1511}"/>
    <cellStyle name="40% - Accent2 2 3 2 3" xfId="4978" xr:uid="{00000000-0005-0000-0000-00008F040000}"/>
    <cellStyle name="40% - Accent2 2 3 2 3 2" xfId="13428" xr:uid="{2AD8D8F1-CA24-4CF5-92B7-16EC98A6563F}"/>
    <cellStyle name="40% - Accent2 2 3 2 3 3" xfId="21868" xr:uid="{3035E22C-860E-402C-B77D-D1CDB8BC46A2}"/>
    <cellStyle name="40% - Accent2 2 3 2 3 4" xfId="30308" xr:uid="{7CF90180-7C80-4315-85AE-2E236967366A}"/>
    <cellStyle name="40% - Accent2 2 3 2 4" xfId="9210" xr:uid="{73BC0812-9B87-452F-8FD4-82F456374F6D}"/>
    <cellStyle name="40% - Accent2 2 3 2 5" xfId="17651" xr:uid="{0AA3D9DA-D21C-4EC3-9DAB-097AFB0820B6}"/>
    <cellStyle name="40% - Accent2 2 3 2 6" xfId="26091" xr:uid="{F630FB02-2FB4-4A13-BFCA-9618269B2B0E}"/>
    <cellStyle name="40% - Accent2 2 3 3" xfId="1083" xr:uid="{00000000-0005-0000-0000-000090040000}"/>
    <cellStyle name="40% - Accent2 2 3 3 2" xfId="3314" xr:uid="{00000000-0005-0000-0000-000091040000}"/>
    <cellStyle name="40% - Accent2 2 3 3 2 2" xfId="7536" xr:uid="{00000000-0005-0000-0000-000092040000}"/>
    <cellStyle name="40% - Accent2 2 3 3 2 2 2" xfId="15986" xr:uid="{F4AB7976-87CB-4678-91E1-7ACE0D37D9D7}"/>
    <cellStyle name="40% - Accent2 2 3 3 2 2 3" xfId="24426" xr:uid="{9BEC21B9-5F0D-46B3-98C7-32057DF3B325}"/>
    <cellStyle name="40% - Accent2 2 3 3 2 2 4" xfId="32866" xr:uid="{D21C1CED-7D54-4CDA-8F8A-E5F99B7F7A7E}"/>
    <cellStyle name="40% - Accent2 2 3 3 2 3" xfId="11768" xr:uid="{191A0928-DFD4-446A-8034-F8D0E4BD81C2}"/>
    <cellStyle name="40% - Accent2 2 3 3 2 4" xfId="20209" xr:uid="{ED2CFE19-9176-4F78-9AFB-6517AAB235CA}"/>
    <cellStyle name="40% - Accent2 2 3 3 2 5" xfId="28649" xr:uid="{CC000E41-7652-4BFD-B7F9-7E13B071AF5C}"/>
    <cellStyle name="40% - Accent2 2 3 3 3" xfId="5391" xr:uid="{00000000-0005-0000-0000-000093040000}"/>
    <cellStyle name="40% - Accent2 2 3 3 3 2" xfId="13841" xr:uid="{4266FDE9-EEDD-4AA5-9C3C-515AB8152F61}"/>
    <cellStyle name="40% - Accent2 2 3 3 3 3" xfId="22281" xr:uid="{7984F31B-0489-4C9B-B25E-FA5B04E10AAF}"/>
    <cellStyle name="40% - Accent2 2 3 3 3 4" xfId="30721" xr:uid="{16AE0CC3-891A-4399-976D-4804168300D0}"/>
    <cellStyle name="40% - Accent2 2 3 3 4" xfId="9623" xr:uid="{110DA9B3-9843-4A33-8DCC-798158BA754B}"/>
    <cellStyle name="40% - Accent2 2 3 3 5" xfId="18064" xr:uid="{81575FEE-4E1A-48F3-A2A9-1B372422152A}"/>
    <cellStyle name="40% - Accent2 2 3 3 6" xfId="26504" xr:uid="{49D75920-8475-4AAC-88B9-A932DB80834F}"/>
    <cellStyle name="40% - Accent2 2 3 4" xfId="1497" xr:uid="{00000000-0005-0000-0000-000094040000}"/>
    <cellStyle name="40% - Accent2 2 3 4 2" xfId="3727" xr:uid="{00000000-0005-0000-0000-000095040000}"/>
    <cellStyle name="40% - Accent2 2 3 4 2 2" xfId="7949" xr:uid="{00000000-0005-0000-0000-000096040000}"/>
    <cellStyle name="40% - Accent2 2 3 4 2 2 2" xfId="16399" xr:uid="{1751D0CF-B874-4CC4-BFDD-F66D005E18C6}"/>
    <cellStyle name="40% - Accent2 2 3 4 2 2 3" xfId="24839" xr:uid="{71C9C516-DE3A-497D-AFDB-1042EB14760D}"/>
    <cellStyle name="40% - Accent2 2 3 4 2 2 4" xfId="33279" xr:uid="{3C95F3FD-CBD7-4B28-93B6-D1EBC8C66534}"/>
    <cellStyle name="40% - Accent2 2 3 4 2 3" xfId="12181" xr:uid="{E34A3CA3-ED2B-49B7-AE4E-BC337BE93FFB}"/>
    <cellStyle name="40% - Accent2 2 3 4 2 4" xfId="20622" xr:uid="{6134A24A-F40E-4D04-8035-C31F43276EC6}"/>
    <cellStyle name="40% - Accent2 2 3 4 2 5" xfId="29062" xr:uid="{EEC09E98-269D-4B87-8814-F975A0D2331D}"/>
    <cellStyle name="40% - Accent2 2 3 4 3" xfId="5804" xr:uid="{00000000-0005-0000-0000-000097040000}"/>
    <cellStyle name="40% - Accent2 2 3 4 3 2" xfId="14254" xr:uid="{C99A37C2-45C0-41A8-A024-8D6C978DE22A}"/>
    <cellStyle name="40% - Accent2 2 3 4 3 3" xfId="22694" xr:uid="{A7A40060-009B-4673-A2B8-AB45F1A0BD5D}"/>
    <cellStyle name="40% - Accent2 2 3 4 3 4" xfId="31134" xr:uid="{68A3274B-CC77-46CD-8ECB-DFF443A9A2D8}"/>
    <cellStyle name="40% - Accent2 2 3 4 4" xfId="10036" xr:uid="{C4A9AC41-F465-42DF-A626-CF7BCE235FF2}"/>
    <cellStyle name="40% - Accent2 2 3 4 5" xfId="18477" xr:uid="{FCC30D45-F7FA-4111-98E8-2C828CB4B97A}"/>
    <cellStyle name="40% - Accent2 2 3 4 6" xfId="26917" xr:uid="{38582B58-67BA-43D1-8E9B-26072DCAE3B9}"/>
    <cellStyle name="40% - Accent2 2 3 5" xfId="1911" xr:uid="{00000000-0005-0000-0000-000098040000}"/>
    <cellStyle name="40% - Accent2 2 3 5 2" xfId="4140" xr:uid="{00000000-0005-0000-0000-000099040000}"/>
    <cellStyle name="40% - Accent2 2 3 5 2 2" xfId="8362" xr:uid="{00000000-0005-0000-0000-00009A040000}"/>
    <cellStyle name="40% - Accent2 2 3 5 2 2 2" xfId="16812" xr:uid="{352552DB-DD82-40D9-BD1E-C431B56DD0DC}"/>
    <cellStyle name="40% - Accent2 2 3 5 2 2 3" xfId="25252" xr:uid="{4033B89A-2AC3-478F-8AE6-EC5C8240DEC4}"/>
    <cellStyle name="40% - Accent2 2 3 5 2 2 4" xfId="33692" xr:uid="{3E15D01C-C781-42B7-8BBB-3F1D7F1A4622}"/>
    <cellStyle name="40% - Accent2 2 3 5 2 3" xfId="12594" xr:uid="{05BD9628-37AE-4506-B749-1FA50741EF25}"/>
    <cellStyle name="40% - Accent2 2 3 5 2 4" xfId="21035" xr:uid="{C4DAA3A5-68F4-481D-A7A7-570AE7F0AEEC}"/>
    <cellStyle name="40% - Accent2 2 3 5 2 5" xfId="29475" xr:uid="{1247F242-F242-4771-99E6-863DD7C04313}"/>
    <cellStyle name="40% - Accent2 2 3 5 3" xfId="6217" xr:uid="{00000000-0005-0000-0000-00009B040000}"/>
    <cellStyle name="40% - Accent2 2 3 5 3 2" xfId="14667" xr:uid="{C352F874-7655-46C6-9A8D-072F086124D8}"/>
    <cellStyle name="40% - Accent2 2 3 5 3 3" xfId="23107" xr:uid="{A128379B-1EF9-41D6-BEF5-9C7A206CA8D4}"/>
    <cellStyle name="40% - Accent2 2 3 5 3 4" xfId="31547" xr:uid="{555FE74F-BF04-41E6-B981-366D81EAAF6B}"/>
    <cellStyle name="40% - Accent2 2 3 5 4" xfId="10449" xr:uid="{53D10BAF-AFB2-4634-BABA-B0A746F36F2E}"/>
    <cellStyle name="40% - Accent2 2 3 5 5" xfId="18890" xr:uid="{258BECA4-BC94-4CE7-910B-480DE98A6C46}"/>
    <cellStyle name="40% - Accent2 2 3 5 6" xfId="27330" xr:uid="{0AD45768-F6B4-4672-B4F6-FD0F578C8635}"/>
    <cellStyle name="40% - Accent2 2 3 6" xfId="2324" xr:uid="{00000000-0005-0000-0000-00009C040000}"/>
    <cellStyle name="40% - Accent2 2 3 6 2" xfId="6630" xr:uid="{00000000-0005-0000-0000-00009D040000}"/>
    <cellStyle name="40% - Accent2 2 3 6 2 2" xfId="15080" xr:uid="{C15609B0-6B36-47A9-835B-DCDDA7C0260E}"/>
    <cellStyle name="40% - Accent2 2 3 6 2 3" xfId="23520" xr:uid="{375AB45D-82FC-4CBE-B863-1E57F2BDD24B}"/>
    <cellStyle name="40% - Accent2 2 3 6 2 4" xfId="31960" xr:uid="{58772BAC-D668-43DF-B87F-039B6B1CADD3}"/>
    <cellStyle name="40% - Accent2 2 3 6 3" xfId="10862" xr:uid="{3D0D342D-1946-49FC-8E7A-890B798A9798}"/>
    <cellStyle name="40% - Accent2 2 3 6 4" xfId="19303" xr:uid="{2CE06B68-1257-400D-B0DC-D621299003EE}"/>
    <cellStyle name="40% - Accent2 2 3 6 5" xfId="27743" xr:uid="{A38C0E7F-AD8C-4FA5-89E7-234787451933}"/>
    <cellStyle name="40% - Accent2 2 3 7" xfId="4564" xr:uid="{00000000-0005-0000-0000-00009E040000}"/>
    <cellStyle name="40% - Accent2 2 3 7 2" xfId="13014" xr:uid="{07EF02DE-D5D8-4D7E-80C0-B77DFD574700}"/>
    <cellStyle name="40% - Accent2 2 3 7 3" xfId="21454" xr:uid="{BEF5F595-B3B5-4597-B1DC-B5308965D760}"/>
    <cellStyle name="40% - Accent2 2 3 7 4" xfId="29894" xr:uid="{100F94F9-36BB-4044-9A8E-E01AF181D993}"/>
    <cellStyle name="40% - Accent2 2 3 8" xfId="8796" xr:uid="{15342954-DF46-4C70-80FF-276CD81F0911}"/>
    <cellStyle name="40% - Accent2 2 3 9" xfId="17237" xr:uid="{6C2BF5C3-B90E-45D9-9A52-C1241219A7FD}"/>
    <cellStyle name="40% - Accent2 2 4" xfId="627" xr:uid="{00000000-0005-0000-0000-00009F040000}"/>
    <cellStyle name="40% - Accent2 2 4 2" xfId="2898" xr:uid="{00000000-0005-0000-0000-0000A0040000}"/>
    <cellStyle name="40% - Accent2 2 4 2 2" xfId="7120" xr:uid="{00000000-0005-0000-0000-0000A1040000}"/>
    <cellStyle name="40% - Accent2 2 4 2 2 2" xfId="15570" xr:uid="{E33477F0-A1D7-41AD-BCB1-9AE00D08A2DC}"/>
    <cellStyle name="40% - Accent2 2 4 2 2 3" xfId="24010" xr:uid="{6ABC0537-B517-4325-B45C-0B935E28042F}"/>
    <cellStyle name="40% - Accent2 2 4 2 2 4" xfId="32450" xr:uid="{FCB4C642-E75C-46B3-B1A6-1E8C7B99B580}"/>
    <cellStyle name="40% - Accent2 2 4 2 3" xfId="11352" xr:uid="{5ED810E2-CD10-40AD-8C1B-8B71A41BB1D4}"/>
    <cellStyle name="40% - Accent2 2 4 2 4" xfId="19793" xr:uid="{25C8A7F4-30A1-4295-BA52-269D2FB727B3}"/>
    <cellStyle name="40% - Accent2 2 4 2 5" xfId="28233" xr:uid="{7A429887-0EF4-4445-AA15-4B9575A172D8}"/>
    <cellStyle name="40% - Accent2 2 4 3" xfId="4975" xr:uid="{00000000-0005-0000-0000-0000A2040000}"/>
    <cellStyle name="40% - Accent2 2 4 3 2" xfId="13425" xr:uid="{9DBE962C-4AA3-48C4-86B8-86B007FD6449}"/>
    <cellStyle name="40% - Accent2 2 4 3 3" xfId="21865" xr:uid="{C59531BE-76FF-4C05-94B9-3CAEB3018CDF}"/>
    <cellStyle name="40% - Accent2 2 4 3 4" xfId="30305" xr:uid="{C21CEFFC-A811-4D85-B86D-441592B14541}"/>
    <cellStyle name="40% - Accent2 2 4 4" xfId="9207" xr:uid="{D9D1EE6F-C657-4A6F-ABD9-237A6B87C276}"/>
    <cellStyle name="40% - Accent2 2 4 5" xfId="17648" xr:uid="{2CCB2237-547F-4459-B449-B358FEB581FB}"/>
    <cellStyle name="40% - Accent2 2 4 6" xfId="26088" xr:uid="{19082507-4DF2-4AC1-900C-26E979D7145E}"/>
    <cellStyle name="40% - Accent2 2 5" xfId="1080" xr:uid="{00000000-0005-0000-0000-0000A3040000}"/>
    <cellStyle name="40% - Accent2 2 5 2" xfId="3311" xr:uid="{00000000-0005-0000-0000-0000A4040000}"/>
    <cellStyle name="40% - Accent2 2 5 2 2" xfId="7533" xr:uid="{00000000-0005-0000-0000-0000A5040000}"/>
    <cellStyle name="40% - Accent2 2 5 2 2 2" xfId="15983" xr:uid="{8957DCAD-4EB3-48B1-837F-4A0A23FA3BEC}"/>
    <cellStyle name="40% - Accent2 2 5 2 2 3" xfId="24423" xr:uid="{0921B829-026D-421E-B61D-85402287B472}"/>
    <cellStyle name="40% - Accent2 2 5 2 2 4" xfId="32863" xr:uid="{BF8CC0D3-D62A-4CA1-AA7A-08B0B58A8A2B}"/>
    <cellStyle name="40% - Accent2 2 5 2 3" xfId="11765" xr:uid="{AF6A3D59-EBC3-4208-BE50-730ECEBD1E3D}"/>
    <cellStyle name="40% - Accent2 2 5 2 4" xfId="20206" xr:uid="{5638BACC-9E6F-43AD-A954-94F0F0BCB0E5}"/>
    <cellStyle name="40% - Accent2 2 5 2 5" xfId="28646" xr:uid="{0FBAB400-0DF1-4AA2-8612-5C44FC8C698F}"/>
    <cellStyle name="40% - Accent2 2 5 3" xfId="5388" xr:uid="{00000000-0005-0000-0000-0000A6040000}"/>
    <cellStyle name="40% - Accent2 2 5 3 2" xfId="13838" xr:uid="{0CC21171-1B8E-478B-A8DC-48EEEE80C43C}"/>
    <cellStyle name="40% - Accent2 2 5 3 3" xfId="22278" xr:uid="{841AB863-A88E-4B50-83CF-73C062AC06B4}"/>
    <cellStyle name="40% - Accent2 2 5 3 4" xfId="30718" xr:uid="{FC4763CA-06D8-4B33-8D69-A65581000D83}"/>
    <cellStyle name="40% - Accent2 2 5 4" xfId="9620" xr:uid="{A06197C4-5145-4A95-8D5B-8F4AD0960D2F}"/>
    <cellStyle name="40% - Accent2 2 5 5" xfId="18061" xr:uid="{B7F85479-D135-4001-B632-ED823065BE27}"/>
    <cellStyle name="40% - Accent2 2 5 6" xfId="26501" xr:uid="{302E68BB-DF38-4081-91F1-B76AEFC48B2B}"/>
    <cellStyle name="40% - Accent2 2 6" xfId="1494" xr:uid="{00000000-0005-0000-0000-0000A7040000}"/>
    <cellStyle name="40% - Accent2 2 6 2" xfId="3724" xr:uid="{00000000-0005-0000-0000-0000A8040000}"/>
    <cellStyle name="40% - Accent2 2 6 2 2" xfId="7946" xr:uid="{00000000-0005-0000-0000-0000A9040000}"/>
    <cellStyle name="40% - Accent2 2 6 2 2 2" xfId="16396" xr:uid="{C48E14BE-D64B-4B75-9BF7-6B1F7CD8923A}"/>
    <cellStyle name="40% - Accent2 2 6 2 2 3" xfId="24836" xr:uid="{A924D93F-F49F-42EC-B3AA-3F6F561DB9AE}"/>
    <cellStyle name="40% - Accent2 2 6 2 2 4" xfId="33276" xr:uid="{3A33A249-40CE-421A-8309-2C57C288C054}"/>
    <cellStyle name="40% - Accent2 2 6 2 3" xfId="12178" xr:uid="{AE053011-2DAC-4A5F-9721-BCEAC760EF91}"/>
    <cellStyle name="40% - Accent2 2 6 2 4" xfId="20619" xr:uid="{13766E1F-1914-41EE-A416-38FA7DC1F0E8}"/>
    <cellStyle name="40% - Accent2 2 6 2 5" xfId="29059" xr:uid="{2A90085C-9E6D-460D-A0F9-08C32DFB7387}"/>
    <cellStyle name="40% - Accent2 2 6 3" xfId="5801" xr:uid="{00000000-0005-0000-0000-0000AA040000}"/>
    <cellStyle name="40% - Accent2 2 6 3 2" xfId="14251" xr:uid="{68CB0627-8E04-4F29-A2D0-EF3104BE30CE}"/>
    <cellStyle name="40% - Accent2 2 6 3 3" xfId="22691" xr:uid="{93ACEB73-F1EF-47E2-B7B3-906BBF88FA4C}"/>
    <cellStyle name="40% - Accent2 2 6 3 4" xfId="31131" xr:uid="{650328FE-DDF9-42E7-9196-1F8B82FAE602}"/>
    <cellStyle name="40% - Accent2 2 6 4" xfId="10033" xr:uid="{8074AAEF-242B-4874-A390-2D886723288C}"/>
    <cellStyle name="40% - Accent2 2 6 5" xfId="18474" xr:uid="{C1EA3F84-D726-4FB6-8ABF-A4C1CB7C939D}"/>
    <cellStyle name="40% - Accent2 2 6 6" xfId="26914" xr:uid="{478AB5E3-A0F8-44A9-A5E2-57B81C95D64A}"/>
    <cellStyle name="40% - Accent2 2 7" xfId="1908" xr:uid="{00000000-0005-0000-0000-0000AB040000}"/>
    <cellStyle name="40% - Accent2 2 7 2" xfId="4137" xr:uid="{00000000-0005-0000-0000-0000AC040000}"/>
    <cellStyle name="40% - Accent2 2 7 2 2" xfId="8359" xr:uid="{00000000-0005-0000-0000-0000AD040000}"/>
    <cellStyle name="40% - Accent2 2 7 2 2 2" xfId="16809" xr:uid="{482FF8D5-0C1C-41DB-95D5-9CFDCE1B0B64}"/>
    <cellStyle name="40% - Accent2 2 7 2 2 3" xfId="25249" xr:uid="{EC59DC31-607D-44B3-B946-571201B13C16}"/>
    <cellStyle name="40% - Accent2 2 7 2 2 4" xfId="33689" xr:uid="{40ACFF47-8691-4A6F-B24F-AE5AE1E7855B}"/>
    <cellStyle name="40% - Accent2 2 7 2 3" xfId="12591" xr:uid="{3B8AEBEE-2D32-49CD-80CA-74EFFDD43034}"/>
    <cellStyle name="40% - Accent2 2 7 2 4" xfId="21032" xr:uid="{8F13F7AA-DFEA-426F-8C5F-563BFF84BA4F}"/>
    <cellStyle name="40% - Accent2 2 7 2 5" xfId="29472" xr:uid="{55FD7D5D-B56E-4C57-9410-E17D15E28494}"/>
    <cellStyle name="40% - Accent2 2 7 3" xfId="6214" xr:uid="{00000000-0005-0000-0000-0000AE040000}"/>
    <cellStyle name="40% - Accent2 2 7 3 2" xfId="14664" xr:uid="{DB848DFA-5C52-48EE-AB3A-1DC9BC3815D6}"/>
    <cellStyle name="40% - Accent2 2 7 3 3" xfId="23104" xr:uid="{2B27619D-FB18-4255-AEAE-55E061F4DAEF}"/>
    <cellStyle name="40% - Accent2 2 7 3 4" xfId="31544" xr:uid="{0100BD14-05E1-4713-9734-1B87B14B6F75}"/>
    <cellStyle name="40% - Accent2 2 7 4" xfId="10446" xr:uid="{B87B8293-0A3E-4536-B19C-6C9B349F7A9D}"/>
    <cellStyle name="40% - Accent2 2 7 5" xfId="18887" xr:uid="{B7D204C9-1EC5-43E4-93AA-27D942EEFAD8}"/>
    <cellStyle name="40% - Accent2 2 7 6" xfId="27327" xr:uid="{0190F866-0E99-4520-B3E5-D276DCF6B56C}"/>
    <cellStyle name="40% - Accent2 2 8" xfId="2321" xr:uid="{00000000-0005-0000-0000-0000AF040000}"/>
    <cellStyle name="40% - Accent2 2 8 2" xfId="6627" xr:uid="{00000000-0005-0000-0000-0000B0040000}"/>
    <cellStyle name="40% - Accent2 2 8 2 2" xfId="15077" xr:uid="{391E8013-D1F8-4959-97DF-926E596F00CD}"/>
    <cellStyle name="40% - Accent2 2 8 2 3" xfId="23517" xr:uid="{CF94E446-4558-41BA-AC7C-2ABF11BC9BCC}"/>
    <cellStyle name="40% - Accent2 2 8 2 4" xfId="31957" xr:uid="{617FEBCE-3D57-4BB7-BCA5-05AC95AEEA23}"/>
    <cellStyle name="40% - Accent2 2 8 3" xfId="10859" xr:uid="{5E3997AE-6DA4-4DB5-BB72-F1C181F16F6F}"/>
    <cellStyle name="40% - Accent2 2 8 4" xfId="19300" xr:uid="{60A69344-FB57-4F32-9656-45E760B9333E}"/>
    <cellStyle name="40% - Accent2 2 8 5" xfId="27740" xr:uid="{6DB4A872-9BE5-4FED-A9C1-8DFA859235F5}"/>
    <cellStyle name="40% - Accent2 2 9" xfId="4561" xr:uid="{00000000-0005-0000-0000-0000B1040000}"/>
    <cellStyle name="40% - Accent2 2 9 2" xfId="13011" xr:uid="{8C82CFDF-C1CD-4704-A599-E5486D9DFA90}"/>
    <cellStyle name="40% - Accent2 2 9 3" xfId="21451" xr:uid="{102ED2CC-31B6-4EEF-BD95-AB4AF2CFEDFB}"/>
    <cellStyle name="40% - Accent2 2 9 4" xfId="29891" xr:uid="{56ED5CFD-BB46-43EF-97C1-64D1F83BECE5}"/>
    <cellStyle name="40% - Accent2 3" xfId="62" xr:uid="{00000000-0005-0000-0000-0000B2040000}"/>
    <cellStyle name="40% - Accent2 3 10" xfId="17238" xr:uid="{3EF370E7-0B6F-4B9B-BAF1-B78BE056B4F9}"/>
    <cellStyle name="40% - Accent2 3 11" xfId="25678" xr:uid="{6D808856-1CF9-4DF7-AB03-30019BFF0675}"/>
    <cellStyle name="40% - Accent2 3 2" xfId="63" xr:uid="{00000000-0005-0000-0000-0000B3040000}"/>
    <cellStyle name="40% - Accent2 3 2 10" xfId="25679" xr:uid="{DDD03B01-4241-4502-B998-9B869FD8142B}"/>
    <cellStyle name="40% - Accent2 3 2 2" xfId="632" xr:uid="{00000000-0005-0000-0000-0000B4040000}"/>
    <cellStyle name="40% - Accent2 3 2 2 2" xfId="2903" xr:uid="{00000000-0005-0000-0000-0000B5040000}"/>
    <cellStyle name="40% - Accent2 3 2 2 2 2" xfId="7125" xr:uid="{00000000-0005-0000-0000-0000B6040000}"/>
    <cellStyle name="40% - Accent2 3 2 2 2 2 2" xfId="15575" xr:uid="{699AC3BF-90B9-400C-A81F-FF1C2FB14DF8}"/>
    <cellStyle name="40% - Accent2 3 2 2 2 2 3" xfId="24015" xr:uid="{0C33CDA1-6C72-40E9-9BAD-DE33263894E7}"/>
    <cellStyle name="40% - Accent2 3 2 2 2 2 4" xfId="32455" xr:uid="{6455BBDE-15C7-4926-A5D8-7225657D6E4A}"/>
    <cellStyle name="40% - Accent2 3 2 2 2 3" xfId="11357" xr:uid="{D8962ECB-A531-4477-95D4-94E127596933}"/>
    <cellStyle name="40% - Accent2 3 2 2 2 4" xfId="19798" xr:uid="{98C82281-BFC9-44C0-8BDB-3FDBD36138E4}"/>
    <cellStyle name="40% - Accent2 3 2 2 2 5" xfId="28238" xr:uid="{BC611E1D-544E-4436-97AF-183314B6ECCC}"/>
    <cellStyle name="40% - Accent2 3 2 2 3" xfId="4980" xr:uid="{00000000-0005-0000-0000-0000B7040000}"/>
    <cellStyle name="40% - Accent2 3 2 2 3 2" xfId="13430" xr:uid="{9470ADA8-7D97-4FF2-81A5-B982BAD9191E}"/>
    <cellStyle name="40% - Accent2 3 2 2 3 3" xfId="21870" xr:uid="{5A97014A-525B-4F0E-94EF-3EADA4B0AAEB}"/>
    <cellStyle name="40% - Accent2 3 2 2 3 4" xfId="30310" xr:uid="{3731EFE8-DF0C-4143-B042-D9279942AF1C}"/>
    <cellStyle name="40% - Accent2 3 2 2 4" xfId="9212" xr:uid="{035546E4-3F97-4955-88FF-CFBF19CBABB1}"/>
    <cellStyle name="40% - Accent2 3 2 2 5" xfId="17653" xr:uid="{87D68C28-4362-40F8-AF6F-1BA82888FE16}"/>
    <cellStyle name="40% - Accent2 3 2 2 6" xfId="26093" xr:uid="{B817E04C-DA47-4F9D-A6D7-12FC082F8C97}"/>
    <cellStyle name="40% - Accent2 3 2 3" xfId="1085" xr:uid="{00000000-0005-0000-0000-0000B8040000}"/>
    <cellStyle name="40% - Accent2 3 2 3 2" xfId="3316" xr:uid="{00000000-0005-0000-0000-0000B9040000}"/>
    <cellStyle name="40% - Accent2 3 2 3 2 2" xfId="7538" xr:uid="{00000000-0005-0000-0000-0000BA040000}"/>
    <cellStyle name="40% - Accent2 3 2 3 2 2 2" xfId="15988" xr:uid="{9E5C999B-4E30-47C4-AC3D-9A8FC2B864BC}"/>
    <cellStyle name="40% - Accent2 3 2 3 2 2 3" xfId="24428" xr:uid="{5E95F4CF-135C-45A8-96AC-467019D679A4}"/>
    <cellStyle name="40% - Accent2 3 2 3 2 2 4" xfId="32868" xr:uid="{E28C47B8-BE5F-4C50-ACEC-EC009170CC8A}"/>
    <cellStyle name="40% - Accent2 3 2 3 2 3" xfId="11770" xr:uid="{3598B675-7816-4231-B046-89B8F9CAE99F}"/>
    <cellStyle name="40% - Accent2 3 2 3 2 4" xfId="20211" xr:uid="{55E803C8-6DA4-4CC0-9001-E7306776EC7D}"/>
    <cellStyle name="40% - Accent2 3 2 3 2 5" xfId="28651" xr:uid="{423F4300-2C1C-44EB-A6C2-B1F936709999}"/>
    <cellStyle name="40% - Accent2 3 2 3 3" xfId="5393" xr:uid="{00000000-0005-0000-0000-0000BB040000}"/>
    <cellStyle name="40% - Accent2 3 2 3 3 2" xfId="13843" xr:uid="{AC94838A-84A4-46E2-97BA-6DB05E217DAD}"/>
    <cellStyle name="40% - Accent2 3 2 3 3 3" xfId="22283" xr:uid="{B4644944-018B-4D73-A986-BA82D5A88451}"/>
    <cellStyle name="40% - Accent2 3 2 3 3 4" xfId="30723" xr:uid="{33C82875-A244-4ECD-9AAF-5B4452F22B17}"/>
    <cellStyle name="40% - Accent2 3 2 3 4" xfId="9625" xr:uid="{F536249F-3734-493B-AF93-B40C8CE82DFF}"/>
    <cellStyle name="40% - Accent2 3 2 3 5" xfId="18066" xr:uid="{CA97BD67-1E92-4FC4-A1BF-3BA34A564AFB}"/>
    <cellStyle name="40% - Accent2 3 2 3 6" xfId="26506" xr:uid="{2C7338B9-F1D2-499F-8E18-DF979B043256}"/>
    <cellStyle name="40% - Accent2 3 2 4" xfId="1499" xr:uid="{00000000-0005-0000-0000-0000BC040000}"/>
    <cellStyle name="40% - Accent2 3 2 4 2" xfId="3729" xr:uid="{00000000-0005-0000-0000-0000BD040000}"/>
    <cellStyle name="40% - Accent2 3 2 4 2 2" xfId="7951" xr:uid="{00000000-0005-0000-0000-0000BE040000}"/>
    <cellStyle name="40% - Accent2 3 2 4 2 2 2" xfId="16401" xr:uid="{E52F5A8B-A412-4B74-80A1-33E211A63D17}"/>
    <cellStyle name="40% - Accent2 3 2 4 2 2 3" xfId="24841" xr:uid="{E178B651-EDAF-4726-B19A-D6ABFA6FEB8F}"/>
    <cellStyle name="40% - Accent2 3 2 4 2 2 4" xfId="33281" xr:uid="{363CED80-BAB2-43EF-810C-2EF9A1631F96}"/>
    <cellStyle name="40% - Accent2 3 2 4 2 3" xfId="12183" xr:uid="{15D64A08-FF9D-4637-B827-44071CE0456B}"/>
    <cellStyle name="40% - Accent2 3 2 4 2 4" xfId="20624" xr:uid="{E99A43F9-7FA8-4217-9E3A-9D6C6A8FFBCC}"/>
    <cellStyle name="40% - Accent2 3 2 4 2 5" xfId="29064" xr:uid="{198B0D45-ABB6-4744-90DC-3CE2157BFF7A}"/>
    <cellStyle name="40% - Accent2 3 2 4 3" xfId="5806" xr:uid="{00000000-0005-0000-0000-0000BF040000}"/>
    <cellStyle name="40% - Accent2 3 2 4 3 2" xfId="14256" xr:uid="{C4E238E6-92AC-4074-B434-5C3C010C6B27}"/>
    <cellStyle name="40% - Accent2 3 2 4 3 3" xfId="22696" xr:uid="{5AB65114-8677-4738-A8E9-E49AC6CDAB47}"/>
    <cellStyle name="40% - Accent2 3 2 4 3 4" xfId="31136" xr:uid="{14E659DF-5683-47CF-A9DE-9E3B43B3FAE1}"/>
    <cellStyle name="40% - Accent2 3 2 4 4" xfId="10038" xr:uid="{C7C5816E-6241-4177-BA93-1A35BAE739C8}"/>
    <cellStyle name="40% - Accent2 3 2 4 5" xfId="18479" xr:uid="{82AA890D-E7C8-4C86-956A-73FA012D5758}"/>
    <cellStyle name="40% - Accent2 3 2 4 6" xfId="26919" xr:uid="{D3A713ED-1CA4-4A46-A47A-0CBE384D8FC5}"/>
    <cellStyle name="40% - Accent2 3 2 5" xfId="1913" xr:uid="{00000000-0005-0000-0000-0000C0040000}"/>
    <cellStyle name="40% - Accent2 3 2 5 2" xfId="4142" xr:uid="{00000000-0005-0000-0000-0000C1040000}"/>
    <cellStyle name="40% - Accent2 3 2 5 2 2" xfId="8364" xr:uid="{00000000-0005-0000-0000-0000C2040000}"/>
    <cellStyle name="40% - Accent2 3 2 5 2 2 2" xfId="16814" xr:uid="{7F035D8C-DFE9-4A8B-9E98-47137F59A56C}"/>
    <cellStyle name="40% - Accent2 3 2 5 2 2 3" xfId="25254" xr:uid="{936038CA-30A1-499B-BFDA-C2F14FDF2872}"/>
    <cellStyle name="40% - Accent2 3 2 5 2 2 4" xfId="33694" xr:uid="{789BFC11-298B-41FD-B7D6-FE5B9D11B51D}"/>
    <cellStyle name="40% - Accent2 3 2 5 2 3" xfId="12596" xr:uid="{81DFB4C5-B7DF-49A6-89BF-61424D12A874}"/>
    <cellStyle name="40% - Accent2 3 2 5 2 4" xfId="21037" xr:uid="{12181189-4796-429A-8653-57A275956C46}"/>
    <cellStyle name="40% - Accent2 3 2 5 2 5" xfId="29477" xr:uid="{93834E77-A99C-4D17-943B-2E5EF9E5DAF3}"/>
    <cellStyle name="40% - Accent2 3 2 5 3" xfId="6219" xr:uid="{00000000-0005-0000-0000-0000C3040000}"/>
    <cellStyle name="40% - Accent2 3 2 5 3 2" xfId="14669" xr:uid="{6C8302BB-01CA-4C10-8992-CA48542C5169}"/>
    <cellStyle name="40% - Accent2 3 2 5 3 3" xfId="23109" xr:uid="{55A17FF9-F90F-4420-9982-087F7E8ADE07}"/>
    <cellStyle name="40% - Accent2 3 2 5 3 4" xfId="31549" xr:uid="{69098ED2-9D5C-43FB-BA44-A841E25750A5}"/>
    <cellStyle name="40% - Accent2 3 2 5 4" xfId="10451" xr:uid="{55A7D938-EBE8-4E55-BD68-8D9EE3BEED63}"/>
    <cellStyle name="40% - Accent2 3 2 5 5" xfId="18892" xr:uid="{A3512499-D5AE-48BA-9F1C-7BB0337530FE}"/>
    <cellStyle name="40% - Accent2 3 2 5 6" xfId="27332" xr:uid="{6574C689-8AB9-4271-9EA7-50C14E54CE29}"/>
    <cellStyle name="40% - Accent2 3 2 6" xfId="2326" xr:uid="{00000000-0005-0000-0000-0000C4040000}"/>
    <cellStyle name="40% - Accent2 3 2 6 2" xfId="6632" xr:uid="{00000000-0005-0000-0000-0000C5040000}"/>
    <cellStyle name="40% - Accent2 3 2 6 2 2" xfId="15082" xr:uid="{1B171F01-6DC8-423A-BFDA-153609114E25}"/>
    <cellStyle name="40% - Accent2 3 2 6 2 3" xfId="23522" xr:uid="{2E465C19-C54B-43E1-9412-56DC48AD29A7}"/>
    <cellStyle name="40% - Accent2 3 2 6 2 4" xfId="31962" xr:uid="{3992336B-F65A-486B-B000-708850D4AB5E}"/>
    <cellStyle name="40% - Accent2 3 2 6 3" xfId="10864" xr:uid="{FB766192-6A2C-42FC-BC3E-9A7DE6D620A5}"/>
    <cellStyle name="40% - Accent2 3 2 6 4" xfId="19305" xr:uid="{202DD261-C331-484C-B05A-D5C28026CF75}"/>
    <cellStyle name="40% - Accent2 3 2 6 5" xfId="27745" xr:uid="{E2D3B0D7-9EB9-44F5-8E02-765CC6662F8B}"/>
    <cellStyle name="40% - Accent2 3 2 7" xfId="4566" xr:uid="{00000000-0005-0000-0000-0000C6040000}"/>
    <cellStyle name="40% - Accent2 3 2 7 2" xfId="13016" xr:uid="{1FE8CB68-16B3-4776-9D24-41813D89E070}"/>
    <cellStyle name="40% - Accent2 3 2 7 3" xfId="21456" xr:uid="{6470F9A2-E521-4434-A692-AAEAD3D7FD7E}"/>
    <cellStyle name="40% - Accent2 3 2 7 4" xfId="29896" xr:uid="{3489A6C7-5054-4D60-9F1D-8D4DBAD7405A}"/>
    <cellStyle name="40% - Accent2 3 2 8" xfId="8798" xr:uid="{D2082C1D-CD02-4375-890F-9C242F695467}"/>
    <cellStyle name="40% - Accent2 3 2 9" xfId="17239" xr:uid="{A78E1225-EBE2-42DC-9957-603A827FF9CF}"/>
    <cellStyle name="40% - Accent2 3 3" xfId="631" xr:uid="{00000000-0005-0000-0000-0000C7040000}"/>
    <cellStyle name="40% - Accent2 3 3 2" xfId="2902" xr:uid="{00000000-0005-0000-0000-0000C8040000}"/>
    <cellStyle name="40% - Accent2 3 3 2 2" xfId="7124" xr:uid="{00000000-0005-0000-0000-0000C9040000}"/>
    <cellStyle name="40% - Accent2 3 3 2 2 2" xfId="15574" xr:uid="{DC3F59CE-B537-4E95-A45C-88C75CEE19D0}"/>
    <cellStyle name="40% - Accent2 3 3 2 2 3" xfId="24014" xr:uid="{0B2ACFE7-7FB4-45AD-95BA-B5EB007771C5}"/>
    <cellStyle name="40% - Accent2 3 3 2 2 4" xfId="32454" xr:uid="{D98A9035-2613-435C-820C-B32C7FE99463}"/>
    <cellStyle name="40% - Accent2 3 3 2 3" xfId="11356" xr:uid="{CA7981F4-BBA8-4C7A-A4E9-4E6E2945377E}"/>
    <cellStyle name="40% - Accent2 3 3 2 4" xfId="19797" xr:uid="{2828281A-ADC1-4F07-95D8-D3F83CE4E54B}"/>
    <cellStyle name="40% - Accent2 3 3 2 5" xfId="28237" xr:uid="{98E17FE7-BA5E-4FCE-BEC7-81C3FA0C0A0E}"/>
    <cellStyle name="40% - Accent2 3 3 3" xfId="4979" xr:uid="{00000000-0005-0000-0000-0000CA040000}"/>
    <cellStyle name="40% - Accent2 3 3 3 2" xfId="13429" xr:uid="{9BDE3C3A-FE42-4AEA-B810-7292A1ECE114}"/>
    <cellStyle name="40% - Accent2 3 3 3 3" xfId="21869" xr:uid="{7EF5936F-DD6B-49A3-89E3-B816FC076EE1}"/>
    <cellStyle name="40% - Accent2 3 3 3 4" xfId="30309" xr:uid="{5F0C3D7F-4C17-4EBB-8266-B0BA4272B02C}"/>
    <cellStyle name="40% - Accent2 3 3 4" xfId="9211" xr:uid="{31C1FB92-2AE0-4891-B6BD-8369041C9898}"/>
    <cellStyle name="40% - Accent2 3 3 5" xfId="17652" xr:uid="{C04C2A7F-BAF8-415E-AE9A-DCBA3B0249B0}"/>
    <cellStyle name="40% - Accent2 3 3 6" xfId="26092" xr:uid="{32A4DDB5-E92F-42D6-B652-690921C1B0B0}"/>
    <cellStyle name="40% - Accent2 3 4" xfId="1084" xr:uid="{00000000-0005-0000-0000-0000CB040000}"/>
    <cellStyle name="40% - Accent2 3 4 2" xfId="3315" xr:uid="{00000000-0005-0000-0000-0000CC040000}"/>
    <cellStyle name="40% - Accent2 3 4 2 2" xfId="7537" xr:uid="{00000000-0005-0000-0000-0000CD040000}"/>
    <cellStyle name="40% - Accent2 3 4 2 2 2" xfId="15987" xr:uid="{07535ECC-2EDD-4458-8F90-8AA471967EB1}"/>
    <cellStyle name="40% - Accent2 3 4 2 2 3" xfId="24427" xr:uid="{5D04F007-CD22-481D-AEEE-E33BBE1B6E0D}"/>
    <cellStyle name="40% - Accent2 3 4 2 2 4" xfId="32867" xr:uid="{A0207595-B1CC-44E2-B7B8-EF3F96B1861A}"/>
    <cellStyle name="40% - Accent2 3 4 2 3" xfId="11769" xr:uid="{83FCABB1-0F94-4AF6-97DE-456675DA082F}"/>
    <cellStyle name="40% - Accent2 3 4 2 4" xfId="20210" xr:uid="{0EEA5518-9A66-4E99-99A7-C6C626D16417}"/>
    <cellStyle name="40% - Accent2 3 4 2 5" xfId="28650" xr:uid="{CCD8BEA3-8100-42A0-92C1-FA3B58970CE2}"/>
    <cellStyle name="40% - Accent2 3 4 3" xfId="5392" xr:uid="{00000000-0005-0000-0000-0000CE040000}"/>
    <cellStyle name="40% - Accent2 3 4 3 2" xfId="13842" xr:uid="{C596896E-EA47-4915-9094-AF3EA668DB49}"/>
    <cellStyle name="40% - Accent2 3 4 3 3" xfId="22282" xr:uid="{9687E75A-7ED4-4410-B86C-1C8D0ACAF36B}"/>
    <cellStyle name="40% - Accent2 3 4 3 4" xfId="30722" xr:uid="{1EB5D945-5B4D-40C4-B390-B64D99CD1514}"/>
    <cellStyle name="40% - Accent2 3 4 4" xfId="9624" xr:uid="{0B499B1D-7C45-4B4F-BCDD-3A75CD8B6FD6}"/>
    <cellStyle name="40% - Accent2 3 4 5" xfId="18065" xr:uid="{3345D719-9FE3-46CF-9923-05218B28B770}"/>
    <cellStyle name="40% - Accent2 3 4 6" xfId="26505" xr:uid="{79DF3D27-14A5-4C1D-8548-FB5B14D5B7FB}"/>
    <cellStyle name="40% - Accent2 3 5" xfId="1498" xr:uid="{00000000-0005-0000-0000-0000CF040000}"/>
    <cellStyle name="40% - Accent2 3 5 2" xfId="3728" xr:uid="{00000000-0005-0000-0000-0000D0040000}"/>
    <cellStyle name="40% - Accent2 3 5 2 2" xfId="7950" xr:uid="{00000000-0005-0000-0000-0000D1040000}"/>
    <cellStyle name="40% - Accent2 3 5 2 2 2" xfId="16400" xr:uid="{3B937573-413C-4F36-A707-F88DB86063FC}"/>
    <cellStyle name="40% - Accent2 3 5 2 2 3" xfId="24840" xr:uid="{9D523D1D-62F7-4C71-B2E1-555D4C26484F}"/>
    <cellStyle name="40% - Accent2 3 5 2 2 4" xfId="33280" xr:uid="{034924F5-8C90-46BF-A74D-E33C28191015}"/>
    <cellStyle name="40% - Accent2 3 5 2 3" xfId="12182" xr:uid="{18010FF3-D646-4FB3-A58E-98EC4559AB5B}"/>
    <cellStyle name="40% - Accent2 3 5 2 4" xfId="20623" xr:uid="{547C13F4-A2DE-430F-BB64-8F32C413A89E}"/>
    <cellStyle name="40% - Accent2 3 5 2 5" xfId="29063" xr:uid="{D95DC53C-0C95-4996-8C84-57AF59B7BDD4}"/>
    <cellStyle name="40% - Accent2 3 5 3" xfId="5805" xr:uid="{00000000-0005-0000-0000-0000D2040000}"/>
    <cellStyle name="40% - Accent2 3 5 3 2" xfId="14255" xr:uid="{02551FB7-D3D0-4FB1-BF1A-631F2677BBEE}"/>
    <cellStyle name="40% - Accent2 3 5 3 3" xfId="22695" xr:uid="{E762E3EB-58E2-49C6-A1F2-77BA95D76879}"/>
    <cellStyle name="40% - Accent2 3 5 3 4" xfId="31135" xr:uid="{7F00D23F-DA15-459A-9E52-E15B794A1285}"/>
    <cellStyle name="40% - Accent2 3 5 4" xfId="10037" xr:uid="{B195D83E-9871-4CFF-8FCF-C0DCEC7AE95C}"/>
    <cellStyle name="40% - Accent2 3 5 5" xfId="18478" xr:uid="{6F03C9B2-E178-4964-8241-06A8EB35749E}"/>
    <cellStyle name="40% - Accent2 3 5 6" xfId="26918" xr:uid="{2BBA68BB-5C3A-40C3-B9FE-CA5312EAE931}"/>
    <cellStyle name="40% - Accent2 3 6" xfId="1912" xr:uid="{00000000-0005-0000-0000-0000D3040000}"/>
    <cellStyle name="40% - Accent2 3 6 2" xfId="4141" xr:uid="{00000000-0005-0000-0000-0000D4040000}"/>
    <cellStyle name="40% - Accent2 3 6 2 2" xfId="8363" xr:uid="{00000000-0005-0000-0000-0000D5040000}"/>
    <cellStyle name="40% - Accent2 3 6 2 2 2" xfId="16813" xr:uid="{A8CFC275-7C6E-4C87-AC22-0708189AF4ED}"/>
    <cellStyle name="40% - Accent2 3 6 2 2 3" xfId="25253" xr:uid="{DE80E7B3-19B0-4C82-A8B5-1A6635C14B60}"/>
    <cellStyle name="40% - Accent2 3 6 2 2 4" xfId="33693" xr:uid="{43511CCE-1E9B-4572-84FA-0EEEF4EEEDDC}"/>
    <cellStyle name="40% - Accent2 3 6 2 3" xfId="12595" xr:uid="{B53D2F71-5C04-4BBA-8167-358B9A187BF1}"/>
    <cellStyle name="40% - Accent2 3 6 2 4" xfId="21036" xr:uid="{C1A69F65-0447-4504-9739-C8DFB86057DE}"/>
    <cellStyle name="40% - Accent2 3 6 2 5" xfId="29476" xr:uid="{51C889BC-776C-4557-8D1A-F037556CCEFE}"/>
    <cellStyle name="40% - Accent2 3 6 3" xfId="6218" xr:uid="{00000000-0005-0000-0000-0000D6040000}"/>
    <cellStyle name="40% - Accent2 3 6 3 2" xfId="14668" xr:uid="{C7D900C8-2E42-423F-9C10-7CE7DFBB997A}"/>
    <cellStyle name="40% - Accent2 3 6 3 3" xfId="23108" xr:uid="{98179CB5-D9FC-4D1F-9822-7216AD14E3C2}"/>
    <cellStyle name="40% - Accent2 3 6 3 4" xfId="31548" xr:uid="{602ADEFF-1BCA-44D4-8AC2-7B67185F6D83}"/>
    <cellStyle name="40% - Accent2 3 6 4" xfId="10450" xr:uid="{674B3D07-EFAC-46A9-8F1E-62B732988805}"/>
    <cellStyle name="40% - Accent2 3 6 5" xfId="18891" xr:uid="{0F9712F2-36F8-4A9F-B6AB-4A71AAE198C7}"/>
    <cellStyle name="40% - Accent2 3 6 6" xfId="27331" xr:uid="{652B20FB-BCD4-48BD-8FB7-26A3FA4B437C}"/>
    <cellStyle name="40% - Accent2 3 7" xfId="2325" xr:uid="{00000000-0005-0000-0000-0000D7040000}"/>
    <cellStyle name="40% - Accent2 3 7 2" xfId="6631" xr:uid="{00000000-0005-0000-0000-0000D8040000}"/>
    <cellStyle name="40% - Accent2 3 7 2 2" xfId="15081" xr:uid="{6BD0F70A-B1BB-4E32-9CB7-43378D073AC2}"/>
    <cellStyle name="40% - Accent2 3 7 2 3" xfId="23521" xr:uid="{1D0C68FC-F8B2-47D0-B73F-54AA54EC4A33}"/>
    <cellStyle name="40% - Accent2 3 7 2 4" xfId="31961" xr:uid="{55D59F77-9E72-45B8-AF20-034B2BCB8A32}"/>
    <cellStyle name="40% - Accent2 3 7 3" xfId="10863" xr:uid="{436BED7D-5ABE-4CAD-913E-4E2E13C50939}"/>
    <cellStyle name="40% - Accent2 3 7 4" xfId="19304" xr:uid="{03EB55F4-14A6-4DEE-8009-385BDFF2ECE1}"/>
    <cellStyle name="40% - Accent2 3 7 5" xfId="27744" xr:uid="{12B32391-A40C-4BBD-9DBB-0ECD8C6463AB}"/>
    <cellStyle name="40% - Accent2 3 8" xfId="4565" xr:uid="{00000000-0005-0000-0000-0000D9040000}"/>
    <cellStyle name="40% - Accent2 3 8 2" xfId="13015" xr:uid="{EC701955-BB5E-435D-A0F1-E77C88B4DB39}"/>
    <cellStyle name="40% - Accent2 3 8 3" xfId="21455" xr:uid="{6FBA07F1-9A1A-4FD7-9006-AD6D68B8858F}"/>
    <cellStyle name="40% - Accent2 3 8 4" xfId="29895" xr:uid="{A9643DE5-87CA-4379-8637-F647974E1B10}"/>
    <cellStyle name="40% - Accent2 3 9" xfId="8797" xr:uid="{D67195B0-4772-4737-A6BB-D82C60B83F71}"/>
    <cellStyle name="40% - Accent2 4" xfId="64" xr:uid="{00000000-0005-0000-0000-0000DA040000}"/>
    <cellStyle name="40% - Accent2 4 10" xfId="25680" xr:uid="{BC07E986-0291-470F-AE22-985CD3C6C39D}"/>
    <cellStyle name="40% - Accent2 4 2" xfId="633" xr:uid="{00000000-0005-0000-0000-0000DB040000}"/>
    <cellStyle name="40% - Accent2 4 2 2" xfId="2904" xr:uid="{00000000-0005-0000-0000-0000DC040000}"/>
    <cellStyle name="40% - Accent2 4 2 2 2" xfId="7126" xr:uid="{00000000-0005-0000-0000-0000DD040000}"/>
    <cellStyle name="40% - Accent2 4 2 2 2 2" xfId="15576" xr:uid="{56334021-3EB2-4D0B-B7E4-74123E5FEE6C}"/>
    <cellStyle name="40% - Accent2 4 2 2 2 3" xfId="24016" xr:uid="{44032631-B8A8-4307-BD20-0656308C138C}"/>
    <cellStyle name="40% - Accent2 4 2 2 2 4" xfId="32456" xr:uid="{EA6419F3-9583-408A-8CEC-FA78885D2B0D}"/>
    <cellStyle name="40% - Accent2 4 2 2 3" xfId="11358" xr:uid="{36F4F4AF-1386-4BC3-A13F-2977632D6B5B}"/>
    <cellStyle name="40% - Accent2 4 2 2 4" xfId="19799" xr:uid="{C9C7A07E-79E9-42DC-B6AB-BB2D973482F2}"/>
    <cellStyle name="40% - Accent2 4 2 2 5" xfId="28239" xr:uid="{3A79801D-8581-420B-A39F-7DB6072C8D25}"/>
    <cellStyle name="40% - Accent2 4 2 3" xfId="4981" xr:uid="{00000000-0005-0000-0000-0000DE040000}"/>
    <cellStyle name="40% - Accent2 4 2 3 2" xfId="13431" xr:uid="{C42BF65C-CC41-4D1F-BEE7-A67747E51302}"/>
    <cellStyle name="40% - Accent2 4 2 3 3" xfId="21871" xr:uid="{C890E2B5-5B0B-4CD6-A794-CC97F578E02C}"/>
    <cellStyle name="40% - Accent2 4 2 3 4" xfId="30311" xr:uid="{3E03F6E8-F3CD-4B71-B4CE-1EC582A30948}"/>
    <cellStyle name="40% - Accent2 4 2 4" xfId="9213" xr:uid="{8D3BC44C-F182-4541-8D8E-D9DF2C20F809}"/>
    <cellStyle name="40% - Accent2 4 2 5" xfId="17654" xr:uid="{59FEFAC4-C14A-445A-B65A-068AA1845C71}"/>
    <cellStyle name="40% - Accent2 4 2 6" xfId="26094" xr:uid="{F95467CA-D259-4BDC-AA02-438E208CFC2C}"/>
    <cellStyle name="40% - Accent2 4 3" xfId="1086" xr:uid="{00000000-0005-0000-0000-0000DF040000}"/>
    <cellStyle name="40% - Accent2 4 3 2" xfId="3317" xr:uid="{00000000-0005-0000-0000-0000E0040000}"/>
    <cellStyle name="40% - Accent2 4 3 2 2" xfId="7539" xr:uid="{00000000-0005-0000-0000-0000E1040000}"/>
    <cellStyle name="40% - Accent2 4 3 2 2 2" xfId="15989" xr:uid="{304E7AC3-FCC1-4334-9D94-7BFE17506B9E}"/>
    <cellStyle name="40% - Accent2 4 3 2 2 3" xfId="24429" xr:uid="{751B6A67-9710-4AD0-8619-75DCA31A5E12}"/>
    <cellStyle name="40% - Accent2 4 3 2 2 4" xfId="32869" xr:uid="{A4BBFF78-1210-45F1-BB45-82F6D36B85E9}"/>
    <cellStyle name="40% - Accent2 4 3 2 3" xfId="11771" xr:uid="{65B04BF7-A529-4915-93C5-6EC252B51F46}"/>
    <cellStyle name="40% - Accent2 4 3 2 4" xfId="20212" xr:uid="{42CDC59A-40B8-407F-9CB2-DC8A8232E560}"/>
    <cellStyle name="40% - Accent2 4 3 2 5" xfId="28652" xr:uid="{970003CC-E006-48E0-A916-8CD22BB9EF4F}"/>
    <cellStyle name="40% - Accent2 4 3 3" xfId="5394" xr:uid="{00000000-0005-0000-0000-0000E2040000}"/>
    <cellStyle name="40% - Accent2 4 3 3 2" xfId="13844" xr:uid="{2DDDDD05-61FE-46B3-868F-6FEB2E9C24CF}"/>
    <cellStyle name="40% - Accent2 4 3 3 3" xfId="22284" xr:uid="{36F45423-2712-4268-8D55-F31563EE6FFD}"/>
    <cellStyle name="40% - Accent2 4 3 3 4" xfId="30724" xr:uid="{645CE49F-6150-4F72-BBF8-A733A55F060F}"/>
    <cellStyle name="40% - Accent2 4 3 4" xfId="9626" xr:uid="{CD25B492-BBB7-4495-91FB-4EBE510BF2E4}"/>
    <cellStyle name="40% - Accent2 4 3 5" xfId="18067" xr:uid="{EBE63A00-CA15-4EB0-9071-0F2617A992E1}"/>
    <cellStyle name="40% - Accent2 4 3 6" xfId="26507" xr:uid="{4DD4C8B5-F857-435E-A78B-3278AE994B0A}"/>
    <cellStyle name="40% - Accent2 4 4" xfId="1500" xr:uid="{00000000-0005-0000-0000-0000E3040000}"/>
    <cellStyle name="40% - Accent2 4 4 2" xfId="3730" xr:uid="{00000000-0005-0000-0000-0000E4040000}"/>
    <cellStyle name="40% - Accent2 4 4 2 2" xfId="7952" xr:uid="{00000000-0005-0000-0000-0000E5040000}"/>
    <cellStyle name="40% - Accent2 4 4 2 2 2" xfId="16402" xr:uid="{C7057805-2E87-4D1D-8F3B-D80DDFAE91B5}"/>
    <cellStyle name="40% - Accent2 4 4 2 2 3" xfId="24842" xr:uid="{4600344C-864A-400C-A9FE-526C521A3D80}"/>
    <cellStyle name="40% - Accent2 4 4 2 2 4" xfId="33282" xr:uid="{9213E29B-BEFC-40F2-9D5A-3D50F670E322}"/>
    <cellStyle name="40% - Accent2 4 4 2 3" xfId="12184" xr:uid="{B95814D7-7D73-47C6-A6DE-71F82B78DC03}"/>
    <cellStyle name="40% - Accent2 4 4 2 4" xfId="20625" xr:uid="{1FEC2886-AF48-4004-B52F-9F469C452EDB}"/>
    <cellStyle name="40% - Accent2 4 4 2 5" xfId="29065" xr:uid="{26E3CB8C-A53B-4628-A6BC-AA38CEC37C82}"/>
    <cellStyle name="40% - Accent2 4 4 3" xfId="5807" xr:uid="{00000000-0005-0000-0000-0000E6040000}"/>
    <cellStyle name="40% - Accent2 4 4 3 2" xfId="14257" xr:uid="{A5AD923C-DCB2-4568-A58A-13B49C659E3C}"/>
    <cellStyle name="40% - Accent2 4 4 3 3" xfId="22697" xr:uid="{33A768E3-34B5-48FE-AACA-9788E9A7206C}"/>
    <cellStyle name="40% - Accent2 4 4 3 4" xfId="31137" xr:uid="{4AAD20A4-207B-4940-A501-553ADB3B1E38}"/>
    <cellStyle name="40% - Accent2 4 4 4" xfId="10039" xr:uid="{458EBB72-8513-419D-AF22-DB52A5BD3159}"/>
    <cellStyle name="40% - Accent2 4 4 5" xfId="18480" xr:uid="{D41FF1FA-3C50-4E51-8BE5-60152E68C0CD}"/>
    <cellStyle name="40% - Accent2 4 4 6" xfId="26920" xr:uid="{1BA07CF7-F6B9-4E23-B91B-6149B3DE63FA}"/>
    <cellStyle name="40% - Accent2 4 5" xfId="1914" xr:uid="{00000000-0005-0000-0000-0000E7040000}"/>
    <cellStyle name="40% - Accent2 4 5 2" xfId="4143" xr:uid="{00000000-0005-0000-0000-0000E8040000}"/>
    <cellStyle name="40% - Accent2 4 5 2 2" xfId="8365" xr:uid="{00000000-0005-0000-0000-0000E9040000}"/>
    <cellStyle name="40% - Accent2 4 5 2 2 2" xfId="16815" xr:uid="{7B934DA8-6099-4993-BCFD-A9E9F1065E11}"/>
    <cellStyle name="40% - Accent2 4 5 2 2 3" xfId="25255" xr:uid="{63F1B90C-A55C-43C6-9E78-9DEC370AC271}"/>
    <cellStyle name="40% - Accent2 4 5 2 2 4" xfId="33695" xr:uid="{4D483228-2E62-4825-9A4C-FB56023AFDEC}"/>
    <cellStyle name="40% - Accent2 4 5 2 3" xfId="12597" xr:uid="{453A38E7-90BE-49AC-A521-625FE39911A2}"/>
    <cellStyle name="40% - Accent2 4 5 2 4" xfId="21038" xr:uid="{BE2D34C0-884F-46A4-A4B3-24A71D0533DD}"/>
    <cellStyle name="40% - Accent2 4 5 2 5" xfId="29478" xr:uid="{692B4450-06C5-4F60-8E2F-0E6759CC728E}"/>
    <cellStyle name="40% - Accent2 4 5 3" xfId="6220" xr:uid="{00000000-0005-0000-0000-0000EA040000}"/>
    <cellStyle name="40% - Accent2 4 5 3 2" xfId="14670" xr:uid="{BEA53877-B187-4399-B454-11F56A04489F}"/>
    <cellStyle name="40% - Accent2 4 5 3 3" xfId="23110" xr:uid="{440337E9-110F-4746-830D-4CCB0055B05E}"/>
    <cellStyle name="40% - Accent2 4 5 3 4" xfId="31550" xr:uid="{6EAF3EC8-4702-4ECC-A751-5BAD0037FF5C}"/>
    <cellStyle name="40% - Accent2 4 5 4" xfId="10452" xr:uid="{F767B6F7-B9DD-4154-995E-2AC5DD32531E}"/>
    <cellStyle name="40% - Accent2 4 5 5" xfId="18893" xr:uid="{6CD8549D-2D4E-435F-9C4D-222DCD227070}"/>
    <cellStyle name="40% - Accent2 4 5 6" xfId="27333" xr:uid="{9C338118-B464-4FAE-B78E-DA50256DE6C8}"/>
    <cellStyle name="40% - Accent2 4 6" xfId="2327" xr:uid="{00000000-0005-0000-0000-0000EB040000}"/>
    <cellStyle name="40% - Accent2 4 6 2" xfId="6633" xr:uid="{00000000-0005-0000-0000-0000EC040000}"/>
    <cellStyle name="40% - Accent2 4 6 2 2" xfId="15083" xr:uid="{C927F48C-25E4-473F-A1F3-1EA3A2A79A1E}"/>
    <cellStyle name="40% - Accent2 4 6 2 3" xfId="23523" xr:uid="{CE5F0617-B8A0-42F5-B5A1-01BDA5CF85A2}"/>
    <cellStyle name="40% - Accent2 4 6 2 4" xfId="31963" xr:uid="{332030C9-BC9B-4688-B598-99DB2F1A8835}"/>
    <cellStyle name="40% - Accent2 4 6 3" xfId="10865" xr:uid="{BCDBEBBA-1622-498C-BE26-F0BCD60FF395}"/>
    <cellStyle name="40% - Accent2 4 6 4" xfId="19306" xr:uid="{DE38E611-2D42-4F91-9997-E9D5B854044C}"/>
    <cellStyle name="40% - Accent2 4 6 5" xfId="27746" xr:uid="{8294165A-2A54-4378-B8DB-F096D9001B65}"/>
    <cellStyle name="40% - Accent2 4 7" xfId="4567" xr:uid="{00000000-0005-0000-0000-0000ED040000}"/>
    <cellStyle name="40% - Accent2 4 7 2" xfId="13017" xr:uid="{8283B7C7-0454-419A-8717-AA2C2E5F758D}"/>
    <cellStyle name="40% - Accent2 4 7 3" xfId="21457" xr:uid="{1B7AD51E-1820-4795-ADF2-35ABA7BD41F3}"/>
    <cellStyle name="40% - Accent2 4 7 4" xfId="29897" xr:uid="{30F04AFD-0858-4E57-89A8-04D2678A55C5}"/>
    <cellStyle name="40% - Accent2 4 8" xfId="8799" xr:uid="{EB931198-030C-4DF2-9664-40B373D15AEB}"/>
    <cellStyle name="40% - Accent2 4 9" xfId="17240" xr:uid="{46944092-E7CF-46CE-BCAD-90D6003AB754}"/>
    <cellStyle name="40% - Accent2 5" xfId="626" xr:uid="{00000000-0005-0000-0000-0000EE040000}"/>
    <cellStyle name="40% - Accent2 5 2" xfId="2897" xr:uid="{00000000-0005-0000-0000-0000EF040000}"/>
    <cellStyle name="40% - Accent2 5 2 2" xfId="7119" xr:uid="{00000000-0005-0000-0000-0000F0040000}"/>
    <cellStyle name="40% - Accent2 5 2 2 2" xfId="15569" xr:uid="{61407488-2451-43DD-BAB0-62C139C728D3}"/>
    <cellStyle name="40% - Accent2 5 2 2 3" xfId="24009" xr:uid="{B0C59C51-97D2-4555-AD75-7D0A071F6751}"/>
    <cellStyle name="40% - Accent2 5 2 2 4" xfId="32449" xr:uid="{790D3157-5B1B-4227-A837-CE4536DDAD64}"/>
    <cellStyle name="40% - Accent2 5 2 3" xfId="11351" xr:uid="{66A8487E-9D08-4CF8-8CDD-ACEF032BCC90}"/>
    <cellStyle name="40% - Accent2 5 2 4" xfId="19792" xr:uid="{69802A9F-32C6-4E9A-BC6A-50BDF64AE272}"/>
    <cellStyle name="40% - Accent2 5 2 5" xfId="28232" xr:uid="{9AAFABB6-D240-45EA-A7E4-B9AC76116CF0}"/>
    <cellStyle name="40% - Accent2 5 3" xfId="4974" xr:uid="{00000000-0005-0000-0000-0000F1040000}"/>
    <cellStyle name="40% - Accent2 5 3 2" xfId="13424" xr:uid="{C6AB5DEA-3337-41AE-9598-FC81DAC4EDD4}"/>
    <cellStyle name="40% - Accent2 5 3 3" xfId="21864" xr:uid="{190B147B-C4D3-4B65-8038-861BE9CE6EEC}"/>
    <cellStyle name="40% - Accent2 5 3 4" xfId="30304" xr:uid="{172F1884-4D77-4CF5-A1CF-FFBC5D497C86}"/>
    <cellStyle name="40% - Accent2 5 4" xfId="9206" xr:uid="{47771498-E876-4E35-B658-41549C166933}"/>
    <cellStyle name="40% - Accent2 5 5" xfId="17647" xr:uid="{74B566CA-B8FE-4497-A03C-1CEDE6A4AD56}"/>
    <cellStyle name="40% - Accent2 5 6" xfId="26087" xr:uid="{AB3FAECC-46D4-428B-84C8-CD36B6023EFA}"/>
    <cellStyle name="40% - Accent2 6" xfId="1079" xr:uid="{00000000-0005-0000-0000-0000F2040000}"/>
    <cellStyle name="40% - Accent2 6 2" xfId="3310" xr:uid="{00000000-0005-0000-0000-0000F3040000}"/>
    <cellStyle name="40% - Accent2 6 2 2" xfId="7532" xr:uid="{00000000-0005-0000-0000-0000F4040000}"/>
    <cellStyle name="40% - Accent2 6 2 2 2" xfId="15982" xr:uid="{2C77EB1A-CE8C-4E0F-B0DC-9B8D871B6376}"/>
    <cellStyle name="40% - Accent2 6 2 2 3" xfId="24422" xr:uid="{861440F0-312B-4756-9750-F7AB93AF9D20}"/>
    <cellStyle name="40% - Accent2 6 2 2 4" xfId="32862" xr:uid="{BC02DAD1-2B3C-4982-9EA3-D2467D17E4A8}"/>
    <cellStyle name="40% - Accent2 6 2 3" xfId="11764" xr:uid="{538686CB-4F64-49AD-BF4D-36CF8577F609}"/>
    <cellStyle name="40% - Accent2 6 2 4" xfId="20205" xr:uid="{88C3BAAF-8B80-4D8C-B15E-07DEB4C5EAAE}"/>
    <cellStyle name="40% - Accent2 6 2 5" xfId="28645" xr:uid="{F56BB924-4ED7-473E-BCF4-093710087A42}"/>
    <cellStyle name="40% - Accent2 6 3" xfId="5387" xr:uid="{00000000-0005-0000-0000-0000F5040000}"/>
    <cellStyle name="40% - Accent2 6 3 2" xfId="13837" xr:uid="{86365FDA-894D-457C-AEC5-33D73D2FD8B2}"/>
    <cellStyle name="40% - Accent2 6 3 3" xfId="22277" xr:uid="{C690B967-ADD2-4962-AA33-77A42D8708EC}"/>
    <cellStyle name="40% - Accent2 6 3 4" xfId="30717" xr:uid="{17A7B995-4876-4033-9679-F30C8F2C724A}"/>
    <cellStyle name="40% - Accent2 6 4" xfId="9619" xr:uid="{CA5A025E-AE12-4869-80E8-19B43FC3B9F9}"/>
    <cellStyle name="40% - Accent2 6 5" xfId="18060" xr:uid="{4B66176B-5F43-49CC-84E7-7E9E9588E300}"/>
    <cellStyle name="40% - Accent2 6 6" xfId="26500" xr:uid="{0E354FEC-9B6F-4B59-B083-FB768F581A4D}"/>
    <cellStyle name="40% - Accent2 7" xfId="1493" xr:uid="{00000000-0005-0000-0000-0000F6040000}"/>
    <cellStyle name="40% - Accent2 7 2" xfId="3723" xr:uid="{00000000-0005-0000-0000-0000F7040000}"/>
    <cellStyle name="40% - Accent2 7 2 2" xfId="7945" xr:uid="{00000000-0005-0000-0000-0000F8040000}"/>
    <cellStyle name="40% - Accent2 7 2 2 2" xfId="16395" xr:uid="{FFB3ED11-F901-40C7-9C6F-D3073EDAA54C}"/>
    <cellStyle name="40% - Accent2 7 2 2 3" xfId="24835" xr:uid="{4A13F70D-70FC-4128-B1FB-290D7864C3BC}"/>
    <cellStyle name="40% - Accent2 7 2 2 4" xfId="33275" xr:uid="{87584C7B-05CB-4C83-AAF4-E6D2DE30270E}"/>
    <cellStyle name="40% - Accent2 7 2 3" xfId="12177" xr:uid="{D3AFCC92-097B-4B39-AB13-AAE946EB1CFF}"/>
    <cellStyle name="40% - Accent2 7 2 4" xfId="20618" xr:uid="{C4037BA5-2B6B-48B9-8688-36F0A5C94AC2}"/>
    <cellStyle name="40% - Accent2 7 2 5" xfId="29058" xr:uid="{3DBD8B6F-B380-4FD6-935B-EE5E274275CD}"/>
    <cellStyle name="40% - Accent2 7 3" xfId="5800" xr:uid="{00000000-0005-0000-0000-0000F9040000}"/>
    <cellStyle name="40% - Accent2 7 3 2" xfId="14250" xr:uid="{964C911D-9D3C-4EB4-ABFA-C053B1A0F413}"/>
    <cellStyle name="40% - Accent2 7 3 3" xfId="22690" xr:uid="{9D8B4A85-F5FF-415A-BF8E-62B8563F08D1}"/>
    <cellStyle name="40% - Accent2 7 3 4" xfId="31130" xr:uid="{DCC1F658-38DB-4CED-BCB0-89EE2B497DA1}"/>
    <cellStyle name="40% - Accent2 7 4" xfId="10032" xr:uid="{6860B336-45CF-421E-A848-731A660273B4}"/>
    <cellStyle name="40% - Accent2 7 5" xfId="18473" xr:uid="{FDC74897-F990-46C0-B16D-ABD55DB385F6}"/>
    <cellStyle name="40% - Accent2 7 6" xfId="26913" xr:uid="{19BABD84-03B4-456E-8E97-6E20DE5A7B8C}"/>
    <cellStyle name="40% - Accent2 8" xfId="1907" xr:uid="{00000000-0005-0000-0000-0000FA040000}"/>
    <cellStyle name="40% - Accent2 8 2" xfId="4136" xr:uid="{00000000-0005-0000-0000-0000FB040000}"/>
    <cellStyle name="40% - Accent2 8 2 2" xfId="8358" xr:uid="{00000000-0005-0000-0000-0000FC040000}"/>
    <cellStyle name="40% - Accent2 8 2 2 2" xfId="16808" xr:uid="{D68F78EA-679B-445E-A400-38BDA3FB0C75}"/>
    <cellStyle name="40% - Accent2 8 2 2 3" xfId="25248" xr:uid="{60FF9FA0-378A-4487-B804-DBA169861ADB}"/>
    <cellStyle name="40% - Accent2 8 2 2 4" xfId="33688" xr:uid="{971EEFC2-7D3D-4378-B321-7A440D23D6DF}"/>
    <cellStyle name="40% - Accent2 8 2 3" xfId="12590" xr:uid="{9E3A207E-25BD-4B3C-A399-E7E9E03D445E}"/>
    <cellStyle name="40% - Accent2 8 2 4" xfId="21031" xr:uid="{C76C3F91-C6A9-4E8B-BE0D-FD5E47B08466}"/>
    <cellStyle name="40% - Accent2 8 2 5" xfId="29471" xr:uid="{232BC724-E728-47F8-9F30-E037198D8EF8}"/>
    <cellStyle name="40% - Accent2 8 3" xfId="6213" xr:uid="{00000000-0005-0000-0000-0000FD040000}"/>
    <cellStyle name="40% - Accent2 8 3 2" xfId="14663" xr:uid="{C757382D-77AB-42B3-9E1A-82F22B7D0A83}"/>
    <cellStyle name="40% - Accent2 8 3 3" xfId="23103" xr:uid="{F2471FA5-D932-4183-A949-02DA14112B99}"/>
    <cellStyle name="40% - Accent2 8 3 4" xfId="31543" xr:uid="{434D498C-234D-447A-B721-966BCBFBB345}"/>
    <cellStyle name="40% - Accent2 8 4" xfId="10445" xr:uid="{55572A3C-1323-497E-97C5-C5B8DB69B51C}"/>
    <cellStyle name="40% - Accent2 8 5" xfId="18886" xr:uid="{165F09F2-6D0A-4260-B6A7-3A967B152268}"/>
    <cellStyle name="40% - Accent2 8 6" xfId="27326" xr:uid="{512F78BD-E867-4C87-ADBB-E8D0C6E8B39D}"/>
    <cellStyle name="40% - Accent2 9" xfId="2320" xr:uid="{00000000-0005-0000-0000-0000FE040000}"/>
    <cellStyle name="40% - Accent2 9 2" xfId="6626" xr:uid="{00000000-0005-0000-0000-0000FF040000}"/>
    <cellStyle name="40% - Accent2 9 2 2" xfId="15076" xr:uid="{F45387F7-6EFF-4202-A446-F61B64770509}"/>
    <cellStyle name="40% - Accent2 9 2 3" xfId="23516" xr:uid="{C8ED88CA-236E-4DD0-8E67-D659043E8F49}"/>
    <cellStyle name="40% - Accent2 9 2 4" xfId="31956" xr:uid="{E5835019-7DFA-4141-A1F0-2A9BEF7D1439}"/>
    <cellStyle name="40% - Accent2 9 3" xfId="10858" xr:uid="{6BB41EDD-CAEC-44F0-83E6-1EEBC68CD29E}"/>
    <cellStyle name="40% - Accent2 9 4" xfId="19299" xr:uid="{D5DE5A46-78C3-4B1D-9529-19AA38DF9868}"/>
    <cellStyle name="40% - Accent2 9 5" xfId="27739" xr:uid="{A35D523D-8811-47B8-9105-06E388BB3D81}"/>
    <cellStyle name="40% - Accent3" xfId="65" builtinId="39" customBuiltin="1"/>
    <cellStyle name="40% - Accent3 10" xfId="4568" xr:uid="{00000000-0005-0000-0000-000001050000}"/>
    <cellStyle name="40% - Accent3 10 2" xfId="13018" xr:uid="{7A8AC30D-D1EC-4973-AC4F-0617C90B4104}"/>
    <cellStyle name="40% - Accent3 10 3" xfId="21458" xr:uid="{AC0BDDC1-C57D-4878-896A-692245677564}"/>
    <cellStyle name="40% - Accent3 10 4" xfId="29898" xr:uid="{806A97EC-C52F-4522-9B9C-69BB3B8FDBC2}"/>
    <cellStyle name="40% - Accent3 11" xfId="8800" xr:uid="{211D564F-6E95-426D-8363-9D54F03BA480}"/>
    <cellStyle name="40% - Accent3 12" xfId="17241" xr:uid="{4797EA7E-CA63-43EA-BB6D-CF35BEFEE6A0}"/>
    <cellStyle name="40% - Accent3 13" xfId="25681" xr:uid="{35F50ADA-B131-43BE-BCB9-2CAA0C6F34F6}"/>
    <cellStyle name="40% - Accent3 2" xfId="66" xr:uid="{00000000-0005-0000-0000-000002050000}"/>
    <cellStyle name="40% - Accent3 2 10" xfId="8801" xr:uid="{7A7DE011-21BD-4878-A55D-5678158E23C7}"/>
    <cellStyle name="40% - Accent3 2 11" xfId="17242" xr:uid="{3A01584F-EF8A-4949-9D88-8B7E3D706669}"/>
    <cellStyle name="40% - Accent3 2 12" xfId="25682" xr:uid="{C76787DB-F8A7-464A-BEBA-2C5BE4C2FF7E}"/>
    <cellStyle name="40% - Accent3 2 2" xfId="67" xr:uid="{00000000-0005-0000-0000-000003050000}"/>
    <cellStyle name="40% - Accent3 2 2 10" xfId="17243" xr:uid="{DB05C54C-13CF-44A7-B9A4-168F47A025DB}"/>
    <cellStyle name="40% - Accent3 2 2 11" xfId="25683" xr:uid="{8094102C-BDF3-4F3A-8CA9-0251286D06D3}"/>
    <cellStyle name="40% - Accent3 2 2 2" xfId="68" xr:uid="{00000000-0005-0000-0000-000004050000}"/>
    <cellStyle name="40% - Accent3 2 2 2 10" xfId="25684" xr:uid="{68A6A0AF-30F5-4926-8A5C-462630B53FF4}"/>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2 2 2" xfId="15580" xr:uid="{A12D1306-2530-4F51-8E06-BD2CBB18BE97}"/>
    <cellStyle name="40% - Accent3 2 2 2 2 2 2 3" xfId="24020" xr:uid="{B5F74559-5972-476B-8ADA-EBF0F1E429CC}"/>
    <cellStyle name="40% - Accent3 2 2 2 2 2 2 4" xfId="32460" xr:uid="{72D21A46-29A8-44BA-AE2D-7A7ABFC544F6}"/>
    <cellStyle name="40% - Accent3 2 2 2 2 2 3" xfId="11362" xr:uid="{24707A75-6EFA-41AF-A594-5CBBE65A0B41}"/>
    <cellStyle name="40% - Accent3 2 2 2 2 2 4" xfId="19803" xr:uid="{034C5ACD-8510-4E4F-B87F-3DD6BE3E4AE7}"/>
    <cellStyle name="40% - Accent3 2 2 2 2 2 5" xfId="28243" xr:uid="{954F9E4B-843B-4D07-86B6-C211D772FB80}"/>
    <cellStyle name="40% - Accent3 2 2 2 2 3" xfId="4985" xr:uid="{00000000-0005-0000-0000-000008050000}"/>
    <cellStyle name="40% - Accent3 2 2 2 2 3 2" xfId="13435" xr:uid="{94A80D18-1211-45F5-8C35-B730E869427C}"/>
    <cellStyle name="40% - Accent3 2 2 2 2 3 3" xfId="21875" xr:uid="{C60A656D-7AA1-4546-B51D-ECC7F2547211}"/>
    <cellStyle name="40% - Accent3 2 2 2 2 3 4" xfId="30315" xr:uid="{AF8D2897-0A3C-4DF4-A8FF-B89A2DC49BDE}"/>
    <cellStyle name="40% - Accent3 2 2 2 2 4" xfId="9217" xr:uid="{1B5428FD-6F83-4459-B0A0-BA21502A2B43}"/>
    <cellStyle name="40% - Accent3 2 2 2 2 5" xfId="17658" xr:uid="{6FA50516-A0E8-41DB-ABC3-E35182B11CB3}"/>
    <cellStyle name="40% - Accent3 2 2 2 2 6" xfId="26098" xr:uid="{B08CAB8C-0798-4DCA-8DC9-8F983272618E}"/>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2 2 2" xfId="15993" xr:uid="{C56EE4CC-520F-4A79-811B-5CBAFDAF4090}"/>
    <cellStyle name="40% - Accent3 2 2 2 3 2 2 3" xfId="24433" xr:uid="{30B9A29E-EB31-490D-BEEC-568D12EC2095}"/>
    <cellStyle name="40% - Accent3 2 2 2 3 2 2 4" xfId="32873" xr:uid="{E816FC93-605A-4370-97E9-FE77BBAFC52F}"/>
    <cellStyle name="40% - Accent3 2 2 2 3 2 3" xfId="11775" xr:uid="{0EC740C7-2741-46AE-B7B3-B235ED340AF6}"/>
    <cellStyle name="40% - Accent3 2 2 2 3 2 4" xfId="20216" xr:uid="{73631572-CE2F-4953-A7B3-ACA0BBBF0F09}"/>
    <cellStyle name="40% - Accent3 2 2 2 3 2 5" xfId="28656" xr:uid="{1B0F3625-3A0B-4723-96B9-484BAFEFF2D8}"/>
    <cellStyle name="40% - Accent3 2 2 2 3 3" xfId="5398" xr:uid="{00000000-0005-0000-0000-00000C050000}"/>
    <cellStyle name="40% - Accent3 2 2 2 3 3 2" xfId="13848" xr:uid="{B87AB8AE-FE20-46CF-8463-1F886EEA9C5D}"/>
    <cellStyle name="40% - Accent3 2 2 2 3 3 3" xfId="22288" xr:uid="{A87F7DAB-6E54-47DE-8C6D-D86D4D7E0E6A}"/>
    <cellStyle name="40% - Accent3 2 2 2 3 3 4" xfId="30728" xr:uid="{7F851B63-6745-4720-B102-4CD4BFA3F1C8}"/>
    <cellStyle name="40% - Accent3 2 2 2 3 4" xfId="9630" xr:uid="{250F0B65-9219-4772-AA8F-E391930EAC20}"/>
    <cellStyle name="40% - Accent3 2 2 2 3 5" xfId="18071" xr:uid="{04F727B5-094A-46BB-9AAD-803DBB4AF410}"/>
    <cellStyle name="40% - Accent3 2 2 2 3 6" xfId="26511" xr:uid="{A59B4BA5-F01A-4575-B2B9-696417AFB9FB}"/>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2 2 2" xfId="16406" xr:uid="{45653583-1277-43B7-B3A7-1B7DCBF191D5}"/>
    <cellStyle name="40% - Accent3 2 2 2 4 2 2 3" xfId="24846" xr:uid="{46BA204F-6F93-4859-B473-ABD8CFB5C44D}"/>
    <cellStyle name="40% - Accent3 2 2 2 4 2 2 4" xfId="33286" xr:uid="{62D3C3E0-0BF3-44C9-86B5-3CBF9C9CE82E}"/>
    <cellStyle name="40% - Accent3 2 2 2 4 2 3" xfId="12188" xr:uid="{6A7479AE-0DD6-45FB-A8A7-6EC1580FC743}"/>
    <cellStyle name="40% - Accent3 2 2 2 4 2 4" xfId="20629" xr:uid="{33ECA586-5D96-4E6A-BE50-15A99E3EBB42}"/>
    <cellStyle name="40% - Accent3 2 2 2 4 2 5" xfId="29069" xr:uid="{7BF0CA8A-1B0B-49A7-B91E-D4AC3BD7227C}"/>
    <cellStyle name="40% - Accent3 2 2 2 4 3" xfId="5811" xr:uid="{00000000-0005-0000-0000-000010050000}"/>
    <cellStyle name="40% - Accent3 2 2 2 4 3 2" xfId="14261" xr:uid="{DD904778-CB13-4A61-A22A-6A56B816B9A4}"/>
    <cellStyle name="40% - Accent3 2 2 2 4 3 3" xfId="22701" xr:uid="{716F30EF-7753-4F28-AB91-5E325B58FDB4}"/>
    <cellStyle name="40% - Accent3 2 2 2 4 3 4" xfId="31141" xr:uid="{032E5C74-5FF4-43A8-B905-0E89D2323FE3}"/>
    <cellStyle name="40% - Accent3 2 2 2 4 4" xfId="10043" xr:uid="{D5B9267C-5797-4620-B653-4A3957811E39}"/>
    <cellStyle name="40% - Accent3 2 2 2 4 5" xfId="18484" xr:uid="{5E84A4B5-C2AE-4808-908E-B56D84DAD087}"/>
    <cellStyle name="40% - Accent3 2 2 2 4 6" xfId="26924" xr:uid="{907FBE79-F60E-453E-A8DA-4274938D2148}"/>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2 2 2" xfId="16819" xr:uid="{62631CBE-D0DF-4B31-B499-C5DB07CAF3D4}"/>
    <cellStyle name="40% - Accent3 2 2 2 5 2 2 3" xfId="25259" xr:uid="{AC33ABDB-C22C-4E19-A80C-225FEE1BF2EC}"/>
    <cellStyle name="40% - Accent3 2 2 2 5 2 2 4" xfId="33699" xr:uid="{755B66ED-9FC2-48D9-821D-61CEDEE3286C}"/>
    <cellStyle name="40% - Accent3 2 2 2 5 2 3" xfId="12601" xr:uid="{D9A391E7-87DB-4E1D-B860-E08D768D4CB4}"/>
    <cellStyle name="40% - Accent3 2 2 2 5 2 4" xfId="21042" xr:uid="{2C631F95-9A1B-4FDD-AA2F-8DE7DCB58CB8}"/>
    <cellStyle name="40% - Accent3 2 2 2 5 2 5" xfId="29482" xr:uid="{F313A830-632B-44A0-930F-D744AAB861DA}"/>
    <cellStyle name="40% - Accent3 2 2 2 5 3" xfId="6224" xr:uid="{00000000-0005-0000-0000-000014050000}"/>
    <cellStyle name="40% - Accent3 2 2 2 5 3 2" xfId="14674" xr:uid="{546CD559-191C-4A08-B327-DAF85026E099}"/>
    <cellStyle name="40% - Accent3 2 2 2 5 3 3" xfId="23114" xr:uid="{5C8AAA62-4925-4851-AB45-AC104ECD9FE8}"/>
    <cellStyle name="40% - Accent3 2 2 2 5 3 4" xfId="31554" xr:uid="{EC37A281-CA95-4079-8690-3E38877DD0DB}"/>
    <cellStyle name="40% - Accent3 2 2 2 5 4" xfId="10456" xr:uid="{3772C210-F999-4806-9F18-4EFF8B3D5046}"/>
    <cellStyle name="40% - Accent3 2 2 2 5 5" xfId="18897" xr:uid="{9FDD72F7-7370-4FAC-A999-F0B64F65736A}"/>
    <cellStyle name="40% - Accent3 2 2 2 5 6" xfId="27337" xr:uid="{A586BFA8-5D70-4691-BE96-8F835BD187A8}"/>
    <cellStyle name="40% - Accent3 2 2 2 6" xfId="2331" xr:uid="{00000000-0005-0000-0000-000015050000}"/>
    <cellStyle name="40% - Accent3 2 2 2 6 2" xfId="6637" xr:uid="{00000000-0005-0000-0000-000016050000}"/>
    <cellStyle name="40% - Accent3 2 2 2 6 2 2" xfId="15087" xr:uid="{A5FB6D2E-8B98-4EA0-9345-7EFB0006A474}"/>
    <cellStyle name="40% - Accent3 2 2 2 6 2 3" xfId="23527" xr:uid="{0D4BE0A6-CE08-4062-83CE-514AB70578BE}"/>
    <cellStyle name="40% - Accent3 2 2 2 6 2 4" xfId="31967" xr:uid="{200A1A77-F01E-4BAE-97B0-E66FC0E90B4F}"/>
    <cellStyle name="40% - Accent3 2 2 2 6 3" xfId="10869" xr:uid="{017647E2-C515-4BEA-B315-4AB291ECA85C}"/>
    <cellStyle name="40% - Accent3 2 2 2 6 4" xfId="19310" xr:uid="{288D888B-463B-4307-9047-498D7A8D4B78}"/>
    <cellStyle name="40% - Accent3 2 2 2 6 5" xfId="27750" xr:uid="{FC33105C-E783-4EE4-8E12-A2DDE4F5CFA6}"/>
    <cellStyle name="40% - Accent3 2 2 2 7" xfId="4571" xr:uid="{00000000-0005-0000-0000-000017050000}"/>
    <cellStyle name="40% - Accent3 2 2 2 7 2" xfId="13021" xr:uid="{A9CE99FB-D8F1-4F36-B201-6DB989CFCE8D}"/>
    <cellStyle name="40% - Accent3 2 2 2 7 3" xfId="21461" xr:uid="{CDFE57DB-7427-45E1-8C9B-A61E8A115556}"/>
    <cellStyle name="40% - Accent3 2 2 2 7 4" xfId="29901" xr:uid="{CC52218D-70A3-4D77-8860-B91FD31B4CD2}"/>
    <cellStyle name="40% - Accent3 2 2 2 8" xfId="8803" xr:uid="{0179AA04-3E29-4ADC-B665-8147B3135C1C}"/>
    <cellStyle name="40% - Accent3 2 2 2 9" xfId="17244" xr:uid="{7B69F6DB-3109-45DF-AB8B-3A9EFE126A6A}"/>
    <cellStyle name="40% - Accent3 2 2 3" xfId="636" xr:uid="{00000000-0005-0000-0000-000018050000}"/>
    <cellStyle name="40% - Accent3 2 2 3 2" xfId="2907" xr:uid="{00000000-0005-0000-0000-000019050000}"/>
    <cellStyle name="40% - Accent3 2 2 3 2 2" xfId="7129" xr:uid="{00000000-0005-0000-0000-00001A050000}"/>
    <cellStyle name="40% - Accent3 2 2 3 2 2 2" xfId="15579" xr:uid="{E95D23F6-4C5D-42F8-8F28-7159BF4E67D3}"/>
    <cellStyle name="40% - Accent3 2 2 3 2 2 3" xfId="24019" xr:uid="{D57ED295-64CB-4B9D-B417-AAA62D9EFDBA}"/>
    <cellStyle name="40% - Accent3 2 2 3 2 2 4" xfId="32459" xr:uid="{62ADF810-BA8E-43C7-9B51-F87396703B4C}"/>
    <cellStyle name="40% - Accent3 2 2 3 2 3" xfId="11361" xr:uid="{68D3124F-9B22-4189-8ACE-036824AEEEFA}"/>
    <cellStyle name="40% - Accent3 2 2 3 2 4" xfId="19802" xr:uid="{220E1865-4750-4AC6-B8AD-D84EA32B3342}"/>
    <cellStyle name="40% - Accent3 2 2 3 2 5" xfId="28242" xr:uid="{2EC0C2FD-398D-4A33-93B0-6236F1242DA9}"/>
    <cellStyle name="40% - Accent3 2 2 3 3" xfId="4984" xr:uid="{00000000-0005-0000-0000-00001B050000}"/>
    <cellStyle name="40% - Accent3 2 2 3 3 2" xfId="13434" xr:uid="{EC7DC499-FC37-4A3B-B0EA-277F8F3DC7E0}"/>
    <cellStyle name="40% - Accent3 2 2 3 3 3" xfId="21874" xr:uid="{5551B619-21F2-466D-8571-34830B7EAA35}"/>
    <cellStyle name="40% - Accent3 2 2 3 3 4" xfId="30314" xr:uid="{03FBC927-C4A1-4003-B43D-D22573914D81}"/>
    <cellStyle name="40% - Accent3 2 2 3 4" xfId="9216" xr:uid="{F8CE2E95-A7E2-4CDA-8066-AF688724E39F}"/>
    <cellStyle name="40% - Accent3 2 2 3 5" xfId="17657" xr:uid="{C856CD1E-C38C-4761-A783-D398EBDA84FE}"/>
    <cellStyle name="40% - Accent3 2 2 3 6" xfId="26097" xr:uid="{5FDEACDA-5BFE-4ACE-B1A3-6EF5C22C6E5B}"/>
    <cellStyle name="40% - Accent3 2 2 4" xfId="1089" xr:uid="{00000000-0005-0000-0000-00001C050000}"/>
    <cellStyle name="40% - Accent3 2 2 4 2" xfId="3320" xr:uid="{00000000-0005-0000-0000-00001D050000}"/>
    <cellStyle name="40% - Accent3 2 2 4 2 2" xfId="7542" xr:uid="{00000000-0005-0000-0000-00001E050000}"/>
    <cellStyle name="40% - Accent3 2 2 4 2 2 2" xfId="15992" xr:uid="{4F63DDA6-A83F-44DC-BAA3-01BBD600128C}"/>
    <cellStyle name="40% - Accent3 2 2 4 2 2 3" xfId="24432" xr:uid="{02043342-4C5B-49DD-AF62-D23CE80D4201}"/>
    <cellStyle name="40% - Accent3 2 2 4 2 2 4" xfId="32872" xr:uid="{E4D2132C-C3D1-4666-A0C1-2F9F3BF69401}"/>
    <cellStyle name="40% - Accent3 2 2 4 2 3" xfId="11774" xr:uid="{31046199-64C7-4B6C-A1DD-86F734EEC354}"/>
    <cellStyle name="40% - Accent3 2 2 4 2 4" xfId="20215" xr:uid="{988E074B-43B2-437E-A136-9720FBABE428}"/>
    <cellStyle name="40% - Accent3 2 2 4 2 5" xfId="28655" xr:uid="{0A972204-A136-4D6E-8047-81C0795B0772}"/>
    <cellStyle name="40% - Accent3 2 2 4 3" xfId="5397" xr:uid="{00000000-0005-0000-0000-00001F050000}"/>
    <cellStyle name="40% - Accent3 2 2 4 3 2" xfId="13847" xr:uid="{9848891F-EECC-46E5-A5CB-9A3D1C04DA45}"/>
    <cellStyle name="40% - Accent3 2 2 4 3 3" xfId="22287" xr:uid="{67B7E2C1-E1E4-4F2A-9250-9FD274D1C43B}"/>
    <cellStyle name="40% - Accent3 2 2 4 3 4" xfId="30727" xr:uid="{37481C2E-409D-4786-9C74-6F79F1DBA94E}"/>
    <cellStyle name="40% - Accent3 2 2 4 4" xfId="9629" xr:uid="{1F9C443F-95DA-4D2E-9831-8AC17122AB58}"/>
    <cellStyle name="40% - Accent3 2 2 4 5" xfId="18070" xr:uid="{0F217A1F-1F66-4159-A1A1-D0E26B022DD1}"/>
    <cellStyle name="40% - Accent3 2 2 4 6" xfId="26510" xr:uid="{B095E3A0-5915-4D11-8BAD-B63BE9D59238}"/>
    <cellStyle name="40% - Accent3 2 2 5" xfId="1503" xr:uid="{00000000-0005-0000-0000-000020050000}"/>
    <cellStyle name="40% - Accent3 2 2 5 2" xfId="3733" xr:uid="{00000000-0005-0000-0000-000021050000}"/>
    <cellStyle name="40% - Accent3 2 2 5 2 2" xfId="7955" xr:uid="{00000000-0005-0000-0000-000022050000}"/>
    <cellStyle name="40% - Accent3 2 2 5 2 2 2" xfId="16405" xr:uid="{1CC25CD2-27C5-4CC9-9F30-AED4BB8B2FC5}"/>
    <cellStyle name="40% - Accent3 2 2 5 2 2 3" xfId="24845" xr:uid="{F8E4F4E2-02FD-4AD4-A4C7-27E562B96031}"/>
    <cellStyle name="40% - Accent3 2 2 5 2 2 4" xfId="33285" xr:uid="{F5F261F9-E7DF-432E-BF81-31E296FF38D6}"/>
    <cellStyle name="40% - Accent3 2 2 5 2 3" xfId="12187" xr:uid="{997F2BEE-D752-4775-9C51-42ED4535BE77}"/>
    <cellStyle name="40% - Accent3 2 2 5 2 4" xfId="20628" xr:uid="{84BEE4BC-0D44-4C93-9188-4A343DDF5DD3}"/>
    <cellStyle name="40% - Accent3 2 2 5 2 5" xfId="29068" xr:uid="{B57710EE-F191-49EA-9142-1C767FE06B30}"/>
    <cellStyle name="40% - Accent3 2 2 5 3" xfId="5810" xr:uid="{00000000-0005-0000-0000-000023050000}"/>
    <cellStyle name="40% - Accent3 2 2 5 3 2" xfId="14260" xr:uid="{B7330EDF-7AC9-4718-95F7-1D85972F2F04}"/>
    <cellStyle name="40% - Accent3 2 2 5 3 3" xfId="22700" xr:uid="{0BC66097-52A8-405E-9914-AA09757A12F7}"/>
    <cellStyle name="40% - Accent3 2 2 5 3 4" xfId="31140" xr:uid="{25A907CB-5DB9-4777-94D5-A1C217311EBC}"/>
    <cellStyle name="40% - Accent3 2 2 5 4" xfId="10042" xr:uid="{2C64201A-B1BF-4560-808B-A5FD6121C99D}"/>
    <cellStyle name="40% - Accent3 2 2 5 5" xfId="18483" xr:uid="{C714EAF1-13D5-41B3-81A8-781C58019F8B}"/>
    <cellStyle name="40% - Accent3 2 2 5 6" xfId="26923" xr:uid="{2CEA2FB7-80BA-4B51-97FC-A7654980F87B}"/>
    <cellStyle name="40% - Accent3 2 2 6" xfId="1917" xr:uid="{00000000-0005-0000-0000-000024050000}"/>
    <cellStyle name="40% - Accent3 2 2 6 2" xfId="4146" xr:uid="{00000000-0005-0000-0000-000025050000}"/>
    <cellStyle name="40% - Accent3 2 2 6 2 2" xfId="8368" xr:uid="{00000000-0005-0000-0000-000026050000}"/>
    <cellStyle name="40% - Accent3 2 2 6 2 2 2" xfId="16818" xr:uid="{BDD80340-1312-41CC-B32D-2F572B408716}"/>
    <cellStyle name="40% - Accent3 2 2 6 2 2 3" xfId="25258" xr:uid="{611CDCFB-2373-4074-81FC-A9BAAAB7FCC2}"/>
    <cellStyle name="40% - Accent3 2 2 6 2 2 4" xfId="33698" xr:uid="{C9E0678C-70D0-40A1-B2C3-DB49BEA06DDB}"/>
    <cellStyle name="40% - Accent3 2 2 6 2 3" xfId="12600" xr:uid="{EF8C3240-F455-4A16-BB2D-3570FE96DD11}"/>
    <cellStyle name="40% - Accent3 2 2 6 2 4" xfId="21041" xr:uid="{9AD4F5E7-890A-4B92-BC2E-BABCF7391A29}"/>
    <cellStyle name="40% - Accent3 2 2 6 2 5" xfId="29481" xr:uid="{E4CCA5D5-5BD5-4EB0-8287-D36BCA763C2B}"/>
    <cellStyle name="40% - Accent3 2 2 6 3" xfId="6223" xr:uid="{00000000-0005-0000-0000-000027050000}"/>
    <cellStyle name="40% - Accent3 2 2 6 3 2" xfId="14673" xr:uid="{9C758CB0-7ABE-44A0-9186-A906EDB02D7E}"/>
    <cellStyle name="40% - Accent3 2 2 6 3 3" xfId="23113" xr:uid="{57B52DA7-C5C8-4D69-A919-3AF1421166F1}"/>
    <cellStyle name="40% - Accent3 2 2 6 3 4" xfId="31553" xr:uid="{B41DF4FE-E412-466B-8432-C354FEB62154}"/>
    <cellStyle name="40% - Accent3 2 2 6 4" xfId="10455" xr:uid="{725A4E30-5B9F-4D2D-BB1B-71D050D0E146}"/>
    <cellStyle name="40% - Accent3 2 2 6 5" xfId="18896" xr:uid="{BD86AAB3-E615-46C5-81A7-0F2C60ECA4CC}"/>
    <cellStyle name="40% - Accent3 2 2 6 6" xfId="27336" xr:uid="{590E0CFA-59A2-4C51-A55B-B73353D619E7}"/>
    <cellStyle name="40% - Accent3 2 2 7" xfId="2330" xr:uid="{00000000-0005-0000-0000-000028050000}"/>
    <cellStyle name="40% - Accent3 2 2 7 2" xfId="6636" xr:uid="{00000000-0005-0000-0000-000029050000}"/>
    <cellStyle name="40% - Accent3 2 2 7 2 2" xfId="15086" xr:uid="{994E95EC-9F08-4DDE-8533-2665A0583BED}"/>
    <cellStyle name="40% - Accent3 2 2 7 2 3" xfId="23526" xr:uid="{739290A9-4FED-4E57-972F-814771DC458D}"/>
    <cellStyle name="40% - Accent3 2 2 7 2 4" xfId="31966" xr:uid="{9AF94B31-04F3-4431-9A8F-B51CA7D8B70F}"/>
    <cellStyle name="40% - Accent3 2 2 7 3" xfId="10868" xr:uid="{73720FB4-8D62-4629-9966-9340193E9C59}"/>
    <cellStyle name="40% - Accent3 2 2 7 4" xfId="19309" xr:uid="{8B229792-AD11-4123-B570-AAD355B9157E}"/>
    <cellStyle name="40% - Accent3 2 2 7 5" xfId="27749" xr:uid="{7F5D663F-87DB-4F6E-A250-27A1192F54BF}"/>
    <cellStyle name="40% - Accent3 2 2 8" xfId="4570" xr:uid="{00000000-0005-0000-0000-00002A050000}"/>
    <cellStyle name="40% - Accent3 2 2 8 2" xfId="13020" xr:uid="{717B5608-69A7-4BC6-97C5-D99527E0E8D0}"/>
    <cellStyle name="40% - Accent3 2 2 8 3" xfId="21460" xr:uid="{16C37243-E6EE-4BBC-AC38-DC4DE498AD57}"/>
    <cellStyle name="40% - Accent3 2 2 8 4" xfId="29900" xr:uid="{064FFC4E-9AC2-4BEF-9E8A-95833CF58650}"/>
    <cellStyle name="40% - Accent3 2 2 9" xfId="8802" xr:uid="{83B6FF2A-C746-4B3A-B30B-ACA5D3FB1A71}"/>
    <cellStyle name="40% - Accent3 2 3" xfId="69" xr:uid="{00000000-0005-0000-0000-00002B050000}"/>
    <cellStyle name="40% - Accent3 2 3 10" xfId="25685" xr:uid="{9C9FBEA5-BA6E-4D96-91E7-24395583BB8D}"/>
    <cellStyle name="40% - Accent3 2 3 2" xfId="638" xr:uid="{00000000-0005-0000-0000-00002C050000}"/>
    <cellStyle name="40% - Accent3 2 3 2 2" xfId="2909" xr:uid="{00000000-0005-0000-0000-00002D050000}"/>
    <cellStyle name="40% - Accent3 2 3 2 2 2" xfId="7131" xr:uid="{00000000-0005-0000-0000-00002E050000}"/>
    <cellStyle name="40% - Accent3 2 3 2 2 2 2" xfId="15581" xr:uid="{CAEF677D-8C25-493C-95BD-9A1F98A88469}"/>
    <cellStyle name="40% - Accent3 2 3 2 2 2 3" xfId="24021" xr:uid="{9527179F-8724-4AF1-BFBF-4011B25D0334}"/>
    <cellStyle name="40% - Accent3 2 3 2 2 2 4" xfId="32461" xr:uid="{8393F51F-D458-4AFB-B3B2-4504A3231C65}"/>
    <cellStyle name="40% - Accent3 2 3 2 2 3" xfId="11363" xr:uid="{253AB916-4F47-49AF-B33E-44A867E1B706}"/>
    <cellStyle name="40% - Accent3 2 3 2 2 4" xfId="19804" xr:uid="{39A8C56C-9D2A-4025-991B-9DCCBD1E4B4B}"/>
    <cellStyle name="40% - Accent3 2 3 2 2 5" xfId="28244" xr:uid="{B81D644E-2132-417F-96F4-AC52D6AE4DCB}"/>
    <cellStyle name="40% - Accent3 2 3 2 3" xfId="4986" xr:uid="{00000000-0005-0000-0000-00002F050000}"/>
    <cellStyle name="40% - Accent3 2 3 2 3 2" xfId="13436" xr:uid="{FEEA4CB2-401A-461F-9A45-8C23E56A3BAF}"/>
    <cellStyle name="40% - Accent3 2 3 2 3 3" xfId="21876" xr:uid="{1FB8759B-0FA1-406F-AE32-391856B59EF1}"/>
    <cellStyle name="40% - Accent3 2 3 2 3 4" xfId="30316" xr:uid="{69EB6A1B-4649-4105-82A8-DB3FB6C2C523}"/>
    <cellStyle name="40% - Accent3 2 3 2 4" xfId="9218" xr:uid="{A2C8A9BE-B5DE-423C-99E0-85192A4E4AAD}"/>
    <cellStyle name="40% - Accent3 2 3 2 5" xfId="17659" xr:uid="{7A80ACC0-75A2-494F-81EA-8B1C95C4E884}"/>
    <cellStyle name="40% - Accent3 2 3 2 6" xfId="26099" xr:uid="{981A7DA1-CA5F-4066-BD12-33C04F109481}"/>
    <cellStyle name="40% - Accent3 2 3 3" xfId="1091" xr:uid="{00000000-0005-0000-0000-000030050000}"/>
    <cellStyle name="40% - Accent3 2 3 3 2" xfId="3322" xr:uid="{00000000-0005-0000-0000-000031050000}"/>
    <cellStyle name="40% - Accent3 2 3 3 2 2" xfId="7544" xr:uid="{00000000-0005-0000-0000-000032050000}"/>
    <cellStyle name="40% - Accent3 2 3 3 2 2 2" xfId="15994" xr:uid="{DD48C6D7-34A4-492E-9018-C1C8325946F3}"/>
    <cellStyle name="40% - Accent3 2 3 3 2 2 3" xfId="24434" xr:uid="{BE7ED7A1-85BE-412C-A7F3-C05FF907E01A}"/>
    <cellStyle name="40% - Accent3 2 3 3 2 2 4" xfId="32874" xr:uid="{19CEA6EF-FBFE-4BAC-A107-C7D3A6D548DF}"/>
    <cellStyle name="40% - Accent3 2 3 3 2 3" xfId="11776" xr:uid="{F4F9A503-B3DA-41BD-B7AD-CE670A0CCA3A}"/>
    <cellStyle name="40% - Accent3 2 3 3 2 4" xfId="20217" xr:uid="{4EAD9F40-EDE6-491C-98B7-10641151BE1A}"/>
    <cellStyle name="40% - Accent3 2 3 3 2 5" xfId="28657" xr:uid="{5D82E929-0D37-4E6C-85A7-844477C06ADF}"/>
    <cellStyle name="40% - Accent3 2 3 3 3" xfId="5399" xr:uid="{00000000-0005-0000-0000-000033050000}"/>
    <cellStyle name="40% - Accent3 2 3 3 3 2" xfId="13849" xr:uid="{3ED17E4A-B665-4290-862C-21D6B133F8D8}"/>
    <cellStyle name="40% - Accent3 2 3 3 3 3" xfId="22289" xr:uid="{2D124A2A-1BCE-4124-B5A3-67E9F1AFE149}"/>
    <cellStyle name="40% - Accent3 2 3 3 3 4" xfId="30729" xr:uid="{1A8C29E4-10D7-43C6-AD30-94F9328FC335}"/>
    <cellStyle name="40% - Accent3 2 3 3 4" xfId="9631" xr:uid="{A74DB46A-AA1E-4D78-8A29-D5C4678CA014}"/>
    <cellStyle name="40% - Accent3 2 3 3 5" xfId="18072" xr:uid="{2C5E2F06-B6EA-4D15-97B0-6F630AE14E83}"/>
    <cellStyle name="40% - Accent3 2 3 3 6" xfId="26512" xr:uid="{2E688C34-FB77-4E8A-9E51-311A9512E394}"/>
    <cellStyle name="40% - Accent3 2 3 4" xfId="1505" xr:uid="{00000000-0005-0000-0000-000034050000}"/>
    <cellStyle name="40% - Accent3 2 3 4 2" xfId="3735" xr:uid="{00000000-0005-0000-0000-000035050000}"/>
    <cellStyle name="40% - Accent3 2 3 4 2 2" xfId="7957" xr:uid="{00000000-0005-0000-0000-000036050000}"/>
    <cellStyle name="40% - Accent3 2 3 4 2 2 2" xfId="16407" xr:uid="{2E8DD154-9EA8-4493-86FC-CAB242B0FFAB}"/>
    <cellStyle name="40% - Accent3 2 3 4 2 2 3" xfId="24847" xr:uid="{A4E3D844-8609-488D-9F9D-D711A2F48043}"/>
    <cellStyle name="40% - Accent3 2 3 4 2 2 4" xfId="33287" xr:uid="{3BDB2D7C-396E-4893-B7CB-D297ADA8DA06}"/>
    <cellStyle name="40% - Accent3 2 3 4 2 3" xfId="12189" xr:uid="{EC6B2026-BBAB-48C9-9B2F-9C13DE1F53E5}"/>
    <cellStyle name="40% - Accent3 2 3 4 2 4" xfId="20630" xr:uid="{419501C3-9D66-4EE7-BB23-9646106EF313}"/>
    <cellStyle name="40% - Accent3 2 3 4 2 5" xfId="29070" xr:uid="{6EAD9876-896A-482C-A2D3-FAA7B17114F8}"/>
    <cellStyle name="40% - Accent3 2 3 4 3" xfId="5812" xr:uid="{00000000-0005-0000-0000-000037050000}"/>
    <cellStyle name="40% - Accent3 2 3 4 3 2" xfId="14262" xr:uid="{EAF92583-BC4C-4AA9-A76E-20346886D21C}"/>
    <cellStyle name="40% - Accent3 2 3 4 3 3" xfId="22702" xr:uid="{1AA3393A-5A19-4E0A-AEFD-0FF16A43757B}"/>
    <cellStyle name="40% - Accent3 2 3 4 3 4" xfId="31142" xr:uid="{78908955-472E-47DB-8247-85AA83098792}"/>
    <cellStyle name="40% - Accent3 2 3 4 4" xfId="10044" xr:uid="{A0D7FFBD-5649-41A7-9112-5A90C6B9D62D}"/>
    <cellStyle name="40% - Accent3 2 3 4 5" xfId="18485" xr:uid="{F8278E63-07BD-49D8-A318-A96A02AE25BA}"/>
    <cellStyle name="40% - Accent3 2 3 4 6" xfId="26925" xr:uid="{5CD886B2-2F51-435E-AD0D-BBC2257E3CA8}"/>
    <cellStyle name="40% - Accent3 2 3 5" xfId="1919" xr:uid="{00000000-0005-0000-0000-000038050000}"/>
    <cellStyle name="40% - Accent3 2 3 5 2" xfId="4148" xr:uid="{00000000-0005-0000-0000-000039050000}"/>
    <cellStyle name="40% - Accent3 2 3 5 2 2" xfId="8370" xr:uid="{00000000-0005-0000-0000-00003A050000}"/>
    <cellStyle name="40% - Accent3 2 3 5 2 2 2" xfId="16820" xr:uid="{DE51D93A-D5A8-4B89-9F12-B891744F1BAA}"/>
    <cellStyle name="40% - Accent3 2 3 5 2 2 3" xfId="25260" xr:uid="{B5B23F3E-A08F-4249-B46D-5E2DA7DB63EB}"/>
    <cellStyle name="40% - Accent3 2 3 5 2 2 4" xfId="33700" xr:uid="{C19BFF2B-57F1-4051-B41A-AE39545124EE}"/>
    <cellStyle name="40% - Accent3 2 3 5 2 3" xfId="12602" xr:uid="{AE674372-358E-4785-98EB-38A043F72E81}"/>
    <cellStyle name="40% - Accent3 2 3 5 2 4" xfId="21043" xr:uid="{4124EAA3-71A3-4A07-9C6A-EFFCB24055E6}"/>
    <cellStyle name="40% - Accent3 2 3 5 2 5" xfId="29483" xr:uid="{3FD3132A-402B-427D-B7BA-F0C91FBFCFC0}"/>
    <cellStyle name="40% - Accent3 2 3 5 3" xfId="6225" xr:uid="{00000000-0005-0000-0000-00003B050000}"/>
    <cellStyle name="40% - Accent3 2 3 5 3 2" xfId="14675" xr:uid="{49B3703C-D160-4CEC-9E71-3E3716641497}"/>
    <cellStyle name="40% - Accent3 2 3 5 3 3" xfId="23115" xr:uid="{01A96D41-1239-45F5-816F-D2BA1F142A2C}"/>
    <cellStyle name="40% - Accent3 2 3 5 3 4" xfId="31555" xr:uid="{C1BC3E93-6E18-4BA5-BE0F-8435C93965CA}"/>
    <cellStyle name="40% - Accent3 2 3 5 4" xfId="10457" xr:uid="{ACE5CAE1-EF84-47B3-858F-0517E95072A5}"/>
    <cellStyle name="40% - Accent3 2 3 5 5" xfId="18898" xr:uid="{443C8F20-6B1E-4A97-A654-347D4194C4D0}"/>
    <cellStyle name="40% - Accent3 2 3 5 6" xfId="27338" xr:uid="{27918A28-7A96-48BD-AC41-31AE6DBE5F81}"/>
    <cellStyle name="40% - Accent3 2 3 6" xfId="2332" xr:uid="{00000000-0005-0000-0000-00003C050000}"/>
    <cellStyle name="40% - Accent3 2 3 6 2" xfId="6638" xr:uid="{00000000-0005-0000-0000-00003D050000}"/>
    <cellStyle name="40% - Accent3 2 3 6 2 2" xfId="15088" xr:uid="{119FECF6-AB7C-4E9D-87DF-2FB20441D08B}"/>
    <cellStyle name="40% - Accent3 2 3 6 2 3" xfId="23528" xr:uid="{12D9C31C-896B-474C-99EC-449646F8701A}"/>
    <cellStyle name="40% - Accent3 2 3 6 2 4" xfId="31968" xr:uid="{EF4C4155-6E04-4E89-A2E6-9A31AA684EBA}"/>
    <cellStyle name="40% - Accent3 2 3 6 3" xfId="10870" xr:uid="{64D1E2AD-DAA5-4E48-9C81-832E0962F6FE}"/>
    <cellStyle name="40% - Accent3 2 3 6 4" xfId="19311" xr:uid="{3A55B969-E4FD-4B88-8788-28EB61A83279}"/>
    <cellStyle name="40% - Accent3 2 3 6 5" xfId="27751" xr:uid="{E559120B-0A19-41D1-8D3F-D79277BFC2DA}"/>
    <cellStyle name="40% - Accent3 2 3 7" xfId="4572" xr:uid="{00000000-0005-0000-0000-00003E050000}"/>
    <cellStyle name="40% - Accent3 2 3 7 2" xfId="13022" xr:uid="{D2D5BC03-6218-4219-82B1-E4464A10EBF2}"/>
    <cellStyle name="40% - Accent3 2 3 7 3" xfId="21462" xr:uid="{9F1B406F-C735-4533-A7CA-DBA7D2875595}"/>
    <cellStyle name="40% - Accent3 2 3 7 4" xfId="29902" xr:uid="{4744F2F1-09EB-48A4-B242-B89EF8072A8E}"/>
    <cellStyle name="40% - Accent3 2 3 8" xfId="8804" xr:uid="{0EDCFDFC-D4BE-4772-B8DD-61E3115DB65D}"/>
    <cellStyle name="40% - Accent3 2 3 9" xfId="17245" xr:uid="{EBB31764-8199-4447-A57E-64B08E2F0103}"/>
    <cellStyle name="40% - Accent3 2 4" xfId="635" xr:uid="{00000000-0005-0000-0000-00003F050000}"/>
    <cellStyle name="40% - Accent3 2 4 2" xfId="2906" xr:uid="{00000000-0005-0000-0000-000040050000}"/>
    <cellStyle name="40% - Accent3 2 4 2 2" xfId="7128" xr:uid="{00000000-0005-0000-0000-000041050000}"/>
    <cellStyle name="40% - Accent3 2 4 2 2 2" xfId="15578" xr:uid="{C132BF98-8287-4010-8AD3-BC4E48E63DC9}"/>
    <cellStyle name="40% - Accent3 2 4 2 2 3" xfId="24018" xr:uid="{ECE67CAA-B689-4944-8824-4AB8C5278F40}"/>
    <cellStyle name="40% - Accent3 2 4 2 2 4" xfId="32458" xr:uid="{064CE9EF-6023-4BFB-8B04-8B0BC75FD8A5}"/>
    <cellStyle name="40% - Accent3 2 4 2 3" xfId="11360" xr:uid="{0F989859-117C-43E4-B60E-4FEA4B01038D}"/>
    <cellStyle name="40% - Accent3 2 4 2 4" xfId="19801" xr:uid="{D76B602B-5F0C-4DF4-AF4A-0A0788E7862B}"/>
    <cellStyle name="40% - Accent3 2 4 2 5" xfId="28241" xr:uid="{F1F31A93-14FD-4C8E-94F2-0B7585362510}"/>
    <cellStyle name="40% - Accent3 2 4 3" xfId="4983" xr:uid="{00000000-0005-0000-0000-000042050000}"/>
    <cellStyle name="40% - Accent3 2 4 3 2" xfId="13433" xr:uid="{63C2A688-081C-4F0D-9CB0-3F6A4FD306EB}"/>
    <cellStyle name="40% - Accent3 2 4 3 3" xfId="21873" xr:uid="{21299C92-56C1-4BCE-90A4-E77568F128C5}"/>
    <cellStyle name="40% - Accent3 2 4 3 4" xfId="30313" xr:uid="{F4B68DCC-34B0-4A09-8054-D466A986B7B6}"/>
    <cellStyle name="40% - Accent3 2 4 4" xfId="9215" xr:uid="{DB48710A-D15E-48BA-9A90-523096604401}"/>
    <cellStyle name="40% - Accent3 2 4 5" xfId="17656" xr:uid="{BAD2C953-A746-49B5-B907-3E5F6C274D8E}"/>
    <cellStyle name="40% - Accent3 2 4 6" xfId="26096" xr:uid="{8C68BC07-3F78-4EE8-9D81-D02AB5EE39A4}"/>
    <cellStyle name="40% - Accent3 2 5" xfId="1088" xr:uid="{00000000-0005-0000-0000-000043050000}"/>
    <cellStyle name="40% - Accent3 2 5 2" xfId="3319" xr:uid="{00000000-0005-0000-0000-000044050000}"/>
    <cellStyle name="40% - Accent3 2 5 2 2" xfId="7541" xr:uid="{00000000-0005-0000-0000-000045050000}"/>
    <cellStyle name="40% - Accent3 2 5 2 2 2" xfId="15991" xr:uid="{AB97A255-05A4-409C-AE8D-44274820F70B}"/>
    <cellStyle name="40% - Accent3 2 5 2 2 3" xfId="24431" xr:uid="{28088BF1-F849-495A-8805-CA92AB78BFB8}"/>
    <cellStyle name="40% - Accent3 2 5 2 2 4" xfId="32871" xr:uid="{347B90C5-BC68-4436-96EE-70CE7827EDE1}"/>
    <cellStyle name="40% - Accent3 2 5 2 3" xfId="11773" xr:uid="{CB0286D6-4935-4FC4-8C7C-9EB4AD20187B}"/>
    <cellStyle name="40% - Accent3 2 5 2 4" xfId="20214" xr:uid="{527FACFE-B0F8-4177-8307-C03403A44005}"/>
    <cellStyle name="40% - Accent3 2 5 2 5" xfId="28654" xr:uid="{4BD216E1-F320-4294-957A-FA39CE573B7B}"/>
    <cellStyle name="40% - Accent3 2 5 3" xfId="5396" xr:uid="{00000000-0005-0000-0000-000046050000}"/>
    <cellStyle name="40% - Accent3 2 5 3 2" xfId="13846" xr:uid="{1F3D7BDD-1F9B-44E0-ABD9-F266078548C8}"/>
    <cellStyle name="40% - Accent3 2 5 3 3" xfId="22286" xr:uid="{ED400DA4-B6F5-4A43-81C5-5115A836DD72}"/>
    <cellStyle name="40% - Accent3 2 5 3 4" xfId="30726" xr:uid="{F803A9E7-CA59-45D4-96CB-B83BB6778466}"/>
    <cellStyle name="40% - Accent3 2 5 4" xfId="9628" xr:uid="{66C0485E-42B9-469D-884E-2FBFD118F585}"/>
    <cellStyle name="40% - Accent3 2 5 5" xfId="18069" xr:uid="{A463D115-BD56-4D17-A154-71FAB835E6E8}"/>
    <cellStyle name="40% - Accent3 2 5 6" xfId="26509" xr:uid="{1AEAC044-6C56-4345-8A13-0DEA2CFB52F8}"/>
    <cellStyle name="40% - Accent3 2 6" xfId="1502" xr:uid="{00000000-0005-0000-0000-000047050000}"/>
    <cellStyle name="40% - Accent3 2 6 2" xfId="3732" xr:uid="{00000000-0005-0000-0000-000048050000}"/>
    <cellStyle name="40% - Accent3 2 6 2 2" xfId="7954" xr:uid="{00000000-0005-0000-0000-000049050000}"/>
    <cellStyle name="40% - Accent3 2 6 2 2 2" xfId="16404" xr:uid="{27BDB382-D6A2-420D-A31B-79274CD6EF31}"/>
    <cellStyle name="40% - Accent3 2 6 2 2 3" xfId="24844" xr:uid="{78E479BD-8F1E-4DB9-B7A4-D5F576F604D7}"/>
    <cellStyle name="40% - Accent3 2 6 2 2 4" xfId="33284" xr:uid="{64EFAB26-3366-4F9D-B5FC-7AE2067F1A4F}"/>
    <cellStyle name="40% - Accent3 2 6 2 3" xfId="12186" xr:uid="{8F7C404F-5EDF-4F43-9B46-B3F660216455}"/>
    <cellStyle name="40% - Accent3 2 6 2 4" xfId="20627" xr:uid="{6E0D6FE3-81DF-4E59-8CD4-72FCE6BF481B}"/>
    <cellStyle name="40% - Accent3 2 6 2 5" xfId="29067" xr:uid="{0CEBF181-1820-4B98-97A5-FE4B5A3C546F}"/>
    <cellStyle name="40% - Accent3 2 6 3" xfId="5809" xr:uid="{00000000-0005-0000-0000-00004A050000}"/>
    <cellStyle name="40% - Accent3 2 6 3 2" xfId="14259" xr:uid="{0910EFA4-8E2C-481B-896D-751FB7457615}"/>
    <cellStyle name="40% - Accent3 2 6 3 3" xfId="22699" xr:uid="{C1406FE7-9C40-4FC2-8253-A501455E88EA}"/>
    <cellStyle name="40% - Accent3 2 6 3 4" xfId="31139" xr:uid="{A83CD2BC-5D22-4ACF-90C3-30AC183A5B63}"/>
    <cellStyle name="40% - Accent3 2 6 4" xfId="10041" xr:uid="{4F3B1448-6A6D-45C8-AA8D-AC52332E84BD}"/>
    <cellStyle name="40% - Accent3 2 6 5" xfId="18482" xr:uid="{CEA1ABDE-00E2-44D8-8DED-82DD00AC8980}"/>
    <cellStyle name="40% - Accent3 2 6 6" xfId="26922" xr:uid="{BB7ECCD5-7151-47C4-BB1A-19E30F41C010}"/>
    <cellStyle name="40% - Accent3 2 7" xfId="1916" xr:uid="{00000000-0005-0000-0000-00004B050000}"/>
    <cellStyle name="40% - Accent3 2 7 2" xfId="4145" xr:uid="{00000000-0005-0000-0000-00004C050000}"/>
    <cellStyle name="40% - Accent3 2 7 2 2" xfId="8367" xr:uid="{00000000-0005-0000-0000-00004D050000}"/>
    <cellStyle name="40% - Accent3 2 7 2 2 2" xfId="16817" xr:uid="{F1165576-2A59-4CDE-81C0-439112140A44}"/>
    <cellStyle name="40% - Accent3 2 7 2 2 3" xfId="25257" xr:uid="{B910FDB9-4BC5-4D9D-8D60-7168B4576B6E}"/>
    <cellStyle name="40% - Accent3 2 7 2 2 4" xfId="33697" xr:uid="{300A53C0-00DE-4968-88B5-82D6DADAE3B4}"/>
    <cellStyle name="40% - Accent3 2 7 2 3" xfId="12599" xr:uid="{BE554239-0C23-4E34-B229-F0A99A72891F}"/>
    <cellStyle name="40% - Accent3 2 7 2 4" xfId="21040" xr:uid="{ED40820C-741C-41A7-82BE-21A3242CC7F2}"/>
    <cellStyle name="40% - Accent3 2 7 2 5" xfId="29480" xr:uid="{844D70CB-E2DE-4E12-848F-6BD504691C07}"/>
    <cellStyle name="40% - Accent3 2 7 3" xfId="6222" xr:uid="{00000000-0005-0000-0000-00004E050000}"/>
    <cellStyle name="40% - Accent3 2 7 3 2" xfId="14672" xr:uid="{F13A056C-C049-4893-8159-400A1922D096}"/>
    <cellStyle name="40% - Accent3 2 7 3 3" xfId="23112" xr:uid="{02A2C088-03DB-4338-8847-ED18D46384D1}"/>
    <cellStyle name="40% - Accent3 2 7 3 4" xfId="31552" xr:uid="{92E69C1C-B286-4617-A30E-29E6A3F1AC8D}"/>
    <cellStyle name="40% - Accent3 2 7 4" xfId="10454" xr:uid="{2A3FB047-8D78-4354-8A7E-28393C3B0748}"/>
    <cellStyle name="40% - Accent3 2 7 5" xfId="18895" xr:uid="{02A706F2-78E8-4FE8-B163-17E7C712BC17}"/>
    <cellStyle name="40% - Accent3 2 7 6" xfId="27335" xr:uid="{824598CD-592A-4F43-8976-73870F0ADE41}"/>
    <cellStyle name="40% - Accent3 2 8" xfId="2329" xr:uid="{00000000-0005-0000-0000-00004F050000}"/>
    <cellStyle name="40% - Accent3 2 8 2" xfId="6635" xr:uid="{00000000-0005-0000-0000-000050050000}"/>
    <cellStyle name="40% - Accent3 2 8 2 2" xfId="15085" xr:uid="{8D51F8F3-B8BA-447C-AC06-DDEE3BD2AD10}"/>
    <cellStyle name="40% - Accent3 2 8 2 3" xfId="23525" xr:uid="{D22F21FC-0377-4C6B-8B7D-FF9FE4FEC2A4}"/>
    <cellStyle name="40% - Accent3 2 8 2 4" xfId="31965" xr:uid="{75B818ED-6597-42D0-A8CB-65A96B5ECC7A}"/>
    <cellStyle name="40% - Accent3 2 8 3" xfId="10867" xr:uid="{755121D1-5DE1-41C0-804E-72B3BB79FF05}"/>
    <cellStyle name="40% - Accent3 2 8 4" xfId="19308" xr:uid="{1501B2B5-6818-4297-B75B-6D1F7E5BD855}"/>
    <cellStyle name="40% - Accent3 2 8 5" xfId="27748" xr:uid="{247BDE78-0ACB-4EFB-B3B0-96E71DA7365B}"/>
    <cellStyle name="40% - Accent3 2 9" xfId="4569" xr:uid="{00000000-0005-0000-0000-000051050000}"/>
    <cellStyle name="40% - Accent3 2 9 2" xfId="13019" xr:uid="{B4EE0186-26C9-4B1D-8861-EB4A7D41FBF0}"/>
    <cellStyle name="40% - Accent3 2 9 3" xfId="21459" xr:uid="{FCCF1712-543D-4823-BF47-B6F8C232C409}"/>
    <cellStyle name="40% - Accent3 2 9 4" xfId="29899" xr:uid="{2085A45F-7200-4C16-82BB-2BD6BF4CC85D}"/>
    <cellStyle name="40% - Accent3 3" xfId="70" xr:uid="{00000000-0005-0000-0000-000052050000}"/>
    <cellStyle name="40% - Accent3 3 10" xfId="17246" xr:uid="{4E52D31C-63CF-40E6-9102-62353F5498BA}"/>
    <cellStyle name="40% - Accent3 3 11" xfId="25686" xr:uid="{4095A8F4-4422-4CC0-A1E9-00A6991275D5}"/>
    <cellStyle name="40% - Accent3 3 2" xfId="71" xr:uid="{00000000-0005-0000-0000-000053050000}"/>
    <cellStyle name="40% - Accent3 3 2 10" xfId="25687" xr:uid="{3968B749-5471-48EC-8367-CB07FF9045FB}"/>
    <cellStyle name="40% - Accent3 3 2 2" xfId="640" xr:uid="{00000000-0005-0000-0000-000054050000}"/>
    <cellStyle name="40% - Accent3 3 2 2 2" xfId="2911" xr:uid="{00000000-0005-0000-0000-000055050000}"/>
    <cellStyle name="40% - Accent3 3 2 2 2 2" xfId="7133" xr:uid="{00000000-0005-0000-0000-000056050000}"/>
    <cellStyle name="40% - Accent3 3 2 2 2 2 2" xfId="15583" xr:uid="{CF1783A9-5AB0-4525-95DE-56386C88452F}"/>
    <cellStyle name="40% - Accent3 3 2 2 2 2 3" xfId="24023" xr:uid="{EBF31FC3-217A-4B94-8617-F0FCCB681EDE}"/>
    <cellStyle name="40% - Accent3 3 2 2 2 2 4" xfId="32463" xr:uid="{471AA55B-5EBF-48D1-A109-E848BEEC1A1A}"/>
    <cellStyle name="40% - Accent3 3 2 2 2 3" xfId="11365" xr:uid="{5284F0C4-73F1-4B44-8BFE-72A55440DFC1}"/>
    <cellStyle name="40% - Accent3 3 2 2 2 4" xfId="19806" xr:uid="{3DC0F335-08BB-4A26-AE5D-961D412DDDF9}"/>
    <cellStyle name="40% - Accent3 3 2 2 2 5" xfId="28246" xr:uid="{8A9FCD33-253C-47D9-8400-CE91E4EA28A8}"/>
    <cellStyle name="40% - Accent3 3 2 2 3" xfId="4988" xr:uid="{00000000-0005-0000-0000-000057050000}"/>
    <cellStyle name="40% - Accent3 3 2 2 3 2" xfId="13438" xr:uid="{482F03A4-3CF4-4976-BF8F-A715A94C8FA7}"/>
    <cellStyle name="40% - Accent3 3 2 2 3 3" xfId="21878" xr:uid="{EF3161BD-A902-47B7-A595-5A2397558FCD}"/>
    <cellStyle name="40% - Accent3 3 2 2 3 4" xfId="30318" xr:uid="{052AA476-16F2-458A-9706-BE8B7AD30969}"/>
    <cellStyle name="40% - Accent3 3 2 2 4" xfId="9220" xr:uid="{B7655196-11DB-45D0-971D-D1AB2D61A844}"/>
    <cellStyle name="40% - Accent3 3 2 2 5" xfId="17661" xr:uid="{F3AD7682-89B6-40F1-98ED-8433B86B87F3}"/>
    <cellStyle name="40% - Accent3 3 2 2 6" xfId="26101" xr:uid="{7A8C12D0-58E5-47CB-A611-B9D81C7B54A7}"/>
    <cellStyle name="40% - Accent3 3 2 3" xfId="1093" xr:uid="{00000000-0005-0000-0000-000058050000}"/>
    <cellStyle name="40% - Accent3 3 2 3 2" xfId="3324" xr:uid="{00000000-0005-0000-0000-000059050000}"/>
    <cellStyle name="40% - Accent3 3 2 3 2 2" xfId="7546" xr:uid="{00000000-0005-0000-0000-00005A050000}"/>
    <cellStyle name="40% - Accent3 3 2 3 2 2 2" xfId="15996" xr:uid="{4534C700-4633-46F6-B7D9-D73473288451}"/>
    <cellStyle name="40% - Accent3 3 2 3 2 2 3" xfId="24436" xr:uid="{06F7BA60-6DDF-4FF4-B98E-2C5A8E4CF003}"/>
    <cellStyle name="40% - Accent3 3 2 3 2 2 4" xfId="32876" xr:uid="{D1943684-6B94-4271-8111-BA21093BF81B}"/>
    <cellStyle name="40% - Accent3 3 2 3 2 3" xfId="11778" xr:uid="{AED62D26-C798-4F09-A8FF-56D178409F29}"/>
    <cellStyle name="40% - Accent3 3 2 3 2 4" xfId="20219" xr:uid="{2AEA5E65-C12A-4332-A09F-ACB86F43D7B9}"/>
    <cellStyle name="40% - Accent3 3 2 3 2 5" xfId="28659" xr:uid="{81E093B1-8089-4E6D-AC16-70E96A5F201B}"/>
    <cellStyle name="40% - Accent3 3 2 3 3" xfId="5401" xr:uid="{00000000-0005-0000-0000-00005B050000}"/>
    <cellStyle name="40% - Accent3 3 2 3 3 2" xfId="13851" xr:uid="{7B959F24-F6EE-499C-A05F-1A0590689B18}"/>
    <cellStyle name="40% - Accent3 3 2 3 3 3" xfId="22291" xr:uid="{66D242C5-600D-4FDD-B790-3CEF9A0F8243}"/>
    <cellStyle name="40% - Accent3 3 2 3 3 4" xfId="30731" xr:uid="{6534404C-0156-4A0E-BF3A-F209BD4236FF}"/>
    <cellStyle name="40% - Accent3 3 2 3 4" xfId="9633" xr:uid="{F06BB534-23E5-470E-8C12-818F71D10C0B}"/>
    <cellStyle name="40% - Accent3 3 2 3 5" xfId="18074" xr:uid="{3294D785-5468-49B5-AF58-B8744F74285C}"/>
    <cellStyle name="40% - Accent3 3 2 3 6" xfId="26514" xr:uid="{3DD6FD6B-EBEF-49B2-925D-35BE0C2D34F4}"/>
    <cellStyle name="40% - Accent3 3 2 4" xfId="1507" xr:uid="{00000000-0005-0000-0000-00005C050000}"/>
    <cellStyle name="40% - Accent3 3 2 4 2" xfId="3737" xr:uid="{00000000-0005-0000-0000-00005D050000}"/>
    <cellStyle name="40% - Accent3 3 2 4 2 2" xfId="7959" xr:uid="{00000000-0005-0000-0000-00005E050000}"/>
    <cellStyle name="40% - Accent3 3 2 4 2 2 2" xfId="16409" xr:uid="{ED9AD38C-AAC5-41E8-82E9-1412975E2913}"/>
    <cellStyle name="40% - Accent3 3 2 4 2 2 3" xfId="24849" xr:uid="{03991C8B-D9C1-4C70-8E09-BDD14DA75F34}"/>
    <cellStyle name="40% - Accent3 3 2 4 2 2 4" xfId="33289" xr:uid="{F34AEC43-FDCF-42A9-8451-78B3B144E5CB}"/>
    <cellStyle name="40% - Accent3 3 2 4 2 3" xfId="12191" xr:uid="{7977C527-60FA-4D42-8AA2-54597877F7DB}"/>
    <cellStyle name="40% - Accent3 3 2 4 2 4" xfId="20632" xr:uid="{98E58D16-93D7-4C93-AB27-C1D67E4A29E3}"/>
    <cellStyle name="40% - Accent3 3 2 4 2 5" xfId="29072" xr:uid="{732FF61F-4425-4041-893F-BE241A887488}"/>
    <cellStyle name="40% - Accent3 3 2 4 3" xfId="5814" xr:uid="{00000000-0005-0000-0000-00005F050000}"/>
    <cellStyle name="40% - Accent3 3 2 4 3 2" xfId="14264" xr:uid="{4B1F85DF-C61D-4F57-BECA-F6720B0C81F8}"/>
    <cellStyle name="40% - Accent3 3 2 4 3 3" xfId="22704" xr:uid="{1B870AE8-651C-4FB8-9DFA-1039E655FF52}"/>
    <cellStyle name="40% - Accent3 3 2 4 3 4" xfId="31144" xr:uid="{8430BFFF-8C8E-4531-AE25-5E0AA0C0EACA}"/>
    <cellStyle name="40% - Accent3 3 2 4 4" xfId="10046" xr:uid="{11265013-4B6E-4E28-B92E-7A2F4346B58C}"/>
    <cellStyle name="40% - Accent3 3 2 4 5" xfId="18487" xr:uid="{4AE1FF07-0B7C-4979-8C63-61E299792080}"/>
    <cellStyle name="40% - Accent3 3 2 4 6" xfId="26927" xr:uid="{F0AA88A7-F7AA-4D0F-BE22-EC90299CAB27}"/>
    <cellStyle name="40% - Accent3 3 2 5" xfId="1921" xr:uid="{00000000-0005-0000-0000-000060050000}"/>
    <cellStyle name="40% - Accent3 3 2 5 2" xfId="4150" xr:uid="{00000000-0005-0000-0000-000061050000}"/>
    <cellStyle name="40% - Accent3 3 2 5 2 2" xfId="8372" xr:uid="{00000000-0005-0000-0000-000062050000}"/>
    <cellStyle name="40% - Accent3 3 2 5 2 2 2" xfId="16822" xr:uid="{DB06BE87-D442-489D-99C5-88D854312C42}"/>
    <cellStyle name="40% - Accent3 3 2 5 2 2 3" xfId="25262" xr:uid="{5E8A9AC2-F1BF-45AF-8041-0B43FB3939B7}"/>
    <cellStyle name="40% - Accent3 3 2 5 2 2 4" xfId="33702" xr:uid="{74487AD6-C473-41D5-AF23-B7523B6B7D5C}"/>
    <cellStyle name="40% - Accent3 3 2 5 2 3" xfId="12604" xr:uid="{B6FD1184-54BD-406B-97D1-32B6ECE6E6F9}"/>
    <cellStyle name="40% - Accent3 3 2 5 2 4" xfId="21045" xr:uid="{46C209B7-D0D1-4437-9900-762947753FE4}"/>
    <cellStyle name="40% - Accent3 3 2 5 2 5" xfId="29485" xr:uid="{4028C59E-06CF-4C59-9E46-992BA9D8C46D}"/>
    <cellStyle name="40% - Accent3 3 2 5 3" xfId="6227" xr:uid="{00000000-0005-0000-0000-000063050000}"/>
    <cellStyle name="40% - Accent3 3 2 5 3 2" xfId="14677" xr:uid="{AF429129-A9F2-4D82-AEB7-2F37C24A12B8}"/>
    <cellStyle name="40% - Accent3 3 2 5 3 3" xfId="23117" xr:uid="{915F5A5B-8269-48B8-8CD2-9258EA6D57AE}"/>
    <cellStyle name="40% - Accent3 3 2 5 3 4" xfId="31557" xr:uid="{ACDB71A3-2E12-459B-BF3A-69340A3515D9}"/>
    <cellStyle name="40% - Accent3 3 2 5 4" xfId="10459" xr:uid="{2601E467-1F56-4F16-9F48-16F15C917F3C}"/>
    <cellStyle name="40% - Accent3 3 2 5 5" xfId="18900" xr:uid="{F160081B-ABF3-418E-AB33-31D17BF52206}"/>
    <cellStyle name="40% - Accent3 3 2 5 6" xfId="27340" xr:uid="{EF82966A-66CE-458A-A936-E06C5DE70FEA}"/>
    <cellStyle name="40% - Accent3 3 2 6" xfId="2334" xr:uid="{00000000-0005-0000-0000-000064050000}"/>
    <cellStyle name="40% - Accent3 3 2 6 2" xfId="6640" xr:uid="{00000000-0005-0000-0000-000065050000}"/>
    <cellStyle name="40% - Accent3 3 2 6 2 2" xfId="15090" xr:uid="{FF719CB4-6699-4E4A-8646-A1DDCEB3AFBC}"/>
    <cellStyle name="40% - Accent3 3 2 6 2 3" xfId="23530" xr:uid="{2E425505-6D05-41F6-8D6F-F6CD933AFD9F}"/>
    <cellStyle name="40% - Accent3 3 2 6 2 4" xfId="31970" xr:uid="{E82D8DD7-54B1-42EE-A099-FCEC7121FB9B}"/>
    <cellStyle name="40% - Accent3 3 2 6 3" xfId="10872" xr:uid="{62BAC260-A33E-491B-AE5C-D984D6539DE5}"/>
    <cellStyle name="40% - Accent3 3 2 6 4" xfId="19313" xr:uid="{215A3AA8-58ED-4DFE-A94F-3E5C06E7A1F5}"/>
    <cellStyle name="40% - Accent3 3 2 6 5" xfId="27753" xr:uid="{178CCD69-A325-40F8-8A50-0254B8C881A0}"/>
    <cellStyle name="40% - Accent3 3 2 7" xfId="4574" xr:uid="{00000000-0005-0000-0000-000066050000}"/>
    <cellStyle name="40% - Accent3 3 2 7 2" xfId="13024" xr:uid="{5EF0566C-B855-4A75-B68A-E4843F73FFD0}"/>
    <cellStyle name="40% - Accent3 3 2 7 3" xfId="21464" xr:uid="{F81194E4-7098-4671-AF7E-E5803AA2FA56}"/>
    <cellStyle name="40% - Accent3 3 2 7 4" xfId="29904" xr:uid="{27AD99F4-7676-4CB2-9965-A57E74A794B7}"/>
    <cellStyle name="40% - Accent3 3 2 8" xfId="8806" xr:uid="{E00EF685-A041-4E2B-9F5A-BA891D1D4E91}"/>
    <cellStyle name="40% - Accent3 3 2 9" xfId="17247" xr:uid="{B7D7C647-D184-4DBA-9315-662BAD7BFA7E}"/>
    <cellStyle name="40% - Accent3 3 3" xfId="639" xr:uid="{00000000-0005-0000-0000-000067050000}"/>
    <cellStyle name="40% - Accent3 3 3 2" xfId="2910" xr:uid="{00000000-0005-0000-0000-000068050000}"/>
    <cellStyle name="40% - Accent3 3 3 2 2" xfId="7132" xr:uid="{00000000-0005-0000-0000-000069050000}"/>
    <cellStyle name="40% - Accent3 3 3 2 2 2" xfId="15582" xr:uid="{82449598-4C91-4A41-BEF2-C2C636412CEF}"/>
    <cellStyle name="40% - Accent3 3 3 2 2 3" xfId="24022" xr:uid="{1B2F254D-7394-4252-BCA8-CDE78F0B64BB}"/>
    <cellStyle name="40% - Accent3 3 3 2 2 4" xfId="32462" xr:uid="{F157CF56-3B4B-49B7-B410-436437D39713}"/>
    <cellStyle name="40% - Accent3 3 3 2 3" xfId="11364" xr:uid="{476FC80D-EA49-488E-ADF6-9AD330B5C544}"/>
    <cellStyle name="40% - Accent3 3 3 2 4" xfId="19805" xr:uid="{7FF4379B-F225-4E70-95F5-33D2A67B2520}"/>
    <cellStyle name="40% - Accent3 3 3 2 5" xfId="28245" xr:uid="{11175680-942B-4788-8A9F-D048151CB0FB}"/>
    <cellStyle name="40% - Accent3 3 3 3" xfId="4987" xr:uid="{00000000-0005-0000-0000-00006A050000}"/>
    <cellStyle name="40% - Accent3 3 3 3 2" xfId="13437" xr:uid="{5A8A7AB4-4CF9-4FED-BA94-0B4417FD8CEE}"/>
    <cellStyle name="40% - Accent3 3 3 3 3" xfId="21877" xr:uid="{8497880F-3AC3-45A8-A06C-9FC845DBC497}"/>
    <cellStyle name="40% - Accent3 3 3 3 4" xfId="30317" xr:uid="{ED673A0C-4B92-471D-B65E-9376019AA2C5}"/>
    <cellStyle name="40% - Accent3 3 3 4" xfId="9219" xr:uid="{2FB25C4B-4DF9-43A9-9A45-DB5DF7B21251}"/>
    <cellStyle name="40% - Accent3 3 3 5" xfId="17660" xr:uid="{45504914-E51A-4A30-80CB-F1C1884B3C94}"/>
    <cellStyle name="40% - Accent3 3 3 6" xfId="26100" xr:uid="{4202D150-5985-48F8-A69E-021FBB406495}"/>
    <cellStyle name="40% - Accent3 3 4" xfId="1092" xr:uid="{00000000-0005-0000-0000-00006B050000}"/>
    <cellStyle name="40% - Accent3 3 4 2" xfId="3323" xr:uid="{00000000-0005-0000-0000-00006C050000}"/>
    <cellStyle name="40% - Accent3 3 4 2 2" xfId="7545" xr:uid="{00000000-0005-0000-0000-00006D050000}"/>
    <cellStyle name="40% - Accent3 3 4 2 2 2" xfId="15995" xr:uid="{8406DEB1-D8A2-44C2-97C5-B15E71DD0FD0}"/>
    <cellStyle name="40% - Accent3 3 4 2 2 3" xfId="24435" xr:uid="{7E8C057B-3698-4B7C-BBEE-6D6E3AC6BCA8}"/>
    <cellStyle name="40% - Accent3 3 4 2 2 4" xfId="32875" xr:uid="{C8638A1A-2E59-4E53-8392-AA41C606186A}"/>
    <cellStyle name="40% - Accent3 3 4 2 3" xfId="11777" xr:uid="{887B56D3-96C1-47F8-BC22-221D8D87BAEC}"/>
    <cellStyle name="40% - Accent3 3 4 2 4" xfId="20218" xr:uid="{8302B973-040D-4855-9324-AE0567D50A14}"/>
    <cellStyle name="40% - Accent3 3 4 2 5" xfId="28658" xr:uid="{D7DC37C8-C607-475E-A900-F351C2337723}"/>
    <cellStyle name="40% - Accent3 3 4 3" xfId="5400" xr:uid="{00000000-0005-0000-0000-00006E050000}"/>
    <cellStyle name="40% - Accent3 3 4 3 2" xfId="13850" xr:uid="{2ECB7EFE-9BC2-43C7-84E4-EE5F5D5CF6B5}"/>
    <cellStyle name="40% - Accent3 3 4 3 3" xfId="22290" xr:uid="{A67712E9-551E-41F3-8D35-9C84004339A9}"/>
    <cellStyle name="40% - Accent3 3 4 3 4" xfId="30730" xr:uid="{D8EBA634-9A73-42F0-8D5D-28358A964A44}"/>
    <cellStyle name="40% - Accent3 3 4 4" xfId="9632" xr:uid="{531F5FEF-7F58-436B-B7F5-546C2E7DFAED}"/>
    <cellStyle name="40% - Accent3 3 4 5" xfId="18073" xr:uid="{6A1AF416-6515-4C12-AA5B-D50337A9691F}"/>
    <cellStyle name="40% - Accent3 3 4 6" xfId="26513" xr:uid="{AFF117B3-553F-43AE-AC4B-FAFEA961B347}"/>
    <cellStyle name="40% - Accent3 3 5" xfId="1506" xr:uid="{00000000-0005-0000-0000-00006F050000}"/>
    <cellStyle name="40% - Accent3 3 5 2" xfId="3736" xr:uid="{00000000-0005-0000-0000-000070050000}"/>
    <cellStyle name="40% - Accent3 3 5 2 2" xfId="7958" xr:uid="{00000000-0005-0000-0000-000071050000}"/>
    <cellStyle name="40% - Accent3 3 5 2 2 2" xfId="16408" xr:uid="{73622818-C95F-48EE-9ABF-AC2C341F67AB}"/>
    <cellStyle name="40% - Accent3 3 5 2 2 3" xfId="24848" xr:uid="{2FF55E04-2BB3-48A7-8500-143753A80E1F}"/>
    <cellStyle name="40% - Accent3 3 5 2 2 4" xfId="33288" xr:uid="{E746BFD2-30E7-49CB-BC22-B368C748489E}"/>
    <cellStyle name="40% - Accent3 3 5 2 3" xfId="12190" xr:uid="{108898F2-6D47-41C1-8CFA-C531F2B20CBC}"/>
    <cellStyle name="40% - Accent3 3 5 2 4" xfId="20631" xr:uid="{9E9D9C2B-C304-468B-AA6F-3CFFF663E20B}"/>
    <cellStyle name="40% - Accent3 3 5 2 5" xfId="29071" xr:uid="{62FFDB82-EC60-40A6-82F4-B1798CC6153B}"/>
    <cellStyle name="40% - Accent3 3 5 3" xfId="5813" xr:uid="{00000000-0005-0000-0000-000072050000}"/>
    <cellStyle name="40% - Accent3 3 5 3 2" xfId="14263" xr:uid="{CB61F2CF-5FA5-4AD1-98AF-23D1893B01EC}"/>
    <cellStyle name="40% - Accent3 3 5 3 3" xfId="22703" xr:uid="{89C3036D-E92B-4A2D-89F4-7BEAEFE5FE5B}"/>
    <cellStyle name="40% - Accent3 3 5 3 4" xfId="31143" xr:uid="{3EC69564-6050-47C8-BFA0-5AC520B26B76}"/>
    <cellStyle name="40% - Accent3 3 5 4" xfId="10045" xr:uid="{AE487E9F-57E5-4241-AF6A-915F9467BCB4}"/>
    <cellStyle name="40% - Accent3 3 5 5" xfId="18486" xr:uid="{9CE071B4-AA38-4B1A-A6B3-AB9A4E908F0C}"/>
    <cellStyle name="40% - Accent3 3 5 6" xfId="26926" xr:uid="{730BAFBD-CC96-4295-BA70-B5719A85E78A}"/>
    <cellStyle name="40% - Accent3 3 6" xfId="1920" xr:uid="{00000000-0005-0000-0000-000073050000}"/>
    <cellStyle name="40% - Accent3 3 6 2" xfId="4149" xr:uid="{00000000-0005-0000-0000-000074050000}"/>
    <cellStyle name="40% - Accent3 3 6 2 2" xfId="8371" xr:uid="{00000000-0005-0000-0000-000075050000}"/>
    <cellStyle name="40% - Accent3 3 6 2 2 2" xfId="16821" xr:uid="{7AFADF63-F3C2-4D8A-8572-BE7E0015B9E8}"/>
    <cellStyle name="40% - Accent3 3 6 2 2 3" xfId="25261" xr:uid="{411F003F-9917-473A-92B6-81EF8D474981}"/>
    <cellStyle name="40% - Accent3 3 6 2 2 4" xfId="33701" xr:uid="{114DD58D-70C4-404A-B51E-81019621F9EF}"/>
    <cellStyle name="40% - Accent3 3 6 2 3" xfId="12603" xr:uid="{18BD80FC-16FD-4961-BF3F-DE8CEF8C7EF1}"/>
    <cellStyle name="40% - Accent3 3 6 2 4" xfId="21044" xr:uid="{FA4D8566-7E06-49D6-8AD0-2FCE566D2FE8}"/>
    <cellStyle name="40% - Accent3 3 6 2 5" xfId="29484" xr:uid="{B8C00588-C6B0-404D-A27F-B3EB97FDF441}"/>
    <cellStyle name="40% - Accent3 3 6 3" xfId="6226" xr:uid="{00000000-0005-0000-0000-000076050000}"/>
    <cellStyle name="40% - Accent3 3 6 3 2" xfId="14676" xr:uid="{F40306E0-500D-41AE-97AC-B419EAE21220}"/>
    <cellStyle name="40% - Accent3 3 6 3 3" xfId="23116" xr:uid="{5B0D72E4-3E99-462A-B5EF-7EE30D4031F5}"/>
    <cellStyle name="40% - Accent3 3 6 3 4" xfId="31556" xr:uid="{547D0097-905C-4912-9E7A-ED059C33B63C}"/>
    <cellStyle name="40% - Accent3 3 6 4" xfId="10458" xr:uid="{E8BEFBAF-2065-4398-ACB5-1FE4EE589C27}"/>
    <cellStyle name="40% - Accent3 3 6 5" xfId="18899" xr:uid="{65D10B1C-AB3E-42BC-B846-70F334F1EA60}"/>
    <cellStyle name="40% - Accent3 3 6 6" xfId="27339" xr:uid="{32454435-00DF-4144-8D16-0140B1A06F22}"/>
    <cellStyle name="40% - Accent3 3 7" xfId="2333" xr:uid="{00000000-0005-0000-0000-000077050000}"/>
    <cellStyle name="40% - Accent3 3 7 2" xfId="6639" xr:uid="{00000000-0005-0000-0000-000078050000}"/>
    <cellStyle name="40% - Accent3 3 7 2 2" xfId="15089" xr:uid="{C139B6F7-2F3D-4A11-94C2-D7665E6534CB}"/>
    <cellStyle name="40% - Accent3 3 7 2 3" xfId="23529" xr:uid="{BE1D5EE1-3391-4EF5-9C71-D609D06FCB7F}"/>
    <cellStyle name="40% - Accent3 3 7 2 4" xfId="31969" xr:uid="{8DBA6A8C-D0F6-4F5E-A7FC-0B14C07DC36E}"/>
    <cellStyle name="40% - Accent3 3 7 3" xfId="10871" xr:uid="{D56A0208-3122-462B-A20E-62074ACFC66A}"/>
    <cellStyle name="40% - Accent3 3 7 4" xfId="19312" xr:uid="{D64A6A3D-6E1F-4E22-A7B2-3233DDA38555}"/>
    <cellStyle name="40% - Accent3 3 7 5" xfId="27752" xr:uid="{60CC0022-970C-4871-8D63-86B663033CB2}"/>
    <cellStyle name="40% - Accent3 3 8" xfId="4573" xr:uid="{00000000-0005-0000-0000-000079050000}"/>
    <cellStyle name="40% - Accent3 3 8 2" xfId="13023" xr:uid="{E67386A7-09BC-411B-AF5C-A68AD917DB04}"/>
    <cellStyle name="40% - Accent3 3 8 3" xfId="21463" xr:uid="{1565117E-59DC-4B75-9285-BA8C0BD5B065}"/>
    <cellStyle name="40% - Accent3 3 8 4" xfId="29903" xr:uid="{63BABF75-720C-4C54-95D0-B56D6BC7516A}"/>
    <cellStyle name="40% - Accent3 3 9" xfId="8805" xr:uid="{E57D8963-030C-4C7D-A98A-9B05C5C5AF26}"/>
    <cellStyle name="40% - Accent3 4" xfId="72" xr:uid="{00000000-0005-0000-0000-00007A050000}"/>
    <cellStyle name="40% - Accent3 4 10" xfId="25688" xr:uid="{4FD52DB1-EA0A-4F49-85C2-5A8981FEC8B3}"/>
    <cellStyle name="40% - Accent3 4 2" xfId="641" xr:uid="{00000000-0005-0000-0000-00007B050000}"/>
    <cellStyle name="40% - Accent3 4 2 2" xfId="2912" xr:uid="{00000000-0005-0000-0000-00007C050000}"/>
    <cellStyle name="40% - Accent3 4 2 2 2" xfId="7134" xr:uid="{00000000-0005-0000-0000-00007D050000}"/>
    <cellStyle name="40% - Accent3 4 2 2 2 2" xfId="15584" xr:uid="{74EAD969-5AE5-47A7-AFF1-DA00EA7B71A3}"/>
    <cellStyle name="40% - Accent3 4 2 2 2 3" xfId="24024" xr:uid="{6F516445-140A-42E2-8C19-2FD3C4950E89}"/>
    <cellStyle name="40% - Accent3 4 2 2 2 4" xfId="32464" xr:uid="{F33C4CF5-123F-4172-908E-B8B5ACAEA99A}"/>
    <cellStyle name="40% - Accent3 4 2 2 3" xfId="11366" xr:uid="{999E3854-7B31-405B-AFB2-7655CB880110}"/>
    <cellStyle name="40% - Accent3 4 2 2 4" xfId="19807" xr:uid="{3B0DDA3C-194F-4D61-8BB6-3477DA4FD64D}"/>
    <cellStyle name="40% - Accent3 4 2 2 5" xfId="28247" xr:uid="{CF88BFD7-0F2B-4C80-BB58-9790BF759D6C}"/>
    <cellStyle name="40% - Accent3 4 2 3" xfId="4989" xr:uid="{00000000-0005-0000-0000-00007E050000}"/>
    <cellStyle name="40% - Accent3 4 2 3 2" xfId="13439" xr:uid="{34158D99-2A72-4AAE-8BC6-52F5B68810FB}"/>
    <cellStyle name="40% - Accent3 4 2 3 3" xfId="21879" xr:uid="{401DC4A5-4FF2-4747-857B-142BD8DE2DC2}"/>
    <cellStyle name="40% - Accent3 4 2 3 4" xfId="30319" xr:uid="{4D0E343A-FF5C-48C4-A728-E474A75D4CC0}"/>
    <cellStyle name="40% - Accent3 4 2 4" xfId="9221" xr:uid="{5D4EFA77-E024-43EA-BB8D-B8BAFC5FEAB3}"/>
    <cellStyle name="40% - Accent3 4 2 5" xfId="17662" xr:uid="{5C1FB2AB-8587-4B15-9AA8-C8DA9BF8DC90}"/>
    <cellStyle name="40% - Accent3 4 2 6" xfId="26102" xr:uid="{BDED2829-5CDB-437F-906A-A348F1E191DF}"/>
    <cellStyle name="40% - Accent3 4 3" xfId="1094" xr:uid="{00000000-0005-0000-0000-00007F050000}"/>
    <cellStyle name="40% - Accent3 4 3 2" xfId="3325" xr:uid="{00000000-0005-0000-0000-000080050000}"/>
    <cellStyle name="40% - Accent3 4 3 2 2" xfId="7547" xr:uid="{00000000-0005-0000-0000-000081050000}"/>
    <cellStyle name="40% - Accent3 4 3 2 2 2" xfId="15997" xr:uid="{137598BE-115D-4F65-8815-2BBA8EB093BF}"/>
    <cellStyle name="40% - Accent3 4 3 2 2 3" xfId="24437" xr:uid="{3A67EAD5-9540-4974-B997-AE285111EF8E}"/>
    <cellStyle name="40% - Accent3 4 3 2 2 4" xfId="32877" xr:uid="{E07D90B7-2AA6-4CA1-BCE8-B477407A7DEA}"/>
    <cellStyle name="40% - Accent3 4 3 2 3" xfId="11779" xr:uid="{DD9539CD-F44C-4FEE-8CCA-1EC41DC2AC4D}"/>
    <cellStyle name="40% - Accent3 4 3 2 4" xfId="20220" xr:uid="{5CCF60A8-15DF-496D-9B18-3D99ED3C6722}"/>
    <cellStyle name="40% - Accent3 4 3 2 5" xfId="28660" xr:uid="{150092CE-FF92-49DE-91DA-0C0C669999AC}"/>
    <cellStyle name="40% - Accent3 4 3 3" xfId="5402" xr:uid="{00000000-0005-0000-0000-000082050000}"/>
    <cellStyle name="40% - Accent3 4 3 3 2" xfId="13852" xr:uid="{2FC14FD8-D570-49E6-8862-D0D02C88E6EF}"/>
    <cellStyle name="40% - Accent3 4 3 3 3" xfId="22292" xr:uid="{81E65058-80A4-4280-A50D-CC29A490A9AC}"/>
    <cellStyle name="40% - Accent3 4 3 3 4" xfId="30732" xr:uid="{3E3DA83F-5644-4A3B-8EE4-D2A93A25373F}"/>
    <cellStyle name="40% - Accent3 4 3 4" xfId="9634" xr:uid="{7790CF52-C5F7-4C13-9107-A7F356D6C67E}"/>
    <cellStyle name="40% - Accent3 4 3 5" xfId="18075" xr:uid="{9E70874B-AFA1-4623-AA15-33AE8135E14C}"/>
    <cellStyle name="40% - Accent3 4 3 6" xfId="26515" xr:uid="{1CFC28F3-FE20-43DB-9497-89E983A7FB91}"/>
    <cellStyle name="40% - Accent3 4 4" xfId="1508" xr:uid="{00000000-0005-0000-0000-000083050000}"/>
    <cellStyle name="40% - Accent3 4 4 2" xfId="3738" xr:uid="{00000000-0005-0000-0000-000084050000}"/>
    <cellStyle name="40% - Accent3 4 4 2 2" xfId="7960" xr:uid="{00000000-0005-0000-0000-000085050000}"/>
    <cellStyle name="40% - Accent3 4 4 2 2 2" xfId="16410" xr:uid="{6F8B04A9-60EA-4A8C-AE13-9FD400818C07}"/>
    <cellStyle name="40% - Accent3 4 4 2 2 3" xfId="24850" xr:uid="{6CE2234C-B1FB-4BE9-A1E3-F5F5122A9FA2}"/>
    <cellStyle name="40% - Accent3 4 4 2 2 4" xfId="33290" xr:uid="{531BA1F6-D2FF-47DB-BB3C-A358EBFF0783}"/>
    <cellStyle name="40% - Accent3 4 4 2 3" xfId="12192" xr:uid="{32CBB119-35DD-486E-BCC3-89F6BA6A77CB}"/>
    <cellStyle name="40% - Accent3 4 4 2 4" xfId="20633" xr:uid="{7EC7D06E-D87E-4A6D-B58D-B1F91FED9CEF}"/>
    <cellStyle name="40% - Accent3 4 4 2 5" xfId="29073" xr:uid="{345782C0-6212-4BEE-A5FB-F6147A77D0B5}"/>
    <cellStyle name="40% - Accent3 4 4 3" xfId="5815" xr:uid="{00000000-0005-0000-0000-000086050000}"/>
    <cellStyle name="40% - Accent3 4 4 3 2" xfId="14265" xr:uid="{BA8E5762-9335-4ACA-A352-8CFBD20A0837}"/>
    <cellStyle name="40% - Accent3 4 4 3 3" xfId="22705" xr:uid="{D47C424B-03C6-4E13-B04B-B306289E989B}"/>
    <cellStyle name="40% - Accent3 4 4 3 4" xfId="31145" xr:uid="{4D9F3B11-4DDF-4126-8540-1EFAFF5D3DFC}"/>
    <cellStyle name="40% - Accent3 4 4 4" xfId="10047" xr:uid="{A03AEC30-E5C0-4B79-A5AB-BE6FAF5B8B6B}"/>
    <cellStyle name="40% - Accent3 4 4 5" xfId="18488" xr:uid="{094F892F-004B-4595-884E-183C8A704B84}"/>
    <cellStyle name="40% - Accent3 4 4 6" xfId="26928" xr:uid="{28F66DB4-9F16-4035-95AA-1F104A688DF0}"/>
    <cellStyle name="40% - Accent3 4 5" xfId="1922" xr:uid="{00000000-0005-0000-0000-000087050000}"/>
    <cellStyle name="40% - Accent3 4 5 2" xfId="4151" xr:uid="{00000000-0005-0000-0000-000088050000}"/>
    <cellStyle name="40% - Accent3 4 5 2 2" xfId="8373" xr:uid="{00000000-0005-0000-0000-000089050000}"/>
    <cellStyle name="40% - Accent3 4 5 2 2 2" xfId="16823" xr:uid="{753E9E8B-6E3F-4979-A3DF-8004690BAB3D}"/>
    <cellStyle name="40% - Accent3 4 5 2 2 3" xfId="25263" xr:uid="{F0C5C16F-654C-4716-B2E5-6EC12AE35157}"/>
    <cellStyle name="40% - Accent3 4 5 2 2 4" xfId="33703" xr:uid="{E3B28949-DB75-4B44-A300-140899089051}"/>
    <cellStyle name="40% - Accent3 4 5 2 3" xfId="12605" xr:uid="{0D2A34C2-F64A-4DB5-8BAF-DC0AB6644840}"/>
    <cellStyle name="40% - Accent3 4 5 2 4" xfId="21046" xr:uid="{67236434-DBCF-4BB8-9DB9-25C833B71762}"/>
    <cellStyle name="40% - Accent3 4 5 2 5" xfId="29486" xr:uid="{43CEC37B-6D01-4D4E-88C3-1C2EEABE435D}"/>
    <cellStyle name="40% - Accent3 4 5 3" xfId="6228" xr:uid="{00000000-0005-0000-0000-00008A050000}"/>
    <cellStyle name="40% - Accent3 4 5 3 2" xfId="14678" xr:uid="{309094E2-D144-4D1C-BD92-8680BB48FE31}"/>
    <cellStyle name="40% - Accent3 4 5 3 3" xfId="23118" xr:uid="{01E066A3-7811-4663-AB50-AD96C08CA8D6}"/>
    <cellStyle name="40% - Accent3 4 5 3 4" xfId="31558" xr:uid="{0B156607-724B-46CA-89AB-DCB342245F19}"/>
    <cellStyle name="40% - Accent3 4 5 4" xfId="10460" xr:uid="{2F8BECF1-BD36-4382-A15B-73430F87827E}"/>
    <cellStyle name="40% - Accent3 4 5 5" xfId="18901" xr:uid="{0F2075E2-A272-4122-82EB-FEBC96FB1A96}"/>
    <cellStyle name="40% - Accent3 4 5 6" xfId="27341" xr:uid="{6C35B1A1-4B5B-4537-9730-D58B0D6F52F4}"/>
    <cellStyle name="40% - Accent3 4 6" xfId="2335" xr:uid="{00000000-0005-0000-0000-00008B050000}"/>
    <cellStyle name="40% - Accent3 4 6 2" xfId="6641" xr:uid="{00000000-0005-0000-0000-00008C050000}"/>
    <cellStyle name="40% - Accent3 4 6 2 2" xfId="15091" xr:uid="{2B4C8186-227F-45E2-BDAA-F6C14142F696}"/>
    <cellStyle name="40% - Accent3 4 6 2 3" xfId="23531" xr:uid="{7CF8618A-B7BB-4C66-9670-A5061EFD94FC}"/>
    <cellStyle name="40% - Accent3 4 6 2 4" xfId="31971" xr:uid="{28CE99CE-8AFD-4357-BB5D-F1A96610661A}"/>
    <cellStyle name="40% - Accent3 4 6 3" xfId="10873" xr:uid="{15E1BFDB-0C2E-49D2-BBD8-89713F9EC6A6}"/>
    <cellStyle name="40% - Accent3 4 6 4" xfId="19314" xr:uid="{9436F812-B1C0-48F7-9548-B0216DAD0434}"/>
    <cellStyle name="40% - Accent3 4 6 5" xfId="27754" xr:uid="{F9DEDD73-2421-4F8D-BAF9-D853E42E0A7B}"/>
    <cellStyle name="40% - Accent3 4 7" xfId="4575" xr:uid="{00000000-0005-0000-0000-00008D050000}"/>
    <cellStyle name="40% - Accent3 4 7 2" xfId="13025" xr:uid="{27358452-583D-46C4-A4E5-8552F626D5A2}"/>
    <cellStyle name="40% - Accent3 4 7 3" xfId="21465" xr:uid="{85A5BCBE-5593-4817-A21A-1596B2B9E230}"/>
    <cellStyle name="40% - Accent3 4 7 4" xfId="29905" xr:uid="{3CAEC124-697D-4F6B-8438-E7B1DF081B52}"/>
    <cellStyle name="40% - Accent3 4 8" xfId="8807" xr:uid="{18747BF0-9BDF-4FE8-9BDB-3B7A3652A543}"/>
    <cellStyle name="40% - Accent3 4 9" xfId="17248" xr:uid="{BB30F25B-C147-4D35-AE71-C6065A960ECA}"/>
    <cellStyle name="40% - Accent3 5" xfId="634" xr:uid="{00000000-0005-0000-0000-00008E050000}"/>
    <cellStyle name="40% - Accent3 5 2" xfId="2905" xr:uid="{00000000-0005-0000-0000-00008F050000}"/>
    <cellStyle name="40% - Accent3 5 2 2" xfId="7127" xr:uid="{00000000-0005-0000-0000-000090050000}"/>
    <cellStyle name="40% - Accent3 5 2 2 2" xfId="15577" xr:uid="{F1442557-1B4D-4E60-9792-943C71CDAD85}"/>
    <cellStyle name="40% - Accent3 5 2 2 3" xfId="24017" xr:uid="{3C19284B-7E3F-4A9A-99DD-E91C50A6041E}"/>
    <cellStyle name="40% - Accent3 5 2 2 4" xfId="32457" xr:uid="{01CA90DB-521C-4A31-9EE6-FB885F6261AF}"/>
    <cellStyle name="40% - Accent3 5 2 3" xfId="11359" xr:uid="{F83ECFDB-7583-4800-B7CC-C83290CA0DE4}"/>
    <cellStyle name="40% - Accent3 5 2 4" xfId="19800" xr:uid="{051F5449-3F5E-4BB5-97EB-446D8909F179}"/>
    <cellStyle name="40% - Accent3 5 2 5" xfId="28240" xr:uid="{6CAAC10B-644B-47A0-ABED-4AEEBE5A23B9}"/>
    <cellStyle name="40% - Accent3 5 3" xfId="4982" xr:uid="{00000000-0005-0000-0000-000091050000}"/>
    <cellStyle name="40% - Accent3 5 3 2" xfId="13432" xr:uid="{405DA6FE-6221-4358-8DD9-D0D3B5D0D09D}"/>
    <cellStyle name="40% - Accent3 5 3 3" xfId="21872" xr:uid="{40DB1116-04A2-42E8-9432-4D46DB7C9A59}"/>
    <cellStyle name="40% - Accent3 5 3 4" xfId="30312" xr:uid="{E4536193-DCDC-42F0-B6D5-432F9EBF4A2C}"/>
    <cellStyle name="40% - Accent3 5 4" xfId="9214" xr:uid="{25867189-BAD8-429E-A23B-54E68FAE18A8}"/>
    <cellStyle name="40% - Accent3 5 5" xfId="17655" xr:uid="{7995B824-77E5-4EDD-AC67-E045F928667B}"/>
    <cellStyle name="40% - Accent3 5 6" xfId="26095" xr:uid="{05055B52-D9A9-4C38-8254-AC52DD883BD3}"/>
    <cellStyle name="40% - Accent3 6" xfId="1087" xr:uid="{00000000-0005-0000-0000-000092050000}"/>
    <cellStyle name="40% - Accent3 6 2" xfId="3318" xr:uid="{00000000-0005-0000-0000-000093050000}"/>
    <cellStyle name="40% - Accent3 6 2 2" xfId="7540" xr:uid="{00000000-0005-0000-0000-000094050000}"/>
    <cellStyle name="40% - Accent3 6 2 2 2" xfId="15990" xr:uid="{11D0DFA6-FE5A-4CC1-8BD1-D5ADECA69152}"/>
    <cellStyle name="40% - Accent3 6 2 2 3" xfId="24430" xr:uid="{D525D960-94F8-4E45-96C2-C9DF6D842C4D}"/>
    <cellStyle name="40% - Accent3 6 2 2 4" xfId="32870" xr:uid="{8866231E-D84C-4BFB-A782-E552FEB811E8}"/>
    <cellStyle name="40% - Accent3 6 2 3" xfId="11772" xr:uid="{852AAEF7-9DA1-4FB7-B00B-3AD16CF801A7}"/>
    <cellStyle name="40% - Accent3 6 2 4" xfId="20213" xr:uid="{AEECB64C-4B80-4358-8897-F6E1881E617C}"/>
    <cellStyle name="40% - Accent3 6 2 5" xfId="28653" xr:uid="{8F293ED4-1694-4959-A7C0-F01814EB99B0}"/>
    <cellStyle name="40% - Accent3 6 3" xfId="5395" xr:uid="{00000000-0005-0000-0000-000095050000}"/>
    <cellStyle name="40% - Accent3 6 3 2" xfId="13845" xr:uid="{6451D39B-60C9-46B1-8D28-E4440D16B47A}"/>
    <cellStyle name="40% - Accent3 6 3 3" xfId="22285" xr:uid="{E9E7F964-34FB-477F-9AD1-5827845FCA4E}"/>
    <cellStyle name="40% - Accent3 6 3 4" xfId="30725" xr:uid="{0C7F3830-98C6-4AA8-B9AD-BC67421540DD}"/>
    <cellStyle name="40% - Accent3 6 4" xfId="9627" xr:uid="{6EE8E639-78EE-43E4-8393-41E5459BEF88}"/>
    <cellStyle name="40% - Accent3 6 5" xfId="18068" xr:uid="{F465A1B1-8856-4CFC-85DC-7713C2D82F50}"/>
    <cellStyle name="40% - Accent3 6 6" xfId="26508" xr:uid="{79016018-2E22-41C8-80A2-4BDE621CA1A5}"/>
    <cellStyle name="40% - Accent3 7" xfId="1501" xr:uid="{00000000-0005-0000-0000-000096050000}"/>
    <cellStyle name="40% - Accent3 7 2" xfId="3731" xr:uid="{00000000-0005-0000-0000-000097050000}"/>
    <cellStyle name="40% - Accent3 7 2 2" xfId="7953" xr:uid="{00000000-0005-0000-0000-000098050000}"/>
    <cellStyle name="40% - Accent3 7 2 2 2" xfId="16403" xr:uid="{7FA109F2-B7CE-4337-85CF-BBCE29102D8B}"/>
    <cellStyle name="40% - Accent3 7 2 2 3" xfId="24843" xr:uid="{F1D4A9AA-F814-4DD8-AC23-1CC61E51EFD0}"/>
    <cellStyle name="40% - Accent3 7 2 2 4" xfId="33283" xr:uid="{4CC07BF2-1234-4D19-A1A1-E9123CE4F101}"/>
    <cellStyle name="40% - Accent3 7 2 3" xfId="12185" xr:uid="{336B3632-80BB-4E6B-9E2D-554C949CC3EB}"/>
    <cellStyle name="40% - Accent3 7 2 4" xfId="20626" xr:uid="{1E53EDF3-3ED8-471F-9148-947BB40956C7}"/>
    <cellStyle name="40% - Accent3 7 2 5" xfId="29066" xr:uid="{51485284-27AC-4474-A572-609955CCA436}"/>
    <cellStyle name="40% - Accent3 7 3" xfId="5808" xr:uid="{00000000-0005-0000-0000-000099050000}"/>
    <cellStyle name="40% - Accent3 7 3 2" xfId="14258" xr:uid="{FDAC6DCF-4D81-4D7A-BBC9-793B777461AF}"/>
    <cellStyle name="40% - Accent3 7 3 3" xfId="22698" xr:uid="{8655B66E-E63C-486F-93EF-4FEE5AB55FE4}"/>
    <cellStyle name="40% - Accent3 7 3 4" xfId="31138" xr:uid="{C4689E0C-04FF-4E03-A105-F575CD78C154}"/>
    <cellStyle name="40% - Accent3 7 4" xfId="10040" xr:uid="{FDDB6506-DA85-4966-8311-1BB7FDE95D19}"/>
    <cellStyle name="40% - Accent3 7 5" xfId="18481" xr:uid="{5814BA0A-C6BF-4166-9EA8-8682E415258A}"/>
    <cellStyle name="40% - Accent3 7 6" xfId="26921" xr:uid="{6EA70FD0-0E9E-49E3-9C9C-AFA897D48F41}"/>
    <cellStyle name="40% - Accent3 8" xfId="1915" xr:uid="{00000000-0005-0000-0000-00009A050000}"/>
    <cellStyle name="40% - Accent3 8 2" xfId="4144" xr:uid="{00000000-0005-0000-0000-00009B050000}"/>
    <cellStyle name="40% - Accent3 8 2 2" xfId="8366" xr:uid="{00000000-0005-0000-0000-00009C050000}"/>
    <cellStyle name="40% - Accent3 8 2 2 2" xfId="16816" xr:uid="{832DD79F-11BC-48E6-BCFE-0D188BB16E36}"/>
    <cellStyle name="40% - Accent3 8 2 2 3" xfId="25256" xr:uid="{C383A8F7-F2F7-4C3B-A187-F7B96A5DD6CB}"/>
    <cellStyle name="40% - Accent3 8 2 2 4" xfId="33696" xr:uid="{CEA42A1C-1E2F-49CC-B18E-58F48280DDA2}"/>
    <cellStyle name="40% - Accent3 8 2 3" xfId="12598" xr:uid="{0DE25133-8B65-4873-9079-A327A86AF5A8}"/>
    <cellStyle name="40% - Accent3 8 2 4" xfId="21039" xr:uid="{E1314AB3-3EEF-4558-88FE-44CE49CCEB93}"/>
    <cellStyle name="40% - Accent3 8 2 5" xfId="29479" xr:uid="{1B2E454B-F2D8-409B-AA42-A18DC1F39736}"/>
    <cellStyle name="40% - Accent3 8 3" xfId="6221" xr:uid="{00000000-0005-0000-0000-00009D050000}"/>
    <cellStyle name="40% - Accent3 8 3 2" xfId="14671" xr:uid="{7B39BFA8-5F97-412E-BF1F-D986B1B220BA}"/>
    <cellStyle name="40% - Accent3 8 3 3" xfId="23111" xr:uid="{ABEAA0BA-3010-4892-AB0F-0C54982A34C1}"/>
    <cellStyle name="40% - Accent3 8 3 4" xfId="31551" xr:uid="{2902AC83-C4D1-4AFD-881D-E886BD7BA2FB}"/>
    <cellStyle name="40% - Accent3 8 4" xfId="10453" xr:uid="{A9EE012C-C2D6-49D5-AABF-4CDBCAF1BE7F}"/>
    <cellStyle name="40% - Accent3 8 5" xfId="18894" xr:uid="{1E455512-F08E-4611-B130-F201024C5763}"/>
    <cellStyle name="40% - Accent3 8 6" xfId="27334" xr:uid="{763E398B-21EA-4C1D-A436-CB8805124839}"/>
    <cellStyle name="40% - Accent3 9" xfId="2328" xr:uid="{00000000-0005-0000-0000-00009E050000}"/>
    <cellStyle name="40% - Accent3 9 2" xfId="6634" xr:uid="{00000000-0005-0000-0000-00009F050000}"/>
    <cellStyle name="40% - Accent3 9 2 2" xfId="15084" xr:uid="{672198B6-3E1A-4243-A7D6-BC2AAAD4203C}"/>
    <cellStyle name="40% - Accent3 9 2 3" xfId="23524" xr:uid="{0C2809D2-C26D-468D-A30B-9BA0F4579C85}"/>
    <cellStyle name="40% - Accent3 9 2 4" xfId="31964" xr:uid="{0B6FB4F5-27F5-4048-A52B-1CE3A09FF5C9}"/>
    <cellStyle name="40% - Accent3 9 3" xfId="10866" xr:uid="{27B383D1-F484-474A-B85C-66D9D8071E28}"/>
    <cellStyle name="40% - Accent3 9 4" xfId="19307" xr:uid="{47E062D7-C6AD-403F-8754-BF64B4787E61}"/>
    <cellStyle name="40% - Accent3 9 5" xfId="27747" xr:uid="{B74CFE60-D1F0-4274-B908-91F68B9B4979}"/>
    <cellStyle name="40% - Accent4" xfId="73" builtinId="43" customBuiltin="1"/>
    <cellStyle name="40% - Accent4 10" xfId="4576" xr:uid="{00000000-0005-0000-0000-0000A1050000}"/>
    <cellStyle name="40% - Accent4 10 2" xfId="13026" xr:uid="{7692660A-95A1-46CF-9D8C-35B16FAAC413}"/>
    <cellStyle name="40% - Accent4 10 3" xfId="21466" xr:uid="{76F0DC88-B701-497D-92FA-467EBDAB9D3C}"/>
    <cellStyle name="40% - Accent4 10 4" xfId="29906" xr:uid="{B5CCA6FE-FFB4-4222-BDD0-93E5008716ED}"/>
    <cellStyle name="40% - Accent4 11" xfId="8808" xr:uid="{8F44C580-2EB2-4DCB-B066-B57B1CE0CA8C}"/>
    <cellStyle name="40% - Accent4 12" xfId="17249" xr:uid="{393DC00B-A367-4A83-90EA-718D4E408C9B}"/>
    <cellStyle name="40% - Accent4 13" xfId="25689" xr:uid="{24FC4B6F-B150-49ED-97A4-F6851BB8DCD1}"/>
    <cellStyle name="40% - Accent4 2" xfId="74" xr:uid="{00000000-0005-0000-0000-0000A2050000}"/>
    <cellStyle name="40% - Accent4 2 10" xfId="8809" xr:uid="{E9856835-6FDE-4D1B-995A-BEC72A6F1345}"/>
    <cellStyle name="40% - Accent4 2 11" xfId="17250" xr:uid="{F38CD317-78A7-45C0-BAEB-FB7B73B9E50E}"/>
    <cellStyle name="40% - Accent4 2 12" xfId="25690" xr:uid="{5EF801F4-BB58-44E1-84CD-EF61FEEA0FD7}"/>
    <cellStyle name="40% - Accent4 2 2" xfId="75" xr:uid="{00000000-0005-0000-0000-0000A3050000}"/>
    <cellStyle name="40% - Accent4 2 2 10" xfId="17251" xr:uid="{6C89CE16-F263-4C43-B66C-2C83532E44E8}"/>
    <cellStyle name="40% - Accent4 2 2 11" xfId="25691" xr:uid="{F0C58854-A3C2-411B-BB90-428305BD2EA2}"/>
    <cellStyle name="40% - Accent4 2 2 2" xfId="76" xr:uid="{00000000-0005-0000-0000-0000A4050000}"/>
    <cellStyle name="40% - Accent4 2 2 2 10" xfId="25692" xr:uid="{354B6CDD-8D61-42EF-8AEF-D6D9AFD2B0B6}"/>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2 2 2" xfId="15588" xr:uid="{A56244AE-D317-41D6-8CD4-9992A89D2BDC}"/>
    <cellStyle name="40% - Accent4 2 2 2 2 2 2 3" xfId="24028" xr:uid="{CB8733C7-3837-4F58-828D-E35A100B5D46}"/>
    <cellStyle name="40% - Accent4 2 2 2 2 2 2 4" xfId="32468" xr:uid="{C9083B7F-E59A-4C36-A121-2D2308D84B34}"/>
    <cellStyle name="40% - Accent4 2 2 2 2 2 3" xfId="11370" xr:uid="{E0CD24C8-A54B-408C-A195-7192B19D397D}"/>
    <cellStyle name="40% - Accent4 2 2 2 2 2 4" xfId="19811" xr:uid="{81B19D64-E4A4-4EC6-A23A-9A3D47C3D261}"/>
    <cellStyle name="40% - Accent4 2 2 2 2 2 5" xfId="28251" xr:uid="{1712894E-4DF3-4DB1-A6FD-04D746749332}"/>
    <cellStyle name="40% - Accent4 2 2 2 2 3" xfId="4993" xr:uid="{00000000-0005-0000-0000-0000A8050000}"/>
    <cellStyle name="40% - Accent4 2 2 2 2 3 2" xfId="13443" xr:uid="{C9477BFD-2E02-49EB-B1D9-8DC16A20B83A}"/>
    <cellStyle name="40% - Accent4 2 2 2 2 3 3" xfId="21883" xr:uid="{622C5A6E-FA25-449A-ADF0-5A2CF4E52A78}"/>
    <cellStyle name="40% - Accent4 2 2 2 2 3 4" xfId="30323" xr:uid="{51E0D102-757D-4207-AF3E-6DF2E406CF5C}"/>
    <cellStyle name="40% - Accent4 2 2 2 2 4" xfId="9225" xr:uid="{13DBDF09-2F8A-4BD6-8E21-8C4072A37FFF}"/>
    <cellStyle name="40% - Accent4 2 2 2 2 5" xfId="17666" xr:uid="{7871F10F-488B-4622-A260-D462D2364034}"/>
    <cellStyle name="40% - Accent4 2 2 2 2 6" xfId="26106" xr:uid="{0ABECCFE-864E-4D78-BD20-4A67ED81F259}"/>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2 2 2" xfId="16001" xr:uid="{230A0D68-E08B-40A7-AAB0-B9259957E69A}"/>
    <cellStyle name="40% - Accent4 2 2 2 3 2 2 3" xfId="24441" xr:uid="{88DC60C4-7A8F-46D0-828A-7A8F5131D519}"/>
    <cellStyle name="40% - Accent4 2 2 2 3 2 2 4" xfId="32881" xr:uid="{6D4C72B1-633A-431A-A553-03D6B0249F0E}"/>
    <cellStyle name="40% - Accent4 2 2 2 3 2 3" xfId="11783" xr:uid="{4A5B42C3-B28E-4C16-BB6E-C5DED5D6A282}"/>
    <cellStyle name="40% - Accent4 2 2 2 3 2 4" xfId="20224" xr:uid="{931B7F2B-7C10-415F-A40A-1B406663398B}"/>
    <cellStyle name="40% - Accent4 2 2 2 3 2 5" xfId="28664" xr:uid="{0F1C5719-0938-4ABF-A75F-F435176A7F7F}"/>
    <cellStyle name="40% - Accent4 2 2 2 3 3" xfId="5406" xr:uid="{00000000-0005-0000-0000-0000AC050000}"/>
    <cellStyle name="40% - Accent4 2 2 2 3 3 2" xfId="13856" xr:uid="{64AF2CE0-791B-411F-90A2-BE0C5E1931AE}"/>
    <cellStyle name="40% - Accent4 2 2 2 3 3 3" xfId="22296" xr:uid="{94EA1CFB-CF03-48C5-9DA9-7C73B60CFEAA}"/>
    <cellStyle name="40% - Accent4 2 2 2 3 3 4" xfId="30736" xr:uid="{0B7BD5C5-3480-42C6-9600-229B1B9D8DDA}"/>
    <cellStyle name="40% - Accent4 2 2 2 3 4" xfId="9638" xr:uid="{DAF942B0-4DAB-45F6-8DDF-D7AD51C33F6D}"/>
    <cellStyle name="40% - Accent4 2 2 2 3 5" xfId="18079" xr:uid="{CA088698-3DFD-4726-A82A-57D0EBFAD493}"/>
    <cellStyle name="40% - Accent4 2 2 2 3 6" xfId="26519" xr:uid="{87CEC265-8FA2-4261-8CD4-FDD84E8E7C41}"/>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2 2 2" xfId="16414" xr:uid="{2B664396-FF16-4391-BC0F-DE339DB4BBAA}"/>
    <cellStyle name="40% - Accent4 2 2 2 4 2 2 3" xfId="24854" xr:uid="{B34D65C1-5B8E-41D8-9951-15A1DB44F3A6}"/>
    <cellStyle name="40% - Accent4 2 2 2 4 2 2 4" xfId="33294" xr:uid="{2FCC3646-9F2B-43E4-A8B2-6723A5630C7A}"/>
    <cellStyle name="40% - Accent4 2 2 2 4 2 3" xfId="12196" xr:uid="{CA10603F-F578-4DE7-B245-455AC5C1B4C9}"/>
    <cellStyle name="40% - Accent4 2 2 2 4 2 4" xfId="20637" xr:uid="{E3E83138-CD94-4C4E-BE92-DB14277F9EAD}"/>
    <cellStyle name="40% - Accent4 2 2 2 4 2 5" xfId="29077" xr:uid="{70B0494A-7C28-41D9-88AC-CEA3D6583E3B}"/>
    <cellStyle name="40% - Accent4 2 2 2 4 3" xfId="5819" xr:uid="{00000000-0005-0000-0000-0000B0050000}"/>
    <cellStyle name="40% - Accent4 2 2 2 4 3 2" xfId="14269" xr:uid="{E0CDFCE1-E2BB-4463-8464-C15CF0CAA208}"/>
    <cellStyle name="40% - Accent4 2 2 2 4 3 3" xfId="22709" xr:uid="{1371145B-1315-46DC-A513-A3C20263E06A}"/>
    <cellStyle name="40% - Accent4 2 2 2 4 3 4" xfId="31149" xr:uid="{87C0C933-5528-4181-834A-AB398BF4A6AE}"/>
    <cellStyle name="40% - Accent4 2 2 2 4 4" xfId="10051" xr:uid="{4C9D322A-8883-45F6-9F0A-9A0535B02CE8}"/>
    <cellStyle name="40% - Accent4 2 2 2 4 5" xfId="18492" xr:uid="{E38D3B00-5E14-4EA5-9DC0-6F2CFF9890F2}"/>
    <cellStyle name="40% - Accent4 2 2 2 4 6" xfId="26932" xr:uid="{3A98F7B8-DF19-4932-B843-81DCF4135E09}"/>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2 2 2" xfId="16827" xr:uid="{3BC7FEB5-9E96-473E-959E-29BC93CF8157}"/>
    <cellStyle name="40% - Accent4 2 2 2 5 2 2 3" xfId="25267" xr:uid="{9886C7C2-B83D-4969-8677-6773A3A3C4E6}"/>
    <cellStyle name="40% - Accent4 2 2 2 5 2 2 4" xfId="33707" xr:uid="{62A9A4D0-1C1D-4AF2-A087-DC3BB2109BEC}"/>
    <cellStyle name="40% - Accent4 2 2 2 5 2 3" xfId="12609" xr:uid="{2A5DBB8E-9847-408C-9677-E125120F9DD1}"/>
    <cellStyle name="40% - Accent4 2 2 2 5 2 4" xfId="21050" xr:uid="{9D6739AC-5531-4FEF-82E5-C5F3B66B905F}"/>
    <cellStyle name="40% - Accent4 2 2 2 5 2 5" xfId="29490" xr:uid="{10DA1DFE-98E9-4B54-8F48-319B1C3A660C}"/>
    <cellStyle name="40% - Accent4 2 2 2 5 3" xfId="6232" xr:uid="{00000000-0005-0000-0000-0000B4050000}"/>
    <cellStyle name="40% - Accent4 2 2 2 5 3 2" xfId="14682" xr:uid="{B2D64BC4-4051-4111-A1F6-FED05DEEF494}"/>
    <cellStyle name="40% - Accent4 2 2 2 5 3 3" xfId="23122" xr:uid="{7ECFDC75-C4EA-48A5-B5A5-7A9611BE496F}"/>
    <cellStyle name="40% - Accent4 2 2 2 5 3 4" xfId="31562" xr:uid="{CFDE5A20-B5E2-461C-9FA7-F2C6D88F33BC}"/>
    <cellStyle name="40% - Accent4 2 2 2 5 4" xfId="10464" xr:uid="{78EBFC33-5401-407E-A230-C8CF9CB2FFE7}"/>
    <cellStyle name="40% - Accent4 2 2 2 5 5" xfId="18905" xr:uid="{EB6A3F3E-5059-4C36-AB62-66B3204D4948}"/>
    <cellStyle name="40% - Accent4 2 2 2 5 6" xfId="27345" xr:uid="{DE90EE9E-AEBD-4580-A72F-2A2698596CC3}"/>
    <cellStyle name="40% - Accent4 2 2 2 6" xfId="2339" xr:uid="{00000000-0005-0000-0000-0000B5050000}"/>
    <cellStyle name="40% - Accent4 2 2 2 6 2" xfId="6645" xr:uid="{00000000-0005-0000-0000-0000B6050000}"/>
    <cellStyle name="40% - Accent4 2 2 2 6 2 2" xfId="15095" xr:uid="{798BCA02-E9D5-4217-A928-28DC8E5F41F8}"/>
    <cellStyle name="40% - Accent4 2 2 2 6 2 3" xfId="23535" xr:uid="{BF382DFA-F127-4397-8BDF-E6D7C754ED9C}"/>
    <cellStyle name="40% - Accent4 2 2 2 6 2 4" xfId="31975" xr:uid="{C9DA72B2-F607-4EF7-97A6-C0FD1F164ABE}"/>
    <cellStyle name="40% - Accent4 2 2 2 6 3" xfId="10877" xr:uid="{75EC9CD0-0C94-4523-87D0-B75F0640E3AC}"/>
    <cellStyle name="40% - Accent4 2 2 2 6 4" xfId="19318" xr:uid="{474534E9-4210-4A01-978E-7914B8480761}"/>
    <cellStyle name="40% - Accent4 2 2 2 6 5" xfId="27758" xr:uid="{E719C671-372B-4512-A6C6-30CF0D64CACE}"/>
    <cellStyle name="40% - Accent4 2 2 2 7" xfId="4579" xr:uid="{00000000-0005-0000-0000-0000B7050000}"/>
    <cellStyle name="40% - Accent4 2 2 2 7 2" xfId="13029" xr:uid="{5AD13201-7C59-427A-B513-5E4C520DB270}"/>
    <cellStyle name="40% - Accent4 2 2 2 7 3" xfId="21469" xr:uid="{B0B660DA-D741-4E23-8095-A6C2F31EF26D}"/>
    <cellStyle name="40% - Accent4 2 2 2 7 4" xfId="29909" xr:uid="{786F9523-D543-4D30-A9A2-5B22BA5EE9F0}"/>
    <cellStyle name="40% - Accent4 2 2 2 8" xfId="8811" xr:uid="{85F3B556-1B73-4E41-834E-D388383082B0}"/>
    <cellStyle name="40% - Accent4 2 2 2 9" xfId="17252" xr:uid="{DEB2AC2D-5AFB-4A0B-B3F3-B708B20EE298}"/>
    <cellStyle name="40% - Accent4 2 2 3" xfId="644" xr:uid="{00000000-0005-0000-0000-0000B8050000}"/>
    <cellStyle name="40% - Accent4 2 2 3 2" xfId="2915" xr:uid="{00000000-0005-0000-0000-0000B9050000}"/>
    <cellStyle name="40% - Accent4 2 2 3 2 2" xfId="7137" xr:uid="{00000000-0005-0000-0000-0000BA050000}"/>
    <cellStyle name="40% - Accent4 2 2 3 2 2 2" xfId="15587" xr:uid="{BEA9A27E-135A-45A1-B5E6-264718C7201E}"/>
    <cellStyle name="40% - Accent4 2 2 3 2 2 3" xfId="24027" xr:uid="{50DB99FB-D93D-4163-9B1A-A62D4C08EAA2}"/>
    <cellStyle name="40% - Accent4 2 2 3 2 2 4" xfId="32467" xr:uid="{C292875A-9539-4B6C-8302-750D8A165B32}"/>
    <cellStyle name="40% - Accent4 2 2 3 2 3" xfId="11369" xr:uid="{256BCBFD-937A-4B1A-8B20-D54CB4DA3E7D}"/>
    <cellStyle name="40% - Accent4 2 2 3 2 4" xfId="19810" xr:uid="{7A6B7D88-A4D4-429D-81B0-52E74CCDC1B4}"/>
    <cellStyle name="40% - Accent4 2 2 3 2 5" xfId="28250" xr:uid="{066D294D-8467-465E-AB8F-123F41EC8D35}"/>
    <cellStyle name="40% - Accent4 2 2 3 3" xfId="4992" xr:uid="{00000000-0005-0000-0000-0000BB050000}"/>
    <cellStyle name="40% - Accent4 2 2 3 3 2" xfId="13442" xr:uid="{16B3C134-8584-4FDF-BBBF-9AFA862C285D}"/>
    <cellStyle name="40% - Accent4 2 2 3 3 3" xfId="21882" xr:uid="{580102E7-40F7-442B-BC1D-1F2BC978E137}"/>
    <cellStyle name="40% - Accent4 2 2 3 3 4" xfId="30322" xr:uid="{4DE5C535-9D6A-4BF1-ACF8-9B3DCB93F537}"/>
    <cellStyle name="40% - Accent4 2 2 3 4" xfId="9224" xr:uid="{0923134F-42C0-4E75-A19D-8D5CC12A61A1}"/>
    <cellStyle name="40% - Accent4 2 2 3 5" xfId="17665" xr:uid="{E452764E-E33E-4502-96FE-BC953B689962}"/>
    <cellStyle name="40% - Accent4 2 2 3 6" xfId="26105" xr:uid="{71928BC8-23F1-480F-949F-E8DD09CEBF57}"/>
    <cellStyle name="40% - Accent4 2 2 4" xfId="1097" xr:uid="{00000000-0005-0000-0000-0000BC050000}"/>
    <cellStyle name="40% - Accent4 2 2 4 2" xfId="3328" xr:uid="{00000000-0005-0000-0000-0000BD050000}"/>
    <cellStyle name="40% - Accent4 2 2 4 2 2" xfId="7550" xr:uid="{00000000-0005-0000-0000-0000BE050000}"/>
    <cellStyle name="40% - Accent4 2 2 4 2 2 2" xfId="16000" xr:uid="{0678491C-F5E5-4541-B5D2-310C7F529998}"/>
    <cellStyle name="40% - Accent4 2 2 4 2 2 3" xfId="24440" xr:uid="{994DABC7-B9F8-4031-90B1-5325554F232F}"/>
    <cellStyle name="40% - Accent4 2 2 4 2 2 4" xfId="32880" xr:uid="{66700D9A-0667-44ED-8A29-82132799CB53}"/>
    <cellStyle name="40% - Accent4 2 2 4 2 3" xfId="11782" xr:uid="{38A02B2B-21B6-4A27-98E2-98D9308F57B4}"/>
    <cellStyle name="40% - Accent4 2 2 4 2 4" xfId="20223" xr:uid="{60890291-B3BC-4A46-BDA5-0DCCDD072A09}"/>
    <cellStyle name="40% - Accent4 2 2 4 2 5" xfId="28663" xr:uid="{16CE0B66-8122-46B5-98C1-AEA9CDE0494C}"/>
    <cellStyle name="40% - Accent4 2 2 4 3" xfId="5405" xr:uid="{00000000-0005-0000-0000-0000BF050000}"/>
    <cellStyle name="40% - Accent4 2 2 4 3 2" xfId="13855" xr:uid="{238D7AFC-3233-436A-A3BA-DE01D1803E32}"/>
    <cellStyle name="40% - Accent4 2 2 4 3 3" xfId="22295" xr:uid="{BC990D6B-DD11-4B56-99DE-456157A2FB13}"/>
    <cellStyle name="40% - Accent4 2 2 4 3 4" xfId="30735" xr:uid="{5AF6F1B3-AE3C-4C44-A738-96525857E1FA}"/>
    <cellStyle name="40% - Accent4 2 2 4 4" xfId="9637" xr:uid="{14C2E25A-CC7A-4F98-BC3C-C13B282BB82A}"/>
    <cellStyle name="40% - Accent4 2 2 4 5" xfId="18078" xr:uid="{FFC53413-12BC-4D9A-812E-9108FCE6A5D6}"/>
    <cellStyle name="40% - Accent4 2 2 4 6" xfId="26518" xr:uid="{DD080C30-013C-4EE4-AABE-A0E73BF22A13}"/>
    <cellStyle name="40% - Accent4 2 2 5" xfId="1511" xr:uid="{00000000-0005-0000-0000-0000C0050000}"/>
    <cellStyle name="40% - Accent4 2 2 5 2" xfId="3741" xr:uid="{00000000-0005-0000-0000-0000C1050000}"/>
    <cellStyle name="40% - Accent4 2 2 5 2 2" xfId="7963" xr:uid="{00000000-0005-0000-0000-0000C2050000}"/>
    <cellStyle name="40% - Accent4 2 2 5 2 2 2" xfId="16413" xr:uid="{9F7CFDE8-852C-4D7C-A09A-CAC83E0A3E84}"/>
    <cellStyle name="40% - Accent4 2 2 5 2 2 3" xfId="24853" xr:uid="{836FA496-8ED8-43E5-99A8-50A77A15E82D}"/>
    <cellStyle name="40% - Accent4 2 2 5 2 2 4" xfId="33293" xr:uid="{EDFBD2FE-FA01-4B37-AC85-FAD0FB0634DC}"/>
    <cellStyle name="40% - Accent4 2 2 5 2 3" xfId="12195" xr:uid="{40779216-2540-4978-B055-DA2DF00E1161}"/>
    <cellStyle name="40% - Accent4 2 2 5 2 4" xfId="20636" xr:uid="{3277B734-F010-44A0-825D-29C80E33C6C9}"/>
    <cellStyle name="40% - Accent4 2 2 5 2 5" xfId="29076" xr:uid="{0CE02A83-37B8-416B-B468-52AD433635A9}"/>
    <cellStyle name="40% - Accent4 2 2 5 3" xfId="5818" xr:uid="{00000000-0005-0000-0000-0000C3050000}"/>
    <cellStyle name="40% - Accent4 2 2 5 3 2" xfId="14268" xr:uid="{ED830C18-263A-42C6-B8E2-C940C858E697}"/>
    <cellStyle name="40% - Accent4 2 2 5 3 3" xfId="22708" xr:uid="{2133C063-0082-44CA-81A9-17AE9A46162C}"/>
    <cellStyle name="40% - Accent4 2 2 5 3 4" xfId="31148" xr:uid="{F0DA6D95-5812-4676-AC0E-3BE7905430C7}"/>
    <cellStyle name="40% - Accent4 2 2 5 4" xfId="10050" xr:uid="{D54BA18E-8022-40EC-BEDF-1A5909393785}"/>
    <cellStyle name="40% - Accent4 2 2 5 5" xfId="18491" xr:uid="{FE161152-B0ED-4129-B069-0BF3591E7C6C}"/>
    <cellStyle name="40% - Accent4 2 2 5 6" xfId="26931" xr:uid="{33FF02B7-36B4-4B94-AF91-10917BA3D1FC}"/>
    <cellStyle name="40% - Accent4 2 2 6" xfId="1925" xr:uid="{00000000-0005-0000-0000-0000C4050000}"/>
    <cellStyle name="40% - Accent4 2 2 6 2" xfId="4154" xr:uid="{00000000-0005-0000-0000-0000C5050000}"/>
    <cellStyle name="40% - Accent4 2 2 6 2 2" xfId="8376" xr:uid="{00000000-0005-0000-0000-0000C6050000}"/>
    <cellStyle name="40% - Accent4 2 2 6 2 2 2" xfId="16826" xr:uid="{BF6B50A5-AA9F-4F36-8AD6-B6840964585F}"/>
    <cellStyle name="40% - Accent4 2 2 6 2 2 3" xfId="25266" xr:uid="{B0D34EE5-B37C-4297-AB49-65D68A79A525}"/>
    <cellStyle name="40% - Accent4 2 2 6 2 2 4" xfId="33706" xr:uid="{CB037829-DAD2-484F-8C1C-270B5C592101}"/>
    <cellStyle name="40% - Accent4 2 2 6 2 3" xfId="12608" xr:uid="{5BD75333-4861-48A7-BB0D-D3274EAF0E2A}"/>
    <cellStyle name="40% - Accent4 2 2 6 2 4" xfId="21049" xr:uid="{A40F400D-9974-4D9E-9120-7DE63B24C1B1}"/>
    <cellStyle name="40% - Accent4 2 2 6 2 5" xfId="29489" xr:uid="{B920D89A-A302-4A0E-84C8-21DF8F86C338}"/>
    <cellStyle name="40% - Accent4 2 2 6 3" xfId="6231" xr:uid="{00000000-0005-0000-0000-0000C7050000}"/>
    <cellStyle name="40% - Accent4 2 2 6 3 2" xfId="14681" xr:uid="{CCB50F3C-69D5-4F98-9C3E-377B513FD80F}"/>
    <cellStyle name="40% - Accent4 2 2 6 3 3" xfId="23121" xr:uid="{5CC181EE-A7D9-4A66-849D-78E1F6E60C2F}"/>
    <cellStyle name="40% - Accent4 2 2 6 3 4" xfId="31561" xr:uid="{08331093-76A2-4902-9CEE-BFF49268444F}"/>
    <cellStyle name="40% - Accent4 2 2 6 4" xfId="10463" xr:uid="{B3BF4DE2-EC20-48F0-8E2E-AEAB233F0999}"/>
    <cellStyle name="40% - Accent4 2 2 6 5" xfId="18904" xr:uid="{0782FBCD-3972-4AF6-BD0F-39BBEA6B7790}"/>
    <cellStyle name="40% - Accent4 2 2 6 6" xfId="27344" xr:uid="{225602B5-EE88-4A87-A94A-E526E5751163}"/>
    <cellStyle name="40% - Accent4 2 2 7" xfId="2338" xr:uid="{00000000-0005-0000-0000-0000C8050000}"/>
    <cellStyle name="40% - Accent4 2 2 7 2" xfId="6644" xr:uid="{00000000-0005-0000-0000-0000C9050000}"/>
    <cellStyle name="40% - Accent4 2 2 7 2 2" xfId="15094" xr:uid="{6023E3E9-85E3-4336-AC68-C5D4C7F7FB81}"/>
    <cellStyle name="40% - Accent4 2 2 7 2 3" xfId="23534" xr:uid="{EFD2E1A4-4F6C-4F50-8BBA-2CA8335993E6}"/>
    <cellStyle name="40% - Accent4 2 2 7 2 4" xfId="31974" xr:uid="{DFB8A72B-DD08-41BF-90D7-4EEA523811A1}"/>
    <cellStyle name="40% - Accent4 2 2 7 3" xfId="10876" xr:uid="{4C80E3B9-8C49-4566-9613-73E272576A99}"/>
    <cellStyle name="40% - Accent4 2 2 7 4" xfId="19317" xr:uid="{D70B449A-1E7A-4779-A370-084F4F03828C}"/>
    <cellStyle name="40% - Accent4 2 2 7 5" xfId="27757" xr:uid="{87F03525-FB50-4487-A632-CD5A9C6B77CA}"/>
    <cellStyle name="40% - Accent4 2 2 8" xfId="4578" xr:uid="{00000000-0005-0000-0000-0000CA050000}"/>
    <cellStyle name="40% - Accent4 2 2 8 2" xfId="13028" xr:uid="{DCCD3EC3-8F2A-4CD8-AF36-B4FCA54FF95D}"/>
    <cellStyle name="40% - Accent4 2 2 8 3" xfId="21468" xr:uid="{2D0E78EC-1790-43F8-9E1E-1E58E3FB14C1}"/>
    <cellStyle name="40% - Accent4 2 2 8 4" xfId="29908" xr:uid="{41DBBBDC-E8AB-44BC-A075-93603AC45C9B}"/>
    <cellStyle name="40% - Accent4 2 2 9" xfId="8810" xr:uid="{D707C3A6-7891-4F1B-AED8-507E627002B7}"/>
    <cellStyle name="40% - Accent4 2 3" xfId="77" xr:uid="{00000000-0005-0000-0000-0000CB050000}"/>
    <cellStyle name="40% - Accent4 2 3 10" xfId="25693" xr:uid="{2139007F-3831-402D-8319-CEF048A78B2C}"/>
    <cellStyle name="40% - Accent4 2 3 2" xfId="646" xr:uid="{00000000-0005-0000-0000-0000CC050000}"/>
    <cellStyle name="40% - Accent4 2 3 2 2" xfId="2917" xr:uid="{00000000-0005-0000-0000-0000CD050000}"/>
    <cellStyle name="40% - Accent4 2 3 2 2 2" xfId="7139" xr:uid="{00000000-0005-0000-0000-0000CE050000}"/>
    <cellStyle name="40% - Accent4 2 3 2 2 2 2" xfId="15589" xr:uid="{BF53F529-F04F-44B6-A6BC-065BC6AD2D02}"/>
    <cellStyle name="40% - Accent4 2 3 2 2 2 3" xfId="24029" xr:uid="{A730B74F-023D-4AA7-A41D-0631B94264A5}"/>
    <cellStyle name="40% - Accent4 2 3 2 2 2 4" xfId="32469" xr:uid="{F98965E5-2358-4DEB-9DF7-92C9A8E30A66}"/>
    <cellStyle name="40% - Accent4 2 3 2 2 3" xfId="11371" xr:uid="{4BAC9FEF-0AEC-4475-86CC-34D6195E0A49}"/>
    <cellStyle name="40% - Accent4 2 3 2 2 4" xfId="19812" xr:uid="{1D36A0EB-6249-488A-8DF9-36301E40B1A9}"/>
    <cellStyle name="40% - Accent4 2 3 2 2 5" xfId="28252" xr:uid="{29F4700B-E8D0-4CAB-845B-8EC199059669}"/>
    <cellStyle name="40% - Accent4 2 3 2 3" xfId="4994" xr:uid="{00000000-0005-0000-0000-0000CF050000}"/>
    <cellStyle name="40% - Accent4 2 3 2 3 2" xfId="13444" xr:uid="{F22ABE1F-1DB7-42D9-904B-EA522ECE3462}"/>
    <cellStyle name="40% - Accent4 2 3 2 3 3" xfId="21884" xr:uid="{994B2F39-F886-4D52-9618-4E22D5A10D50}"/>
    <cellStyle name="40% - Accent4 2 3 2 3 4" xfId="30324" xr:uid="{8F9A660A-954A-4FC0-857E-59057F9EF95B}"/>
    <cellStyle name="40% - Accent4 2 3 2 4" xfId="9226" xr:uid="{F5C73FF4-0662-4508-B821-82AF74CE22BC}"/>
    <cellStyle name="40% - Accent4 2 3 2 5" xfId="17667" xr:uid="{02F1DFAE-C0A8-4A57-A4B3-0F176F2A413E}"/>
    <cellStyle name="40% - Accent4 2 3 2 6" xfId="26107" xr:uid="{07DF475C-EC64-405B-8A4B-B58D4EC47D12}"/>
    <cellStyle name="40% - Accent4 2 3 3" xfId="1099" xr:uid="{00000000-0005-0000-0000-0000D0050000}"/>
    <cellStyle name="40% - Accent4 2 3 3 2" xfId="3330" xr:uid="{00000000-0005-0000-0000-0000D1050000}"/>
    <cellStyle name="40% - Accent4 2 3 3 2 2" xfId="7552" xr:uid="{00000000-0005-0000-0000-0000D2050000}"/>
    <cellStyle name="40% - Accent4 2 3 3 2 2 2" xfId="16002" xr:uid="{4EE6749C-777C-42B1-A57B-875FCE82ED47}"/>
    <cellStyle name="40% - Accent4 2 3 3 2 2 3" xfId="24442" xr:uid="{B5F971A0-2CE8-46A5-930D-51817B7B1231}"/>
    <cellStyle name="40% - Accent4 2 3 3 2 2 4" xfId="32882" xr:uid="{FEB8362A-4B17-4777-8FA7-AA78F42C78EE}"/>
    <cellStyle name="40% - Accent4 2 3 3 2 3" xfId="11784" xr:uid="{0C1A9622-D2B5-44C6-8065-F7B6DF7D1F31}"/>
    <cellStyle name="40% - Accent4 2 3 3 2 4" xfId="20225" xr:uid="{91EE08E1-4F1B-4344-9D01-432E341D19A5}"/>
    <cellStyle name="40% - Accent4 2 3 3 2 5" xfId="28665" xr:uid="{05C00A42-9326-4BAE-86A4-70FA58E6CA3B}"/>
    <cellStyle name="40% - Accent4 2 3 3 3" xfId="5407" xr:uid="{00000000-0005-0000-0000-0000D3050000}"/>
    <cellStyle name="40% - Accent4 2 3 3 3 2" xfId="13857" xr:uid="{E8FDEE7C-5550-4A23-99AE-354AFD2DAA51}"/>
    <cellStyle name="40% - Accent4 2 3 3 3 3" xfId="22297" xr:uid="{DF951984-A8BE-415E-88B3-0662584809BE}"/>
    <cellStyle name="40% - Accent4 2 3 3 3 4" xfId="30737" xr:uid="{8C899D56-B168-43C2-B77F-42A3A3A1A3F8}"/>
    <cellStyle name="40% - Accent4 2 3 3 4" xfId="9639" xr:uid="{E67C1D80-E147-4F1F-800B-C752DD85F58E}"/>
    <cellStyle name="40% - Accent4 2 3 3 5" xfId="18080" xr:uid="{C8ACA046-E43D-4E00-801C-182718709543}"/>
    <cellStyle name="40% - Accent4 2 3 3 6" xfId="26520" xr:uid="{69F0B3DE-EBDA-467D-B564-08F801B4563D}"/>
    <cellStyle name="40% - Accent4 2 3 4" xfId="1513" xr:uid="{00000000-0005-0000-0000-0000D4050000}"/>
    <cellStyle name="40% - Accent4 2 3 4 2" xfId="3743" xr:uid="{00000000-0005-0000-0000-0000D5050000}"/>
    <cellStyle name="40% - Accent4 2 3 4 2 2" xfId="7965" xr:uid="{00000000-0005-0000-0000-0000D6050000}"/>
    <cellStyle name="40% - Accent4 2 3 4 2 2 2" xfId="16415" xr:uid="{1FF4E047-58C2-4CF8-8F09-85F6A9755C66}"/>
    <cellStyle name="40% - Accent4 2 3 4 2 2 3" xfId="24855" xr:uid="{C05B038B-2FBA-410F-A337-3E02A808F06C}"/>
    <cellStyle name="40% - Accent4 2 3 4 2 2 4" xfId="33295" xr:uid="{C2BBAFDC-C6F1-4621-99AD-D4A967ED3F83}"/>
    <cellStyle name="40% - Accent4 2 3 4 2 3" xfId="12197" xr:uid="{E7A3FDEB-F85D-4325-A8D8-3FC5B16BEBE4}"/>
    <cellStyle name="40% - Accent4 2 3 4 2 4" xfId="20638" xr:uid="{0A7BDE78-972D-4E02-A730-8B34F25783EF}"/>
    <cellStyle name="40% - Accent4 2 3 4 2 5" xfId="29078" xr:uid="{BDF622DE-8986-4F92-AD3B-0E3C5A2D9872}"/>
    <cellStyle name="40% - Accent4 2 3 4 3" xfId="5820" xr:uid="{00000000-0005-0000-0000-0000D7050000}"/>
    <cellStyle name="40% - Accent4 2 3 4 3 2" xfId="14270" xr:uid="{78D0B69C-6AB2-46BF-BAC3-5B55DE19D377}"/>
    <cellStyle name="40% - Accent4 2 3 4 3 3" xfId="22710" xr:uid="{D55560BC-716A-4259-8162-E4FD8802CD75}"/>
    <cellStyle name="40% - Accent4 2 3 4 3 4" xfId="31150" xr:uid="{F2E4EE0D-1F18-4EC7-8E7F-E4342631610C}"/>
    <cellStyle name="40% - Accent4 2 3 4 4" xfId="10052" xr:uid="{C912EEC4-4439-456B-9A74-0D30BFA28A38}"/>
    <cellStyle name="40% - Accent4 2 3 4 5" xfId="18493" xr:uid="{F4D730B9-C9CD-4547-92B7-A04A9B6E5972}"/>
    <cellStyle name="40% - Accent4 2 3 4 6" xfId="26933" xr:uid="{C98D0EC8-D249-451A-8809-3224A0FE559F}"/>
    <cellStyle name="40% - Accent4 2 3 5" xfId="1927" xr:uid="{00000000-0005-0000-0000-0000D8050000}"/>
    <cellStyle name="40% - Accent4 2 3 5 2" xfId="4156" xr:uid="{00000000-0005-0000-0000-0000D9050000}"/>
    <cellStyle name="40% - Accent4 2 3 5 2 2" xfId="8378" xr:uid="{00000000-0005-0000-0000-0000DA050000}"/>
    <cellStyle name="40% - Accent4 2 3 5 2 2 2" xfId="16828" xr:uid="{4B0D9FCB-EFED-4E69-A7BA-364C53378F67}"/>
    <cellStyle name="40% - Accent4 2 3 5 2 2 3" xfId="25268" xr:uid="{37EF0963-190F-4512-AAA6-93DE9B8A2515}"/>
    <cellStyle name="40% - Accent4 2 3 5 2 2 4" xfId="33708" xr:uid="{08EE96BF-3445-4468-A0DA-478A7F11CFA5}"/>
    <cellStyle name="40% - Accent4 2 3 5 2 3" xfId="12610" xr:uid="{4B791778-43B1-4782-ABA7-A193E049912E}"/>
    <cellStyle name="40% - Accent4 2 3 5 2 4" xfId="21051" xr:uid="{F0F9F0D4-6D2D-4F6A-9E81-5BBB9FBFEDEB}"/>
    <cellStyle name="40% - Accent4 2 3 5 2 5" xfId="29491" xr:uid="{C6EEF721-1344-4BA7-8BC5-ABF1263AE477}"/>
    <cellStyle name="40% - Accent4 2 3 5 3" xfId="6233" xr:uid="{00000000-0005-0000-0000-0000DB050000}"/>
    <cellStyle name="40% - Accent4 2 3 5 3 2" xfId="14683" xr:uid="{2E6554E6-1350-4A21-A67D-84FF472C5D45}"/>
    <cellStyle name="40% - Accent4 2 3 5 3 3" xfId="23123" xr:uid="{D177F972-8A30-4EBE-B649-BECC1B01C3B4}"/>
    <cellStyle name="40% - Accent4 2 3 5 3 4" xfId="31563" xr:uid="{6F8FAE83-08B2-488B-B476-4AFA69261DC3}"/>
    <cellStyle name="40% - Accent4 2 3 5 4" xfId="10465" xr:uid="{A1A7879E-A754-4884-ADFE-8C3B42BE8038}"/>
    <cellStyle name="40% - Accent4 2 3 5 5" xfId="18906" xr:uid="{C762138C-0B58-48EC-9DD6-0460DE5ECA33}"/>
    <cellStyle name="40% - Accent4 2 3 5 6" xfId="27346" xr:uid="{C0362C21-5286-4985-ABF0-CA23F25148E5}"/>
    <cellStyle name="40% - Accent4 2 3 6" xfId="2340" xr:uid="{00000000-0005-0000-0000-0000DC050000}"/>
    <cellStyle name="40% - Accent4 2 3 6 2" xfId="6646" xr:uid="{00000000-0005-0000-0000-0000DD050000}"/>
    <cellStyle name="40% - Accent4 2 3 6 2 2" xfId="15096" xr:uid="{3C5D595A-7673-4C81-B89B-CA61985DE80E}"/>
    <cellStyle name="40% - Accent4 2 3 6 2 3" xfId="23536" xr:uid="{63256BEE-3934-4679-9138-04AAD999CDA1}"/>
    <cellStyle name="40% - Accent4 2 3 6 2 4" xfId="31976" xr:uid="{D00B0205-473F-44F4-AC7C-A62A8288A489}"/>
    <cellStyle name="40% - Accent4 2 3 6 3" xfId="10878" xr:uid="{35A44FC6-F09A-400E-A256-09838805B416}"/>
    <cellStyle name="40% - Accent4 2 3 6 4" xfId="19319" xr:uid="{67C48526-4F08-49FF-830F-04005E2D012A}"/>
    <cellStyle name="40% - Accent4 2 3 6 5" xfId="27759" xr:uid="{DC41A4EE-28A4-4B6A-882E-F365485CFFB0}"/>
    <cellStyle name="40% - Accent4 2 3 7" xfId="4580" xr:uid="{00000000-0005-0000-0000-0000DE050000}"/>
    <cellStyle name="40% - Accent4 2 3 7 2" xfId="13030" xr:uid="{64C0EC50-50B9-4BFD-BDBA-F27FDB6C7F80}"/>
    <cellStyle name="40% - Accent4 2 3 7 3" xfId="21470" xr:uid="{80397FB7-E244-4549-9666-2980A49BD9F1}"/>
    <cellStyle name="40% - Accent4 2 3 7 4" xfId="29910" xr:uid="{301F7D46-17D0-40B5-8876-75402B6CA27D}"/>
    <cellStyle name="40% - Accent4 2 3 8" xfId="8812" xr:uid="{A498D138-84CA-4C13-8C2E-07E5F58D729F}"/>
    <cellStyle name="40% - Accent4 2 3 9" xfId="17253" xr:uid="{7EA31C38-3D9E-49A9-8710-0A499A9247FB}"/>
    <cellStyle name="40% - Accent4 2 4" xfId="643" xr:uid="{00000000-0005-0000-0000-0000DF050000}"/>
    <cellStyle name="40% - Accent4 2 4 2" xfId="2914" xr:uid="{00000000-0005-0000-0000-0000E0050000}"/>
    <cellStyle name="40% - Accent4 2 4 2 2" xfId="7136" xr:uid="{00000000-0005-0000-0000-0000E1050000}"/>
    <cellStyle name="40% - Accent4 2 4 2 2 2" xfId="15586" xr:uid="{2C6EFB91-84CC-4341-BFF5-8CB526FF6A8C}"/>
    <cellStyle name="40% - Accent4 2 4 2 2 3" xfId="24026" xr:uid="{527E4675-1554-4935-B687-E9AA9945437B}"/>
    <cellStyle name="40% - Accent4 2 4 2 2 4" xfId="32466" xr:uid="{7C68133D-BB5F-431F-9049-448545D9BE77}"/>
    <cellStyle name="40% - Accent4 2 4 2 3" xfId="11368" xr:uid="{1044A31A-D76A-4230-8C4A-FE01AB3E5B80}"/>
    <cellStyle name="40% - Accent4 2 4 2 4" xfId="19809" xr:uid="{184A7119-0624-48A2-9F27-4E0846E1FA20}"/>
    <cellStyle name="40% - Accent4 2 4 2 5" xfId="28249" xr:uid="{B211BEC0-D4E9-4FEC-903A-64DDACA31C55}"/>
    <cellStyle name="40% - Accent4 2 4 3" xfId="4991" xr:uid="{00000000-0005-0000-0000-0000E2050000}"/>
    <cellStyle name="40% - Accent4 2 4 3 2" xfId="13441" xr:uid="{5A225A66-56AE-4A5D-B064-E4529D2855CD}"/>
    <cellStyle name="40% - Accent4 2 4 3 3" xfId="21881" xr:uid="{5EFF3DEF-259A-4BF4-8713-85A499C8EF7D}"/>
    <cellStyle name="40% - Accent4 2 4 3 4" xfId="30321" xr:uid="{BEBB6B38-6938-4B3E-BB34-C9C2E9BADBA0}"/>
    <cellStyle name="40% - Accent4 2 4 4" xfId="9223" xr:uid="{D2627393-122E-40E5-ABF9-71AA1D4B0080}"/>
    <cellStyle name="40% - Accent4 2 4 5" xfId="17664" xr:uid="{CDE07BD8-6675-4C83-B6A9-F4D8ACA3B033}"/>
    <cellStyle name="40% - Accent4 2 4 6" xfId="26104" xr:uid="{61C01649-DC27-44D6-A091-ABBBE653216F}"/>
    <cellStyle name="40% - Accent4 2 5" xfId="1096" xr:uid="{00000000-0005-0000-0000-0000E3050000}"/>
    <cellStyle name="40% - Accent4 2 5 2" xfId="3327" xr:uid="{00000000-0005-0000-0000-0000E4050000}"/>
    <cellStyle name="40% - Accent4 2 5 2 2" xfId="7549" xr:uid="{00000000-0005-0000-0000-0000E5050000}"/>
    <cellStyle name="40% - Accent4 2 5 2 2 2" xfId="15999" xr:uid="{605EAC1F-7FF3-424E-9904-C3D9FF0ECE79}"/>
    <cellStyle name="40% - Accent4 2 5 2 2 3" xfId="24439" xr:uid="{B29C56CD-0266-455A-BBA0-65B8019BCFFA}"/>
    <cellStyle name="40% - Accent4 2 5 2 2 4" xfId="32879" xr:uid="{3EA526B9-3DA1-47D7-AC4B-C1AB7BFD4D73}"/>
    <cellStyle name="40% - Accent4 2 5 2 3" xfId="11781" xr:uid="{2F3557C0-6C07-4485-B74E-BB5BE29E585D}"/>
    <cellStyle name="40% - Accent4 2 5 2 4" xfId="20222" xr:uid="{CBE37B47-5B91-4A09-BA4D-9AA5CA66D5AC}"/>
    <cellStyle name="40% - Accent4 2 5 2 5" xfId="28662" xr:uid="{A51CEC47-6DE6-426A-AC15-1538523D810B}"/>
    <cellStyle name="40% - Accent4 2 5 3" xfId="5404" xr:uid="{00000000-0005-0000-0000-0000E6050000}"/>
    <cellStyle name="40% - Accent4 2 5 3 2" xfId="13854" xr:uid="{B6A4F04D-9A5B-45AB-B458-BB057EA60BF5}"/>
    <cellStyle name="40% - Accent4 2 5 3 3" xfId="22294" xr:uid="{EA86EEC9-2285-493F-AA45-AB3B52B14FB2}"/>
    <cellStyle name="40% - Accent4 2 5 3 4" xfId="30734" xr:uid="{577CC5C0-83CC-479A-8E6A-42B892E4D3DA}"/>
    <cellStyle name="40% - Accent4 2 5 4" xfId="9636" xr:uid="{BB52DE9D-93D5-4D6D-8089-7B1B9653BA04}"/>
    <cellStyle name="40% - Accent4 2 5 5" xfId="18077" xr:uid="{3F2BACE0-C69E-44A6-B0F9-10D40E7C0774}"/>
    <cellStyle name="40% - Accent4 2 5 6" xfId="26517" xr:uid="{8325C38A-C686-4102-A50D-9A84E090D017}"/>
    <cellStyle name="40% - Accent4 2 6" xfId="1510" xr:uid="{00000000-0005-0000-0000-0000E7050000}"/>
    <cellStyle name="40% - Accent4 2 6 2" xfId="3740" xr:uid="{00000000-0005-0000-0000-0000E8050000}"/>
    <cellStyle name="40% - Accent4 2 6 2 2" xfId="7962" xr:uid="{00000000-0005-0000-0000-0000E9050000}"/>
    <cellStyle name="40% - Accent4 2 6 2 2 2" xfId="16412" xr:uid="{66ED8EE4-E6B3-4DDF-9A3E-263DB9367930}"/>
    <cellStyle name="40% - Accent4 2 6 2 2 3" xfId="24852" xr:uid="{C73AD748-2933-45BB-805B-D58A7DAFD60A}"/>
    <cellStyle name="40% - Accent4 2 6 2 2 4" xfId="33292" xr:uid="{82F94407-D6DD-4205-9302-BDA0F0D61D4A}"/>
    <cellStyle name="40% - Accent4 2 6 2 3" xfId="12194" xr:uid="{DB4907B0-1723-4697-83C7-CBE91C1CC577}"/>
    <cellStyle name="40% - Accent4 2 6 2 4" xfId="20635" xr:uid="{C6F74CC7-3B4F-4BEF-8106-3FBBDA3D5560}"/>
    <cellStyle name="40% - Accent4 2 6 2 5" xfId="29075" xr:uid="{E9C9CC20-0F11-4709-B6EC-675503AB110C}"/>
    <cellStyle name="40% - Accent4 2 6 3" xfId="5817" xr:uid="{00000000-0005-0000-0000-0000EA050000}"/>
    <cellStyle name="40% - Accent4 2 6 3 2" xfId="14267" xr:uid="{AA37A60A-F027-48DB-878B-9E97F7BE5147}"/>
    <cellStyle name="40% - Accent4 2 6 3 3" xfId="22707" xr:uid="{AB4F9222-2933-4898-8EF2-3697257F4058}"/>
    <cellStyle name="40% - Accent4 2 6 3 4" xfId="31147" xr:uid="{29C4499B-9405-4E7A-A87D-A8EE91481AA2}"/>
    <cellStyle name="40% - Accent4 2 6 4" xfId="10049" xr:uid="{A2C24631-395F-4A91-BBBF-82FB7823584E}"/>
    <cellStyle name="40% - Accent4 2 6 5" xfId="18490" xr:uid="{67D964EF-D6F4-47C9-89B7-4DA5955447EB}"/>
    <cellStyle name="40% - Accent4 2 6 6" xfId="26930" xr:uid="{F1E82E5E-7390-4FD6-9825-5C126AABAAA8}"/>
    <cellStyle name="40% - Accent4 2 7" xfId="1924" xr:uid="{00000000-0005-0000-0000-0000EB050000}"/>
    <cellStyle name="40% - Accent4 2 7 2" xfId="4153" xr:uid="{00000000-0005-0000-0000-0000EC050000}"/>
    <cellStyle name="40% - Accent4 2 7 2 2" xfId="8375" xr:uid="{00000000-0005-0000-0000-0000ED050000}"/>
    <cellStyle name="40% - Accent4 2 7 2 2 2" xfId="16825" xr:uid="{5808931B-48AB-4A39-8EA8-C1B38D144CDA}"/>
    <cellStyle name="40% - Accent4 2 7 2 2 3" xfId="25265" xr:uid="{75D013B9-5472-497A-87AE-0F3DA4356256}"/>
    <cellStyle name="40% - Accent4 2 7 2 2 4" xfId="33705" xr:uid="{79B6797B-3D16-4134-9EBA-086C776CC637}"/>
    <cellStyle name="40% - Accent4 2 7 2 3" xfId="12607" xr:uid="{4E5F24AF-F3B6-4436-98FF-8F7B2E749E19}"/>
    <cellStyle name="40% - Accent4 2 7 2 4" xfId="21048" xr:uid="{2697D04C-22DC-42AD-8ADB-0B1D7D5280E8}"/>
    <cellStyle name="40% - Accent4 2 7 2 5" xfId="29488" xr:uid="{6C5B055E-6837-48F1-A30F-D16328198969}"/>
    <cellStyle name="40% - Accent4 2 7 3" xfId="6230" xr:uid="{00000000-0005-0000-0000-0000EE050000}"/>
    <cellStyle name="40% - Accent4 2 7 3 2" xfId="14680" xr:uid="{3FCD75A3-A50A-4D63-8133-465D8F5F2C23}"/>
    <cellStyle name="40% - Accent4 2 7 3 3" xfId="23120" xr:uid="{78B02AF6-BD0A-405A-89ED-6D7784A37355}"/>
    <cellStyle name="40% - Accent4 2 7 3 4" xfId="31560" xr:uid="{2A3533D9-9545-4922-8BDE-DAA12F16124F}"/>
    <cellStyle name="40% - Accent4 2 7 4" xfId="10462" xr:uid="{3505B05B-B110-45CE-8B39-99B571308516}"/>
    <cellStyle name="40% - Accent4 2 7 5" xfId="18903" xr:uid="{1EE0D256-4891-4FFA-84BC-E236E1E51FF6}"/>
    <cellStyle name="40% - Accent4 2 7 6" xfId="27343" xr:uid="{E1844C35-6959-4B20-96D7-68DF1A34B399}"/>
    <cellStyle name="40% - Accent4 2 8" xfId="2337" xr:uid="{00000000-0005-0000-0000-0000EF050000}"/>
    <cellStyle name="40% - Accent4 2 8 2" xfId="6643" xr:uid="{00000000-0005-0000-0000-0000F0050000}"/>
    <cellStyle name="40% - Accent4 2 8 2 2" xfId="15093" xr:uid="{FA5FD2BF-6D3D-4209-BD62-AF5B51D33E4D}"/>
    <cellStyle name="40% - Accent4 2 8 2 3" xfId="23533" xr:uid="{253802D9-97A1-406D-B1CF-19187C53C75A}"/>
    <cellStyle name="40% - Accent4 2 8 2 4" xfId="31973" xr:uid="{0E462C17-EA49-436C-82E7-DCD511784900}"/>
    <cellStyle name="40% - Accent4 2 8 3" xfId="10875" xr:uid="{9285D2DE-BB80-415E-9999-410235D05507}"/>
    <cellStyle name="40% - Accent4 2 8 4" xfId="19316" xr:uid="{A0AC6AFE-2606-4D4F-9A06-C00846348E8D}"/>
    <cellStyle name="40% - Accent4 2 8 5" xfId="27756" xr:uid="{692E3C7E-69BC-4B70-8BA3-FD4769E9BC31}"/>
    <cellStyle name="40% - Accent4 2 9" xfId="4577" xr:uid="{00000000-0005-0000-0000-0000F1050000}"/>
    <cellStyle name="40% - Accent4 2 9 2" xfId="13027" xr:uid="{B019AE16-BF49-4788-82E9-E112397E8D76}"/>
    <cellStyle name="40% - Accent4 2 9 3" xfId="21467" xr:uid="{64579F41-9D4C-423B-B379-E8639D883DF1}"/>
    <cellStyle name="40% - Accent4 2 9 4" xfId="29907" xr:uid="{D575B97D-E9B2-4470-8CDD-6BEE3BC5A98F}"/>
    <cellStyle name="40% - Accent4 3" xfId="78" xr:uid="{00000000-0005-0000-0000-0000F2050000}"/>
    <cellStyle name="40% - Accent4 3 10" xfId="17254" xr:uid="{6845F598-2CBA-446D-ACC7-A80C9ABE6F19}"/>
    <cellStyle name="40% - Accent4 3 11" xfId="25694" xr:uid="{52A1C7D4-F700-4DDC-9FA6-B40FB922B3CD}"/>
    <cellStyle name="40% - Accent4 3 2" xfId="79" xr:uid="{00000000-0005-0000-0000-0000F3050000}"/>
    <cellStyle name="40% - Accent4 3 2 10" xfId="25695" xr:uid="{C0113181-752E-44B7-997E-C154BAB2219C}"/>
    <cellStyle name="40% - Accent4 3 2 2" xfId="648" xr:uid="{00000000-0005-0000-0000-0000F4050000}"/>
    <cellStyle name="40% - Accent4 3 2 2 2" xfId="2919" xr:uid="{00000000-0005-0000-0000-0000F5050000}"/>
    <cellStyle name="40% - Accent4 3 2 2 2 2" xfId="7141" xr:uid="{00000000-0005-0000-0000-0000F6050000}"/>
    <cellStyle name="40% - Accent4 3 2 2 2 2 2" xfId="15591" xr:uid="{78F27D55-26A7-4166-B854-1D65110578BF}"/>
    <cellStyle name="40% - Accent4 3 2 2 2 2 3" xfId="24031" xr:uid="{3D4E7C3F-C4B7-4036-A2BA-D3FF58650EBF}"/>
    <cellStyle name="40% - Accent4 3 2 2 2 2 4" xfId="32471" xr:uid="{A0966AD1-C211-4D38-8F0A-24E35F8BA994}"/>
    <cellStyle name="40% - Accent4 3 2 2 2 3" xfId="11373" xr:uid="{E5514ACD-E9A4-4953-B735-AC5710DEE514}"/>
    <cellStyle name="40% - Accent4 3 2 2 2 4" xfId="19814" xr:uid="{04F5B3EE-AF52-4D48-8A6C-449DCA5D0577}"/>
    <cellStyle name="40% - Accent4 3 2 2 2 5" xfId="28254" xr:uid="{516B304D-A906-4081-992E-F9116CAC0A92}"/>
    <cellStyle name="40% - Accent4 3 2 2 3" xfId="4996" xr:uid="{00000000-0005-0000-0000-0000F7050000}"/>
    <cellStyle name="40% - Accent4 3 2 2 3 2" xfId="13446" xr:uid="{FC4116DA-EB29-4926-859C-091FD76009BD}"/>
    <cellStyle name="40% - Accent4 3 2 2 3 3" xfId="21886" xr:uid="{C2D5DE29-1A9D-495D-AAB2-1BB2306A2394}"/>
    <cellStyle name="40% - Accent4 3 2 2 3 4" xfId="30326" xr:uid="{23B6331F-2FF7-45BD-B848-80EF16CC5B19}"/>
    <cellStyle name="40% - Accent4 3 2 2 4" xfId="9228" xr:uid="{A1F3F56A-61C2-49D6-A35C-CBE5A214FE35}"/>
    <cellStyle name="40% - Accent4 3 2 2 5" xfId="17669" xr:uid="{65AA92A9-D553-4C76-9E28-9AF1D1609276}"/>
    <cellStyle name="40% - Accent4 3 2 2 6" xfId="26109" xr:uid="{02F608A4-B156-462E-967E-3656D3E7CF4E}"/>
    <cellStyle name="40% - Accent4 3 2 3" xfId="1101" xr:uid="{00000000-0005-0000-0000-0000F8050000}"/>
    <cellStyle name="40% - Accent4 3 2 3 2" xfId="3332" xr:uid="{00000000-0005-0000-0000-0000F9050000}"/>
    <cellStyle name="40% - Accent4 3 2 3 2 2" xfId="7554" xr:uid="{00000000-0005-0000-0000-0000FA050000}"/>
    <cellStyle name="40% - Accent4 3 2 3 2 2 2" xfId="16004" xr:uid="{A18854D5-33B8-49C6-8086-5F8777DE6F08}"/>
    <cellStyle name="40% - Accent4 3 2 3 2 2 3" xfId="24444" xr:uid="{414BBA2E-110C-41F1-B9EA-FCC9AC1591A2}"/>
    <cellStyle name="40% - Accent4 3 2 3 2 2 4" xfId="32884" xr:uid="{5B5258A3-9DB5-4A4B-BADB-62773EC15485}"/>
    <cellStyle name="40% - Accent4 3 2 3 2 3" xfId="11786" xr:uid="{8AC6A19A-DD1A-4BF4-8F0B-5E3874B82F42}"/>
    <cellStyle name="40% - Accent4 3 2 3 2 4" xfId="20227" xr:uid="{5007AB9D-7EED-408F-B34B-990D06585679}"/>
    <cellStyle name="40% - Accent4 3 2 3 2 5" xfId="28667" xr:uid="{21724AEF-C797-4A47-B6FA-B711FDA8E3C9}"/>
    <cellStyle name="40% - Accent4 3 2 3 3" xfId="5409" xr:uid="{00000000-0005-0000-0000-0000FB050000}"/>
    <cellStyle name="40% - Accent4 3 2 3 3 2" xfId="13859" xr:uid="{313679E8-43A3-49E8-9B47-EFBB4E22B4EA}"/>
    <cellStyle name="40% - Accent4 3 2 3 3 3" xfId="22299" xr:uid="{0E8381F0-822F-4E24-9889-148B8056D9B3}"/>
    <cellStyle name="40% - Accent4 3 2 3 3 4" xfId="30739" xr:uid="{9D3097D1-A21A-46B8-B80A-B4827B042380}"/>
    <cellStyle name="40% - Accent4 3 2 3 4" xfId="9641" xr:uid="{3308C459-F965-483B-8FB4-22857D59DC50}"/>
    <cellStyle name="40% - Accent4 3 2 3 5" xfId="18082" xr:uid="{A09B4088-884B-4983-9F80-838474601956}"/>
    <cellStyle name="40% - Accent4 3 2 3 6" xfId="26522" xr:uid="{1D315DFD-B981-42F0-9FC5-2737450A61FC}"/>
    <cellStyle name="40% - Accent4 3 2 4" xfId="1515" xr:uid="{00000000-0005-0000-0000-0000FC050000}"/>
    <cellStyle name="40% - Accent4 3 2 4 2" xfId="3745" xr:uid="{00000000-0005-0000-0000-0000FD050000}"/>
    <cellStyle name="40% - Accent4 3 2 4 2 2" xfId="7967" xr:uid="{00000000-0005-0000-0000-0000FE050000}"/>
    <cellStyle name="40% - Accent4 3 2 4 2 2 2" xfId="16417" xr:uid="{C813A3F6-1C65-4784-9A72-47D92C8F8389}"/>
    <cellStyle name="40% - Accent4 3 2 4 2 2 3" xfId="24857" xr:uid="{A36DA6B7-5903-4AAD-9080-55C61AF3C3E6}"/>
    <cellStyle name="40% - Accent4 3 2 4 2 2 4" xfId="33297" xr:uid="{31220461-EE7C-476E-A040-13E2D355D311}"/>
    <cellStyle name="40% - Accent4 3 2 4 2 3" xfId="12199" xr:uid="{2FA8FDB8-FD42-4C75-9F3F-EA32BB165D4F}"/>
    <cellStyle name="40% - Accent4 3 2 4 2 4" xfId="20640" xr:uid="{17B69743-8951-476D-BC2E-7D93795A116E}"/>
    <cellStyle name="40% - Accent4 3 2 4 2 5" xfId="29080" xr:uid="{02C60354-E89B-42C4-A670-BB9621809115}"/>
    <cellStyle name="40% - Accent4 3 2 4 3" xfId="5822" xr:uid="{00000000-0005-0000-0000-0000FF050000}"/>
    <cellStyle name="40% - Accent4 3 2 4 3 2" xfId="14272" xr:uid="{A03567C9-C969-4CE3-BFC5-AA168BD97983}"/>
    <cellStyle name="40% - Accent4 3 2 4 3 3" xfId="22712" xr:uid="{AC82BEFB-8168-44FD-8D67-DD85B5239D3F}"/>
    <cellStyle name="40% - Accent4 3 2 4 3 4" xfId="31152" xr:uid="{6FF7D546-1B68-41F4-B082-1268C4D34242}"/>
    <cellStyle name="40% - Accent4 3 2 4 4" xfId="10054" xr:uid="{23A40C73-6621-4F47-BEE1-EA37D4F0B980}"/>
    <cellStyle name="40% - Accent4 3 2 4 5" xfId="18495" xr:uid="{A8E0B943-8215-4F9E-AF25-8267ABEE94AE}"/>
    <cellStyle name="40% - Accent4 3 2 4 6" xfId="26935" xr:uid="{44A800CB-984C-403B-B428-B974EF94C44B}"/>
    <cellStyle name="40% - Accent4 3 2 5" xfId="1929" xr:uid="{00000000-0005-0000-0000-000000060000}"/>
    <cellStyle name="40% - Accent4 3 2 5 2" xfId="4158" xr:uid="{00000000-0005-0000-0000-000001060000}"/>
    <cellStyle name="40% - Accent4 3 2 5 2 2" xfId="8380" xr:uid="{00000000-0005-0000-0000-000002060000}"/>
    <cellStyle name="40% - Accent4 3 2 5 2 2 2" xfId="16830" xr:uid="{04220D56-1116-4A8D-9461-91D6A0A701D4}"/>
    <cellStyle name="40% - Accent4 3 2 5 2 2 3" xfId="25270" xr:uid="{88ED2C86-6C29-40DC-96A7-06415A85A8EE}"/>
    <cellStyle name="40% - Accent4 3 2 5 2 2 4" xfId="33710" xr:uid="{00F5E718-991F-45DF-AE9C-28F3C2AFAFE4}"/>
    <cellStyle name="40% - Accent4 3 2 5 2 3" xfId="12612" xr:uid="{580A6638-9D85-45E8-B8A1-B6876F0D7121}"/>
    <cellStyle name="40% - Accent4 3 2 5 2 4" xfId="21053" xr:uid="{777C3C4E-24C1-45FB-B3DB-B370664F0CD5}"/>
    <cellStyle name="40% - Accent4 3 2 5 2 5" xfId="29493" xr:uid="{B7A6C98A-A1FA-4BD6-B659-45124429BD05}"/>
    <cellStyle name="40% - Accent4 3 2 5 3" xfId="6235" xr:uid="{00000000-0005-0000-0000-000003060000}"/>
    <cellStyle name="40% - Accent4 3 2 5 3 2" xfId="14685" xr:uid="{E253A070-C45C-4001-9B5B-8CAD759BFFA5}"/>
    <cellStyle name="40% - Accent4 3 2 5 3 3" xfId="23125" xr:uid="{0AA0CF02-19F1-4606-8D57-7FAED4DAB544}"/>
    <cellStyle name="40% - Accent4 3 2 5 3 4" xfId="31565" xr:uid="{9E2CDFD0-F0CF-4B0B-BBF0-B87BE700EBA5}"/>
    <cellStyle name="40% - Accent4 3 2 5 4" xfId="10467" xr:uid="{92E84148-67B2-438A-9A7F-10B8A4E853A2}"/>
    <cellStyle name="40% - Accent4 3 2 5 5" xfId="18908" xr:uid="{3B64479F-3394-4F0A-9649-A97D5DDC5639}"/>
    <cellStyle name="40% - Accent4 3 2 5 6" xfId="27348" xr:uid="{52BA8AA2-60DB-4A87-BA8C-30BBED81F393}"/>
    <cellStyle name="40% - Accent4 3 2 6" xfId="2342" xr:uid="{00000000-0005-0000-0000-000004060000}"/>
    <cellStyle name="40% - Accent4 3 2 6 2" xfId="6648" xr:uid="{00000000-0005-0000-0000-000005060000}"/>
    <cellStyle name="40% - Accent4 3 2 6 2 2" xfId="15098" xr:uid="{42D272B1-660E-4C54-BE28-31F28EFCE5F2}"/>
    <cellStyle name="40% - Accent4 3 2 6 2 3" xfId="23538" xr:uid="{9AD981C4-5619-47D4-8CCC-523BA888DB80}"/>
    <cellStyle name="40% - Accent4 3 2 6 2 4" xfId="31978" xr:uid="{EDF83D6B-5E2B-4FCD-8F64-6F01112F0806}"/>
    <cellStyle name="40% - Accent4 3 2 6 3" xfId="10880" xr:uid="{58F86621-3AB7-4952-8ADD-F25AA6416C80}"/>
    <cellStyle name="40% - Accent4 3 2 6 4" xfId="19321" xr:uid="{BFC08201-916A-41D4-AA18-06B33874030D}"/>
    <cellStyle name="40% - Accent4 3 2 6 5" xfId="27761" xr:uid="{B4DFBB07-82CD-4B9F-9C0A-41D7705962CF}"/>
    <cellStyle name="40% - Accent4 3 2 7" xfId="4582" xr:uid="{00000000-0005-0000-0000-000006060000}"/>
    <cellStyle name="40% - Accent4 3 2 7 2" xfId="13032" xr:uid="{27D2CCCA-2D2C-4BCE-8932-8A303A8B1FC9}"/>
    <cellStyle name="40% - Accent4 3 2 7 3" xfId="21472" xr:uid="{C613F7CA-2533-400A-8D11-695908D52A31}"/>
    <cellStyle name="40% - Accent4 3 2 7 4" xfId="29912" xr:uid="{114EE857-C29B-4AA0-8762-A2B2B7CDA35A}"/>
    <cellStyle name="40% - Accent4 3 2 8" xfId="8814" xr:uid="{59027516-9CC7-4322-800F-D88E4679DCDD}"/>
    <cellStyle name="40% - Accent4 3 2 9" xfId="17255" xr:uid="{79528811-3EE5-496A-B3D7-F145A216499D}"/>
    <cellStyle name="40% - Accent4 3 3" xfId="647" xr:uid="{00000000-0005-0000-0000-000007060000}"/>
    <cellStyle name="40% - Accent4 3 3 2" xfId="2918" xr:uid="{00000000-0005-0000-0000-000008060000}"/>
    <cellStyle name="40% - Accent4 3 3 2 2" xfId="7140" xr:uid="{00000000-0005-0000-0000-000009060000}"/>
    <cellStyle name="40% - Accent4 3 3 2 2 2" xfId="15590" xr:uid="{D6C89218-375E-48DB-839C-2B6C4AADAF45}"/>
    <cellStyle name="40% - Accent4 3 3 2 2 3" xfId="24030" xr:uid="{BA13B5B1-7EB9-491A-BB7D-04819FBBB2C3}"/>
    <cellStyle name="40% - Accent4 3 3 2 2 4" xfId="32470" xr:uid="{D54FA4F6-2EED-472A-82AE-CF9E7D389E06}"/>
    <cellStyle name="40% - Accent4 3 3 2 3" xfId="11372" xr:uid="{06C69ADD-C01E-4111-A1F0-015C79751CD4}"/>
    <cellStyle name="40% - Accent4 3 3 2 4" xfId="19813" xr:uid="{6A2B2DC4-5A12-4867-B729-5F9AE89D0A43}"/>
    <cellStyle name="40% - Accent4 3 3 2 5" xfId="28253" xr:uid="{D5C8DA89-0C64-44A6-A593-AD59E1470230}"/>
    <cellStyle name="40% - Accent4 3 3 3" xfId="4995" xr:uid="{00000000-0005-0000-0000-00000A060000}"/>
    <cellStyle name="40% - Accent4 3 3 3 2" xfId="13445" xr:uid="{9E8C689B-C0BC-4FFF-B069-D757D0B6A66C}"/>
    <cellStyle name="40% - Accent4 3 3 3 3" xfId="21885" xr:uid="{DBF2A46E-004F-4844-A113-B3B8F7B7F5A3}"/>
    <cellStyle name="40% - Accent4 3 3 3 4" xfId="30325" xr:uid="{067721C2-8DAD-4FE2-B487-28EDA52391A0}"/>
    <cellStyle name="40% - Accent4 3 3 4" xfId="9227" xr:uid="{086B0F33-BC40-43FC-97A7-034AFA11B611}"/>
    <cellStyle name="40% - Accent4 3 3 5" xfId="17668" xr:uid="{AF36EF15-B41E-4B78-8B09-B3BE807B6EB1}"/>
    <cellStyle name="40% - Accent4 3 3 6" xfId="26108" xr:uid="{29FA1428-3121-4E2F-A0AE-2224DCE35AEE}"/>
    <cellStyle name="40% - Accent4 3 4" xfId="1100" xr:uid="{00000000-0005-0000-0000-00000B060000}"/>
    <cellStyle name="40% - Accent4 3 4 2" xfId="3331" xr:uid="{00000000-0005-0000-0000-00000C060000}"/>
    <cellStyle name="40% - Accent4 3 4 2 2" xfId="7553" xr:uid="{00000000-0005-0000-0000-00000D060000}"/>
    <cellStyle name="40% - Accent4 3 4 2 2 2" xfId="16003" xr:uid="{0DB61A84-3201-44E4-9C01-9F5C505FBF39}"/>
    <cellStyle name="40% - Accent4 3 4 2 2 3" xfId="24443" xr:uid="{9ACBF554-814A-4315-BA5C-431C9E41B177}"/>
    <cellStyle name="40% - Accent4 3 4 2 2 4" xfId="32883" xr:uid="{1BEA3941-B10D-4BF6-BA14-85D595894E76}"/>
    <cellStyle name="40% - Accent4 3 4 2 3" xfId="11785" xr:uid="{1C3BC83E-CF66-4F9A-AD4F-A412D7CC5090}"/>
    <cellStyle name="40% - Accent4 3 4 2 4" xfId="20226" xr:uid="{B5D3B680-9260-43CA-A990-D78B8E6C96F9}"/>
    <cellStyle name="40% - Accent4 3 4 2 5" xfId="28666" xr:uid="{A1CE0466-F9D2-4634-B071-BC70C9B7072C}"/>
    <cellStyle name="40% - Accent4 3 4 3" xfId="5408" xr:uid="{00000000-0005-0000-0000-00000E060000}"/>
    <cellStyle name="40% - Accent4 3 4 3 2" xfId="13858" xr:uid="{62CB656E-1C2B-4FA6-A459-03A73A8DF6D1}"/>
    <cellStyle name="40% - Accent4 3 4 3 3" xfId="22298" xr:uid="{2B5ACCCF-FBEF-4859-AFAC-C699DD06656F}"/>
    <cellStyle name="40% - Accent4 3 4 3 4" xfId="30738" xr:uid="{E40FECEA-39C2-4366-AA15-1955A24E64BF}"/>
    <cellStyle name="40% - Accent4 3 4 4" xfId="9640" xr:uid="{DF714E3E-44A4-4634-B025-1258FCEC8D86}"/>
    <cellStyle name="40% - Accent4 3 4 5" xfId="18081" xr:uid="{F2C13C09-841B-4DB3-993D-578384307A48}"/>
    <cellStyle name="40% - Accent4 3 4 6" xfId="26521" xr:uid="{99BF507E-0DEE-4CBE-AA2C-C5FA3F8C04D7}"/>
    <cellStyle name="40% - Accent4 3 5" xfId="1514" xr:uid="{00000000-0005-0000-0000-00000F060000}"/>
    <cellStyle name="40% - Accent4 3 5 2" xfId="3744" xr:uid="{00000000-0005-0000-0000-000010060000}"/>
    <cellStyle name="40% - Accent4 3 5 2 2" xfId="7966" xr:uid="{00000000-0005-0000-0000-000011060000}"/>
    <cellStyle name="40% - Accent4 3 5 2 2 2" xfId="16416" xr:uid="{746BB9E1-79B4-4F01-A2B4-98E880D0BFE6}"/>
    <cellStyle name="40% - Accent4 3 5 2 2 3" xfId="24856" xr:uid="{2F0EDB42-5867-470F-9B4D-461A9813882F}"/>
    <cellStyle name="40% - Accent4 3 5 2 2 4" xfId="33296" xr:uid="{8AB287D6-CD7E-440A-AB25-9421EBAF1080}"/>
    <cellStyle name="40% - Accent4 3 5 2 3" xfId="12198" xr:uid="{499D66DC-9311-4213-89C1-BE6DD63E8755}"/>
    <cellStyle name="40% - Accent4 3 5 2 4" xfId="20639" xr:uid="{B3051EB7-0F0D-4B46-AC0D-549731706FBA}"/>
    <cellStyle name="40% - Accent4 3 5 2 5" xfId="29079" xr:uid="{95D31E27-85C6-4A33-9495-16D1267AF1E7}"/>
    <cellStyle name="40% - Accent4 3 5 3" xfId="5821" xr:uid="{00000000-0005-0000-0000-000012060000}"/>
    <cellStyle name="40% - Accent4 3 5 3 2" xfId="14271" xr:uid="{BC76EB3F-EFFA-4EC1-9FEB-DC0539FFB383}"/>
    <cellStyle name="40% - Accent4 3 5 3 3" xfId="22711" xr:uid="{870A768F-0098-4B76-AB16-14D1D77A7DEC}"/>
    <cellStyle name="40% - Accent4 3 5 3 4" xfId="31151" xr:uid="{67B267DE-9717-4446-866D-86E13028F590}"/>
    <cellStyle name="40% - Accent4 3 5 4" xfId="10053" xr:uid="{D7BDD5BD-AD21-4D6B-9A43-B48E92CE326A}"/>
    <cellStyle name="40% - Accent4 3 5 5" xfId="18494" xr:uid="{7629E6F2-607B-417F-9302-9995FDCF43EE}"/>
    <cellStyle name="40% - Accent4 3 5 6" xfId="26934" xr:uid="{0DFABDCB-AD49-413E-B0BB-04BA5B69839B}"/>
    <cellStyle name="40% - Accent4 3 6" xfId="1928" xr:uid="{00000000-0005-0000-0000-000013060000}"/>
    <cellStyle name="40% - Accent4 3 6 2" xfId="4157" xr:uid="{00000000-0005-0000-0000-000014060000}"/>
    <cellStyle name="40% - Accent4 3 6 2 2" xfId="8379" xr:uid="{00000000-0005-0000-0000-000015060000}"/>
    <cellStyle name="40% - Accent4 3 6 2 2 2" xfId="16829" xr:uid="{BE1BF5E8-AFBA-49C3-BF45-372385B1217A}"/>
    <cellStyle name="40% - Accent4 3 6 2 2 3" xfId="25269" xr:uid="{97EC7760-B8FE-42AC-8287-72E9D3A4BB51}"/>
    <cellStyle name="40% - Accent4 3 6 2 2 4" xfId="33709" xr:uid="{B2DB6351-362E-4609-97C7-A0B7989D0E5B}"/>
    <cellStyle name="40% - Accent4 3 6 2 3" xfId="12611" xr:uid="{90A532F2-8266-4536-9AE9-5991310898B6}"/>
    <cellStyle name="40% - Accent4 3 6 2 4" xfId="21052" xr:uid="{2EAD6FF3-CA7F-49FF-98D2-039E629B2884}"/>
    <cellStyle name="40% - Accent4 3 6 2 5" xfId="29492" xr:uid="{4C10CE6A-5A45-4351-B464-644D49CF87AB}"/>
    <cellStyle name="40% - Accent4 3 6 3" xfId="6234" xr:uid="{00000000-0005-0000-0000-000016060000}"/>
    <cellStyle name="40% - Accent4 3 6 3 2" xfId="14684" xr:uid="{DCBD89AC-0206-497D-97FB-AD5E3A7B60F4}"/>
    <cellStyle name="40% - Accent4 3 6 3 3" xfId="23124" xr:uid="{119DA082-02FE-43FF-B7D5-EC3B38673B0C}"/>
    <cellStyle name="40% - Accent4 3 6 3 4" xfId="31564" xr:uid="{8757FDA4-D937-4D9D-86C0-0E77C39373C3}"/>
    <cellStyle name="40% - Accent4 3 6 4" xfId="10466" xr:uid="{4580D8E5-61C9-4160-B3D0-6565714D8171}"/>
    <cellStyle name="40% - Accent4 3 6 5" xfId="18907" xr:uid="{02142681-382A-44D8-89DF-73EFE0142A18}"/>
    <cellStyle name="40% - Accent4 3 6 6" xfId="27347" xr:uid="{EEDB1630-72CF-4DF8-A918-D58A4A242695}"/>
    <cellStyle name="40% - Accent4 3 7" xfId="2341" xr:uid="{00000000-0005-0000-0000-000017060000}"/>
    <cellStyle name="40% - Accent4 3 7 2" xfId="6647" xr:uid="{00000000-0005-0000-0000-000018060000}"/>
    <cellStyle name="40% - Accent4 3 7 2 2" xfId="15097" xr:uid="{44973CF5-FFAC-43A1-8576-9AA82CC73345}"/>
    <cellStyle name="40% - Accent4 3 7 2 3" xfId="23537" xr:uid="{B2DCD291-171C-480D-9228-1BDCD8DF5FF9}"/>
    <cellStyle name="40% - Accent4 3 7 2 4" xfId="31977" xr:uid="{7395AD27-E120-42D9-94AB-2DA5A64DC064}"/>
    <cellStyle name="40% - Accent4 3 7 3" xfId="10879" xr:uid="{68B707BB-A893-4110-904B-3C3AA2FBC016}"/>
    <cellStyle name="40% - Accent4 3 7 4" xfId="19320" xr:uid="{142D51B4-86ED-41FD-9129-CAEEB5C93F8E}"/>
    <cellStyle name="40% - Accent4 3 7 5" xfId="27760" xr:uid="{D5E1E5FC-AFB9-4C31-B179-60EF4BA62BA7}"/>
    <cellStyle name="40% - Accent4 3 8" xfId="4581" xr:uid="{00000000-0005-0000-0000-000019060000}"/>
    <cellStyle name="40% - Accent4 3 8 2" xfId="13031" xr:uid="{CD1B5CA4-8283-43A1-A370-BF4FBA049832}"/>
    <cellStyle name="40% - Accent4 3 8 3" xfId="21471" xr:uid="{99634835-6220-4FD8-8EB8-0B35DBEDE717}"/>
    <cellStyle name="40% - Accent4 3 8 4" xfId="29911" xr:uid="{74B19EBD-014F-4BE4-A04C-07930116FA27}"/>
    <cellStyle name="40% - Accent4 3 9" xfId="8813" xr:uid="{861BF909-4240-451A-8365-4588F96A9405}"/>
    <cellStyle name="40% - Accent4 4" xfId="80" xr:uid="{00000000-0005-0000-0000-00001A060000}"/>
    <cellStyle name="40% - Accent4 4 10" xfId="25696" xr:uid="{C3E1B592-A532-40B1-8CE3-6A8D9F3C664A}"/>
    <cellStyle name="40% - Accent4 4 2" xfId="649" xr:uid="{00000000-0005-0000-0000-00001B060000}"/>
    <cellStyle name="40% - Accent4 4 2 2" xfId="2920" xr:uid="{00000000-0005-0000-0000-00001C060000}"/>
    <cellStyle name="40% - Accent4 4 2 2 2" xfId="7142" xr:uid="{00000000-0005-0000-0000-00001D060000}"/>
    <cellStyle name="40% - Accent4 4 2 2 2 2" xfId="15592" xr:uid="{F6812788-B347-4A0B-BD8F-E2E2A1822E2E}"/>
    <cellStyle name="40% - Accent4 4 2 2 2 3" xfId="24032" xr:uid="{21F0A5AA-D354-4679-BEED-219DB8A94C77}"/>
    <cellStyle name="40% - Accent4 4 2 2 2 4" xfId="32472" xr:uid="{58203D3C-CE99-4151-8F3F-65EBA44CCF44}"/>
    <cellStyle name="40% - Accent4 4 2 2 3" xfId="11374" xr:uid="{51F70C0E-B6BB-480A-9EA1-5B7CD4AB0B4F}"/>
    <cellStyle name="40% - Accent4 4 2 2 4" xfId="19815" xr:uid="{96482073-01C6-4759-9E8F-BD31BB4E91EA}"/>
    <cellStyle name="40% - Accent4 4 2 2 5" xfId="28255" xr:uid="{60D696C7-8D5A-4185-A706-DE222A13475D}"/>
    <cellStyle name="40% - Accent4 4 2 3" xfId="4997" xr:uid="{00000000-0005-0000-0000-00001E060000}"/>
    <cellStyle name="40% - Accent4 4 2 3 2" xfId="13447" xr:uid="{F66089D2-5773-4CFE-ACA5-0EF1B3776186}"/>
    <cellStyle name="40% - Accent4 4 2 3 3" xfId="21887" xr:uid="{11F5D941-8654-41FA-A6C3-063A817CAA51}"/>
    <cellStyle name="40% - Accent4 4 2 3 4" xfId="30327" xr:uid="{18EB66B7-F7A1-4A13-94E1-6F3493B926E2}"/>
    <cellStyle name="40% - Accent4 4 2 4" xfId="9229" xr:uid="{11F73AE4-BB32-4355-8E51-9608406D119E}"/>
    <cellStyle name="40% - Accent4 4 2 5" xfId="17670" xr:uid="{38F19DFD-A8BA-4FC4-AAFD-168A392C67BA}"/>
    <cellStyle name="40% - Accent4 4 2 6" xfId="26110" xr:uid="{44916F86-99FE-448A-8AE4-379767B13F1F}"/>
    <cellStyle name="40% - Accent4 4 3" xfId="1102" xr:uid="{00000000-0005-0000-0000-00001F060000}"/>
    <cellStyle name="40% - Accent4 4 3 2" xfId="3333" xr:uid="{00000000-0005-0000-0000-000020060000}"/>
    <cellStyle name="40% - Accent4 4 3 2 2" xfId="7555" xr:uid="{00000000-0005-0000-0000-000021060000}"/>
    <cellStyle name="40% - Accent4 4 3 2 2 2" xfId="16005" xr:uid="{9DA54DF9-AC21-40D4-8C3B-ACFC75A59398}"/>
    <cellStyle name="40% - Accent4 4 3 2 2 3" xfId="24445" xr:uid="{45BB1A7A-1A1B-45A0-B712-F87BB48E32EF}"/>
    <cellStyle name="40% - Accent4 4 3 2 2 4" xfId="32885" xr:uid="{7E9ED14E-22A5-4EEB-8C36-D64054ADD81D}"/>
    <cellStyle name="40% - Accent4 4 3 2 3" xfId="11787" xr:uid="{660D1775-2C70-45D2-BD06-2581528EFE04}"/>
    <cellStyle name="40% - Accent4 4 3 2 4" xfId="20228" xr:uid="{F24B7BD8-8139-46A1-93C5-926968C82557}"/>
    <cellStyle name="40% - Accent4 4 3 2 5" xfId="28668" xr:uid="{5E07E3EF-ACF5-4FBC-909B-5243EA602E4C}"/>
    <cellStyle name="40% - Accent4 4 3 3" xfId="5410" xr:uid="{00000000-0005-0000-0000-000022060000}"/>
    <cellStyle name="40% - Accent4 4 3 3 2" xfId="13860" xr:uid="{51BF54A0-C617-47AA-8EA1-21320E43F084}"/>
    <cellStyle name="40% - Accent4 4 3 3 3" xfId="22300" xr:uid="{EDF1B234-A60F-4736-8F4B-C7F6119BFB49}"/>
    <cellStyle name="40% - Accent4 4 3 3 4" xfId="30740" xr:uid="{879D4CE9-47F0-4BB7-AD89-DF6A85DCFD75}"/>
    <cellStyle name="40% - Accent4 4 3 4" xfId="9642" xr:uid="{2CF84232-4950-4CA9-988C-39E91495A0C9}"/>
    <cellStyle name="40% - Accent4 4 3 5" xfId="18083" xr:uid="{F9928954-1F4C-4B84-B4CE-3F4687A01837}"/>
    <cellStyle name="40% - Accent4 4 3 6" xfId="26523" xr:uid="{A8BA66A2-AC57-4C81-8339-04554F6A10C6}"/>
    <cellStyle name="40% - Accent4 4 4" xfId="1516" xr:uid="{00000000-0005-0000-0000-000023060000}"/>
    <cellStyle name="40% - Accent4 4 4 2" xfId="3746" xr:uid="{00000000-0005-0000-0000-000024060000}"/>
    <cellStyle name="40% - Accent4 4 4 2 2" xfId="7968" xr:uid="{00000000-0005-0000-0000-000025060000}"/>
    <cellStyle name="40% - Accent4 4 4 2 2 2" xfId="16418" xr:uid="{275BB1CB-2E93-40A4-AAFD-7E38F70A28FB}"/>
    <cellStyle name="40% - Accent4 4 4 2 2 3" xfId="24858" xr:uid="{A6C56C04-1191-4DE0-B634-E2FCF9096019}"/>
    <cellStyle name="40% - Accent4 4 4 2 2 4" xfId="33298" xr:uid="{71E25608-CD06-43A9-BB3D-9667972BEB12}"/>
    <cellStyle name="40% - Accent4 4 4 2 3" xfId="12200" xr:uid="{A9A521B0-6E9E-41DC-956A-CA024111AC79}"/>
    <cellStyle name="40% - Accent4 4 4 2 4" xfId="20641" xr:uid="{F7A1E6A6-885F-405F-BFC8-E92CE2E3961F}"/>
    <cellStyle name="40% - Accent4 4 4 2 5" xfId="29081" xr:uid="{D755D66E-EF61-4B2A-B29F-99B94FDBD006}"/>
    <cellStyle name="40% - Accent4 4 4 3" xfId="5823" xr:uid="{00000000-0005-0000-0000-000026060000}"/>
    <cellStyle name="40% - Accent4 4 4 3 2" xfId="14273" xr:uid="{34EB1E80-08C2-4B9F-89CF-E94E3E6F6658}"/>
    <cellStyle name="40% - Accent4 4 4 3 3" xfId="22713" xr:uid="{09A5F702-2B35-4145-8A6E-E3E078DEF866}"/>
    <cellStyle name="40% - Accent4 4 4 3 4" xfId="31153" xr:uid="{E96F2A13-18E2-4D1C-B0E4-F1A313C3C9B7}"/>
    <cellStyle name="40% - Accent4 4 4 4" xfId="10055" xr:uid="{E4542688-55A3-4C8A-A4E4-EF8933BADE3E}"/>
    <cellStyle name="40% - Accent4 4 4 5" xfId="18496" xr:uid="{16BD80A1-73BB-47C3-9070-E0FF86EFCE81}"/>
    <cellStyle name="40% - Accent4 4 4 6" xfId="26936" xr:uid="{19A18E88-EEBC-4D1F-B93C-D0C481D8DCF7}"/>
    <cellStyle name="40% - Accent4 4 5" xfId="1930" xr:uid="{00000000-0005-0000-0000-000027060000}"/>
    <cellStyle name="40% - Accent4 4 5 2" xfId="4159" xr:uid="{00000000-0005-0000-0000-000028060000}"/>
    <cellStyle name="40% - Accent4 4 5 2 2" xfId="8381" xr:uid="{00000000-0005-0000-0000-000029060000}"/>
    <cellStyle name="40% - Accent4 4 5 2 2 2" xfId="16831" xr:uid="{A97DF775-B63A-47D9-A36F-D73BCF839245}"/>
    <cellStyle name="40% - Accent4 4 5 2 2 3" xfId="25271" xr:uid="{D16DFBF5-958C-4EE9-AED7-AC3BD9FB727B}"/>
    <cellStyle name="40% - Accent4 4 5 2 2 4" xfId="33711" xr:uid="{F40F57BC-8025-4B16-9C5B-30EEE4E9FA65}"/>
    <cellStyle name="40% - Accent4 4 5 2 3" xfId="12613" xr:uid="{EF74B328-F6CD-44B1-9E5E-C99A1B799FA8}"/>
    <cellStyle name="40% - Accent4 4 5 2 4" xfId="21054" xr:uid="{E87DBE50-DDC2-4FFF-BA6D-5DAE4553ECD2}"/>
    <cellStyle name="40% - Accent4 4 5 2 5" xfId="29494" xr:uid="{682B4D91-E0E3-42D4-A7AB-F91973F869D2}"/>
    <cellStyle name="40% - Accent4 4 5 3" xfId="6236" xr:uid="{00000000-0005-0000-0000-00002A060000}"/>
    <cellStyle name="40% - Accent4 4 5 3 2" xfId="14686" xr:uid="{E5827C0E-7165-47CE-A2F9-C0CC22148AF3}"/>
    <cellStyle name="40% - Accent4 4 5 3 3" xfId="23126" xr:uid="{C0447604-798A-4F7A-9DA2-B68B427DD0EB}"/>
    <cellStyle name="40% - Accent4 4 5 3 4" xfId="31566" xr:uid="{39C226AB-E3AE-4159-9FFE-2730382D682C}"/>
    <cellStyle name="40% - Accent4 4 5 4" xfId="10468" xr:uid="{FF1DA972-758E-420B-9DA7-88B83AA9EA7B}"/>
    <cellStyle name="40% - Accent4 4 5 5" xfId="18909" xr:uid="{64EB07A5-E15F-4B82-BF07-88A263F661A7}"/>
    <cellStyle name="40% - Accent4 4 5 6" xfId="27349" xr:uid="{D77D1CF4-B80B-4AEA-A0BE-0B9C4A2323A3}"/>
    <cellStyle name="40% - Accent4 4 6" xfId="2343" xr:uid="{00000000-0005-0000-0000-00002B060000}"/>
    <cellStyle name="40% - Accent4 4 6 2" xfId="6649" xr:uid="{00000000-0005-0000-0000-00002C060000}"/>
    <cellStyle name="40% - Accent4 4 6 2 2" xfId="15099" xr:uid="{1A7FBE3E-BFB7-45C5-9B1E-2DEBBDF3C32E}"/>
    <cellStyle name="40% - Accent4 4 6 2 3" xfId="23539" xr:uid="{2DFBA271-B9BF-4A32-8C6F-2F745155FD74}"/>
    <cellStyle name="40% - Accent4 4 6 2 4" xfId="31979" xr:uid="{4333284F-912A-43B3-A35D-427C9CEC01B6}"/>
    <cellStyle name="40% - Accent4 4 6 3" xfId="10881" xr:uid="{FD2486A2-7B85-4CE9-96D2-6864ABBA4A78}"/>
    <cellStyle name="40% - Accent4 4 6 4" xfId="19322" xr:uid="{606A3DCD-0819-4E06-AE7B-329237A1CF32}"/>
    <cellStyle name="40% - Accent4 4 6 5" xfId="27762" xr:uid="{9328928B-6587-4992-BA78-4C09D8B4DCF0}"/>
    <cellStyle name="40% - Accent4 4 7" xfId="4583" xr:uid="{00000000-0005-0000-0000-00002D060000}"/>
    <cellStyle name="40% - Accent4 4 7 2" xfId="13033" xr:uid="{664CE163-AD83-45ED-BE89-F521C71673E3}"/>
    <cellStyle name="40% - Accent4 4 7 3" xfId="21473" xr:uid="{2CE5AD85-7379-4922-BB1C-F8FBDF4D4525}"/>
    <cellStyle name="40% - Accent4 4 7 4" xfId="29913" xr:uid="{276DB292-9421-42F5-823D-07797DBD0CB2}"/>
    <cellStyle name="40% - Accent4 4 8" xfId="8815" xr:uid="{CA7A1088-B26F-40B3-A5DF-87B81B63A8EC}"/>
    <cellStyle name="40% - Accent4 4 9" xfId="17256" xr:uid="{47BD4D12-875D-49D4-BD2B-CC875BD99F14}"/>
    <cellStyle name="40% - Accent4 5" xfId="642" xr:uid="{00000000-0005-0000-0000-00002E060000}"/>
    <cellStyle name="40% - Accent4 5 2" xfId="2913" xr:uid="{00000000-0005-0000-0000-00002F060000}"/>
    <cellStyle name="40% - Accent4 5 2 2" xfId="7135" xr:uid="{00000000-0005-0000-0000-000030060000}"/>
    <cellStyle name="40% - Accent4 5 2 2 2" xfId="15585" xr:uid="{D3115E54-A271-48B5-BC42-15B377AAEE46}"/>
    <cellStyle name="40% - Accent4 5 2 2 3" xfId="24025" xr:uid="{C0F1F8AE-5F61-4ADD-8E83-3EA173E9CF53}"/>
    <cellStyle name="40% - Accent4 5 2 2 4" xfId="32465" xr:uid="{2EEB7A18-F14F-454E-9B33-641290322A95}"/>
    <cellStyle name="40% - Accent4 5 2 3" xfId="11367" xr:uid="{28036CD3-27E2-4FD1-80A9-BB7EF935F912}"/>
    <cellStyle name="40% - Accent4 5 2 4" xfId="19808" xr:uid="{DAB1F9F2-1D5C-4D00-B950-C70F2730ABAF}"/>
    <cellStyle name="40% - Accent4 5 2 5" xfId="28248" xr:uid="{D11DAB1D-3D47-4107-AFE4-30ACC82686FB}"/>
    <cellStyle name="40% - Accent4 5 3" xfId="4990" xr:uid="{00000000-0005-0000-0000-000031060000}"/>
    <cellStyle name="40% - Accent4 5 3 2" xfId="13440" xr:uid="{65BE8ED1-5DC9-4AD5-863D-15E96FDE3F7C}"/>
    <cellStyle name="40% - Accent4 5 3 3" xfId="21880" xr:uid="{00748A32-F73B-426C-8EB4-0D0A015A20E2}"/>
    <cellStyle name="40% - Accent4 5 3 4" xfId="30320" xr:uid="{AD6045EB-31D4-4177-9527-2C3473093157}"/>
    <cellStyle name="40% - Accent4 5 4" xfId="9222" xr:uid="{5156B690-5AB2-44E2-9F1F-663868D7F8CD}"/>
    <cellStyle name="40% - Accent4 5 5" xfId="17663" xr:uid="{CB3B6BF4-A003-416A-9A13-4DBFF7BA208C}"/>
    <cellStyle name="40% - Accent4 5 6" xfId="26103" xr:uid="{691CB0A9-64B9-48D9-AE17-0CD1E4A4C863}"/>
    <cellStyle name="40% - Accent4 6" xfId="1095" xr:uid="{00000000-0005-0000-0000-000032060000}"/>
    <cellStyle name="40% - Accent4 6 2" xfId="3326" xr:uid="{00000000-0005-0000-0000-000033060000}"/>
    <cellStyle name="40% - Accent4 6 2 2" xfId="7548" xr:uid="{00000000-0005-0000-0000-000034060000}"/>
    <cellStyle name="40% - Accent4 6 2 2 2" xfId="15998" xr:uid="{5ABA994E-9284-4FA1-AFD1-D9C7B12B745C}"/>
    <cellStyle name="40% - Accent4 6 2 2 3" xfId="24438" xr:uid="{56CEEBBD-BD4A-4AC8-86D3-26F9A5D8E854}"/>
    <cellStyle name="40% - Accent4 6 2 2 4" xfId="32878" xr:uid="{603151B5-10C1-4663-9639-AD0B175C6926}"/>
    <cellStyle name="40% - Accent4 6 2 3" xfId="11780" xr:uid="{46034CB6-C177-4617-9E89-837CDC05F49C}"/>
    <cellStyle name="40% - Accent4 6 2 4" xfId="20221" xr:uid="{5EFD61E7-2279-4E55-9F6A-1EC39B0446D1}"/>
    <cellStyle name="40% - Accent4 6 2 5" xfId="28661" xr:uid="{C5001027-5266-4FDF-B937-F03AEDB620F6}"/>
    <cellStyle name="40% - Accent4 6 3" xfId="5403" xr:uid="{00000000-0005-0000-0000-000035060000}"/>
    <cellStyle name="40% - Accent4 6 3 2" xfId="13853" xr:uid="{F20CDC70-2910-4FAC-900F-3CB9E33CB91F}"/>
    <cellStyle name="40% - Accent4 6 3 3" xfId="22293" xr:uid="{8D6BC78B-BC9A-4222-BB8E-55133C79E7A7}"/>
    <cellStyle name="40% - Accent4 6 3 4" xfId="30733" xr:uid="{A1D88680-2F39-47CC-9636-4B629CCAD1A1}"/>
    <cellStyle name="40% - Accent4 6 4" xfId="9635" xr:uid="{2BBAFBD4-EA09-4D5B-98EF-A8DA8584809E}"/>
    <cellStyle name="40% - Accent4 6 5" xfId="18076" xr:uid="{D4EF5F29-E046-41F8-B476-2CE0C0C652D9}"/>
    <cellStyle name="40% - Accent4 6 6" xfId="26516" xr:uid="{D277C907-E591-4D98-B599-409ECD5CCF8F}"/>
    <cellStyle name="40% - Accent4 7" xfId="1509" xr:uid="{00000000-0005-0000-0000-000036060000}"/>
    <cellStyle name="40% - Accent4 7 2" xfId="3739" xr:uid="{00000000-0005-0000-0000-000037060000}"/>
    <cellStyle name="40% - Accent4 7 2 2" xfId="7961" xr:uid="{00000000-0005-0000-0000-000038060000}"/>
    <cellStyle name="40% - Accent4 7 2 2 2" xfId="16411" xr:uid="{66B1C975-62EE-4F1D-96BE-52BFAC436940}"/>
    <cellStyle name="40% - Accent4 7 2 2 3" xfId="24851" xr:uid="{246A0776-C959-4C93-8E92-A12674C84322}"/>
    <cellStyle name="40% - Accent4 7 2 2 4" xfId="33291" xr:uid="{7A7EA38D-CF65-446C-AF87-72A746C55EE3}"/>
    <cellStyle name="40% - Accent4 7 2 3" xfId="12193" xr:uid="{DFDAE004-930D-4831-8EC2-C669F9073D39}"/>
    <cellStyle name="40% - Accent4 7 2 4" xfId="20634" xr:uid="{3E84A69A-3E85-4605-80DB-3A5CAD9AD6D8}"/>
    <cellStyle name="40% - Accent4 7 2 5" xfId="29074" xr:uid="{84873BFE-0FE4-4A37-91D2-E3C6D9460517}"/>
    <cellStyle name="40% - Accent4 7 3" xfId="5816" xr:uid="{00000000-0005-0000-0000-000039060000}"/>
    <cellStyle name="40% - Accent4 7 3 2" xfId="14266" xr:uid="{FA6E58CD-E6EC-44D8-88BB-40A6791FCD44}"/>
    <cellStyle name="40% - Accent4 7 3 3" xfId="22706" xr:uid="{0B2A2795-390C-4159-B7C1-6584D087018E}"/>
    <cellStyle name="40% - Accent4 7 3 4" xfId="31146" xr:uid="{CE389FDE-448E-4B7A-B5B5-6EDE9A07E77A}"/>
    <cellStyle name="40% - Accent4 7 4" xfId="10048" xr:uid="{E8EDBF4E-CA07-40AF-AFC3-9880A2DF08F2}"/>
    <cellStyle name="40% - Accent4 7 5" xfId="18489" xr:uid="{E4FF9EE9-E795-48C4-ADBC-166C131B7E26}"/>
    <cellStyle name="40% - Accent4 7 6" xfId="26929" xr:uid="{D88CE377-EB24-4064-A0EF-FF95AACF5AEE}"/>
    <cellStyle name="40% - Accent4 8" xfId="1923" xr:uid="{00000000-0005-0000-0000-00003A060000}"/>
    <cellStyle name="40% - Accent4 8 2" xfId="4152" xr:uid="{00000000-0005-0000-0000-00003B060000}"/>
    <cellStyle name="40% - Accent4 8 2 2" xfId="8374" xr:uid="{00000000-0005-0000-0000-00003C060000}"/>
    <cellStyle name="40% - Accent4 8 2 2 2" xfId="16824" xr:uid="{14CBBF04-5B52-4009-A5EA-B284611F59FA}"/>
    <cellStyle name="40% - Accent4 8 2 2 3" xfId="25264" xr:uid="{523BDD84-1947-46CF-B1C3-F98E3ABF478C}"/>
    <cellStyle name="40% - Accent4 8 2 2 4" xfId="33704" xr:uid="{C319E17D-08A6-48FB-87B6-4A7BBDC3591F}"/>
    <cellStyle name="40% - Accent4 8 2 3" xfId="12606" xr:uid="{558E632F-4E21-4DC3-AD29-0A95244FE7F0}"/>
    <cellStyle name="40% - Accent4 8 2 4" xfId="21047" xr:uid="{9A2587F7-88D0-4E4D-9396-0479B3516F2E}"/>
    <cellStyle name="40% - Accent4 8 2 5" xfId="29487" xr:uid="{18B88354-ACAD-4BE3-9346-0F66610DF295}"/>
    <cellStyle name="40% - Accent4 8 3" xfId="6229" xr:uid="{00000000-0005-0000-0000-00003D060000}"/>
    <cellStyle name="40% - Accent4 8 3 2" xfId="14679" xr:uid="{5241904B-DBE0-4698-998B-16F07AED2FE3}"/>
    <cellStyle name="40% - Accent4 8 3 3" xfId="23119" xr:uid="{145678E8-0C6E-411C-98D1-BFC7B64483A1}"/>
    <cellStyle name="40% - Accent4 8 3 4" xfId="31559" xr:uid="{5A0A15DF-3128-4BB5-ACBF-32BDE2AC34B7}"/>
    <cellStyle name="40% - Accent4 8 4" xfId="10461" xr:uid="{19BEACC8-D48E-49AF-AC60-86E658E9B23F}"/>
    <cellStyle name="40% - Accent4 8 5" xfId="18902" xr:uid="{ED5A7689-2480-48D9-94F5-8576316AB937}"/>
    <cellStyle name="40% - Accent4 8 6" xfId="27342" xr:uid="{EA4A6F80-B339-4F2D-9917-34DAB9704ACD}"/>
    <cellStyle name="40% - Accent4 9" xfId="2336" xr:uid="{00000000-0005-0000-0000-00003E060000}"/>
    <cellStyle name="40% - Accent4 9 2" xfId="6642" xr:uid="{00000000-0005-0000-0000-00003F060000}"/>
    <cellStyle name="40% - Accent4 9 2 2" xfId="15092" xr:uid="{51FE1689-4887-4169-A7A1-34EBD25FA9DA}"/>
    <cellStyle name="40% - Accent4 9 2 3" xfId="23532" xr:uid="{C589346A-134D-4F8C-B9FA-07E65F7F72CB}"/>
    <cellStyle name="40% - Accent4 9 2 4" xfId="31972" xr:uid="{DA084A8C-F32F-4C5A-B846-3E69EF706F8B}"/>
    <cellStyle name="40% - Accent4 9 3" xfId="10874" xr:uid="{8332DD2C-07FD-44A4-AA5A-047071E2D253}"/>
    <cellStyle name="40% - Accent4 9 4" xfId="19315" xr:uid="{85DF4632-92F8-4495-A9F0-D2C328D74E64}"/>
    <cellStyle name="40% - Accent4 9 5" xfId="27755" xr:uid="{037EAC36-3AFF-42A9-A4B6-F04DF9CB18C5}"/>
    <cellStyle name="40% - Accent5" xfId="81" builtinId="47" customBuiltin="1"/>
    <cellStyle name="40% - Accent5 10" xfId="4584" xr:uid="{00000000-0005-0000-0000-000041060000}"/>
    <cellStyle name="40% - Accent5 10 2" xfId="13034" xr:uid="{76091095-065F-4249-8FBC-670BBEB94FC8}"/>
    <cellStyle name="40% - Accent5 10 3" xfId="21474" xr:uid="{5E98D330-C805-4A69-B0F0-0695532E2082}"/>
    <cellStyle name="40% - Accent5 10 4" xfId="29914" xr:uid="{E6A4A979-F206-40A5-9445-C3C5D0F7B537}"/>
    <cellStyle name="40% - Accent5 11" xfId="8816" xr:uid="{35F5DA46-B73B-46BC-A8FB-4FBE6877F457}"/>
    <cellStyle name="40% - Accent5 12" xfId="17257" xr:uid="{0D20E553-06E8-4242-BEC5-D5672081C926}"/>
    <cellStyle name="40% - Accent5 13" xfId="25697" xr:uid="{5918EB16-4B0B-4627-9965-6E0FDAE0CB32}"/>
    <cellStyle name="40% - Accent5 2" xfId="82" xr:uid="{00000000-0005-0000-0000-000042060000}"/>
    <cellStyle name="40% - Accent5 2 10" xfId="8817" xr:uid="{B0FA2F42-96F1-4DBE-99F9-FB256A43BEF8}"/>
    <cellStyle name="40% - Accent5 2 11" xfId="17258" xr:uid="{4CB73209-991A-4BA8-B7F8-DCD64038B418}"/>
    <cellStyle name="40% - Accent5 2 12" xfId="25698" xr:uid="{27B8E825-266C-4716-9461-4A749A71C966}"/>
    <cellStyle name="40% - Accent5 2 2" xfId="83" xr:uid="{00000000-0005-0000-0000-000043060000}"/>
    <cellStyle name="40% - Accent5 2 2 10" xfId="17259" xr:uid="{257E01DE-5EFB-4C31-BA08-9983EAF40CDD}"/>
    <cellStyle name="40% - Accent5 2 2 11" xfId="25699" xr:uid="{8C8F3D36-B710-487D-A85E-B08285DDBD25}"/>
    <cellStyle name="40% - Accent5 2 2 2" xfId="84" xr:uid="{00000000-0005-0000-0000-000044060000}"/>
    <cellStyle name="40% - Accent5 2 2 2 10" xfId="25700" xr:uid="{B01500B9-B648-491C-8D8C-67E5D4912851}"/>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2 2 2" xfId="15596" xr:uid="{4471F398-7942-428C-8F81-9E42DE74A7A8}"/>
    <cellStyle name="40% - Accent5 2 2 2 2 2 2 3" xfId="24036" xr:uid="{C4EC1AAA-F8E6-4975-B860-04E11A6B5883}"/>
    <cellStyle name="40% - Accent5 2 2 2 2 2 2 4" xfId="32476" xr:uid="{DE393A76-9019-4CD3-8BE1-F30889787D36}"/>
    <cellStyle name="40% - Accent5 2 2 2 2 2 3" xfId="11378" xr:uid="{C414FDB7-0C92-4710-93A7-47A75012E39B}"/>
    <cellStyle name="40% - Accent5 2 2 2 2 2 4" xfId="19819" xr:uid="{9EF4502C-FFC2-4302-AD84-4DF86697250A}"/>
    <cellStyle name="40% - Accent5 2 2 2 2 2 5" xfId="28259" xr:uid="{B504E50F-CF75-4587-82BB-9883AA48126D}"/>
    <cellStyle name="40% - Accent5 2 2 2 2 3" xfId="5001" xr:uid="{00000000-0005-0000-0000-000048060000}"/>
    <cellStyle name="40% - Accent5 2 2 2 2 3 2" xfId="13451" xr:uid="{132E928F-DD92-475F-813E-04387E3F32D1}"/>
    <cellStyle name="40% - Accent5 2 2 2 2 3 3" xfId="21891" xr:uid="{F20B80EC-EBA2-4272-ABD1-9F686F9D2EE7}"/>
    <cellStyle name="40% - Accent5 2 2 2 2 3 4" xfId="30331" xr:uid="{22A676F9-046F-45D6-8BB2-A5D70E055FE8}"/>
    <cellStyle name="40% - Accent5 2 2 2 2 4" xfId="9233" xr:uid="{1220D8FA-7ACD-4DA9-BDEC-EF15327E212F}"/>
    <cellStyle name="40% - Accent5 2 2 2 2 5" xfId="17674" xr:uid="{DC56359C-3D85-4279-8DE4-8CD1E3290D3A}"/>
    <cellStyle name="40% - Accent5 2 2 2 2 6" xfId="26114" xr:uid="{037B37F9-3B6D-47D8-93C5-1ACCE5FE2947}"/>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2 2 2" xfId="16009" xr:uid="{3E80EF07-72DE-46E2-B9D7-943B3E61127E}"/>
    <cellStyle name="40% - Accent5 2 2 2 3 2 2 3" xfId="24449" xr:uid="{AE50E5E4-4653-4969-B818-BFE65D5F99E8}"/>
    <cellStyle name="40% - Accent5 2 2 2 3 2 2 4" xfId="32889" xr:uid="{9C165009-FB31-4FAE-8262-ECFC6D946F8D}"/>
    <cellStyle name="40% - Accent5 2 2 2 3 2 3" xfId="11791" xr:uid="{388D67CB-BF97-47BF-886C-C2B71D1F14C6}"/>
    <cellStyle name="40% - Accent5 2 2 2 3 2 4" xfId="20232" xr:uid="{494FED8C-0AE3-46CB-9415-8914B752A779}"/>
    <cellStyle name="40% - Accent5 2 2 2 3 2 5" xfId="28672" xr:uid="{150F0677-B346-40B1-9D08-616C7BF526AA}"/>
    <cellStyle name="40% - Accent5 2 2 2 3 3" xfId="5414" xr:uid="{00000000-0005-0000-0000-00004C060000}"/>
    <cellStyle name="40% - Accent5 2 2 2 3 3 2" xfId="13864" xr:uid="{72F2A2A4-5E8C-4CDC-A941-093CFA96F5F0}"/>
    <cellStyle name="40% - Accent5 2 2 2 3 3 3" xfId="22304" xr:uid="{97550495-03A4-4BA5-A39A-C2F98AB7A853}"/>
    <cellStyle name="40% - Accent5 2 2 2 3 3 4" xfId="30744" xr:uid="{AB3F5DD9-F243-49A3-946C-750443241391}"/>
    <cellStyle name="40% - Accent5 2 2 2 3 4" xfId="9646" xr:uid="{790D9740-7DAC-46C3-AB1A-D8B246A386AF}"/>
    <cellStyle name="40% - Accent5 2 2 2 3 5" xfId="18087" xr:uid="{268EDE5E-153C-42B1-8B41-A76458DD9B93}"/>
    <cellStyle name="40% - Accent5 2 2 2 3 6" xfId="26527" xr:uid="{927D36B9-7E5E-453A-95A3-15935644A18C}"/>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2 2 2" xfId="16422" xr:uid="{8ED05903-D0E2-438B-9211-C34A27C999BB}"/>
    <cellStyle name="40% - Accent5 2 2 2 4 2 2 3" xfId="24862" xr:uid="{B3C48309-97EC-433F-9ED1-EB16CD2CF3C3}"/>
    <cellStyle name="40% - Accent5 2 2 2 4 2 2 4" xfId="33302" xr:uid="{FCD59B91-043A-4063-9446-4ACC4D6CF712}"/>
    <cellStyle name="40% - Accent5 2 2 2 4 2 3" xfId="12204" xr:uid="{1363F5D1-7E14-4F2D-BA1F-D20D6B8C96A1}"/>
    <cellStyle name="40% - Accent5 2 2 2 4 2 4" xfId="20645" xr:uid="{CC1177EC-8DB3-401B-995D-82E7F333B385}"/>
    <cellStyle name="40% - Accent5 2 2 2 4 2 5" xfId="29085" xr:uid="{81E79F27-E780-48DC-A480-373D1C114A42}"/>
    <cellStyle name="40% - Accent5 2 2 2 4 3" xfId="5827" xr:uid="{00000000-0005-0000-0000-000050060000}"/>
    <cellStyle name="40% - Accent5 2 2 2 4 3 2" xfId="14277" xr:uid="{608CDA55-F32E-4395-A402-1B9EC5872266}"/>
    <cellStyle name="40% - Accent5 2 2 2 4 3 3" xfId="22717" xr:uid="{958BF73E-A8C2-49E0-920F-F77CF8226BBC}"/>
    <cellStyle name="40% - Accent5 2 2 2 4 3 4" xfId="31157" xr:uid="{F1B877C2-3BDB-4EA6-90DA-1D4934E3A69A}"/>
    <cellStyle name="40% - Accent5 2 2 2 4 4" xfId="10059" xr:uid="{8F81381D-567F-46D9-8E34-B38C2C0576C0}"/>
    <cellStyle name="40% - Accent5 2 2 2 4 5" xfId="18500" xr:uid="{FA5E57D3-8B9E-4CD6-9F96-BBCB110F9C03}"/>
    <cellStyle name="40% - Accent5 2 2 2 4 6" xfId="26940" xr:uid="{9A924C93-F2E4-48AE-BCE0-76B710CB5087}"/>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2 2 2" xfId="16835" xr:uid="{60962E0B-571F-4C15-A30D-D8BD7CBA0107}"/>
    <cellStyle name="40% - Accent5 2 2 2 5 2 2 3" xfId="25275" xr:uid="{10D5279D-E3C8-4442-89A9-FD155D181443}"/>
    <cellStyle name="40% - Accent5 2 2 2 5 2 2 4" xfId="33715" xr:uid="{20950034-711C-43B0-9BEB-7E92AB51C84D}"/>
    <cellStyle name="40% - Accent5 2 2 2 5 2 3" xfId="12617" xr:uid="{EB9390E8-699A-42A4-9CBC-955658CBC7B3}"/>
    <cellStyle name="40% - Accent5 2 2 2 5 2 4" xfId="21058" xr:uid="{52026C0C-8A3C-4118-81EE-B5FD1135B5A2}"/>
    <cellStyle name="40% - Accent5 2 2 2 5 2 5" xfId="29498" xr:uid="{6A591ABA-FAD4-481E-A139-57662E1D3FBF}"/>
    <cellStyle name="40% - Accent5 2 2 2 5 3" xfId="6240" xr:uid="{00000000-0005-0000-0000-000054060000}"/>
    <cellStyle name="40% - Accent5 2 2 2 5 3 2" xfId="14690" xr:uid="{04D81634-35AE-48A6-A001-4F7631AFD9AA}"/>
    <cellStyle name="40% - Accent5 2 2 2 5 3 3" xfId="23130" xr:uid="{7167AA91-EFA4-4DA3-B837-AED68F9C7843}"/>
    <cellStyle name="40% - Accent5 2 2 2 5 3 4" xfId="31570" xr:uid="{1C4838D0-863E-4E33-AE5B-3471C37F4A27}"/>
    <cellStyle name="40% - Accent5 2 2 2 5 4" xfId="10472" xr:uid="{ECDB82E0-8E84-49AD-94A1-05D7A08007AA}"/>
    <cellStyle name="40% - Accent5 2 2 2 5 5" xfId="18913" xr:uid="{50EFF729-79D6-44CD-9AD2-38FAC60B09B5}"/>
    <cellStyle name="40% - Accent5 2 2 2 5 6" xfId="27353" xr:uid="{A8BF8F7C-5026-469B-A963-0CE7658F5AE0}"/>
    <cellStyle name="40% - Accent5 2 2 2 6" xfId="2347" xr:uid="{00000000-0005-0000-0000-000055060000}"/>
    <cellStyle name="40% - Accent5 2 2 2 6 2" xfId="6653" xr:uid="{00000000-0005-0000-0000-000056060000}"/>
    <cellStyle name="40% - Accent5 2 2 2 6 2 2" xfId="15103" xr:uid="{ADB1E8BC-8200-499A-812C-8DBE15AE641F}"/>
    <cellStyle name="40% - Accent5 2 2 2 6 2 3" xfId="23543" xr:uid="{CCE1951B-94B0-43FB-BC19-B5A4F13A961A}"/>
    <cellStyle name="40% - Accent5 2 2 2 6 2 4" xfId="31983" xr:uid="{808E27A9-CB4E-481E-AFC8-AC4212477E15}"/>
    <cellStyle name="40% - Accent5 2 2 2 6 3" xfId="10885" xr:uid="{1C20FAE1-9296-4002-B47E-F4A71785A805}"/>
    <cellStyle name="40% - Accent5 2 2 2 6 4" xfId="19326" xr:uid="{B7BB8C67-9235-42F3-9F12-0832058A8944}"/>
    <cellStyle name="40% - Accent5 2 2 2 6 5" xfId="27766" xr:uid="{4230BF18-1DBD-4C71-9FEB-FFB068B7719C}"/>
    <cellStyle name="40% - Accent5 2 2 2 7" xfId="4587" xr:uid="{00000000-0005-0000-0000-000057060000}"/>
    <cellStyle name="40% - Accent5 2 2 2 7 2" xfId="13037" xr:uid="{7E20573D-8D52-4558-8A5F-780D9FD6B4E1}"/>
    <cellStyle name="40% - Accent5 2 2 2 7 3" xfId="21477" xr:uid="{18B027F8-6FF3-43EA-B305-3708A78CBD68}"/>
    <cellStyle name="40% - Accent5 2 2 2 7 4" xfId="29917" xr:uid="{F11B43D2-9EBF-449F-8AC9-051CEAA5BB57}"/>
    <cellStyle name="40% - Accent5 2 2 2 8" xfId="8819" xr:uid="{058F7ED0-1548-45E7-B824-E659F9FAFF9F}"/>
    <cellStyle name="40% - Accent5 2 2 2 9" xfId="17260" xr:uid="{80C3D45F-C25B-49DD-9B61-8FCCEAB68F06}"/>
    <cellStyle name="40% - Accent5 2 2 3" xfId="652" xr:uid="{00000000-0005-0000-0000-000058060000}"/>
    <cellStyle name="40% - Accent5 2 2 3 2" xfId="2923" xr:uid="{00000000-0005-0000-0000-000059060000}"/>
    <cellStyle name="40% - Accent5 2 2 3 2 2" xfId="7145" xr:uid="{00000000-0005-0000-0000-00005A060000}"/>
    <cellStyle name="40% - Accent5 2 2 3 2 2 2" xfId="15595" xr:uid="{6A8E3F98-3DD4-4D3A-A6D2-8FB84C981C65}"/>
    <cellStyle name="40% - Accent5 2 2 3 2 2 3" xfId="24035" xr:uid="{25E83CD5-9F01-42A7-8429-E76B0344E4BF}"/>
    <cellStyle name="40% - Accent5 2 2 3 2 2 4" xfId="32475" xr:uid="{C09B2AEE-E4C8-42E0-BB55-5A4187A2E6D5}"/>
    <cellStyle name="40% - Accent5 2 2 3 2 3" xfId="11377" xr:uid="{17BF2681-7E1E-4BC6-A46F-18E06AAAEC06}"/>
    <cellStyle name="40% - Accent5 2 2 3 2 4" xfId="19818" xr:uid="{4E05020B-D130-4BE1-A7D7-467DC078FDFA}"/>
    <cellStyle name="40% - Accent5 2 2 3 2 5" xfId="28258" xr:uid="{FBBB0FE9-FB52-4689-BA94-6E1DA0D8DE4E}"/>
    <cellStyle name="40% - Accent5 2 2 3 3" xfId="5000" xr:uid="{00000000-0005-0000-0000-00005B060000}"/>
    <cellStyle name="40% - Accent5 2 2 3 3 2" xfId="13450" xr:uid="{842AAA20-5FFB-4B66-AECD-6415D1F9D183}"/>
    <cellStyle name="40% - Accent5 2 2 3 3 3" xfId="21890" xr:uid="{20F758D9-C1F5-4C22-94B9-3488DF3D3CF2}"/>
    <cellStyle name="40% - Accent5 2 2 3 3 4" xfId="30330" xr:uid="{02CDCEB3-9109-476F-B075-F99F5B0C3E0F}"/>
    <cellStyle name="40% - Accent5 2 2 3 4" xfId="9232" xr:uid="{C979FB8D-DC04-4531-B004-30621684E17F}"/>
    <cellStyle name="40% - Accent5 2 2 3 5" xfId="17673" xr:uid="{54C34BB3-28B2-4AB5-A0D5-41C689A290C0}"/>
    <cellStyle name="40% - Accent5 2 2 3 6" xfId="26113" xr:uid="{14CF9FAF-DE96-4B11-9D4F-D24AC43B3B50}"/>
    <cellStyle name="40% - Accent5 2 2 4" xfId="1105" xr:uid="{00000000-0005-0000-0000-00005C060000}"/>
    <cellStyle name="40% - Accent5 2 2 4 2" xfId="3336" xr:uid="{00000000-0005-0000-0000-00005D060000}"/>
    <cellStyle name="40% - Accent5 2 2 4 2 2" xfId="7558" xr:uid="{00000000-0005-0000-0000-00005E060000}"/>
    <cellStyle name="40% - Accent5 2 2 4 2 2 2" xfId="16008" xr:uid="{B02DB666-052A-4967-A34F-8D2C2A6A308C}"/>
    <cellStyle name="40% - Accent5 2 2 4 2 2 3" xfId="24448" xr:uid="{CBD5AB9F-0600-4C44-B467-70841A88CA88}"/>
    <cellStyle name="40% - Accent5 2 2 4 2 2 4" xfId="32888" xr:uid="{046604CD-B344-4EC8-AC86-8BDE12C8A54E}"/>
    <cellStyle name="40% - Accent5 2 2 4 2 3" xfId="11790" xr:uid="{557E26C4-99D8-45ED-856D-CAF0151B6322}"/>
    <cellStyle name="40% - Accent5 2 2 4 2 4" xfId="20231" xr:uid="{0574C29B-3FA3-4787-BEAB-B9E0E11F58C2}"/>
    <cellStyle name="40% - Accent5 2 2 4 2 5" xfId="28671" xr:uid="{2E1919A4-4ABD-4021-9B36-B77BF3BF932A}"/>
    <cellStyle name="40% - Accent5 2 2 4 3" xfId="5413" xr:uid="{00000000-0005-0000-0000-00005F060000}"/>
    <cellStyle name="40% - Accent5 2 2 4 3 2" xfId="13863" xr:uid="{28DFD3D3-ECAD-4C61-AFD9-59140B0E6547}"/>
    <cellStyle name="40% - Accent5 2 2 4 3 3" xfId="22303" xr:uid="{09207D32-40B1-4DC2-A458-2A4FF0A0E0CC}"/>
    <cellStyle name="40% - Accent5 2 2 4 3 4" xfId="30743" xr:uid="{90922A16-71F7-459A-AFAD-DD03ED8702B2}"/>
    <cellStyle name="40% - Accent5 2 2 4 4" xfId="9645" xr:uid="{F37EAE39-F9F2-49E0-881C-CC2CF0729302}"/>
    <cellStyle name="40% - Accent5 2 2 4 5" xfId="18086" xr:uid="{D5D299E7-DE37-4CEE-BBB1-3056AF0B8B94}"/>
    <cellStyle name="40% - Accent5 2 2 4 6" xfId="26526" xr:uid="{09B98D33-E124-465B-A0FA-F0C8E54F44FA}"/>
    <cellStyle name="40% - Accent5 2 2 5" xfId="1519" xr:uid="{00000000-0005-0000-0000-000060060000}"/>
    <cellStyle name="40% - Accent5 2 2 5 2" xfId="3749" xr:uid="{00000000-0005-0000-0000-000061060000}"/>
    <cellStyle name="40% - Accent5 2 2 5 2 2" xfId="7971" xr:uid="{00000000-0005-0000-0000-000062060000}"/>
    <cellStyle name="40% - Accent5 2 2 5 2 2 2" xfId="16421" xr:uid="{DC42AD41-816F-450B-BB8D-7DB01B8B0ECE}"/>
    <cellStyle name="40% - Accent5 2 2 5 2 2 3" xfId="24861" xr:uid="{0C8CE2AD-0444-45E0-9901-48DE4238BDAF}"/>
    <cellStyle name="40% - Accent5 2 2 5 2 2 4" xfId="33301" xr:uid="{FE356772-A245-49C4-A329-51DEF243F5A8}"/>
    <cellStyle name="40% - Accent5 2 2 5 2 3" xfId="12203" xr:uid="{0FDB9925-08B3-4CFE-B148-1827FAE1D18A}"/>
    <cellStyle name="40% - Accent5 2 2 5 2 4" xfId="20644" xr:uid="{43F6CA8F-14ED-4A58-B851-F156FA8600BA}"/>
    <cellStyle name="40% - Accent5 2 2 5 2 5" xfId="29084" xr:uid="{C6E7F4D8-973F-49E2-A9E2-E879BAE04C40}"/>
    <cellStyle name="40% - Accent5 2 2 5 3" xfId="5826" xr:uid="{00000000-0005-0000-0000-000063060000}"/>
    <cellStyle name="40% - Accent5 2 2 5 3 2" xfId="14276" xr:uid="{CBBF9C68-9E98-4614-9D3F-8AA4273FA3BF}"/>
    <cellStyle name="40% - Accent5 2 2 5 3 3" xfId="22716" xr:uid="{24B1F664-F70A-48E7-B61A-D977FF3EB027}"/>
    <cellStyle name="40% - Accent5 2 2 5 3 4" xfId="31156" xr:uid="{728A2796-7DC6-4059-954C-911594C4494B}"/>
    <cellStyle name="40% - Accent5 2 2 5 4" xfId="10058" xr:uid="{B72A892B-6E77-4026-A473-6B094168C480}"/>
    <cellStyle name="40% - Accent5 2 2 5 5" xfId="18499" xr:uid="{622A5F0D-9C94-47AC-B664-DBF9140C0E65}"/>
    <cellStyle name="40% - Accent5 2 2 5 6" xfId="26939" xr:uid="{F675D83C-819A-4088-BE19-3AADA8F06183}"/>
    <cellStyle name="40% - Accent5 2 2 6" xfId="1933" xr:uid="{00000000-0005-0000-0000-000064060000}"/>
    <cellStyle name="40% - Accent5 2 2 6 2" xfId="4162" xr:uid="{00000000-0005-0000-0000-000065060000}"/>
    <cellStyle name="40% - Accent5 2 2 6 2 2" xfId="8384" xr:uid="{00000000-0005-0000-0000-000066060000}"/>
    <cellStyle name="40% - Accent5 2 2 6 2 2 2" xfId="16834" xr:uid="{048E0D43-9BAC-40BF-A2A1-24630CAD6C6C}"/>
    <cellStyle name="40% - Accent5 2 2 6 2 2 3" xfId="25274" xr:uid="{278FB46F-E42F-4757-8915-E9775B4D754F}"/>
    <cellStyle name="40% - Accent5 2 2 6 2 2 4" xfId="33714" xr:uid="{5E98A9CF-ECD6-4006-A1B2-54884366A7D0}"/>
    <cellStyle name="40% - Accent5 2 2 6 2 3" xfId="12616" xr:uid="{08DBD9A2-6265-4066-98BC-AFC33596C7EF}"/>
    <cellStyle name="40% - Accent5 2 2 6 2 4" xfId="21057" xr:uid="{F6347B31-FDDC-4BFE-AEDA-F46018A1705A}"/>
    <cellStyle name="40% - Accent5 2 2 6 2 5" xfId="29497" xr:uid="{C73E8576-429F-4F51-B0EE-301E1D9FBFA6}"/>
    <cellStyle name="40% - Accent5 2 2 6 3" xfId="6239" xr:uid="{00000000-0005-0000-0000-000067060000}"/>
    <cellStyle name="40% - Accent5 2 2 6 3 2" xfId="14689" xr:uid="{709A826F-8044-4BDB-A020-2F5808994A00}"/>
    <cellStyle name="40% - Accent5 2 2 6 3 3" xfId="23129" xr:uid="{27204F27-0D80-4609-9E54-47CB0DE4CC8D}"/>
    <cellStyle name="40% - Accent5 2 2 6 3 4" xfId="31569" xr:uid="{E9FAD476-82B2-4714-8A3B-4377D3101FA1}"/>
    <cellStyle name="40% - Accent5 2 2 6 4" xfId="10471" xr:uid="{66EE5A06-190A-43FD-B07E-87F67AEBE344}"/>
    <cellStyle name="40% - Accent5 2 2 6 5" xfId="18912" xr:uid="{2F5B33D0-316D-45C3-8BB0-082162AAD65D}"/>
    <cellStyle name="40% - Accent5 2 2 6 6" xfId="27352" xr:uid="{440D733E-6553-4AC5-BE0D-30D81F12C14D}"/>
    <cellStyle name="40% - Accent5 2 2 7" xfId="2346" xr:uid="{00000000-0005-0000-0000-000068060000}"/>
    <cellStyle name="40% - Accent5 2 2 7 2" xfId="6652" xr:uid="{00000000-0005-0000-0000-000069060000}"/>
    <cellStyle name="40% - Accent5 2 2 7 2 2" xfId="15102" xr:uid="{E2D9AF9D-761D-4746-BDD4-6FE91862263A}"/>
    <cellStyle name="40% - Accent5 2 2 7 2 3" xfId="23542" xr:uid="{3189D10B-0A9D-460D-8B76-C31F7B6C8811}"/>
    <cellStyle name="40% - Accent5 2 2 7 2 4" xfId="31982" xr:uid="{42099896-D395-4610-B9EB-34DEB280F8E1}"/>
    <cellStyle name="40% - Accent5 2 2 7 3" xfId="10884" xr:uid="{74DE75C2-788D-4648-BF16-094437B3F59C}"/>
    <cellStyle name="40% - Accent5 2 2 7 4" xfId="19325" xr:uid="{EAB83FEC-C3B6-4E6A-8A1D-D57A8635A469}"/>
    <cellStyle name="40% - Accent5 2 2 7 5" xfId="27765" xr:uid="{9D88C2F5-5C3D-4325-A8FA-AF19D0A89FDC}"/>
    <cellStyle name="40% - Accent5 2 2 8" xfId="4586" xr:uid="{00000000-0005-0000-0000-00006A060000}"/>
    <cellStyle name="40% - Accent5 2 2 8 2" xfId="13036" xr:uid="{8DA928F7-CC3F-4862-BCC3-EA3AA22BC58E}"/>
    <cellStyle name="40% - Accent5 2 2 8 3" xfId="21476" xr:uid="{AA275D9D-025F-4481-95AD-1D6402D5D6BD}"/>
    <cellStyle name="40% - Accent5 2 2 8 4" xfId="29916" xr:uid="{1B8524B2-3C49-400A-9A28-DA92492467E3}"/>
    <cellStyle name="40% - Accent5 2 2 9" xfId="8818" xr:uid="{37EACEFE-79B8-4352-BF3A-C9596514DED1}"/>
    <cellStyle name="40% - Accent5 2 3" xfId="85" xr:uid="{00000000-0005-0000-0000-00006B060000}"/>
    <cellStyle name="40% - Accent5 2 3 10" xfId="25701" xr:uid="{62B168BF-EACB-483F-A447-6D360F338860}"/>
    <cellStyle name="40% - Accent5 2 3 2" xfId="654" xr:uid="{00000000-0005-0000-0000-00006C060000}"/>
    <cellStyle name="40% - Accent5 2 3 2 2" xfId="2925" xr:uid="{00000000-0005-0000-0000-00006D060000}"/>
    <cellStyle name="40% - Accent5 2 3 2 2 2" xfId="7147" xr:uid="{00000000-0005-0000-0000-00006E060000}"/>
    <cellStyle name="40% - Accent5 2 3 2 2 2 2" xfId="15597" xr:uid="{4ECCBCD5-74B6-4C0B-99B6-7AB950DCB1BE}"/>
    <cellStyle name="40% - Accent5 2 3 2 2 2 3" xfId="24037" xr:uid="{B74804D9-CF35-48BD-B82B-774BB632875C}"/>
    <cellStyle name="40% - Accent5 2 3 2 2 2 4" xfId="32477" xr:uid="{CB832E97-044E-4392-99F0-D53D4FCF4BD6}"/>
    <cellStyle name="40% - Accent5 2 3 2 2 3" xfId="11379" xr:uid="{27CB760E-D84C-49E3-AFE1-FF3086E40746}"/>
    <cellStyle name="40% - Accent5 2 3 2 2 4" xfId="19820" xr:uid="{501A4078-77E6-4A52-B748-2A38A0210E09}"/>
    <cellStyle name="40% - Accent5 2 3 2 2 5" xfId="28260" xr:uid="{5A45188C-3BA4-46DE-8802-322D9A220A22}"/>
    <cellStyle name="40% - Accent5 2 3 2 3" xfId="5002" xr:uid="{00000000-0005-0000-0000-00006F060000}"/>
    <cellStyle name="40% - Accent5 2 3 2 3 2" xfId="13452" xr:uid="{3A475C89-44DD-4A22-AB34-E7F3292A6E6F}"/>
    <cellStyle name="40% - Accent5 2 3 2 3 3" xfId="21892" xr:uid="{3D39447B-D162-467F-A624-9677990A3BF1}"/>
    <cellStyle name="40% - Accent5 2 3 2 3 4" xfId="30332" xr:uid="{3C53BB6F-BC0F-43A4-9855-20C9AA6811CC}"/>
    <cellStyle name="40% - Accent5 2 3 2 4" xfId="9234" xr:uid="{4024C797-C88A-4047-AD01-6C9EA1BF3099}"/>
    <cellStyle name="40% - Accent5 2 3 2 5" xfId="17675" xr:uid="{743625BF-CE14-4FD5-8E7D-4227B56C0423}"/>
    <cellStyle name="40% - Accent5 2 3 2 6" xfId="26115" xr:uid="{63B15D5C-8B04-4928-A2B0-3AAF2B7C677B}"/>
    <cellStyle name="40% - Accent5 2 3 3" xfId="1107" xr:uid="{00000000-0005-0000-0000-000070060000}"/>
    <cellStyle name="40% - Accent5 2 3 3 2" xfId="3338" xr:uid="{00000000-0005-0000-0000-000071060000}"/>
    <cellStyle name="40% - Accent5 2 3 3 2 2" xfId="7560" xr:uid="{00000000-0005-0000-0000-000072060000}"/>
    <cellStyle name="40% - Accent5 2 3 3 2 2 2" xfId="16010" xr:uid="{DEC6D84D-8245-4E66-AA6F-CDF10DB834DA}"/>
    <cellStyle name="40% - Accent5 2 3 3 2 2 3" xfId="24450" xr:uid="{6AA7B2BC-1B8B-4D83-98BE-37FB1ACD88B6}"/>
    <cellStyle name="40% - Accent5 2 3 3 2 2 4" xfId="32890" xr:uid="{48CC10A3-D216-4EAC-9993-2F7489A5599F}"/>
    <cellStyle name="40% - Accent5 2 3 3 2 3" xfId="11792" xr:uid="{6BEF7F32-F689-44F1-8709-6A45434DD603}"/>
    <cellStyle name="40% - Accent5 2 3 3 2 4" xfId="20233" xr:uid="{AF50505D-86E9-417D-BFD9-57D5F624D169}"/>
    <cellStyle name="40% - Accent5 2 3 3 2 5" xfId="28673" xr:uid="{1914BC9A-B24E-4732-9439-AD7EEAB6ECB0}"/>
    <cellStyle name="40% - Accent5 2 3 3 3" xfId="5415" xr:uid="{00000000-0005-0000-0000-000073060000}"/>
    <cellStyle name="40% - Accent5 2 3 3 3 2" xfId="13865" xr:uid="{91D6F87F-66A8-4C48-B0FA-85290EF4794B}"/>
    <cellStyle name="40% - Accent5 2 3 3 3 3" xfId="22305" xr:uid="{0A1559C0-1A6B-419F-BC0A-49C5299A819B}"/>
    <cellStyle name="40% - Accent5 2 3 3 3 4" xfId="30745" xr:uid="{17DAFE88-2EE1-410A-A3CE-19C2F67AA1FC}"/>
    <cellStyle name="40% - Accent5 2 3 3 4" xfId="9647" xr:uid="{0E1CDC91-F3D0-4419-BB75-69E0365DB0EA}"/>
    <cellStyle name="40% - Accent5 2 3 3 5" xfId="18088" xr:uid="{1608C612-2BB3-4C6F-BBAE-16F6976C98AA}"/>
    <cellStyle name="40% - Accent5 2 3 3 6" xfId="26528" xr:uid="{0F94EF77-53AE-4069-BC44-96A8F5FF31A3}"/>
    <cellStyle name="40% - Accent5 2 3 4" xfId="1521" xr:uid="{00000000-0005-0000-0000-000074060000}"/>
    <cellStyle name="40% - Accent5 2 3 4 2" xfId="3751" xr:uid="{00000000-0005-0000-0000-000075060000}"/>
    <cellStyle name="40% - Accent5 2 3 4 2 2" xfId="7973" xr:uid="{00000000-0005-0000-0000-000076060000}"/>
    <cellStyle name="40% - Accent5 2 3 4 2 2 2" xfId="16423" xr:uid="{C7453946-37CE-429A-8EFF-BCDEA0B47236}"/>
    <cellStyle name="40% - Accent5 2 3 4 2 2 3" xfId="24863" xr:uid="{CF552F88-731F-4CAD-9159-1B1BCDF847AC}"/>
    <cellStyle name="40% - Accent5 2 3 4 2 2 4" xfId="33303" xr:uid="{F642C056-067F-4142-99A2-44F3B53404C1}"/>
    <cellStyle name="40% - Accent5 2 3 4 2 3" xfId="12205" xr:uid="{F6A92609-8DA1-4471-8CA8-92727A5E5678}"/>
    <cellStyle name="40% - Accent5 2 3 4 2 4" xfId="20646" xr:uid="{8633F2C2-DB7F-48C3-8B39-FCADE58CB220}"/>
    <cellStyle name="40% - Accent5 2 3 4 2 5" xfId="29086" xr:uid="{A4E7476F-3C20-485D-ACBF-A18CFB48741E}"/>
    <cellStyle name="40% - Accent5 2 3 4 3" xfId="5828" xr:uid="{00000000-0005-0000-0000-000077060000}"/>
    <cellStyle name="40% - Accent5 2 3 4 3 2" xfId="14278" xr:uid="{65CDD5CB-EFE4-4C50-AC2D-57B4321EAF32}"/>
    <cellStyle name="40% - Accent5 2 3 4 3 3" xfId="22718" xr:uid="{8BA170E0-CC1B-4A2E-B784-7E768F859361}"/>
    <cellStyle name="40% - Accent5 2 3 4 3 4" xfId="31158" xr:uid="{9D881AAF-00F0-4551-9942-96FBA8577E30}"/>
    <cellStyle name="40% - Accent5 2 3 4 4" xfId="10060" xr:uid="{9225B2B1-4A83-4234-AA77-1F9A8C040A64}"/>
    <cellStyle name="40% - Accent5 2 3 4 5" xfId="18501" xr:uid="{64FDA5B0-A2DC-4182-8FBC-3E784C7DBCCF}"/>
    <cellStyle name="40% - Accent5 2 3 4 6" xfId="26941" xr:uid="{B6D95B95-21CC-46BF-A59A-BCB472ED8EBD}"/>
    <cellStyle name="40% - Accent5 2 3 5" xfId="1935" xr:uid="{00000000-0005-0000-0000-000078060000}"/>
    <cellStyle name="40% - Accent5 2 3 5 2" xfId="4164" xr:uid="{00000000-0005-0000-0000-000079060000}"/>
    <cellStyle name="40% - Accent5 2 3 5 2 2" xfId="8386" xr:uid="{00000000-0005-0000-0000-00007A060000}"/>
    <cellStyle name="40% - Accent5 2 3 5 2 2 2" xfId="16836" xr:uid="{DE43EF6E-FF45-4C36-8674-ECB572E95DAA}"/>
    <cellStyle name="40% - Accent5 2 3 5 2 2 3" xfId="25276" xr:uid="{242644F7-698A-4434-89E6-9C92F9D5BCE8}"/>
    <cellStyle name="40% - Accent5 2 3 5 2 2 4" xfId="33716" xr:uid="{196B2B95-C2DF-4CB3-A7D2-4798E934D960}"/>
    <cellStyle name="40% - Accent5 2 3 5 2 3" xfId="12618" xr:uid="{74129495-18FA-4035-81B9-79071B1B2E3D}"/>
    <cellStyle name="40% - Accent5 2 3 5 2 4" xfId="21059" xr:uid="{F147869F-9794-4D0B-9E37-760671EB64BF}"/>
    <cellStyle name="40% - Accent5 2 3 5 2 5" xfId="29499" xr:uid="{EA976C18-8C68-4235-969D-5B06B82C9B19}"/>
    <cellStyle name="40% - Accent5 2 3 5 3" xfId="6241" xr:uid="{00000000-0005-0000-0000-00007B060000}"/>
    <cellStyle name="40% - Accent5 2 3 5 3 2" xfId="14691" xr:uid="{1AC83903-9ADD-413B-A9FD-C6A4DEB1AF9D}"/>
    <cellStyle name="40% - Accent5 2 3 5 3 3" xfId="23131" xr:uid="{8DA62C69-F424-433A-822A-A4CBBB4FB5C6}"/>
    <cellStyle name="40% - Accent5 2 3 5 3 4" xfId="31571" xr:uid="{862F762E-DF44-4DF5-956C-AD98609821FC}"/>
    <cellStyle name="40% - Accent5 2 3 5 4" xfId="10473" xr:uid="{BB0DB1D9-0525-4CE0-95DE-14EB718CF04F}"/>
    <cellStyle name="40% - Accent5 2 3 5 5" xfId="18914" xr:uid="{64BD0AEA-094C-4EB1-A494-C3A66DA81BFE}"/>
    <cellStyle name="40% - Accent5 2 3 5 6" xfId="27354" xr:uid="{6BA31E86-FB2F-4A8B-A382-89AA2B552007}"/>
    <cellStyle name="40% - Accent5 2 3 6" xfId="2348" xr:uid="{00000000-0005-0000-0000-00007C060000}"/>
    <cellStyle name="40% - Accent5 2 3 6 2" xfId="6654" xr:uid="{00000000-0005-0000-0000-00007D060000}"/>
    <cellStyle name="40% - Accent5 2 3 6 2 2" xfId="15104" xr:uid="{769B11C9-C7D2-467F-9F5D-D57E626BEE83}"/>
    <cellStyle name="40% - Accent5 2 3 6 2 3" xfId="23544" xr:uid="{352B9C11-7AAC-4D76-A605-143850DFAA1D}"/>
    <cellStyle name="40% - Accent5 2 3 6 2 4" xfId="31984" xr:uid="{4A8B8D87-BAC7-4567-84FA-6196D411D45C}"/>
    <cellStyle name="40% - Accent5 2 3 6 3" xfId="10886" xr:uid="{4B393B81-A7AB-450A-88E0-B97C679895D9}"/>
    <cellStyle name="40% - Accent5 2 3 6 4" xfId="19327" xr:uid="{D00D62BE-001F-406F-8C02-48B69AFB7640}"/>
    <cellStyle name="40% - Accent5 2 3 6 5" xfId="27767" xr:uid="{4634428F-813F-447D-B907-18519C173873}"/>
    <cellStyle name="40% - Accent5 2 3 7" xfId="4588" xr:uid="{00000000-0005-0000-0000-00007E060000}"/>
    <cellStyle name="40% - Accent5 2 3 7 2" xfId="13038" xr:uid="{86F067BC-AFAC-45E2-9E65-1F3CC9BD02B5}"/>
    <cellStyle name="40% - Accent5 2 3 7 3" xfId="21478" xr:uid="{63830170-C663-41B5-86A6-E83050C55D1B}"/>
    <cellStyle name="40% - Accent5 2 3 7 4" xfId="29918" xr:uid="{6F6A41DD-426E-43CF-952E-AC551D538BD8}"/>
    <cellStyle name="40% - Accent5 2 3 8" xfId="8820" xr:uid="{9B3AC030-5B53-48B1-ADA9-A4F3A729B38E}"/>
    <cellStyle name="40% - Accent5 2 3 9" xfId="17261" xr:uid="{8F3FF4EF-5A5A-4E13-A259-D1433D98143F}"/>
    <cellStyle name="40% - Accent5 2 4" xfId="651" xr:uid="{00000000-0005-0000-0000-00007F060000}"/>
    <cellStyle name="40% - Accent5 2 4 2" xfId="2922" xr:uid="{00000000-0005-0000-0000-000080060000}"/>
    <cellStyle name="40% - Accent5 2 4 2 2" xfId="7144" xr:uid="{00000000-0005-0000-0000-000081060000}"/>
    <cellStyle name="40% - Accent5 2 4 2 2 2" xfId="15594" xr:uid="{609ECCB9-D887-43EC-842C-301880567D52}"/>
    <cellStyle name="40% - Accent5 2 4 2 2 3" xfId="24034" xr:uid="{6A590CF9-9748-4CDF-9C44-C9481EC6BF3C}"/>
    <cellStyle name="40% - Accent5 2 4 2 2 4" xfId="32474" xr:uid="{45C65FAC-B728-4AFF-8F07-35B1576498DC}"/>
    <cellStyle name="40% - Accent5 2 4 2 3" xfId="11376" xr:uid="{16148B40-D870-45A8-A94E-E5172417ABC7}"/>
    <cellStyle name="40% - Accent5 2 4 2 4" xfId="19817" xr:uid="{2C9DF96D-8795-4077-B0A0-F6AD01CF25DB}"/>
    <cellStyle name="40% - Accent5 2 4 2 5" xfId="28257" xr:uid="{3EC4D905-658F-4A20-AB76-52AC04BC6C2B}"/>
    <cellStyle name="40% - Accent5 2 4 3" xfId="4999" xr:uid="{00000000-0005-0000-0000-000082060000}"/>
    <cellStyle name="40% - Accent5 2 4 3 2" xfId="13449" xr:uid="{DDA61000-61ED-4C13-9669-7817A593A9FB}"/>
    <cellStyle name="40% - Accent5 2 4 3 3" xfId="21889" xr:uid="{318EA1F8-ACB9-406D-92B5-E38497EC4A6D}"/>
    <cellStyle name="40% - Accent5 2 4 3 4" xfId="30329" xr:uid="{A45AD04A-C306-484A-94D5-96931BE03ECB}"/>
    <cellStyle name="40% - Accent5 2 4 4" xfId="9231" xr:uid="{30FC9C0C-90A6-41A4-8B97-5EB77CCAA471}"/>
    <cellStyle name="40% - Accent5 2 4 5" xfId="17672" xr:uid="{62789F92-4836-4703-A759-B0B4BB097A5C}"/>
    <cellStyle name="40% - Accent5 2 4 6" xfId="26112" xr:uid="{6264190E-ECB4-4FA1-AEF8-C219E501A2EE}"/>
    <cellStyle name="40% - Accent5 2 5" xfId="1104" xr:uid="{00000000-0005-0000-0000-000083060000}"/>
    <cellStyle name="40% - Accent5 2 5 2" xfId="3335" xr:uid="{00000000-0005-0000-0000-000084060000}"/>
    <cellStyle name="40% - Accent5 2 5 2 2" xfId="7557" xr:uid="{00000000-0005-0000-0000-000085060000}"/>
    <cellStyle name="40% - Accent5 2 5 2 2 2" xfId="16007" xr:uid="{DC03CF56-B63C-4BAB-AA2A-AA6E31EE1517}"/>
    <cellStyle name="40% - Accent5 2 5 2 2 3" xfId="24447" xr:uid="{980D8E99-3DA3-49E9-AFB5-23D976E49090}"/>
    <cellStyle name="40% - Accent5 2 5 2 2 4" xfId="32887" xr:uid="{175DE64D-2D78-450F-A3B9-0718BC81FBBF}"/>
    <cellStyle name="40% - Accent5 2 5 2 3" xfId="11789" xr:uid="{5723DAE5-76AC-42EB-8C7C-A2700C7FDB52}"/>
    <cellStyle name="40% - Accent5 2 5 2 4" xfId="20230" xr:uid="{11E6A850-7D74-4E62-BCB4-5999DA2523F4}"/>
    <cellStyle name="40% - Accent5 2 5 2 5" xfId="28670" xr:uid="{D1983121-18F4-4B2D-A345-9C51D6853A1F}"/>
    <cellStyle name="40% - Accent5 2 5 3" xfId="5412" xr:uid="{00000000-0005-0000-0000-000086060000}"/>
    <cellStyle name="40% - Accent5 2 5 3 2" xfId="13862" xr:uid="{F0707B00-776B-441A-BEF2-0540858B1666}"/>
    <cellStyle name="40% - Accent5 2 5 3 3" xfId="22302" xr:uid="{6590D334-50BB-4765-8908-2EC7611D2A66}"/>
    <cellStyle name="40% - Accent5 2 5 3 4" xfId="30742" xr:uid="{F4CB5CD4-DD6A-405F-A19D-DAA1C8B95377}"/>
    <cellStyle name="40% - Accent5 2 5 4" xfId="9644" xr:uid="{0CD364BE-026A-440E-A0B4-D55112AA63E5}"/>
    <cellStyle name="40% - Accent5 2 5 5" xfId="18085" xr:uid="{E4B9D2F9-D9A0-4333-8083-3071F0628E9F}"/>
    <cellStyle name="40% - Accent5 2 5 6" xfId="26525" xr:uid="{A1951023-42F6-4084-AE88-5C66A44ABCB8}"/>
    <cellStyle name="40% - Accent5 2 6" xfId="1518" xr:uid="{00000000-0005-0000-0000-000087060000}"/>
    <cellStyle name="40% - Accent5 2 6 2" xfId="3748" xr:uid="{00000000-0005-0000-0000-000088060000}"/>
    <cellStyle name="40% - Accent5 2 6 2 2" xfId="7970" xr:uid="{00000000-0005-0000-0000-000089060000}"/>
    <cellStyle name="40% - Accent5 2 6 2 2 2" xfId="16420" xr:uid="{0344A820-BC85-4E43-A115-7792E264F13D}"/>
    <cellStyle name="40% - Accent5 2 6 2 2 3" xfId="24860" xr:uid="{4315B910-A352-446F-BFB9-305951DC4507}"/>
    <cellStyle name="40% - Accent5 2 6 2 2 4" xfId="33300" xr:uid="{3EABC198-913B-43AB-B86E-26AC22215812}"/>
    <cellStyle name="40% - Accent5 2 6 2 3" xfId="12202" xr:uid="{D616976C-F9AE-4B75-B4E4-C50EEE5605A9}"/>
    <cellStyle name="40% - Accent5 2 6 2 4" xfId="20643" xr:uid="{D9159B1C-1131-451F-A23B-D1716CF827AB}"/>
    <cellStyle name="40% - Accent5 2 6 2 5" xfId="29083" xr:uid="{9D5F5910-FE0F-499E-80EF-47F76CD40665}"/>
    <cellStyle name="40% - Accent5 2 6 3" xfId="5825" xr:uid="{00000000-0005-0000-0000-00008A060000}"/>
    <cellStyle name="40% - Accent5 2 6 3 2" xfId="14275" xr:uid="{23E509ED-FC9C-48D9-9F6A-6EE8A4A67B29}"/>
    <cellStyle name="40% - Accent5 2 6 3 3" xfId="22715" xr:uid="{BFDC68AC-A9DB-403E-9B17-3C88D79E7872}"/>
    <cellStyle name="40% - Accent5 2 6 3 4" xfId="31155" xr:uid="{C6508F9A-D2F6-47F8-BCCE-3C34455B666F}"/>
    <cellStyle name="40% - Accent5 2 6 4" xfId="10057" xr:uid="{F0AA3FE7-22B4-47EF-9EB6-81B7C8FE2672}"/>
    <cellStyle name="40% - Accent5 2 6 5" xfId="18498" xr:uid="{FA15EA24-8153-4292-9A66-F6D453DF8E33}"/>
    <cellStyle name="40% - Accent5 2 6 6" xfId="26938" xr:uid="{4CA5D540-B242-471C-A153-22DE4EB8A60D}"/>
    <cellStyle name="40% - Accent5 2 7" xfId="1932" xr:uid="{00000000-0005-0000-0000-00008B060000}"/>
    <cellStyle name="40% - Accent5 2 7 2" xfId="4161" xr:uid="{00000000-0005-0000-0000-00008C060000}"/>
    <cellStyle name="40% - Accent5 2 7 2 2" xfId="8383" xr:uid="{00000000-0005-0000-0000-00008D060000}"/>
    <cellStyle name="40% - Accent5 2 7 2 2 2" xfId="16833" xr:uid="{9F6F216B-8DDC-4F06-AC62-D0EEA1225B44}"/>
    <cellStyle name="40% - Accent5 2 7 2 2 3" xfId="25273" xr:uid="{A9F54662-3476-435A-9B45-94128AF9BDF2}"/>
    <cellStyle name="40% - Accent5 2 7 2 2 4" xfId="33713" xr:uid="{424B45EE-79BD-411A-997F-545DD6AC52D0}"/>
    <cellStyle name="40% - Accent5 2 7 2 3" xfId="12615" xr:uid="{6A0B6025-8132-49F6-AF6D-58CA1E911D6A}"/>
    <cellStyle name="40% - Accent5 2 7 2 4" xfId="21056" xr:uid="{8C96AFE9-8643-4E66-9D89-080B8ECB5DB1}"/>
    <cellStyle name="40% - Accent5 2 7 2 5" xfId="29496" xr:uid="{C2EB3EF5-059D-459A-B1AD-1352880FAF31}"/>
    <cellStyle name="40% - Accent5 2 7 3" xfId="6238" xr:uid="{00000000-0005-0000-0000-00008E060000}"/>
    <cellStyle name="40% - Accent5 2 7 3 2" xfId="14688" xr:uid="{F33782AB-9267-41E9-9B56-D234C7A0BAFC}"/>
    <cellStyle name="40% - Accent5 2 7 3 3" xfId="23128" xr:uid="{44B9CC6C-6268-4912-A03C-63F6C57BBD7F}"/>
    <cellStyle name="40% - Accent5 2 7 3 4" xfId="31568" xr:uid="{DA874F4D-0C87-420E-8049-FB24034A448D}"/>
    <cellStyle name="40% - Accent5 2 7 4" xfId="10470" xr:uid="{44C5149E-D4CC-49C9-9AEE-8A89601E65F9}"/>
    <cellStyle name="40% - Accent5 2 7 5" xfId="18911" xr:uid="{E51CE7DA-76FE-4146-BB54-97A3CA25FC2A}"/>
    <cellStyle name="40% - Accent5 2 7 6" xfId="27351" xr:uid="{DF047AED-F987-4E42-96BB-645C4E802601}"/>
    <cellStyle name="40% - Accent5 2 8" xfId="2345" xr:uid="{00000000-0005-0000-0000-00008F060000}"/>
    <cellStyle name="40% - Accent5 2 8 2" xfId="6651" xr:uid="{00000000-0005-0000-0000-000090060000}"/>
    <cellStyle name="40% - Accent5 2 8 2 2" xfId="15101" xr:uid="{DCD64951-2BA6-4A3C-AE28-F17A36CAD942}"/>
    <cellStyle name="40% - Accent5 2 8 2 3" xfId="23541" xr:uid="{DCFDE55A-48FB-496A-9462-2BEB46D77FBE}"/>
    <cellStyle name="40% - Accent5 2 8 2 4" xfId="31981" xr:uid="{8C9ACC2D-B68A-4280-BC48-B6EDB8AB6004}"/>
    <cellStyle name="40% - Accent5 2 8 3" xfId="10883" xr:uid="{D8B5AF62-C14C-433B-943F-954722B66ADF}"/>
    <cellStyle name="40% - Accent5 2 8 4" xfId="19324" xr:uid="{84B0CC43-EDFD-431E-A56E-F7DEC8B0F03B}"/>
    <cellStyle name="40% - Accent5 2 8 5" xfId="27764" xr:uid="{06F3014E-C8CE-4D94-A889-C5EB3CB02643}"/>
    <cellStyle name="40% - Accent5 2 9" xfId="4585" xr:uid="{00000000-0005-0000-0000-000091060000}"/>
    <cellStyle name="40% - Accent5 2 9 2" xfId="13035" xr:uid="{F58DF60B-D69F-4F46-90DB-2F0D9583DFA8}"/>
    <cellStyle name="40% - Accent5 2 9 3" xfId="21475" xr:uid="{43D62F6E-B8B5-463A-817A-6A3C5DB42917}"/>
    <cellStyle name="40% - Accent5 2 9 4" xfId="29915" xr:uid="{447BA649-3E5E-4563-B6DA-BC6C8D5F86D8}"/>
    <cellStyle name="40% - Accent5 3" xfId="86" xr:uid="{00000000-0005-0000-0000-000092060000}"/>
    <cellStyle name="40% - Accent5 3 10" xfId="17262" xr:uid="{60E2F240-4F7C-4E57-A91A-C661D458AD21}"/>
    <cellStyle name="40% - Accent5 3 11" xfId="25702" xr:uid="{3CD204BA-C129-4799-A499-1B407D95F07D}"/>
    <cellStyle name="40% - Accent5 3 2" xfId="87" xr:uid="{00000000-0005-0000-0000-000093060000}"/>
    <cellStyle name="40% - Accent5 3 2 10" xfId="25703" xr:uid="{8991CD48-D1AA-4EFA-A24B-651911B3F44F}"/>
    <cellStyle name="40% - Accent5 3 2 2" xfId="656" xr:uid="{00000000-0005-0000-0000-000094060000}"/>
    <cellStyle name="40% - Accent5 3 2 2 2" xfId="2927" xr:uid="{00000000-0005-0000-0000-000095060000}"/>
    <cellStyle name="40% - Accent5 3 2 2 2 2" xfId="7149" xr:uid="{00000000-0005-0000-0000-000096060000}"/>
    <cellStyle name="40% - Accent5 3 2 2 2 2 2" xfId="15599" xr:uid="{201A3ACD-B5BE-42B8-BFDF-04D3F6912F59}"/>
    <cellStyle name="40% - Accent5 3 2 2 2 2 3" xfId="24039" xr:uid="{6066B183-0990-4D51-B61F-40600B3DA20F}"/>
    <cellStyle name="40% - Accent5 3 2 2 2 2 4" xfId="32479" xr:uid="{7AD0B68D-57AA-4269-A4E6-29D1AE0AAEC3}"/>
    <cellStyle name="40% - Accent5 3 2 2 2 3" xfId="11381" xr:uid="{8F36CA6A-DD23-4645-B7F0-EA9403506F8B}"/>
    <cellStyle name="40% - Accent5 3 2 2 2 4" xfId="19822" xr:uid="{99D4AFBD-B9D9-4FDA-AD9E-A96602A73EE4}"/>
    <cellStyle name="40% - Accent5 3 2 2 2 5" xfId="28262" xr:uid="{0470774A-8E8D-4B61-82C2-C354EBFD926B}"/>
    <cellStyle name="40% - Accent5 3 2 2 3" xfId="5004" xr:uid="{00000000-0005-0000-0000-000097060000}"/>
    <cellStyle name="40% - Accent5 3 2 2 3 2" xfId="13454" xr:uid="{B7920179-8735-469B-B393-82B7D44093DC}"/>
    <cellStyle name="40% - Accent5 3 2 2 3 3" xfId="21894" xr:uid="{0966615E-B6A4-4742-8B2F-8A8464B0C87F}"/>
    <cellStyle name="40% - Accent5 3 2 2 3 4" xfId="30334" xr:uid="{6BE43EC8-7873-4894-868E-F3AC2FDF25F3}"/>
    <cellStyle name="40% - Accent5 3 2 2 4" xfId="9236" xr:uid="{CA7F15C1-7F1C-4C98-93E9-BE206076A27F}"/>
    <cellStyle name="40% - Accent5 3 2 2 5" xfId="17677" xr:uid="{4D1541E9-FC7C-49E2-9293-F86C11BB5BE6}"/>
    <cellStyle name="40% - Accent5 3 2 2 6" xfId="26117" xr:uid="{6EC1583C-6ABF-41A2-8321-C85CB226207F}"/>
    <cellStyle name="40% - Accent5 3 2 3" xfId="1109" xr:uid="{00000000-0005-0000-0000-000098060000}"/>
    <cellStyle name="40% - Accent5 3 2 3 2" xfId="3340" xr:uid="{00000000-0005-0000-0000-000099060000}"/>
    <cellStyle name="40% - Accent5 3 2 3 2 2" xfId="7562" xr:uid="{00000000-0005-0000-0000-00009A060000}"/>
    <cellStyle name="40% - Accent5 3 2 3 2 2 2" xfId="16012" xr:uid="{0BFCE1AF-0672-4005-BC3F-DD3A4BB2A4A7}"/>
    <cellStyle name="40% - Accent5 3 2 3 2 2 3" xfId="24452" xr:uid="{F84D62D4-DEEF-484C-8B56-3DB7DC7B109C}"/>
    <cellStyle name="40% - Accent5 3 2 3 2 2 4" xfId="32892" xr:uid="{9B5892F1-1287-4159-8931-F7EFFCE1626A}"/>
    <cellStyle name="40% - Accent5 3 2 3 2 3" xfId="11794" xr:uid="{EEFAEFE0-E6EC-440E-ACF3-47B03621D5FA}"/>
    <cellStyle name="40% - Accent5 3 2 3 2 4" xfId="20235" xr:uid="{73412015-4233-4653-9FF0-2A93003FEBC8}"/>
    <cellStyle name="40% - Accent5 3 2 3 2 5" xfId="28675" xr:uid="{2AE9620F-0E24-4FAA-8AFE-7DDBA90106DB}"/>
    <cellStyle name="40% - Accent5 3 2 3 3" xfId="5417" xr:uid="{00000000-0005-0000-0000-00009B060000}"/>
    <cellStyle name="40% - Accent5 3 2 3 3 2" xfId="13867" xr:uid="{72EA4CE1-77BF-4032-8CBC-52400FE5E8A7}"/>
    <cellStyle name="40% - Accent5 3 2 3 3 3" xfId="22307" xr:uid="{08BA7EDC-BD77-43A3-9956-DDE8DA34E9DE}"/>
    <cellStyle name="40% - Accent5 3 2 3 3 4" xfId="30747" xr:uid="{D0A1559B-BD6C-48B5-8AC7-1961A87D6971}"/>
    <cellStyle name="40% - Accent5 3 2 3 4" xfId="9649" xr:uid="{3E69DF88-BCAC-4F26-B4FF-A744F87A84C5}"/>
    <cellStyle name="40% - Accent5 3 2 3 5" xfId="18090" xr:uid="{B26F92A8-6FF2-444D-A533-A2DE5B289F99}"/>
    <cellStyle name="40% - Accent5 3 2 3 6" xfId="26530" xr:uid="{B10DB8E7-CA9B-4501-AC3F-F47FE0E16334}"/>
    <cellStyle name="40% - Accent5 3 2 4" xfId="1523" xr:uid="{00000000-0005-0000-0000-00009C060000}"/>
    <cellStyle name="40% - Accent5 3 2 4 2" xfId="3753" xr:uid="{00000000-0005-0000-0000-00009D060000}"/>
    <cellStyle name="40% - Accent5 3 2 4 2 2" xfId="7975" xr:uid="{00000000-0005-0000-0000-00009E060000}"/>
    <cellStyle name="40% - Accent5 3 2 4 2 2 2" xfId="16425" xr:uid="{8C56CA9F-640B-4B6C-8A11-4F1B4DD0FC34}"/>
    <cellStyle name="40% - Accent5 3 2 4 2 2 3" xfId="24865" xr:uid="{EBFF0239-1749-4711-9B66-2BF90422005A}"/>
    <cellStyle name="40% - Accent5 3 2 4 2 2 4" xfId="33305" xr:uid="{4613BC7F-0410-486B-984B-2E83E7CFA557}"/>
    <cellStyle name="40% - Accent5 3 2 4 2 3" xfId="12207" xr:uid="{F4F1465B-A70A-4A01-AE01-9133F42DBE5B}"/>
    <cellStyle name="40% - Accent5 3 2 4 2 4" xfId="20648" xr:uid="{8E953B73-54BC-4045-8784-ADB876147D10}"/>
    <cellStyle name="40% - Accent5 3 2 4 2 5" xfId="29088" xr:uid="{F81C5CA5-63AC-4D8E-8B61-D2177E5ADA4F}"/>
    <cellStyle name="40% - Accent5 3 2 4 3" xfId="5830" xr:uid="{00000000-0005-0000-0000-00009F060000}"/>
    <cellStyle name="40% - Accent5 3 2 4 3 2" xfId="14280" xr:uid="{4EED70B4-F619-4B1E-B734-651FED5EA0F7}"/>
    <cellStyle name="40% - Accent5 3 2 4 3 3" xfId="22720" xr:uid="{A54BCC5E-554B-4134-9410-7F22948B2F90}"/>
    <cellStyle name="40% - Accent5 3 2 4 3 4" xfId="31160" xr:uid="{8792CA90-87D6-46BC-8427-FF9856E90329}"/>
    <cellStyle name="40% - Accent5 3 2 4 4" xfId="10062" xr:uid="{45B11F8F-C9A3-4D21-9038-A8F3A384DAA8}"/>
    <cellStyle name="40% - Accent5 3 2 4 5" xfId="18503" xr:uid="{3A02DB09-65B1-4195-A19E-3673AC550A66}"/>
    <cellStyle name="40% - Accent5 3 2 4 6" xfId="26943" xr:uid="{7252045F-FE00-4FA9-A4C9-C6813EF12F53}"/>
    <cellStyle name="40% - Accent5 3 2 5" xfId="1937" xr:uid="{00000000-0005-0000-0000-0000A0060000}"/>
    <cellStyle name="40% - Accent5 3 2 5 2" xfId="4166" xr:uid="{00000000-0005-0000-0000-0000A1060000}"/>
    <cellStyle name="40% - Accent5 3 2 5 2 2" xfId="8388" xr:uid="{00000000-0005-0000-0000-0000A2060000}"/>
    <cellStyle name="40% - Accent5 3 2 5 2 2 2" xfId="16838" xr:uid="{298FC2DF-9A5F-4BFA-AB66-57CFBD584930}"/>
    <cellStyle name="40% - Accent5 3 2 5 2 2 3" xfId="25278" xr:uid="{D7B97D94-B0C9-4182-8280-3C9A440695D5}"/>
    <cellStyle name="40% - Accent5 3 2 5 2 2 4" xfId="33718" xr:uid="{99897A41-2CF7-4DB0-ADF4-D4E75D37289D}"/>
    <cellStyle name="40% - Accent5 3 2 5 2 3" xfId="12620" xr:uid="{E8E11B70-C10E-4835-8BE6-197F51399D67}"/>
    <cellStyle name="40% - Accent5 3 2 5 2 4" xfId="21061" xr:uid="{0642ACA5-0E04-494C-AA40-CA66DD42491A}"/>
    <cellStyle name="40% - Accent5 3 2 5 2 5" xfId="29501" xr:uid="{99740CDF-23F3-408F-ADAD-B54FCF2E48D0}"/>
    <cellStyle name="40% - Accent5 3 2 5 3" xfId="6243" xr:uid="{00000000-0005-0000-0000-0000A3060000}"/>
    <cellStyle name="40% - Accent5 3 2 5 3 2" xfId="14693" xr:uid="{A94BE652-A6C9-4D82-AE3D-2A5BCF0F0911}"/>
    <cellStyle name="40% - Accent5 3 2 5 3 3" xfId="23133" xr:uid="{3ED9CA73-F772-40A1-B07B-E9331002F1D0}"/>
    <cellStyle name="40% - Accent5 3 2 5 3 4" xfId="31573" xr:uid="{D2E96D99-8C75-493B-9572-6A35E690F71D}"/>
    <cellStyle name="40% - Accent5 3 2 5 4" xfId="10475" xr:uid="{296BC5E9-2F32-4DA1-B2E4-86AC306F0202}"/>
    <cellStyle name="40% - Accent5 3 2 5 5" xfId="18916" xr:uid="{C2870C4D-C875-4C7D-8F16-7CA069149DAE}"/>
    <cellStyle name="40% - Accent5 3 2 5 6" xfId="27356" xr:uid="{0FC49BAF-6CC1-4EE4-A3ED-45737E7F49EA}"/>
    <cellStyle name="40% - Accent5 3 2 6" xfId="2350" xr:uid="{00000000-0005-0000-0000-0000A4060000}"/>
    <cellStyle name="40% - Accent5 3 2 6 2" xfId="6656" xr:uid="{00000000-0005-0000-0000-0000A5060000}"/>
    <cellStyle name="40% - Accent5 3 2 6 2 2" xfId="15106" xr:uid="{F09F566A-3B93-4C39-A6E2-F98C6BAB7F58}"/>
    <cellStyle name="40% - Accent5 3 2 6 2 3" xfId="23546" xr:uid="{FDB54D01-B781-406F-B455-97DA4D42C8E1}"/>
    <cellStyle name="40% - Accent5 3 2 6 2 4" xfId="31986" xr:uid="{AC3E4B8A-EA63-4FE0-8771-59476E6C8DB1}"/>
    <cellStyle name="40% - Accent5 3 2 6 3" xfId="10888" xr:uid="{B029F68E-4F00-4F99-87F4-DA45A0B84DC4}"/>
    <cellStyle name="40% - Accent5 3 2 6 4" xfId="19329" xr:uid="{EEF61DFD-3056-4B26-85A8-29B356174999}"/>
    <cellStyle name="40% - Accent5 3 2 6 5" xfId="27769" xr:uid="{CF5C5077-A708-4208-9EB7-43225824CD6C}"/>
    <cellStyle name="40% - Accent5 3 2 7" xfId="4590" xr:uid="{00000000-0005-0000-0000-0000A6060000}"/>
    <cellStyle name="40% - Accent5 3 2 7 2" xfId="13040" xr:uid="{D3502398-D858-41F5-A5DE-21855E2445D7}"/>
    <cellStyle name="40% - Accent5 3 2 7 3" xfId="21480" xr:uid="{9383C3E2-411B-4D8C-B8FB-5825BB57E104}"/>
    <cellStyle name="40% - Accent5 3 2 7 4" xfId="29920" xr:uid="{50B51FE3-3B8A-41BF-B285-DBFF38188465}"/>
    <cellStyle name="40% - Accent5 3 2 8" xfId="8822" xr:uid="{AD507096-E0CB-41DD-A3A9-261C73FA2FDF}"/>
    <cellStyle name="40% - Accent5 3 2 9" xfId="17263" xr:uid="{208E8606-70B5-484C-8540-8E5A9E3767FA}"/>
    <cellStyle name="40% - Accent5 3 3" xfId="655" xr:uid="{00000000-0005-0000-0000-0000A7060000}"/>
    <cellStyle name="40% - Accent5 3 3 2" xfId="2926" xr:uid="{00000000-0005-0000-0000-0000A8060000}"/>
    <cellStyle name="40% - Accent5 3 3 2 2" xfId="7148" xr:uid="{00000000-0005-0000-0000-0000A9060000}"/>
    <cellStyle name="40% - Accent5 3 3 2 2 2" xfId="15598" xr:uid="{B391CE27-47E8-4BEC-B837-CCE8384EC3ED}"/>
    <cellStyle name="40% - Accent5 3 3 2 2 3" xfId="24038" xr:uid="{9ABCF14F-0A59-490F-ABF5-9D5CF78F3898}"/>
    <cellStyle name="40% - Accent5 3 3 2 2 4" xfId="32478" xr:uid="{5FB08374-C853-4188-BB0B-1D690C74088A}"/>
    <cellStyle name="40% - Accent5 3 3 2 3" xfId="11380" xr:uid="{8AEEA4A8-FEEE-4696-B2B0-E75FF807DFB9}"/>
    <cellStyle name="40% - Accent5 3 3 2 4" xfId="19821" xr:uid="{2A34935D-1307-47FE-A1E9-BFDE3563385C}"/>
    <cellStyle name="40% - Accent5 3 3 2 5" xfId="28261" xr:uid="{E5B979C5-30EC-4AFF-8696-68FF3E4BEDC4}"/>
    <cellStyle name="40% - Accent5 3 3 3" xfId="5003" xr:uid="{00000000-0005-0000-0000-0000AA060000}"/>
    <cellStyle name="40% - Accent5 3 3 3 2" xfId="13453" xr:uid="{0FFD29A3-EBC8-49B9-9E3F-FE3906F5EBE2}"/>
    <cellStyle name="40% - Accent5 3 3 3 3" xfId="21893" xr:uid="{F1565B33-29E3-4A1A-B912-EFDFDFB8CC90}"/>
    <cellStyle name="40% - Accent5 3 3 3 4" xfId="30333" xr:uid="{8069B6AB-4CA2-4A20-858B-7BBC87FD6B4D}"/>
    <cellStyle name="40% - Accent5 3 3 4" xfId="9235" xr:uid="{F780C11A-6AE5-42FF-A39E-B0836E78C410}"/>
    <cellStyle name="40% - Accent5 3 3 5" xfId="17676" xr:uid="{A43EC3B3-9EAC-4920-95BA-7A36900B6CA3}"/>
    <cellStyle name="40% - Accent5 3 3 6" xfId="26116" xr:uid="{FB1C0A4E-8316-4102-81A5-7EFBD961AD36}"/>
    <cellStyle name="40% - Accent5 3 4" xfId="1108" xr:uid="{00000000-0005-0000-0000-0000AB060000}"/>
    <cellStyle name="40% - Accent5 3 4 2" xfId="3339" xr:uid="{00000000-0005-0000-0000-0000AC060000}"/>
    <cellStyle name="40% - Accent5 3 4 2 2" xfId="7561" xr:uid="{00000000-0005-0000-0000-0000AD060000}"/>
    <cellStyle name="40% - Accent5 3 4 2 2 2" xfId="16011" xr:uid="{760D4763-A427-466E-99B0-1ED06AA23BC1}"/>
    <cellStyle name="40% - Accent5 3 4 2 2 3" xfId="24451" xr:uid="{4BC46DDE-8345-452E-B860-1C278DF03F99}"/>
    <cellStyle name="40% - Accent5 3 4 2 2 4" xfId="32891" xr:uid="{E9284750-DB93-4FEE-9469-6126B891BCD5}"/>
    <cellStyle name="40% - Accent5 3 4 2 3" xfId="11793" xr:uid="{327D94C5-FD6B-4D03-A1B0-38AF67CD6171}"/>
    <cellStyle name="40% - Accent5 3 4 2 4" xfId="20234" xr:uid="{1CD43665-B33E-4DDA-B154-002603FF6DBE}"/>
    <cellStyle name="40% - Accent5 3 4 2 5" xfId="28674" xr:uid="{80D0AC4E-0376-4562-B38D-7158917C1191}"/>
    <cellStyle name="40% - Accent5 3 4 3" xfId="5416" xr:uid="{00000000-0005-0000-0000-0000AE060000}"/>
    <cellStyle name="40% - Accent5 3 4 3 2" xfId="13866" xr:uid="{D78D428D-8EBD-4D27-83EF-7F685115D88F}"/>
    <cellStyle name="40% - Accent5 3 4 3 3" xfId="22306" xr:uid="{53AC4139-8713-4D5F-8D88-B495EC295594}"/>
    <cellStyle name="40% - Accent5 3 4 3 4" xfId="30746" xr:uid="{D448579B-2E1D-4D88-8135-FF31C7B141B7}"/>
    <cellStyle name="40% - Accent5 3 4 4" xfId="9648" xr:uid="{0E24F35B-BB0A-4811-B1D7-8B470834C979}"/>
    <cellStyle name="40% - Accent5 3 4 5" xfId="18089" xr:uid="{1DC7F26F-DFA9-435D-9A68-C9E62B72AFFB}"/>
    <cellStyle name="40% - Accent5 3 4 6" xfId="26529" xr:uid="{06979034-C299-4077-8052-DE7CB37BB889}"/>
    <cellStyle name="40% - Accent5 3 5" xfId="1522" xr:uid="{00000000-0005-0000-0000-0000AF060000}"/>
    <cellStyle name="40% - Accent5 3 5 2" xfId="3752" xr:uid="{00000000-0005-0000-0000-0000B0060000}"/>
    <cellStyle name="40% - Accent5 3 5 2 2" xfId="7974" xr:uid="{00000000-0005-0000-0000-0000B1060000}"/>
    <cellStyle name="40% - Accent5 3 5 2 2 2" xfId="16424" xr:uid="{355812D2-69B4-4454-A8C8-220762431EC1}"/>
    <cellStyle name="40% - Accent5 3 5 2 2 3" xfId="24864" xr:uid="{63ACF564-B8E7-426E-A91E-A89F577B918E}"/>
    <cellStyle name="40% - Accent5 3 5 2 2 4" xfId="33304" xr:uid="{98EBFB2E-E87F-46BE-84D1-35D97BD3C2DB}"/>
    <cellStyle name="40% - Accent5 3 5 2 3" xfId="12206" xr:uid="{3930F066-128E-4181-BE94-0EF0D2AD8AB0}"/>
    <cellStyle name="40% - Accent5 3 5 2 4" xfId="20647" xr:uid="{38062975-4C97-495C-A0B3-52EFDBF6F83D}"/>
    <cellStyle name="40% - Accent5 3 5 2 5" xfId="29087" xr:uid="{B199492E-58B3-478F-AE5A-107ED4057F43}"/>
    <cellStyle name="40% - Accent5 3 5 3" xfId="5829" xr:uid="{00000000-0005-0000-0000-0000B2060000}"/>
    <cellStyle name="40% - Accent5 3 5 3 2" xfId="14279" xr:uid="{ABA4B6F0-0E0E-41F0-865F-E34FC99E84F5}"/>
    <cellStyle name="40% - Accent5 3 5 3 3" xfId="22719" xr:uid="{41FD6F56-8DC9-42E3-BE6D-D0B68F5AA626}"/>
    <cellStyle name="40% - Accent5 3 5 3 4" xfId="31159" xr:uid="{1705C183-0E24-454F-8EBC-2398FEAFF23C}"/>
    <cellStyle name="40% - Accent5 3 5 4" xfId="10061" xr:uid="{20055905-32BF-47C3-A5A9-8C6D658C13BC}"/>
    <cellStyle name="40% - Accent5 3 5 5" xfId="18502" xr:uid="{7F7EFC71-B10D-4AAB-92B2-0B34FFC4F5E7}"/>
    <cellStyle name="40% - Accent5 3 5 6" xfId="26942" xr:uid="{486B680B-7EA4-4C84-AAEC-3172C3D46FB5}"/>
    <cellStyle name="40% - Accent5 3 6" xfId="1936" xr:uid="{00000000-0005-0000-0000-0000B3060000}"/>
    <cellStyle name="40% - Accent5 3 6 2" xfId="4165" xr:uid="{00000000-0005-0000-0000-0000B4060000}"/>
    <cellStyle name="40% - Accent5 3 6 2 2" xfId="8387" xr:uid="{00000000-0005-0000-0000-0000B5060000}"/>
    <cellStyle name="40% - Accent5 3 6 2 2 2" xfId="16837" xr:uid="{A0857AE0-863B-4D5D-BA1B-0A44D9432B1B}"/>
    <cellStyle name="40% - Accent5 3 6 2 2 3" xfId="25277" xr:uid="{3CE7BEEC-9DAA-484D-BAFF-4FA16353857A}"/>
    <cellStyle name="40% - Accent5 3 6 2 2 4" xfId="33717" xr:uid="{041C723E-4251-4C0C-8EAD-C37C2902EE1E}"/>
    <cellStyle name="40% - Accent5 3 6 2 3" xfId="12619" xr:uid="{A3DBB3A6-5955-436B-84F3-D606BDB43820}"/>
    <cellStyle name="40% - Accent5 3 6 2 4" xfId="21060" xr:uid="{50CD27C7-A775-414E-B05A-75F64CC6F441}"/>
    <cellStyle name="40% - Accent5 3 6 2 5" xfId="29500" xr:uid="{A4B04244-AD76-4635-BDDF-952D3980506D}"/>
    <cellStyle name="40% - Accent5 3 6 3" xfId="6242" xr:uid="{00000000-0005-0000-0000-0000B6060000}"/>
    <cellStyle name="40% - Accent5 3 6 3 2" xfId="14692" xr:uid="{5930F72B-E6F2-4367-9551-0B1F91ED8397}"/>
    <cellStyle name="40% - Accent5 3 6 3 3" xfId="23132" xr:uid="{F98BD640-E1D7-4041-9A56-3060E236FE3D}"/>
    <cellStyle name="40% - Accent5 3 6 3 4" xfId="31572" xr:uid="{86F29B47-D75E-4984-B4A2-6D4E00244ADE}"/>
    <cellStyle name="40% - Accent5 3 6 4" xfId="10474" xr:uid="{1B31D5DB-75E1-43F0-94E7-893C11E7F41E}"/>
    <cellStyle name="40% - Accent5 3 6 5" xfId="18915" xr:uid="{CAA6F62D-C376-45D3-A478-107AFDE61E3C}"/>
    <cellStyle name="40% - Accent5 3 6 6" xfId="27355" xr:uid="{39738674-6065-4D64-9EE1-E41C2999A8F2}"/>
    <cellStyle name="40% - Accent5 3 7" xfId="2349" xr:uid="{00000000-0005-0000-0000-0000B7060000}"/>
    <cellStyle name="40% - Accent5 3 7 2" xfId="6655" xr:uid="{00000000-0005-0000-0000-0000B8060000}"/>
    <cellStyle name="40% - Accent5 3 7 2 2" xfId="15105" xr:uid="{26AAE2A2-ACBF-46EF-90A4-7876C4E21DAD}"/>
    <cellStyle name="40% - Accent5 3 7 2 3" xfId="23545" xr:uid="{DD3029AA-5C8D-42E3-BCF2-E1CE052C7074}"/>
    <cellStyle name="40% - Accent5 3 7 2 4" xfId="31985" xr:uid="{246DA4C4-FA6F-4DC1-B253-2AF27AE9BAF8}"/>
    <cellStyle name="40% - Accent5 3 7 3" xfId="10887" xr:uid="{5E87835F-FA58-4E78-B4A8-9172F5C5580E}"/>
    <cellStyle name="40% - Accent5 3 7 4" xfId="19328" xr:uid="{65CC9367-73DF-4A32-83F0-3A3F5F32A4ED}"/>
    <cellStyle name="40% - Accent5 3 7 5" xfId="27768" xr:uid="{4ECBA4D6-57CA-4311-A2C5-EF0F670C2400}"/>
    <cellStyle name="40% - Accent5 3 8" xfId="4589" xr:uid="{00000000-0005-0000-0000-0000B9060000}"/>
    <cellStyle name="40% - Accent5 3 8 2" xfId="13039" xr:uid="{7E892548-01F6-4F49-BEEB-354E8CCAB513}"/>
    <cellStyle name="40% - Accent5 3 8 3" xfId="21479" xr:uid="{104C699E-67BB-4426-AA50-301581201C65}"/>
    <cellStyle name="40% - Accent5 3 8 4" xfId="29919" xr:uid="{2DADB5EB-B22F-46C4-B2A7-F5AE22877416}"/>
    <cellStyle name="40% - Accent5 3 9" xfId="8821" xr:uid="{D800E6B8-C911-43CD-8416-848DC7866D06}"/>
    <cellStyle name="40% - Accent5 4" xfId="88" xr:uid="{00000000-0005-0000-0000-0000BA060000}"/>
    <cellStyle name="40% - Accent5 4 10" xfId="25704" xr:uid="{BEEC0E5D-6031-43E4-943F-D20414420DB4}"/>
    <cellStyle name="40% - Accent5 4 2" xfId="657" xr:uid="{00000000-0005-0000-0000-0000BB060000}"/>
    <cellStyle name="40% - Accent5 4 2 2" xfId="2928" xr:uid="{00000000-0005-0000-0000-0000BC060000}"/>
    <cellStyle name="40% - Accent5 4 2 2 2" xfId="7150" xr:uid="{00000000-0005-0000-0000-0000BD060000}"/>
    <cellStyle name="40% - Accent5 4 2 2 2 2" xfId="15600" xr:uid="{991B896B-0C2D-4D38-8F14-28AD7B549FB6}"/>
    <cellStyle name="40% - Accent5 4 2 2 2 3" xfId="24040" xr:uid="{10C55AAC-B4CA-43F6-8FC9-B3506805C79F}"/>
    <cellStyle name="40% - Accent5 4 2 2 2 4" xfId="32480" xr:uid="{EDBF39FE-F0CA-49B4-B394-5B960212235B}"/>
    <cellStyle name="40% - Accent5 4 2 2 3" xfId="11382" xr:uid="{F66557AF-7976-4EDA-9244-84408450D1DF}"/>
    <cellStyle name="40% - Accent5 4 2 2 4" xfId="19823" xr:uid="{D5DA1FDA-AC08-4968-BAD8-1AAA3522A5F8}"/>
    <cellStyle name="40% - Accent5 4 2 2 5" xfId="28263" xr:uid="{F5247C70-807C-415B-942D-61A2A40E6ADA}"/>
    <cellStyle name="40% - Accent5 4 2 3" xfId="5005" xr:uid="{00000000-0005-0000-0000-0000BE060000}"/>
    <cellStyle name="40% - Accent5 4 2 3 2" xfId="13455" xr:uid="{9F037CDE-C589-4C9F-9814-FE349ABD44FF}"/>
    <cellStyle name="40% - Accent5 4 2 3 3" xfId="21895" xr:uid="{9145E1DD-89D3-4A6B-8F06-00C059FE677A}"/>
    <cellStyle name="40% - Accent5 4 2 3 4" xfId="30335" xr:uid="{02892CDA-C168-4749-BA3D-A7E792ACA650}"/>
    <cellStyle name="40% - Accent5 4 2 4" xfId="9237" xr:uid="{92083349-01CC-4BAC-98DA-6B349999E48E}"/>
    <cellStyle name="40% - Accent5 4 2 5" xfId="17678" xr:uid="{BB11D45D-0443-4214-9881-D622D0FA3338}"/>
    <cellStyle name="40% - Accent5 4 2 6" xfId="26118" xr:uid="{34D5CA79-2925-40C1-A8E0-0A7380A428E6}"/>
    <cellStyle name="40% - Accent5 4 3" xfId="1110" xr:uid="{00000000-0005-0000-0000-0000BF060000}"/>
    <cellStyle name="40% - Accent5 4 3 2" xfId="3341" xr:uid="{00000000-0005-0000-0000-0000C0060000}"/>
    <cellStyle name="40% - Accent5 4 3 2 2" xfId="7563" xr:uid="{00000000-0005-0000-0000-0000C1060000}"/>
    <cellStyle name="40% - Accent5 4 3 2 2 2" xfId="16013" xr:uid="{752D415A-DC2A-4A2C-A881-B0736144C527}"/>
    <cellStyle name="40% - Accent5 4 3 2 2 3" xfId="24453" xr:uid="{E2D1F472-4936-4C88-8964-EFE3E641BB4C}"/>
    <cellStyle name="40% - Accent5 4 3 2 2 4" xfId="32893" xr:uid="{CBBE51A3-01D7-43D3-B6C3-6DF8FA8A16D1}"/>
    <cellStyle name="40% - Accent5 4 3 2 3" xfId="11795" xr:uid="{4B00458E-0747-431B-97C9-ABD9C78E3AC4}"/>
    <cellStyle name="40% - Accent5 4 3 2 4" xfId="20236" xr:uid="{6F9F8C21-CF39-4B18-81BB-8C3E2700F800}"/>
    <cellStyle name="40% - Accent5 4 3 2 5" xfId="28676" xr:uid="{52A24596-1F42-495E-8324-CFB7DB37B6A4}"/>
    <cellStyle name="40% - Accent5 4 3 3" xfId="5418" xr:uid="{00000000-0005-0000-0000-0000C2060000}"/>
    <cellStyle name="40% - Accent5 4 3 3 2" xfId="13868" xr:uid="{240E2D88-C16F-4CC5-B3E6-60BE4056059A}"/>
    <cellStyle name="40% - Accent5 4 3 3 3" xfId="22308" xr:uid="{9FCE5361-B1E2-4419-B2DE-C4855DFDA58D}"/>
    <cellStyle name="40% - Accent5 4 3 3 4" xfId="30748" xr:uid="{82310381-9E96-432A-848A-DBBCF85F4A95}"/>
    <cellStyle name="40% - Accent5 4 3 4" xfId="9650" xr:uid="{17544B06-4049-4830-B832-8231EFFE67AA}"/>
    <cellStyle name="40% - Accent5 4 3 5" xfId="18091" xr:uid="{A06B5E38-DBBC-481E-956F-D023B5617942}"/>
    <cellStyle name="40% - Accent5 4 3 6" xfId="26531" xr:uid="{5B8BAEB3-6A4B-4246-865D-03FADA4D0F2E}"/>
    <cellStyle name="40% - Accent5 4 4" xfId="1524" xr:uid="{00000000-0005-0000-0000-0000C3060000}"/>
    <cellStyle name="40% - Accent5 4 4 2" xfId="3754" xr:uid="{00000000-0005-0000-0000-0000C4060000}"/>
    <cellStyle name="40% - Accent5 4 4 2 2" xfId="7976" xr:uid="{00000000-0005-0000-0000-0000C5060000}"/>
    <cellStyle name="40% - Accent5 4 4 2 2 2" xfId="16426" xr:uid="{C398FFA5-DA48-4DFE-A888-277DE1C72A1C}"/>
    <cellStyle name="40% - Accent5 4 4 2 2 3" xfId="24866" xr:uid="{87BA2E2E-CD06-438A-86E6-24F52B94BBEE}"/>
    <cellStyle name="40% - Accent5 4 4 2 2 4" xfId="33306" xr:uid="{1A4DCFEC-A7B4-4170-86F6-695A87D5F726}"/>
    <cellStyle name="40% - Accent5 4 4 2 3" xfId="12208" xr:uid="{7E2C1119-BA2C-4658-9C13-49A388962F4B}"/>
    <cellStyle name="40% - Accent5 4 4 2 4" xfId="20649" xr:uid="{29BC81B4-88F4-4221-9EAE-CC7080233F16}"/>
    <cellStyle name="40% - Accent5 4 4 2 5" xfId="29089" xr:uid="{36141D96-56C0-4507-99DA-F7C977EBA1D4}"/>
    <cellStyle name="40% - Accent5 4 4 3" xfId="5831" xr:uid="{00000000-0005-0000-0000-0000C6060000}"/>
    <cellStyle name="40% - Accent5 4 4 3 2" xfId="14281" xr:uid="{BE885139-F578-4F58-B1CC-B1370A148663}"/>
    <cellStyle name="40% - Accent5 4 4 3 3" xfId="22721" xr:uid="{655DA31E-4596-45BA-AF5B-D46A99C4E3E9}"/>
    <cellStyle name="40% - Accent5 4 4 3 4" xfId="31161" xr:uid="{C5598449-60C6-497B-A69D-B7443FF7BC36}"/>
    <cellStyle name="40% - Accent5 4 4 4" xfId="10063" xr:uid="{40BE4743-D5F3-41AF-85B8-8E97561097B1}"/>
    <cellStyle name="40% - Accent5 4 4 5" xfId="18504" xr:uid="{259FD89B-1F9A-4EDD-8CA6-7D2754FAE795}"/>
    <cellStyle name="40% - Accent5 4 4 6" xfId="26944" xr:uid="{68DED00E-DF53-49EC-B3CF-12671EBEB357}"/>
    <cellStyle name="40% - Accent5 4 5" xfId="1938" xr:uid="{00000000-0005-0000-0000-0000C7060000}"/>
    <cellStyle name="40% - Accent5 4 5 2" xfId="4167" xr:uid="{00000000-0005-0000-0000-0000C8060000}"/>
    <cellStyle name="40% - Accent5 4 5 2 2" xfId="8389" xr:uid="{00000000-0005-0000-0000-0000C9060000}"/>
    <cellStyle name="40% - Accent5 4 5 2 2 2" xfId="16839" xr:uid="{D8966A8A-807B-4817-A9F4-8B727BD650A0}"/>
    <cellStyle name="40% - Accent5 4 5 2 2 3" xfId="25279" xr:uid="{A57F50D1-6FED-4170-BC59-136BB7C2FA93}"/>
    <cellStyle name="40% - Accent5 4 5 2 2 4" xfId="33719" xr:uid="{DD310D38-FFCF-4D41-BAD8-034B2AE4EE8A}"/>
    <cellStyle name="40% - Accent5 4 5 2 3" xfId="12621" xr:uid="{52BF1B92-E56C-480A-965E-933F5D3AB83F}"/>
    <cellStyle name="40% - Accent5 4 5 2 4" xfId="21062" xr:uid="{CBA3ACE6-0A21-4884-9AEF-E39FE9899E2E}"/>
    <cellStyle name="40% - Accent5 4 5 2 5" xfId="29502" xr:uid="{AB06F882-9959-490C-90A9-04D03ACE099C}"/>
    <cellStyle name="40% - Accent5 4 5 3" xfId="6244" xr:uid="{00000000-0005-0000-0000-0000CA060000}"/>
    <cellStyle name="40% - Accent5 4 5 3 2" xfId="14694" xr:uid="{591C7EF9-A8F0-4DE4-9751-9B71D61EA459}"/>
    <cellStyle name="40% - Accent5 4 5 3 3" xfId="23134" xr:uid="{B9178CD8-9583-4AFE-ACA3-7FD088737248}"/>
    <cellStyle name="40% - Accent5 4 5 3 4" xfId="31574" xr:uid="{3322F894-5C4F-469E-999C-1433D93D061E}"/>
    <cellStyle name="40% - Accent5 4 5 4" xfId="10476" xr:uid="{A3501F57-D873-4FEC-851F-4885E52BF53E}"/>
    <cellStyle name="40% - Accent5 4 5 5" xfId="18917" xr:uid="{D6B7FF87-E9EC-4164-871B-E9942D641368}"/>
    <cellStyle name="40% - Accent5 4 5 6" xfId="27357" xr:uid="{2D01138B-E6CF-44BA-869D-F30BD69A8D62}"/>
    <cellStyle name="40% - Accent5 4 6" xfId="2351" xr:uid="{00000000-0005-0000-0000-0000CB060000}"/>
    <cellStyle name="40% - Accent5 4 6 2" xfId="6657" xr:uid="{00000000-0005-0000-0000-0000CC060000}"/>
    <cellStyle name="40% - Accent5 4 6 2 2" xfId="15107" xr:uid="{27D9E365-2953-43B8-A164-4EFCD4EA79F9}"/>
    <cellStyle name="40% - Accent5 4 6 2 3" xfId="23547" xr:uid="{A613CC7A-7F8B-45F2-AFA0-BC1D770CF9D3}"/>
    <cellStyle name="40% - Accent5 4 6 2 4" xfId="31987" xr:uid="{473FBB2A-C17A-41EA-9C2C-54940314F66F}"/>
    <cellStyle name="40% - Accent5 4 6 3" xfId="10889" xr:uid="{B3BA4668-C7C4-4D1D-933D-C81C92276F6D}"/>
    <cellStyle name="40% - Accent5 4 6 4" xfId="19330" xr:uid="{C4B24A95-EE9C-42EE-A7F8-807351A25AA3}"/>
    <cellStyle name="40% - Accent5 4 6 5" xfId="27770" xr:uid="{6A677C42-FBCE-401E-B72C-B93142BC52F0}"/>
    <cellStyle name="40% - Accent5 4 7" xfId="4591" xr:uid="{00000000-0005-0000-0000-0000CD060000}"/>
    <cellStyle name="40% - Accent5 4 7 2" xfId="13041" xr:uid="{E8B5A9FC-0002-4BF3-A9E0-BF3D02AE532A}"/>
    <cellStyle name="40% - Accent5 4 7 3" xfId="21481" xr:uid="{9232F06D-6B38-40EC-94D6-684E682156D1}"/>
    <cellStyle name="40% - Accent5 4 7 4" xfId="29921" xr:uid="{879D29EE-B751-42A9-A795-24C68C308294}"/>
    <cellStyle name="40% - Accent5 4 8" xfId="8823" xr:uid="{635C588E-7CEC-4F8A-9D92-C621EAC79015}"/>
    <cellStyle name="40% - Accent5 4 9" xfId="17264" xr:uid="{4738A375-61B7-4BB6-B751-420BF6CBA3F7}"/>
    <cellStyle name="40% - Accent5 5" xfId="650" xr:uid="{00000000-0005-0000-0000-0000CE060000}"/>
    <cellStyle name="40% - Accent5 5 2" xfId="2921" xr:uid="{00000000-0005-0000-0000-0000CF060000}"/>
    <cellStyle name="40% - Accent5 5 2 2" xfId="7143" xr:uid="{00000000-0005-0000-0000-0000D0060000}"/>
    <cellStyle name="40% - Accent5 5 2 2 2" xfId="15593" xr:uid="{FEDA84F2-D62A-4549-BE11-3D620718FF2F}"/>
    <cellStyle name="40% - Accent5 5 2 2 3" xfId="24033" xr:uid="{8AC8E2A7-0045-4207-9011-2A3AB3A9303C}"/>
    <cellStyle name="40% - Accent5 5 2 2 4" xfId="32473" xr:uid="{5FADEA68-F790-4D3E-B586-2B803007567D}"/>
    <cellStyle name="40% - Accent5 5 2 3" xfId="11375" xr:uid="{9F433FAC-2918-4B32-848F-513ED9FC90FA}"/>
    <cellStyle name="40% - Accent5 5 2 4" xfId="19816" xr:uid="{8ACA7477-6CA0-4D4B-8FE3-CF80475556D1}"/>
    <cellStyle name="40% - Accent5 5 2 5" xfId="28256" xr:uid="{69B17C5B-D3EA-4CB5-9154-D6AA26BF2618}"/>
    <cellStyle name="40% - Accent5 5 3" xfId="4998" xr:uid="{00000000-0005-0000-0000-0000D1060000}"/>
    <cellStyle name="40% - Accent5 5 3 2" xfId="13448" xr:uid="{FF0B15DC-56A2-40D3-9224-B2B506BC12BA}"/>
    <cellStyle name="40% - Accent5 5 3 3" xfId="21888" xr:uid="{7CD356FD-AEEE-4A5D-95F1-FBEE6E4D5D66}"/>
    <cellStyle name="40% - Accent5 5 3 4" xfId="30328" xr:uid="{6A5A27F9-E74D-4E27-A579-58A722F63369}"/>
    <cellStyle name="40% - Accent5 5 4" xfId="9230" xr:uid="{C97FF4E1-E2E1-4202-BC28-72224EA2537E}"/>
    <cellStyle name="40% - Accent5 5 5" xfId="17671" xr:uid="{BF8539E9-CD0F-4963-B06E-B25E21C253FC}"/>
    <cellStyle name="40% - Accent5 5 6" xfId="26111" xr:uid="{A61C79BA-9A44-45A4-8966-E9ED0F5DEC05}"/>
    <cellStyle name="40% - Accent5 6" xfId="1103" xr:uid="{00000000-0005-0000-0000-0000D2060000}"/>
    <cellStyle name="40% - Accent5 6 2" xfId="3334" xr:uid="{00000000-0005-0000-0000-0000D3060000}"/>
    <cellStyle name="40% - Accent5 6 2 2" xfId="7556" xr:uid="{00000000-0005-0000-0000-0000D4060000}"/>
    <cellStyle name="40% - Accent5 6 2 2 2" xfId="16006" xr:uid="{97FCFBED-2B58-4748-B213-7C5B5798F2E5}"/>
    <cellStyle name="40% - Accent5 6 2 2 3" xfId="24446" xr:uid="{B630BBAB-CF3E-4C57-AA9D-B4958527222D}"/>
    <cellStyle name="40% - Accent5 6 2 2 4" xfId="32886" xr:uid="{A17D7B15-281A-46DF-9095-1FD0DE6117DA}"/>
    <cellStyle name="40% - Accent5 6 2 3" xfId="11788" xr:uid="{8A2007E0-71C4-4CC7-B229-5C44E73AA760}"/>
    <cellStyle name="40% - Accent5 6 2 4" xfId="20229" xr:uid="{9EB09EF7-F503-4CE7-9D31-7B5FBA0F7411}"/>
    <cellStyle name="40% - Accent5 6 2 5" xfId="28669" xr:uid="{4B4C1745-9815-4EC8-AE9F-32BFDF145FAE}"/>
    <cellStyle name="40% - Accent5 6 3" xfId="5411" xr:uid="{00000000-0005-0000-0000-0000D5060000}"/>
    <cellStyle name="40% - Accent5 6 3 2" xfId="13861" xr:uid="{3A974263-EB4A-4475-AC8E-2359C2500EDC}"/>
    <cellStyle name="40% - Accent5 6 3 3" xfId="22301" xr:uid="{2457F498-B9EF-4560-A2B9-10417BA3DB68}"/>
    <cellStyle name="40% - Accent5 6 3 4" xfId="30741" xr:uid="{3AEB956C-2924-4667-913A-F9DB6F9D4C31}"/>
    <cellStyle name="40% - Accent5 6 4" xfId="9643" xr:uid="{3639B2ED-DE70-424C-AF17-D80317241FD3}"/>
    <cellStyle name="40% - Accent5 6 5" xfId="18084" xr:uid="{3572D8FE-2A15-4147-8034-415C572C4A2F}"/>
    <cellStyle name="40% - Accent5 6 6" xfId="26524" xr:uid="{42C2775C-6C91-4239-8827-AF7404D38FE4}"/>
    <cellStyle name="40% - Accent5 7" xfId="1517" xr:uid="{00000000-0005-0000-0000-0000D6060000}"/>
    <cellStyle name="40% - Accent5 7 2" xfId="3747" xr:uid="{00000000-0005-0000-0000-0000D7060000}"/>
    <cellStyle name="40% - Accent5 7 2 2" xfId="7969" xr:uid="{00000000-0005-0000-0000-0000D8060000}"/>
    <cellStyle name="40% - Accent5 7 2 2 2" xfId="16419" xr:uid="{7517AD53-7139-471C-B4C9-CB587C4C6646}"/>
    <cellStyle name="40% - Accent5 7 2 2 3" xfId="24859" xr:uid="{17FC9668-87DF-4EF9-9B39-AB0756C2ABF9}"/>
    <cellStyle name="40% - Accent5 7 2 2 4" xfId="33299" xr:uid="{D8C2DCAA-360A-4DF2-AF18-A64EAB64E987}"/>
    <cellStyle name="40% - Accent5 7 2 3" xfId="12201" xr:uid="{6183855A-EC3D-4CE6-A75C-26C4419E5D57}"/>
    <cellStyle name="40% - Accent5 7 2 4" xfId="20642" xr:uid="{761464FA-3917-4729-890F-50202B41656A}"/>
    <cellStyle name="40% - Accent5 7 2 5" xfId="29082" xr:uid="{B3BD030F-0E79-423E-A04D-AA9839DFAC2F}"/>
    <cellStyle name="40% - Accent5 7 3" xfId="5824" xr:uid="{00000000-0005-0000-0000-0000D9060000}"/>
    <cellStyle name="40% - Accent5 7 3 2" xfId="14274" xr:uid="{AC45C210-D3F9-457B-A267-B4FBF8347FED}"/>
    <cellStyle name="40% - Accent5 7 3 3" xfId="22714" xr:uid="{FE78AF7E-2162-484F-B1A1-3EC82D4784F9}"/>
    <cellStyle name="40% - Accent5 7 3 4" xfId="31154" xr:uid="{0E2AF2BD-7ACD-4093-B1B2-7065BDE8E77E}"/>
    <cellStyle name="40% - Accent5 7 4" xfId="10056" xr:uid="{EE6E5165-1E2B-4656-80CF-6FEBC0A7FA8A}"/>
    <cellStyle name="40% - Accent5 7 5" xfId="18497" xr:uid="{7A980171-C405-484B-9DAF-2779723DDD8D}"/>
    <cellStyle name="40% - Accent5 7 6" xfId="26937" xr:uid="{04D3CB6F-B03A-4218-B1AD-890AFF233227}"/>
    <cellStyle name="40% - Accent5 8" xfId="1931" xr:uid="{00000000-0005-0000-0000-0000DA060000}"/>
    <cellStyle name="40% - Accent5 8 2" xfId="4160" xr:uid="{00000000-0005-0000-0000-0000DB060000}"/>
    <cellStyle name="40% - Accent5 8 2 2" xfId="8382" xr:uid="{00000000-0005-0000-0000-0000DC060000}"/>
    <cellStyle name="40% - Accent5 8 2 2 2" xfId="16832" xr:uid="{A17D6808-F25C-461B-BE5F-B201EABEA685}"/>
    <cellStyle name="40% - Accent5 8 2 2 3" xfId="25272" xr:uid="{B70915FE-7074-4F2C-AFED-30E487935D87}"/>
    <cellStyle name="40% - Accent5 8 2 2 4" xfId="33712" xr:uid="{EFC137BC-23AE-4E0F-8C30-4191C77067C3}"/>
    <cellStyle name="40% - Accent5 8 2 3" xfId="12614" xr:uid="{AF3E1C1B-D317-4D03-B52D-C16115E89AB3}"/>
    <cellStyle name="40% - Accent5 8 2 4" xfId="21055" xr:uid="{05F98CB1-0E11-4880-B882-939B8A09E709}"/>
    <cellStyle name="40% - Accent5 8 2 5" xfId="29495" xr:uid="{0ED4FF18-4F98-40E6-B934-DC9ACF17C60F}"/>
    <cellStyle name="40% - Accent5 8 3" xfId="6237" xr:uid="{00000000-0005-0000-0000-0000DD060000}"/>
    <cellStyle name="40% - Accent5 8 3 2" xfId="14687" xr:uid="{D1E9D952-CC2D-4D32-8FA9-C7960E60C13C}"/>
    <cellStyle name="40% - Accent5 8 3 3" xfId="23127" xr:uid="{6273D05D-B1C2-48E2-BDDC-48DE6D7849E4}"/>
    <cellStyle name="40% - Accent5 8 3 4" xfId="31567" xr:uid="{A67079ED-6855-4915-A57F-E5A8725BE15A}"/>
    <cellStyle name="40% - Accent5 8 4" xfId="10469" xr:uid="{61B8A464-9B73-4767-B971-40C0EFD20ED5}"/>
    <cellStyle name="40% - Accent5 8 5" xfId="18910" xr:uid="{35FA7905-8193-48C8-A106-76B3C785AD1E}"/>
    <cellStyle name="40% - Accent5 8 6" xfId="27350" xr:uid="{537C2322-DE17-4BB4-A1EC-379DB894A8B2}"/>
    <cellStyle name="40% - Accent5 9" xfId="2344" xr:uid="{00000000-0005-0000-0000-0000DE060000}"/>
    <cellStyle name="40% - Accent5 9 2" xfId="6650" xr:uid="{00000000-0005-0000-0000-0000DF060000}"/>
    <cellStyle name="40% - Accent5 9 2 2" xfId="15100" xr:uid="{A4763D33-7362-45B2-950B-1E1367912899}"/>
    <cellStyle name="40% - Accent5 9 2 3" xfId="23540" xr:uid="{37C2DF75-6413-4FBC-9863-C2DC8CB101DF}"/>
    <cellStyle name="40% - Accent5 9 2 4" xfId="31980" xr:uid="{7957EEA4-5F56-4102-8469-B8CDFC320F37}"/>
    <cellStyle name="40% - Accent5 9 3" xfId="10882" xr:uid="{9BC2561C-ABE7-4EBE-A8BF-2E53FB449629}"/>
    <cellStyle name="40% - Accent5 9 4" xfId="19323" xr:uid="{87C928C7-416F-45D4-8374-728B2D3FDBD4}"/>
    <cellStyle name="40% - Accent5 9 5" xfId="27763" xr:uid="{585A1EEB-DE5B-4908-BF73-D654D8D816AC}"/>
    <cellStyle name="40% - Accent6" xfId="89" builtinId="51" customBuiltin="1"/>
    <cellStyle name="40% - Accent6 10" xfId="4592" xr:uid="{00000000-0005-0000-0000-0000E1060000}"/>
    <cellStyle name="40% - Accent6 10 2" xfId="13042" xr:uid="{AEDCD79E-0CAB-45CB-8D91-6B2053504B0E}"/>
    <cellStyle name="40% - Accent6 10 3" xfId="21482" xr:uid="{2B9BF9AF-91A0-40EC-B4EC-7B9F76D58702}"/>
    <cellStyle name="40% - Accent6 10 4" xfId="29922" xr:uid="{66FE02B3-785D-48A9-8071-C91164BCCE51}"/>
    <cellStyle name="40% - Accent6 11" xfId="8824" xr:uid="{B169CECF-B0F0-4C81-9F36-465D204CAF84}"/>
    <cellStyle name="40% - Accent6 12" xfId="17265" xr:uid="{8BA453A8-C7C9-4230-80F6-AA57A42D96A6}"/>
    <cellStyle name="40% - Accent6 13" xfId="25705" xr:uid="{2D93E2F6-B200-4884-8293-F060378CF4B8}"/>
    <cellStyle name="40% - Accent6 2" xfId="90" xr:uid="{00000000-0005-0000-0000-0000E2060000}"/>
    <cellStyle name="40% - Accent6 2 10" xfId="8825" xr:uid="{2FCDA0F1-DF5A-453C-9B56-34AB0301B551}"/>
    <cellStyle name="40% - Accent6 2 11" xfId="17266" xr:uid="{4264AB37-020A-4B9B-AE29-7F66E8B29A6F}"/>
    <cellStyle name="40% - Accent6 2 12" xfId="25706" xr:uid="{7C3E935E-43AC-4AD3-A379-CBBEE24FC437}"/>
    <cellStyle name="40% - Accent6 2 2" xfId="91" xr:uid="{00000000-0005-0000-0000-0000E3060000}"/>
    <cellStyle name="40% - Accent6 2 2 10" xfId="17267" xr:uid="{3FB415B9-0A1C-4738-A4AA-2CB7FFF68850}"/>
    <cellStyle name="40% - Accent6 2 2 11" xfId="25707" xr:uid="{C63026FC-1D44-435C-BB07-ED7E9D30B1E8}"/>
    <cellStyle name="40% - Accent6 2 2 2" xfId="92" xr:uid="{00000000-0005-0000-0000-0000E4060000}"/>
    <cellStyle name="40% - Accent6 2 2 2 10" xfId="25708" xr:uid="{49D17D57-E32B-4608-A997-EF639C02F7DD}"/>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2 2 2" xfId="15604" xr:uid="{6DE60688-2B26-44DD-B0AE-5854688657ED}"/>
    <cellStyle name="40% - Accent6 2 2 2 2 2 2 3" xfId="24044" xr:uid="{194ECCC9-BE90-421A-91C2-8ED0FC2A7961}"/>
    <cellStyle name="40% - Accent6 2 2 2 2 2 2 4" xfId="32484" xr:uid="{C58CBDC4-C14D-42B2-9822-2128A31E35A0}"/>
    <cellStyle name="40% - Accent6 2 2 2 2 2 3" xfId="11386" xr:uid="{BCC7D6CE-B498-4242-96A3-19D9E47FA383}"/>
    <cellStyle name="40% - Accent6 2 2 2 2 2 4" xfId="19827" xr:uid="{D19FCBB6-D440-418B-B06D-414E997D31E0}"/>
    <cellStyle name="40% - Accent6 2 2 2 2 2 5" xfId="28267" xr:uid="{581F88F3-E228-4265-AFA5-5040D7F58204}"/>
    <cellStyle name="40% - Accent6 2 2 2 2 3" xfId="5009" xr:uid="{00000000-0005-0000-0000-0000E8060000}"/>
    <cellStyle name="40% - Accent6 2 2 2 2 3 2" xfId="13459" xr:uid="{EE07FBA7-5E74-42A2-8832-D81E0138B99D}"/>
    <cellStyle name="40% - Accent6 2 2 2 2 3 3" xfId="21899" xr:uid="{10F4DE4F-4D0B-4618-9114-30B26502298F}"/>
    <cellStyle name="40% - Accent6 2 2 2 2 3 4" xfId="30339" xr:uid="{AC0C47F2-946A-4EB2-8146-C447B0533B85}"/>
    <cellStyle name="40% - Accent6 2 2 2 2 4" xfId="9241" xr:uid="{01E46103-4435-486B-8918-EF5CED61DEC4}"/>
    <cellStyle name="40% - Accent6 2 2 2 2 5" xfId="17682" xr:uid="{223AA68C-75D3-45B0-8EF2-287D85000168}"/>
    <cellStyle name="40% - Accent6 2 2 2 2 6" xfId="26122" xr:uid="{D666DF09-42F6-47F2-8C21-091FCA8F036C}"/>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2 2 2" xfId="16017" xr:uid="{53E455F3-49C5-4280-BF7E-49A9BB517C64}"/>
    <cellStyle name="40% - Accent6 2 2 2 3 2 2 3" xfId="24457" xr:uid="{3E88C153-8FA4-4706-9ED6-D01B176F8915}"/>
    <cellStyle name="40% - Accent6 2 2 2 3 2 2 4" xfId="32897" xr:uid="{AAF61911-6AA2-41F8-AF22-B606FF0B0509}"/>
    <cellStyle name="40% - Accent6 2 2 2 3 2 3" xfId="11799" xr:uid="{E05243A6-77C8-4C7C-96C7-E245857DC488}"/>
    <cellStyle name="40% - Accent6 2 2 2 3 2 4" xfId="20240" xr:uid="{3371E76A-BC22-483A-92C1-0C35F9CD1987}"/>
    <cellStyle name="40% - Accent6 2 2 2 3 2 5" xfId="28680" xr:uid="{07EF6CA9-BBF2-4606-9F8E-0DBD9828A419}"/>
    <cellStyle name="40% - Accent6 2 2 2 3 3" xfId="5422" xr:uid="{00000000-0005-0000-0000-0000EC060000}"/>
    <cellStyle name="40% - Accent6 2 2 2 3 3 2" xfId="13872" xr:uid="{3D71659B-CADB-4894-8321-1407B00596B5}"/>
    <cellStyle name="40% - Accent6 2 2 2 3 3 3" xfId="22312" xr:uid="{152EA63C-C534-4B3E-ACE5-1FED1DAB6817}"/>
    <cellStyle name="40% - Accent6 2 2 2 3 3 4" xfId="30752" xr:uid="{E40CC88F-6CBA-4EC7-BF16-398F47FDD5D0}"/>
    <cellStyle name="40% - Accent6 2 2 2 3 4" xfId="9654" xr:uid="{E50AF738-DE35-42B3-8EC9-617D38771E3D}"/>
    <cellStyle name="40% - Accent6 2 2 2 3 5" xfId="18095" xr:uid="{7B07B025-30FF-4230-BE30-11D1C7359839}"/>
    <cellStyle name="40% - Accent6 2 2 2 3 6" xfId="26535" xr:uid="{2AFA10FD-842E-44F0-AA64-4BB48F9F0FCA}"/>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2 2 2" xfId="16430" xr:uid="{8F79A9CC-3D1F-41C4-B659-ED4E9235DD35}"/>
    <cellStyle name="40% - Accent6 2 2 2 4 2 2 3" xfId="24870" xr:uid="{78A55E77-BFEB-4163-A36C-9AF73413ADF0}"/>
    <cellStyle name="40% - Accent6 2 2 2 4 2 2 4" xfId="33310" xr:uid="{C94FA991-A3A9-469F-9540-21603679C2F0}"/>
    <cellStyle name="40% - Accent6 2 2 2 4 2 3" xfId="12212" xr:uid="{185F7EC2-311E-4173-B67E-95BCA5F3C7E1}"/>
    <cellStyle name="40% - Accent6 2 2 2 4 2 4" xfId="20653" xr:uid="{92D9BD65-8E36-4EC7-B86F-4E973DDA9C59}"/>
    <cellStyle name="40% - Accent6 2 2 2 4 2 5" xfId="29093" xr:uid="{830EE075-E2D3-4906-B536-2E3AB7D3BD01}"/>
    <cellStyle name="40% - Accent6 2 2 2 4 3" xfId="5835" xr:uid="{00000000-0005-0000-0000-0000F0060000}"/>
    <cellStyle name="40% - Accent6 2 2 2 4 3 2" xfId="14285" xr:uid="{FA147CEF-E624-4733-B737-10DE192F52B0}"/>
    <cellStyle name="40% - Accent6 2 2 2 4 3 3" xfId="22725" xr:uid="{E2F75E0F-85CE-43BE-ADD8-DBDBCCD3CCE2}"/>
    <cellStyle name="40% - Accent6 2 2 2 4 3 4" xfId="31165" xr:uid="{8CAEA4CA-94E5-4085-B5E1-A9FAD17F1AA2}"/>
    <cellStyle name="40% - Accent6 2 2 2 4 4" xfId="10067" xr:uid="{C634EC90-A7CE-4A2F-823E-D662F35D6E9B}"/>
    <cellStyle name="40% - Accent6 2 2 2 4 5" xfId="18508" xr:uid="{22AAFBD8-E848-4FDC-9AB6-6E02F09C5755}"/>
    <cellStyle name="40% - Accent6 2 2 2 4 6" xfId="26948" xr:uid="{2B95064D-AEDF-45C2-8419-A88892022A8E}"/>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2 2 2" xfId="16843" xr:uid="{3F0712CD-E12A-4D26-B86B-4B7B3A5F230E}"/>
    <cellStyle name="40% - Accent6 2 2 2 5 2 2 3" xfId="25283" xr:uid="{044E6AC1-85C5-4BB4-9EEC-40461B2A2C64}"/>
    <cellStyle name="40% - Accent6 2 2 2 5 2 2 4" xfId="33723" xr:uid="{F363644B-B260-446A-8BA0-113261704A7A}"/>
    <cellStyle name="40% - Accent6 2 2 2 5 2 3" xfId="12625" xr:uid="{E87AA900-275D-4498-B7D3-565255856848}"/>
    <cellStyle name="40% - Accent6 2 2 2 5 2 4" xfId="21066" xr:uid="{B4E6ABF2-51C4-492A-9D14-3A80B20A3F97}"/>
    <cellStyle name="40% - Accent6 2 2 2 5 2 5" xfId="29506" xr:uid="{533479B3-9CF9-4112-9BC1-00648C5E6E0C}"/>
    <cellStyle name="40% - Accent6 2 2 2 5 3" xfId="6248" xr:uid="{00000000-0005-0000-0000-0000F4060000}"/>
    <cellStyle name="40% - Accent6 2 2 2 5 3 2" xfId="14698" xr:uid="{122856D0-13CA-4716-9BAC-BF2042884449}"/>
    <cellStyle name="40% - Accent6 2 2 2 5 3 3" xfId="23138" xr:uid="{1931B109-8A48-48B2-BBB0-EDF0E7C60CC0}"/>
    <cellStyle name="40% - Accent6 2 2 2 5 3 4" xfId="31578" xr:uid="{073DB65C-1840-40FE-94F6-354A653058EC}"/>
    <cellStyle name="40% - Accent6 2 2 2 5 4" xfId="10480" xr:uid="{8CA12B32-E3B5-4248-A77E-A619D9C8E01D}"/>
    <cellStyle name="40% - Accent6 2 2 2 5 5" xfId="18921" xr:uid="{F0905619-0D69-4EBC-A410-951B0092E8BD}"/>
    <cellStyle name="40% - Accent6 2 2 2 5 6" xfId="27361" xr:uid="{6CB35C99-B0DF-4059-8B13-C30BAC73FBEE}"/>
    <cellStyle name="40% - Accent6 2 2 2 6" xfId="2355" xr:uid="{00000000-0005-0000-0000-0000F5060000}"/>
    <cellStyle name="40% - Accent6 2 2 2 6 2" xfId="6661" xr:uid="{00000000-0005-0000-0000-0000F6060000}"/>
    <cellStyle name="40% - Accent6 2 2 2 6 2 2" xfId="15111" xr:uid="{21B6397E-BC0F-4051-9545-A8118C9DDB3C}"/>
    <cellStyle name="40% - Accent6 2 2 2 6 2 3" xfId="23551" xr:uid="{7DD7F585-9AE3-4571-AA74-2FEE24497EF1}"/>
    <cellStyle name="40% - Accent6 2 2 2 6 2 4" xfId="31991" xr:uid="{353AEC5A-7CD0-4C4B-B0F6-1E64E7930A53}"/>
    <cellStyle name="40% - Accent6 2 2 2 6 3" xfId="10893" xr:uid="{859A10C4-BEF4-44B5-A967-649F8536E785}"/>
    <cellStyle name="40% - Accent6 2 2 2 6 4" xfId="19334" xr:uid="{AC4DF176-1BB1-47CC-80EA-7D6276A564DF}"/>
    <cellStyle name="40% - Accent6 2 2 2 6 5" xfId="27774" xr:uid="{AAD7F65B-D82B-42C1-9C43-25A101621347}"/>
    <cellStyle name="40% - Accent6 2 2 2 7" xfId="4595" xr:uid="{00000000-0005-0000-0000-0000F7060000}"/>
    <cellStyle name="40% - Accent6 2 2 2 7 2" xfId="13045" xr:uid="{31C3F95A-20EA-44EA-93C2-0E713E0A8DC9}"/>
    <cellStyle name="40% - Accent6 2 2 2 7 3" xfId="21485" xr:uid="{077B0D07-C123-4BB5-8A6B-AA81718D7C45}"/>
    <cellStyle name="40% - Accent6 2 2 2 7 4" xfId="29925" xr:uid="{6DE2F222-47E2-4A7F-817F-C20EFB598F67}"/>
    <cellStyle name="40% - Accent6 2 2 2 8" xfId="8827" xr:uid="{0126BD4A-CDF7-42A6-BCDD-D22A06352DC7}"/>
    <cellStyle name="40% - Accent6 2 2 2 9" xfId="17268" xr:uid="{8B98E752-DA89-462B-9BF4-EC5A50FA230F}"/>
    <cellStyle name="40% - Accent6 2 2 3" xfId="660" xr:uid="{00000000-0005-0000-0000-0000F8060000}"/>
    <cellStyle name="40% - Accent6 2 2 3 2" xfId="2931" xr:uid="{00000000-0005-0000-0000-0000F9060000}"/>
    <cellStyle name="40% - Accent6 2 2 3 2 2" xfId="7153" xr:uid="{00000000-0005-0000-0000-0000FA060000}"/>
    <cellStyle name="40% - Accent6 2 2 3 2 2 2" xfId="15603" xr:uid="{09D09E34-6EDD-4998-8E99-2C72814245BA}"/>
    <cellStyle name="40% - Accent6 2 2 3 2 2 3" xfId="24043" xr:uid="{8E1EF834-6B5A-4761-983C-4D5C955DE7B6}"/>
    <cellStyle name="40% - Accent6 2 2 3 2 2 4" xfId="32483" xr:uid="{9069EE76-8356-441E-BA88-43AEFF1E2A06}"/>
    <cellStyle name="40% - Accent6 2 2 3 2 3" xfId="11385" xr:uid="{E34AB0FD-B442-45E3-A2F8-656A0432463A}"/>
    <cellStyle name="40% - Accent6 2 2 3 2 4" xfId="19826" xr:uid="{6D46891E-054A-4987-8F86-687E12B3E965}"/>
    <cellStyle name="40% - Accent6 2 2 3 2 5" xfId="28266" xr:uid="{8E690CB1-1B66-4A00-A7EF-772A930FB9C3}"/>
    <cellStyle name="40% - Accent6 2 2 3 3" xfId="5008" xr:uid="{00000000-0005-0000-0000-0000FB060000}"/>
    <cellStyle name="40% - Accent6 2 2 3 3 2" xfId="13458" xr:uid="{D658FB7E-64F1-4EA4-B63E-3A2285B4253F}"/>
    <cellStyle name="40% - Accent6 2 2 3 3 3" xfId="21898" xr:uid="{D18A72AB-9F87-4456-99D5-51FE68768A8C}"/>
    <cellStyle name="40% - Accent6 2 2 3 3 4" xfId="30338" xr:uid="{E74DA584-58D3-4FAC-B152-E5F19345A308}"/>
    <cellStyle name="40% - Accent6 2 2 3 4" xfId="9240" xr:uid="{EEA1ECA4-35DE-4D49-864E-1C5688F02056}"/>
    <cellStyle name="40% - Accent6 2 2 3 5" xfId="17681" xr:uid="{065E5959-845E-4891-881A-630218613FEF}"/>
    <cellStyle name="40% - Accent6 2 2 3 6" xfId="26121" xr:uid="{7D9BD5EA-E94F-4AB2-A3C5-A463EF3AB193}"/>
    <cellStyle name="40% - Accent6 2 2 4" xfId="1113" xr:uid="{00000000-0005-0000-0000-0000FC060000}"/>
    <cellStyle name="40% - Accent6 2 2 4 2" xfId="3344" xr:uid="{00000000-0005-0000-0000-0000FD060000}"/>
    <cellStyle name="40% - Accent6 2 2 4 2 2" xfId="7566" xr:uid="{00000000-0005-0000-0000-0000FE060000}"/>
    <cellStyle name="40% - Accent6 2 2 4 2 2 2" xfId="16016" xr:uid="{9F3B5EFE-6978-48E3-9034-BF3DCA99EB20}"/>
    <cellStyle name="40% - Accent6 2 2 4 2 2 3" xfId="24456" xr:uid="{01AAA376-B926-49F2-BA0A-32BF82CB62E9}"/>
    <cellStyle name="40% - Accent6 2 2 4 2 2 4" xfId="32896" xr:uid="{68D3636B-E13F-4D9C-A0F9-FE791A337488}"/>
    <cellStyle name="40% - Accent6 2 2 4 2 3" xfId="11798" xr:uid="{EE51A538-4F14-4AEE-B5FB-2085FCBDCBCB}"/>
    <cellStyle name="40% - Accent6 2 2 4 2 4" xfId="20239" xr:uid="{85A3EEB6-B939-4672-A849-6B0D4F8A79FE}"/>
    <cellStyle name="40% - Accent6 2 2 4 2 5" xfId="28679" xr:uid="{4C00E04C-7E54-4C14-9E3E-FB292A912248}"/>
    <cellStyle name="40% - Accent6 2 2 4 3" xfId="5421" xr:uid="{00000000-0005-0000-0000-0000FF060000}"/>
    <cellStyle name="40% - Accent6 2 2 4 3 2" xfId="13871" xr:uid="{F85DA95F-C3DB-45E8-A710-CBD19961DA91}"/>
    <cellStyle name="40% - Accent6 2 2 4 3 3" xfId="22311" xr:uid="{72ADF90C-99A4-4430-942F-83436EDA398C}"/>
    <cellStyle name="40% - Accent6 2 2 4 3 4" xfId="30751" xr:uid="{DA5A2B54-2CAC-4E4E-87EA-5DA40B2D2061}"/>
    <cellStyle name="40% - Accent6 2 2 4 4" xfId="9653" xr:uid="{D5184389-9B4C-4382-9449-60901CBFC05A}"/>
    <cellStyle name="40% - Accent6 2 2 4 5" xfId="18094" xr:uid="{B650128D-0157-47EE-A5CF-74F37D9C834B}"/>
    <cellStyle name="40% - Accent6 2 2 4 6" xfId="26534" xr:uid="{3852C14C-9694-4423-AAAF-FB8989711D33}"/>
    <cellStyle name="40% - Accent6 2 2 5" xfId="1527" xr:uid="{00000000-0005-0000-0000-000000070000}"/>
    <cellStyle name="40% - Accent6 2 2 5 2" xfId="3757" xr:uid="{00000000-0005-0000-0000-000001070000}"/>
    <cellStyle name="40% - Accent6 2 2 5 2 2" xfId="7979" xr:uid="{00000000-0005-0000-0000-000002070000}"/>
    <cellStyle name="40% - Accent6 2 2 5 2 2 2" xfId="16429" xr:uid="{2842CCC1-2CE2-4693-907A-1AE498210759}"/>
    <cellStyle name="40% - Accent6 2 2 5 2 2 3" xfId="24869" xr:uid="{C954D346-DD97-459F-BFE3-88D79DD7347F}"/>
    <cellStyle name="40% - Accent6 2 2 5 2 2 4" xfId="33309" xr:uid="{91F4A82F-BA34-4330-B4BE-CC2C41BF32F8}"/>
    <cellStyle name="40% - Accent6 2 2 5 2 3" xfId="12211" xr:uid="{C874BC07-E9A3-4B97-9B69-48AD7851BB51}"/>
    <cellStyle name="40% - Accent6 2 2 5 2 4" xfId="20652" xr:uid="{76C8A089-F518-4530-A693-F5ACB8DB8782}"/>
    <cellStyle name="40% - Accent6 2 2 5 2 5" xfId="29092" xr:uid="{BC41657D-B9C0-43DD-87EE-1810E757DF3A}"/>
    <cellStyle name="40% - Accent6 2 2 5 3" xfId="5834" xr:uid="{00000000-0005-0000-0000-000003070000}"/>
    <cellStyle name="40% - Accent6 2 2 5 3 2" xfId="14284" xr:uid="{CA262BE0-5A0E-4A20-ADF4-139D8468AD94}"/>
    <cellStyle name="40% - Accent6 2 2 5 3 3" xfId="22724" xr:uid="{17891C45-A77E-48B4-B3EB-870D284840B1}"/>
    <cellStyle name="40% - Accent6 2 2 5 3 4" xfId="31164" xr:uid="{B859C9AB-5D9A-40AB-8D8A-84DE6D171725}"/>
    <cellStyle name="40% - Accent6 2 2 5 4" xfId="10066" xr:uid="{4E2E08BE-3D72-459C-88C1-D7B11F622ED0}"/>
    <cellStyle name="40% - Accent6 2 2 5 5" xfId="18507" xr:uid="{ED9DE6E8-81DC-44B8-8C53-A3AC799536BF}"/>
    <cellStyle name="40% - Accent6 2 2 5 6" xfId="26947" xr:uid="{8251351A-24D5-4725-A322-6DA8706885A7}"/>
    <cellStyle name="40% - Accent6 2 2 6" xfId="1941" xr:uid="{00000000-0005-0000-0000-000004070000}"/>
    <cellStyle name="40% - Accent6 2 2 6 2" xfId="4170" xr:uid="{00000000-0005-0000-0000-000005070000}"/>
    <cellStyle name="40% - Accent6 2 2 6 2 2" xfId="8392" xr:uid="{00000000-0005-0000-0000-000006070000}"/>
    <cellStyle name="40% - Accent6 2 2 6 2 2 2" xfId="16842" xr:uid="{599DC087-BA96-4FB9-9E13-61D61206034F}"/>
    <cellStyle name="40% - Accent6 2 2 6 2 2 3" xfId="25282" xr:uid="{06104719-2366-42B2-88E6-D6FAF0F74CA7}"/>
    <cellStyle name="40% - Accent6 2 2 6 2 2 4" xfId="33722" xr:uid="{C01CEA18-904C-45C3-AF4B-9CC78E7CDED5}"/>
    <cellStyle name="40% - Accent6 2 2 6 2 3" xfId="12624" xr:uid="{3768047D-6B7B-4DB0-B0F8-354DB3C5D023}"/>
    <cellStyle name="40% - Accent6 2 2 6 2 4" xfId="21065" xr:uid="{7D612906-E0F6-407F-A366-2B2683D267FF}"/>
    <cellStyle name="40% - Accent6 2 2 6 2 5" xfId="29505" xr:uid="{ADBA4AF7-3631-44DE-84EC-9D06A0423E54}"/>
    <cellStyle name="40% - Accent6 2 2 6 3" xfId="6247" xr:uid="{00000000-0005-0000-0000-000007070000}"/>
    <cellStyle name="40% - Accent6 2 2 6 3 2" xfId="14697" xr:uid="{6089AC79-A676-47E8-A864-8973D4030E56}"/>
    <cellStyle name="40% - Accent6 2 2 6 3 3" xfId="23137" xr:uid="{A7E44099-F2E6-4B49-A2D6-244FD81F6D6B}"/>
    <cellStyle name="40% - Accent6 2 2 6 3 4" xfId="31577" xr:uid="{412DF569-7824-4FAB-8D17-804E908374E2}"/>
    <cellStyle name="40% - Accent6 2 2 6 4" xfId="10479" xr:uid="{9C85F43B-430E-4115-A705-BCEBCEDC4263}"/>
    <cellStyle name="40% - Accent6 2 2 6 5" xfId="18920" xr:uid="{353622EE-FFD3-42F0-BA00-162ABD470C27}"/>
    <cellStyle name="40% - Accent6 2 2 6 6" xfId="27360" xr:uid="{88AA94E3-E7A7-43DF-B7D9-98CCB561D12F}"/>
    <cellStyle name="40% - Accent6 2 2 7" xfId="2354" xr:uid="{00000000-0005-0000-0000-000008070000}"/>
    <cellStyle name="40% - Accent6 2 2 7 2" xfId="6660" xr:uid="{00000000-0005-0000-0000-000009070000}"/>
    <cellStyle name="40% - Accent6 2 2 7 2 2" xfId="15110" xr:uid="{E41927F9-FBBA-4F10-88B5-2376CB6136E1}"/>
    <cellStyle name="40% - Accent6 2 2 7 2 3" xfId="23550" xr:uid="{A532BB55-5788-4295-976C-B968C51ACF78}"/>
    <cellStyle name="40% - Accent6 2 2 7 2 4" xfId="31990" xr:uid="{912A3E7C-E9F5-4B1D-96C8-109D2FC816AA}"/>
    <cellStyle name="40% - Accent6 2 2 7 3" xfId="10892" xr:uid="{333F4F06-BCA2-4DCE-A5EA-68B136C25015}"/>
    <cellStyle name="40% - Accent6 2 2 7 4" xfId="19333" xr:uid="{F0FF207B-9FB1-4580-BC29-31A6543F83BC}"/>
    <cellStyle name="40% - Accent6 2 2 7 5" xfId="27773" xr:uid="{AF029A01-15AB-4F07-BB10-C46D0766BFB7}"/>
    <cellStyle name="40% - Accent6 2 2 8" xfId="4594" xr:uid="{00000000-0005-0000-0000-00000A070000}"/>
    <cellStyle name="40% - Accent6 2 2 8 2" xfId="13044" xr:uid="{0CD9A8FC-643C-4D06-B003-EC032BA4F956}"/>
    <cellStyle name="40% - Accent6 2 2 8 3" xfId="21484" xr:uid="{8B7201A2-0D2C-4633-B6F6-5461B273B042}"/>
    <cellStyle name="40% - Accent6 2 2 8 4" xfId="29924" xr:uid="{3A804824-A575-4810-892A-C3887FBE5FE3}"/>
    <cellStyle name="40% - Accent6 2 2 9" xfId="8826" xr:uid="{315F4B7F-0731-44FE-8393-87D613010806}"/>
    <cellStyle name="40% - Accent6 2 3" xfId="93" xr:uid="{00000000-0005-0000-0000-00000B070000}"/>
    <cellStyle name="40% - Accent6 2 3 10" xfId="25709" xr:uid="{0CA9CC8F-BFC3-4C93-AA76-15B3CBE0571E}"/>
    <cellStyle name="40% - Accent6 2 3 2" xfId="662" xr:uid="{00000000-0005-0000-0000-00000C070000}"/>
    <cellStyle name="40% - Accent6 2 3 2 2" xfId="2933" xr:uid="{00000000-0005-0000-0000-00000D070000}"/>
    <cellStyle name="40% - Accent6 2 3 2 2 2" xfId="7155" xr:uid="{00000000-0005-0000-0000-00000E070000}"/>
    <cellStyle name="40% - Accent6 2 3 2 2 2 2" xfId="15605" xr:uid="{D764C3C2-19CF-4A32-A7C7-F0AE4D646D31}"/>
    <cellStyle name="40% - Accent6 2 3 2 2 2 3" xfId="24045" xr:uid="{B0E5D77B-08F0-48BF-AC83-FA305E123EBE}"/>
    <cellStyle name="40% - Accent6 2 3 2 2 2 4" xfId="32485" xr:uid="{9148D2AF-AA83-416D-91FF-4D2BC67914CF}"/>
    <cellStyle name="40% - Accent6 2 3 2 2 3" xfId="11387" xr:uid="{8B0C737F-A207-4964-A0B2-6FB9E27398E0}"/>
    <cellStyle name="40% - Accent6 2 3 2 2 4" xfId="19828" xr:uid="{00C1C541-BB0D-4BD0-A338-9C821723D936}"/>
    <cellStyle name="40% - Accent6 2 3 2 2 5" xfId="28268" xr:uid="{69965C84-4E6D-47E9-8219-A7DD79F7E319}"/>
    <cellStyle name="40% - Accent6 2 3 2 3" xfId="5010" xr:uid="{00000000-0005-0000-0000-00000F070000}"/>
    <cellStyle name="40% - Accent6 2 3 2 3 2" xfId="13460" xr:uid="{8AE4563A-FA6A-4EF5-8B09-663DBCC7C1FB}"/>
    <cellStyle name="40% - Accent6 2 3 2 3 3" xfId="21900" xr:uid="{730E0C1E-F299-4506-A55E-A79EDD3384A9}"/>
    <cellStyle name="40% - Accent6 2 3 2 3 4" xfId="30340" xr:uid="{429D3C8B-C43C-4D94-A6D0-93C7B098CD2A}"/>
    <cellStyle name="40% - Accent6 2 3 2 4" xfId="9242" xr:uid="{31F6D306-12CE-43FF-928A-5663F4F987E6}"/>
    <cellStyle name="40% - Accent6 2 3 2 5" xfId="17683" xr:uid="{86094A3B-957F-4616-A75F-66E829FB3AB7}"/>
    <cellStyle name="40% - Accent6 2 3 2 6" xfId="26123" xr:uid="{C4A63F96-11CC-41C3-AF2B-0817B7FAC671}"/>
    <cellStyle name="40% - Accent6 2 3 3" xfId="1115" xr:uid="{00000000-0005-0000-0000-000010070000}"/>
    <cellStyle name="40% - Accent6 2 3 3 2" xfId="3346" xr:uid="{00000000-0005-0000-0000-000011070000}"/>
    <cellStyle name="40% - Accent6 2 3 3 2 2" xfId="7568" xr:uid="{00000000-0005-0000-0000-000012070000}"/>
    <cellStyle name="40% - Accent6 2 3 3 2 2 2" xfId="16018" xr:uid="{4F6CE642-5A3F-487B-8EF2-62CCF0B24118}"/>
    <cellStyle name="40% - Accent6 2 3 3 2 2 3" xfId="24458" xr:uid="{52BF78D8-2C15-4148-A6AF-240ECFBBA8D4}"/>
    <cellStyle name="40% - Accent6 2 3 3 2 2 4" xfId="32898" xr:uid="{35CDB9C1-E2C7-4038-868E-7BF89A8E6EB6}"/>
    <cellStyle name="40% - Accent6 2 3 3 2 3" xfId="11800" xr:uid="{F72B71DA-EAFB-4710-878C-C8D5234E5C66}"/>
    <cellStyle name="40% - Accent6 2 3 3 2 4" xfId="20241" xr:uid="{6F619759-AB5D-4BFE-947B-7DEFB7430845}"/>
    <cellStyle name="40% - Accent6 2 3 3 2 5" xfId="28681" xr:uid="{53871A83-E1CF-4B6F-A16A-9787625B9DD8}"/>
    <cellStyle name="40% - Accent6 2 3 3 3" xfId="5423" xr:uid="{00000000-0005-0000-0000-000013070000}"/>
    <cellStyle name="40% - Accent6 2 3 3 3 2" xfId="13873" xr:uid="{C000BD97-6CA5-4996-AFAE-CDEF748F82B8}"/>
    <cellStyle name="40% - Accent6 2 3 3 3 3" xfId="22313" xr:uid="{389F9CC7-14E0-4FFF-B1B8-092ED1197DB0}"/>
    <cellStyle name="40% - Accent6 2 3 3 3 4" xfId="30753" xr:uid="{B4BD82C8-C037-4E5B-BBA8-5EAC615938E9}"/>
    <cellStyle name="40% - Accent6 2 3 3 4" xfId="9655" xr:uid="{045A4B63-EBB9-45A1-A413-7BB997EE6D35}"/>
    <cellStyle name="40% - Accent6 2 3 3 5" xfId="18096" xr:uid="{B118756C-F1BC-499F-A60E-BFF48ACB2364}"/>
    <cellStyle name="40% - Accent6 2 3 3 6" xfId="26536" xr:uid="{4B1422EB-FEFD-4247-9DAB-9297C38F161C}"/>
    <cellStyle name="40% - Accent6 2 3 4" xfId="1529" xr:uid="{00000000-0005-0000-0000-000014070000}"/>
    <cellStyle name="40% - Accent6 2 3 4 2" xfId="3759" xr:uid="{00000000-0005-0000-0000-000015070000}"/>
    <cellStyle name="40% - Accent6 2 3 4 2 2" xfId="7981" xr:uid="{00000000-0005-0000-0000-000016070000}"/>
    <cellStyle name="40% - Accent6 2 3 4 2 2 2" xfId="16431" xr:uid="{8C267AAF-A334-4AA2-A820-85E8935C8CF7}"/>
    <cellStyle name="40% - Accent6 2 3 4 2 2 3" xfId="24871" xr:uid="{E34C8FA3-3C3F-42B9-911F-89830E0D24DA}"/>
    <cellStyle name="40% - Accent6 2 3 4 2 2 4" xfId="33311" xr:uid="{66157A7D-AB8C-4FBF-87D3-0185A5F637AD}"/>
    <cellStyle name="40% - Accent6 2 3 4 2 3" xfId="12213" xr:uid="{9C8D77A9-22DE-4470-82C3-4F4AF742DD9A}"/>
    <cellStyle name="40% - Accent6 2 3 4 2 4" xfId="20654" xr:uid="{D2093362-082F-430B-994B-307262235642}"/>
    <cellStyle name="40% - Accent6 2 3 4 2 5" xfId="29094" xr:uid="{CAAABA5F-6E36-429F-874F-1764371FD177}"/>
    <cellStyle name="40% - Accent6 2 3 4 3" xfId="5836" xr:uid="{00000000-0005-0000-0000-000017070000}"/>
    <cellStyle name="40% - Accent6 2 3 4 3 2" xfId="14286" xr:uid="{BD3C5C31-7D92-4B3E-9B88-DFF965917496}"/>
    <cellStyle name="40% - Accent6 2 3 4 3 3" xfId="22726" xr:uid="{FB01E301-E376-45A3-8FC3-0FDABE7D130B}"/>
    <cellStyle name="40% - Accent6 2 3 4 3 4" xfId="31166" xr:uid="{B32B7D66-FA26-4E58-A05B-9A4D7B29307F}"/>
    <cellStyle name="40% - Accent6 2 3 4 4" xfId="10068" xr:uid="{7BE92839-7662-4D68-9E18-D47010260563}"/>
    <cellStyle name="40% - Accent6 2 3 4 5" xfId="18509" xr:uid="{19EE818E-55BB-431E-8AF2-50824C5D530C}"/>
    <cellStyle name="40% - Accent6 2 3 4 6" xfId="26949" xr:uid="{0D1AC255-448C-48B4-93FB-33C1497237F6}"/>
    <cellStyle name="40% - Accent6 2 3 5" xfId="1943" xr:uid="{00000000-0005-0000-0000-000018070000}"/>
    <cellStyle name="40% - Accent6 2 3 5 2" xfId="4172" xr:uid="{00000000-0005-0000-0000-000019070000}"/>
    <cellStyle name="40% - Accent6 2 3 5 2 2" xfId="8394" xr:uid="{00000000-0005-0000-0000-00001A070000}"/>
    <cellStyle name="40% - Accent6 2 3 5 2 2 2" xfId="16844" xr:uid="{1D5566C3-6A15-4295-BCA2-BE940D35CB2D}"/>
    <cellStyle name="40% - Accent6 2 3 5 2 2 3" xfId="25284" xr:uid="{445F4334-2F4C-4E02-A4CB-53382B2F619D}"/>
    <cellStyle name="40% - Accent6 2 3 5 2 2 4" xfId="33724" xr:uid="{DA66C223-9EAB-432C-9BC8-377ACC7BBDF3}"/>
    <cellStyle name="40% - Accent6 2 3 5 2 3" xfId="12626" xr:uid="{8AF7CFF1-CF51-4CF2-889F-39CD2E760844}"/>
    <cellStyle name="40% - Accent6 2 3 5 2 4" xfId="21067" xr:uid="{3BE9C664-91AA-460F-AA0A-6C923A08F899}"/>
    <cellStyle name="40% - Accent6 2 3 5 2 5" xfId="29507" xr:uid="{64742E46-24AE-46DD-AAA6-FA92970075A8}"/>
    <cellStyle name="40% - Accent6 2 3 5 3" xfId="6249" xr:uid="{00000000-0005-0000-0000-00001B070000}"/>
    <cellStyle name="40% - Accent6 2 3 5 3 2" xfId="14699" xr:uid="{1F450BFE-C576-418D-8DE0-6F2EF7673BE8}"/>
    <cellStyle name="40% - Accent6 2 3 5 3 3" xfId="23139" xr:uid="{DED2BE55-A1D1-41C9-A1B0-915D05C8B178}"/>
    <cellStyle name="40% - Accent6 2 3 5 3 4" xfId="31579" xr:uid="{D52053A8-0DE5-4780-8725-0C91EF118C94}"/>
    <cellStyle name="40% - Accent6 2 3 5 4" xfId="10481" xr:uid="{26749C93-2C49-4C36-AFEF-6480EEDE5272}"/>
    <cellStyle name="40% - Accent6 2 3 5 5" xfId="18922" xr:uid="{4154FFDD-13F1-4F52-9E8A-3FF41BB70B83}"/>
    <cellStyle name="40% - Accent6 2 3 5 6" xfId="27362" xr:uid="{477C9419-5D5E-4B61-B285-759E9CD6C87F}"/>
    <cellStyle name="40% - Accent6 2 3 6" xfId="2356" xr:uid="{00000000-0005-0000-0000-00001C070000}"/>
    <cellStyle name="40% - Accent6 2 3 6 2" xfId="6662" xr:uid="{00000000-0005-0000-0000-00001D070000}"/>
    <cellStyle name="40% - Accent6 2 3 6 2 2" xfId="15112" xr:uid="{9E802DBE-75C2-4935-A30C-AB1DEB69847D}"/>
    <cellStyle name="40% - Accent6 2 3 6 2 3" xfId="23552" xr:uid="{0AD4F473-EE79-432D-920A-6ECEB1C681B5}"/>
    <cellStyle name="40% - Accent6 2 3 6 2 4" xfId="31992" xr:uid="{B0455877-AAEE-45A9-8E9E-ECE16AC5FD2D}"/>
    <cellStyle name="40% - Accent6 2 3 6 3" xfId="10894" xr:uid="{2E502BEC-6C16-4A36-96C4-7738339F976E}"/>
    <cellStyle name="40% - Accent6 2 3 6 4" xfId="19335" xr:uid="{D8296C62-9ADA-49E4-9F05-894D6BF1A4AD}"/>
    <cellStyle name="40% - Accent6 2 3 6 5" xfId="27775" xr:uid="{AA6CDE4B-3077-46A5-B89A-D2087198EEE4}"/>
    <cellStyle name="40% - Accent6 2 3 7" xfId="4596" xr:uid="{00000000-0005-0000-0000-00001E070000}"/>
    <cellStyle name="40% - Accent6 2 3 7 2" xfId="13046" xr:uid="{1C33FCC3-658C-4E2C-927A-395C7254D542}"/>
    <cellStyle name="40% - Accent6 2 3 7 3" xfId="21486" xr:uid="{4BB8CC0A-9AEE-4F8B-978A-655137DEB979}"/>
    <cellStyle name="40% - Accent6 2 3 7 4" xfId="29926" xr:uid="{F3F0DF12-04BE-4751-AA5A-FBF96965E59D}"/>
    <cellStyle name="40% - Accent6 2 3 8" xfId="8828" xr:uid="{C2BD6864-7384-4F43-A791-9516D4499881}"/>
    <cellStyle name="40% - Accent6 2 3 9" xfId="17269" xr:uid="{A88A743A-3051-4FE4-B57A-15E5D3F706D7}"/>
    <cellStyle name="40% - Accent6 2 4" xfId="659" xr:uid="{00000000-0005-0000-0000-00001F070000}"/>
    <cellStyle name="40% - Accent6 2 4 2" xfId="2930" xr:uid="{00000000-0005-0000-0000-000020070000}"/>
    <cellStyle name="40% - Accent6 2 4 2 2" xfId="7152" xr:uid="{00000000-0005-0000-0000-000021070000}"/>
    <cellStyle name="40% - Accent6 2 4 2 2 2" xfId="15602" xr:uid="{F8CA46D0-A437-496D-BF20-488843850500}"/>
    <cellStyle name="40% - Accent6 2 4 2 2 3" xfId="24042" xr:uid="{9293B90E-C9BA-4EE5-B589-6CD4FC732653}"/>
    <cellStyle name="40% - Accent6 2 4 2 2 4" xfId="32482" xr:uid="{160754BB-8700-4037-8C24-C24D98CFF2EA}"/>
    <cellStyle name="40% - Accent6 2 4 2 3" xfId="11384" xr:uid="{924A8AE6-E81A-4336-AEDD-3012D0BAD738}"/>
    <cellStyle name="40% - Accent6 2 4 2 4" xfId="19825" xr:uid="{AFB21E2F-72C4-416E-8FFD-4C04DD9757CB}"/>
    <cellStyle name="40% - Accent6 2 4 2 5" xfId="28265" xr:uid="{10701F03-80F1-473C-8520-79BBB0F01A6E}"/>
    <cellStyle name="40% - Accent6 2 4 3" xfId="5007" xr:uid="{00000000-0005-0000-0000-000022070000}"/>
    <cellStyle name="40% - Accent6 2 4 3 2" xfId="13457" xr:uid="{DB00903C-BF11-466D-8E1C-FBD51956BF06}"/>
    <cellStyle name="40% - Accent6 2 4 3 3" xfId="21897" xr:uid="{F6B01391-8CA6-47B0-B41C-27C8703654D7}"/>
    <cellStyle name="40% - Accent6 2 4 3 4" xfId="30337" xr:uid="{47678E7C-8A74-4D0A-B07C-1B8948DD3F32}"/>
    <cellStyle name="40% - Accent6 2 4 4" xfId="9239" xr:uid="{4B995660-C192-4BB2-B407-DD78EC121764}"/>
    <cellStyle name="40% - Accent6 2 4 5" xfId="17680" xr:uid="{5B29BD52-2351-414E-8208-9D7588B8A0D2}"/>
    <cellStyle name="40% - Accent6 2 4 6" xfId="26120" xr:uid="{E97F0F67-5A99-4702-AA64-2C95B18F922B}"/>
    <cellStyle name="40% - Accent6 2 5" xfId="1112" xr:uid="{00000000-0005-0000-0000-000023070000}"/>
    <cellStyle name="40% - Accent6 2 5 2" xfId="3343" xr:uid="{00000000-0005-0000-0000-000024070000}"/>
    <cellStyle name="40% - Accent6 2 5 2 2" xfId="7565" xr:uid="{00000000-0005-0000-0000-000025070000}"/>
    <cellStyle name="40% - Accent6 2 5 2 2 2" xfId="16015" xr:uid="{941F2482-66C9-4A9C-8032-6EE823CC9EFE}"/>
    <cellStyle name="40% - Accent6 2 5 2 2 3" xfId="24455" xr:uid="{DB9DFAAD-0C63-4341-AC8B-AF4774FCAD7C}"/>
    <cellStyle name="40% - Accent6 2 5 2 2 4" xfId="32895" xr:uid="{86C54B71-DC7E-47E3-BC3A-2014F1D26411}"/>
    <cellStyle name="40% - Accent6 2 5 2 3" xfId="11797" xr:uid="{051A3F88-C90B-4317-9C33-009A67FE03EF}"/>
    <cellStyle name="40% - Accent6 2 5 2 4" xfId="20238" xr:uid="{A35BF6EA-2C35-47F8-A17F-956E2979F814}"/>
    <cellStyle name="40% - Accent6 2 5 2 5" xfId="28678" xr:uid="{B28B7A25-D5C1-47C8-82AA-9E473DF07D07}"/>
    <cellStyle name="40% - Accent6 2 5 3" xfId="5420" xr:uid="{00000000-0005-0000-0000-000026070000}"/>
    <cellStyle name="40% - Accent6 2 5 3 2" xfId="13870" xr:uid="{783503D7-0313-436B-93FD-36A1AE7BBB48}"/>
    <cellStyle name="40% - Accent6 2 5 3 3" xfId="22310" xr:uid="{4A5C5878-BC8F-462E-82CA-1C568E574A80}"/>
    <cellStyle name="40% - Accent6 2 5 3 4" xfId="30750" xr:uid="{67E17812-9B41-4011-B91F-384D99D1528B}"/>
    <cellStyle name="40% - Accent6 2 5 4" xfId="9652" xr:uid="{61885060-B863-493A-97AD-0C5414092576}"/>
    <cellStyle name="40% - Accent6 2 5 5" xfId="18093" xr:uid="{779548E4-A242-4438-A9A7-2DAC23EA2A57}"/>
    <cellStyle name="40% - Accent6 2 5 6" xfId="26533" xr:uid="{D645EC31-4D48-4FF4-9DD9-9961C2E362E8}"/>
    <cellStyle name="40% - Accent6 2 6" xfId="1526" xr:uid="{00000000-0005-0000-0000-000027070000}"/>
    <cellStyle name="40% - Accent6 2 6 2" xfId="3756" xr:uid="{00000000-0005-0000-0000-000028070000}"/>
    <cellStyle name="40% - Accent6 2 6 2 2" xfId="7978" xr:uid="{00000000-0005-0000-0000-000029070000}"/>
    <cellStyle name="40% - Accent6 2 6 2 2 2" xfId="16428" xr:uid="{DBB49C47-017E-4833-BF10-65E74FFE3719}"/>
    <cellStyle name="40% - Accent6 2 6 2 2 3" xfId="24868" xr:uid="{8C2F114B-DCEA-4556-B058-69F6E0FBAEEB}"/>
    <cellStyle name="40% - Accent6 2 6 2 2 4" xfId="33308" xr:uid="{D2D02934-13C7-4FD8-BD1B-30BD9C78917E}"/>
    <cellStyle name="40% - Accent6 2 6 2 3" xfId="12210" xr:uid="{121E6424-DE70-46BE-B7F2-76908BAD92CF}"/>
    <cellStyle name="40% - Accent6 2 6 2 4" xfId="20651" xr:uid="{00185A87-4C01-45A3-84A5-40D24F94276C}"/>
    <cellStyle name="40% - Accent6 2 6 2 5" xfId="29091" xr:uid="{875D4826-1930-46D6-B503-ADB6A1257AFA}"/>
    <cellStyle name="40% - Accent6 2 6 3" xfId="5833" xr:uid="{00000000-0005-0000-0000-00002A070000}"/>
    <cellStyle name="40% - Accent6 2 6 3 2" xfId="14283" xr:uid="{9089108C-564E-4CDD-BB99-165458ABC913}"/>
    <cellStyle name="40% - Accent6 2 6 3 3" xfId="22723" xr:uid="{484E21D7-3F5B-44BD-A9AC-FCE7B685C1FA}"/>
    <cellStyle name="40% - Accent6 2 6 3 4" xfId="31163" xr:uid="{DDD74AD2-2160-4DC0-8692-C7CE0DE58618}"/>
    <cellStyle name="40% - Accent6 2 6 4" xfId="10065" xr:uid="{EFDEF409-B3F3-4834-B50E-53FE672BCF41}"/>
    <cellStyle name="40% - Accent6 2 6 5" xfId="18506" xr:uid="{D4FDC700-1621-4F5B-851B-0B908540D283}"/>
    <cellStyle name="40% - Accent6 2 6 6" xfId="26946" xr:uid="{0B6FDFBD-FB66-425A-A163-8D4BF7D4196E}"/>
    <cellStyle name="40% - Accent6 2 7" xfId="1940" xr:uid="{00000000-0005-0000-0000-00002B070000}"/>
    <cellStyle name="40% - Accent6 2 7 2" xfId="4169" xr:uid="{00000000-0005-0000-0000-00002C070000}"/>
    <cellStyle name="40% - Accent6 2 7 2 2" xfId="8391" xr:uid="{00000000-0005-0000-0000-00002D070000}"/>
    <cellStyle name="40% - Accent6 2 7 2 2 2" xfId="16841" xr:uid="{76A39369-00B1-48C7-ACCC-08F51D45DC95}"/>
    <cellStyle name="40% - Accent6 2 7 2 2 3" xfId="25281" xr:uid="{5D9A3E64-8EFC-4EBE-B621-5B262331C4F0}"/>
    <cellStyle name="40% - Accent6 2 7 2 2 4" xfId="33721" xr:uid="{DD4745B4-3B3A-4D62-8CB8-9C7F675D4A6F}"/>
    <cellStyle name="40% - Accent6 2 7 2 3" xfId="12623" xr:uid="{5E7F122B-1660-4EF2-90E7-3F160A4B453E}"/>
    <cellStyle name="40% - Accent6 2 7 2 4" xfId="21064" xr:uid="{13B9DD95-4BB9-4E15-82A6-55961F88BCA7}"/>
    <cellStyle name="40% - Accent6 2 7 2 5" xfId="29504" xr:uid="{2362F177-91B8-44AC-8A88-09F3275A5D8E}"/>
    <cellStyle name="40% - Accent6 2 7 3" xfId="6246" xr:uid="{00000000-0005-0000-0000-00002E070000}"/>
    <cellStyle name="40% - Accent6 2 7 3 2" xfId="14696" xr:uid="{55DE041E-6355-4B8D-9F22-DABE58B7FEB3}"/>
    <cellStyle name="40% - Accent6 2 7 3 3" xfId="23136" xr:uid="{4B10C2AB-2B7E-4EE3-993E-6AFD05CEBB92}"/>
    <cellStyle name="40% - Accent6 2 7 3 4" xfId="31576" xr:uid="{BCA9C3CF-0F81-4615-BF6C-DDC4BEDD6988}"/>
    <cellStyle name="40% - Accent6 2 7 4" xfId="10478" xr:uid="{0168E6F2-F1A0-4EDA-8DD1-A99047F18CC0}"/>
    <cellStyle name="40% - Accent6 2 7 5" xfId="18919" xr:uid="{BDAD7C73-57AE-427F-9455-EF91584528D2}"/>
    <cellStyle name="40% - Accent6 2 7 6" xfId="27359" xr:uid="{42C00BD3-BF85-42BD-8155-6A8D1CA310DD}"/>
    <cellStyle name="40% - Accent6 2 8" xfId="2353" xr:uid="{00000000-0005-0000-0000-00002F070000}"/>
    <cellStyle name="40% - Accent6 2 8 2" xfId="6659" xr:uid="{00000000-0005-0000-0000-000030070000}"/>
    <cellStyle name="40% - Accent6 2 8 2 2" xfId="15109" xr:uid="{A2517A5E-4AAA-4314-A96C-E91DF54DBC44}"/>
    <cellStyle name="40% - Accent6 2 8 2 3" xfId="23549" xr:uid="{5010D82B-78C7-431A-8382-7655DEE279C3}"/>
    <cellStyle name="40% - Accent6 2 8 2 4" xfId="31989" xr:uid="{E892688B-1096-4FA5-A654-64ECEEC3E220}"/>
    <cellStyle name="40% - Accent6 2 8 3" xfId="10891" xr:uid="{16805A3B-385D-4898-AFBA-ECF573F32541}"/>
    <cellStyle name="40% - Accent6 2 8 4" xfId="19332" xr:uid="{B7138B9C-826B-4D3E-B56A-A98558579B7D}"/>
    <cellStyle name="40% - Accent6 2 8 5" xfId="27772" xr:uid="{6A2A6195-5C63-4136-B4D4-1161458EEE09}"/>
    <cellStyle name="40% - Accent6 2 9" xfId="4593" xr:uid="{00000000-0005-0000-0000-000031070000}"/>
    <cellStyle name="40% - Accent6 2 9 2" xfId="13043" xr:uid="{B3857E17-23D5-4C25-827E-3C92D3B93035}"/>
    <cellStyle name="40% - Accent6 2 9 3" xfId="21483" xr:uid="{618C3015-64FD-4970-A31E-C4E343D26009}"/>
    <cellStyle name="40% - Accent6 2 9 4" xfId="29923" xr:uid="{E59DD545-CC68-48C5-8444-34FDEFF085E1}"/>
    <cellStyle name="40% - Accent6 3" xfId="94" xr:uid="{00000000-0005-0000-0000-000032070000}"/>
    <cellStyle name="40% - Accent6 3 10" xfId="17270" xr:uid="{9E8FDAB7-DEF6-44EA-B155-376211BD3D4A}"/>
    <cellStyle name="40% - Accent6 3 11" xfId="25710" xr:uid="{EDF93A5B-B93C-403C-B352-8D55D318EC07}"/>
    <cellStyle name="40% - Accent6 3 2" xfId="95" xr:uid="{00000000-0005-0000-0000-000033070000}"/>
    <cellStyle name="40% - Accent6 3 2 10" xfId="25711" xr:uid="{CC06F654-D7A2-4121-BD16-61E777E36D87}"/>
    <cellStyle name="40% - Accent6 3 2 2" xfId="664" xr:uid="{00000000-0005-0000-0000-000034070000}"/>
    <cellStyle name="40% - Accent6 3 2 2 2" xfId="2935" xr:uid="{00000000-0005-0000-0000-000035070000}"/>
    <cellStyle name="40% - Accent6 3 2 2 2 2" xfId="7157" xr:uid="{00000000-0005-0000-0000-000036070000}"/>
    <cellStyle name="40% - Accent6 3 2 2 2 2 2" xfId="15607" xr:uid="{FC26D634-D999-4D35-A0C9-285F62120765}"/>
    <cellStyle name="40% - Accent6 3 2 2 2 2 3" xfId="24047" xr:uid="{F336C5BE-1B79-4D16-A918-7574612B8B84}"/>
    <cellStyle name="40% - Accent6 3 2 2 2 2 4" xfId="32487" xr:uid="{8E11F07A-E225-4773-8709-F28025118B48}"/>
    <cellStyle name="40% - Accent6 3 2 2 2 3" xfId="11389" xr:uid="{5FF5F66A-B0D9-4BE6-ADF1-CC9F511544B0}"/>
    <cellStyle name="40% - Accent6 3 2 2 2 4" xfId="19830" xr:uid="{D60B4F1C-FAC8-4E37-8BD5-7A7B22C8C7C6}"/>
    <cellStyle name="40% - Accent6 3 2 2 2 5" xfId="28270" xr:uid="{D5ED1810-579E-4285-AA07-A2E188572A1A}"/>
    <cellStyle name="40% - Accent6 3 2 2 3" xfId="5012" xr:uid="{00000000-0005-0000-0000-000037070000}"/>
    <cellStyle name="40% - Accent6 3 2 2 3 2" xfId="13462" xr:uid="{971EFF64-6575-472B-A66C-33A25A23657E}"/>
    <cellStyle name="40% - Accent6 3 2 2 3 3" xfId="21902" xr:uid="{0CA54B40-6FF0-44A0-A706-509895F7D9F6}"/>
    <cellStyle name="40% - Accent6 3 2 2 3 4" xfId="30342" xr:uid="{797C876F-6B0F-4FBB-9BE3-5F736373D11C}"/>
    <cellStyle name="40% - Accent6 3 2 2 4" xfId="9244" xr:uid="{5EB8B1DF-A694-4EC6-8475-7590423F621F}"/>
    <cellStyle name="40% - Accent6 3 2 2 5" xfId="17685" xr:uid="{02735472-73E9-400B-A4A9-05C54A930AE1}"/>
    <cellStyle name="40% - Accent6 3 2 2 6" xfId="26125" xr:uid="{C6E3CA81-A230-4A11-AEC4-D5A2D0F9EEAE}"/>
    <cellStyle name="40% - Accent6 3 2 3" xfId="1117" xr:uid="{00000000-0005-0000-0000-000038070000}"/>
    <cellStyle name="40% - Accent6 3 2 3 2" xfId="3348" xr:uid="{00000000-0005-0000-0000-000039070000}"/>
    <cellStyle name="40% - Accent6 3 2 3 2 2" xfId="7570" xr:uid="{00000000-0005-0000-0000-00003A070000}"/>
    <cellStyle name="40% - Accent6 3 2 3 2 2 2" xfId="16020" xr:uid="{DC46D077-ED46-46D9-A8FE-101FAFB5289C}"/>
    <cellStyle name="40% - Accent6 3 2 3 2 2 3" xfId="24460" xr:uid="{976CCB69-7575-4940-B550-1E7A27D3D35F}"/>
    <cellStyle name="40% - Accent6 3 2 3 2 2 4" xfId="32900" xr:uid="{91D6A756-5C96-493A-B915-CB651B1FCD65}"/>
    <cellStyle name="40% - Accent6 3 2 3 2 3" xfId="11802" xr:uid="{76874262-355D-4D59-B3E7-7E83725FFA75}"/>
    <cellStyle name="40% - Accent6 3 2 3 2 4" xfId="20243" xr:uid="{71C13EEA-A621-4511-AACF-C381F61D7867}"/>
    <cellStyle name="40% - Accent6 3 2 3 2 5" xfId="28683" xr:uid="{0519487A-F264-4BA2-8CD1-41C0AA8AF0B9}"/>
    <cellStyle name="40% - Accent6 3 2 3 3" xfId="5425" xr:uid="{00000000-0005-0000-0000-00003B070000}"/>
    <cellStyle name="40% - Accent6 3 2 3 3 2" xfId="13875" xr:uid="{5073FABB-EE36-4B64-BE34-84681C0D7042}"/>
    <cellStyle name="40% - Accent6 3 2 3 3 3" xfId="22315" xr:uid="{7F4135CD-70AA-4865-867C-FB0B584150F9}"/>
    <cellStyle name="40% - Accent6 3 2 3 3 4" xfId="30755" xr:uid="{82700677-60E7-4565-AD89-B715CE6196F2}"/>
    <cellStyle name="40% - Accent6 3 2 3 4" xfId="9657" xr:uid="{A75DFE08-347A-4C91-B1D9-F3534B33DC0E}"/>
    <cellStyle name="40% - Accent6 3 2 3 5" xfId="18098" xr:uid="{5B6F71A3-4964-4CD0-AE81-280FC407CF32}"/>
    <cellStyle name="40% - Accent6 3 2 3 6" xfId="26538" xr:uid="{33563D66-0DDC-42FB-B29D-F130301DCCCA}"/>
    <cellStyle name="40% - Accent6 3 2 4" xfId="1531" xr:uid="{00000000-0005-0000-0000-00003C070000}"/>
    <cellStyle name="40% - Accent6 3 2 4 2" xfId="3761" xr:uid="{00000000-0005-0000-0000-00003D070000}"/>
    <cellStyle name="40% - Accent6 3 2 4 2 2" xfId="7983" xr:uid="{00000000-0005-0000-0000-00003E070000}"/>
    <cellStyle name="40% - Accent6 3 2 4 2 2 2" xfId="16433" xr:uid="{496F439A-6B01-4549-B554-A260E7DDAAD9}"/>
    <cellStyle name="40% - Accent6 3 2 4 2 2 3" xfId="24873" xr:uid="{96361FD3-6C6D-4675-B5C1-41855A62FA89}"/>
    <cellStyle name="40% - Accent6 3 2 4 2 2 4" xfId="33313" xr:uid="{9A44C6CD-B483-46EB-B2F7-B63DBAE370D2}"/>
    <cellStyle name="40% - Accent6 3 2 4 2 3" xfId="12215" xr:uid="{A1CD68BB-B3B5-4B6A-AAB4-272596810AE1}"/>
    <cellStyle name="40% - Accent6 3 2 4 2 4" xfId="20656" xr:uid="{A403A0BE-254D-4F0C-8AB0-81FA02E4BB2B}"/>
    <cellStyle name="40% - Accent6 3 2 4 2 5" xfId="29096" xr:uid="{34C50BC8-2D84-4E30-B46E-CBFD52075E4C}"/>
    <cellStyle name="40% - Accent6 3 2 4 3" xfId="5838" xr:uid="{00000000-0005-0000-0000-00003F070000}"/>
    <cellStyle name="40% - Accent6 3 2 4 3 2" xfId="14288" xr:uid="{DFC7F797-5F5B-436B-8D17-859DC52DBA2C}"/>
    <cellStyle name="40% - Accent6 3 2 4 3 3" xfId="22728" xr:uid="{99D42841-CA58-4BD4-B818-9C4BA2DE23BB}"/>
    <cellStyle name="40% - Accent6 3 2 4 3 4" xfId="31168" xr:uid="{32C2959E-14B2-4B33-80AE-0CE549D25D0C}"/>
    <cellStyle name="40% - Accent6 3 2 4 4" xfId="10070" xr:uid="{5FAEE5B3-0A56-45F8-A017-C38E8B9C274F}"/>
    <cellStyle name="40% - Accent6 3 2 4 5" xfId="18511" xr:uid="{75B2C946-BF3B-4D0E-973F-DC36FD8B7E6B}"/>
    <cellStyle name="40% - Accent6 3 2 4 6" xfId="26951" xr:uid="{D0DC5A43-73AB-4955-BFF6-64A8283A420A}"/>
    <cellStyle name="40% - Accent6 3 2 5" xfId="1945" xr:uid="{00000000-0005-0000-0000-000040070000}"/>
    <cellStyle name="40% - Accent6 3 2 5 2" xfId="4174" xr:uid="{00000000-0005-0000-0000-000041070000}"/>
    <cellStyle name="40% - Accent6 3 2 5 2 2" xfId="8396" xr:uid="{00000000-0005-0000-0000-000042070000}"/>
    <cellStyle name="40% - Accent6 3 2 5 2 2 2" xfId="16846" xr:uid="{BB7C9A65-504A-4FCB-9437-D8E1250D5821}"/>
    <cellStyle name="40% - Accent6 3 2 5 2 2 3" xfId="25286" xr:uid="{E50A6631-30DE-4318-B884-66EFF0CF5678}"/>
    <cellStyle name="40% - Accent6 3 2 5 2 2 4" xfId="33726" xr:uid="{11E97427-94D9-4248-BA20-D546F6555D20}"/>
    <cellStyle name="40% - Accent6 3 2 5 2 3" xfId="12628" xr:uid="{12077463-9104-4D42-B436-E7F44690F78C}"/>
    <cellStyle name="40% - Accent6 3 2 5 2 4" xfId="21069" xr:uid="{7E06640F-6FEB-45D4-B9D3-DCCB490E3908}"/>
    <cellStyle name="40% - Accent6 3 2 5 2 5" xfId="29509" xr:uid="{372BAA05-A509-4625-B0B4-0BFBEB3A7862}"/>
    <cellStyle name="40% - Accent6 3 2 5 3" xfId="6251" xr:uid="{00000000-0005-0000-0000-000043070000}"/>
    <cellStyle name="40% - Accent6 3 2 5 3 2" xfId="14701" xr:uid="{D92FE078-B722-43BC-AF73-012C1E108B0D}"/>
    <cellStyle name="40% - Accent6 3 2 5 3 3" xfId="23141" xr:uid="{041BABB2-48D8-4DD9-B60D-8841E241094A}"/>
    <cellStyle name="40% - Accent6 3 2 5 3 4" xfId="31581" xr:uid="{2C541E72-693D-40F0-B92B-7CF6E804C76A}"/>
    <cellStyle name="40% - Accent6 3 2 5 4" xfId="10483" xr:uid="{3E83A742-8C76-48D3-B616-F07BD161039A}"/>
    <cellStyle name="40% - Accent6 3 2 5 5" xfId="18924" xr:uid="{9E947892-31D2-41FD-915C-AA9351411BE4}"/>
    <cellStyle name="40% - Accent6 3 2 5 6" xfId="27364" xr:uid="{A1040925-003A-4337-A9DB-E69A3AF08EEC}"/>
    <cellStyle name="40% - Accent6 3 2 6" xfId="2358" xr:uid="{00000000-0005-0000-0000-000044070000}"/>
    <cellStyle name="40% - Accent6 3 2 6 2" xfId="6664" xr:uid="{00000000-0005-0000-0000-000045070000}"/>
    <cellStyle name="40% - Accent6 3 2 6 2 2" xfId="15114" xr:uid="{06BA07F7-9740-49F7-813F-E07AA37101D5}"/>
    <cellStyle name="40% - Accent6 3 2 6 2 3" xfId="23554" xr:uid="{A08E18B4-523D-46E9-893F-96C7EB6347E1}"/>
    <cellStyle name="40% - Accent6 3 2 6 2 4" xfId="31994" xr:uid="{855EB1D0-61FF-4143-825B-F8C924F49DDA}"/>
    <cellStyle name="40% - Accent6 3 2 6 3" xfId="10896" xr:uid="{A02727E7-508F-4C47-A3B8-E214B6EBC0FB}"/>
    <cellStyle name="40% - Accent6 3 2 6 4" xfId="19337" xr:uid="{A0057B29-735C-495A-9FBD-DEB0532310B0}"/>
    <cellStyle name="40% - Accent6 3 2 6 5" xfId="27777" xr:uid="{572D2C4B-117B-459E-BF3D-EDAAF81853B2}"/>
    <cellStyle name="40% - Accent6 3 2 7" xfId="4598" xr:uid="{00000000-0005-0000-0000-000046070000}"/>
    <cellStyle name="40% - Accent6 3 2 7 2" xfId="13048" xr:uid="{1AD377CE-B0F6-47D9-9CC3-FE14466855B2}"/>
    <cellStyle name="40% - Accent6 3 2 7 3" xfId="21488" xr:uid="{7324DC25-4F43-4891-9B3E-AE011FEF3571}"/>
    <cellStyle name="40% - Accent6 3 2 7 4" xfId="29928" xr:uid="{9896B8E1-0E2B-4BF6-86FC-F106BF67AE5A}"/>
    <cellStyle name="40% - Accent6 3 2 8" xfId="8830" xr:uid="{551AB752-A876-41ED-8412-5ED0EB1F38B7}"/>
    <cellStyle name="40% - Accent6 3 2 9" xfId="17271" xr:uid="{01DF546E-EA6D-4D73-8BB0-A09D11FF6D75}"/>
    <cellStyle name="40% - Accent6 3 3" xfId="663" xr:uid="{00000000-0005-0000-0000-000047070000}"/>
    <cellStyle name="40% - Accent6 3 3 2" xfId="2934" xr:uid="{00000000-0005-0000-0000-000048070000}"/>
    <cellStyle name="40% - Accent6 3 3 2 2" xfId="7156" xr:uid="{00000000-0005-0000-0000-000049070000}"/>
    <cellStyle name="40% - Accent6 3 3 2 2 2" xfId="15606" xr:uid="{8C10EA56-8C7C-40AF-9954-1C2C7AE07368}"/>
    <cellStyle name="40% - Accent6 3 3 2 2 3" xfId="24046" xr:uid="{DB6E268F-889B-4F34-93D0-4E3AA8697AB2}"/>
    <cellStyle name="40% - Accent6 3 3 2 2 4" xfId="32486" xr:uid="{8C87CEEC-D813-4FCA-8FC2-695969505B82}"/>
    <cellStyle name="40% - Accent6 3 3 2 3" xfId="11388" xr:uid="{236F725B-8644-49C3-AC28-DCE5199A6326}"/>
    <cellStyle name="40% - Accent6 3 3 2 4" xfId="19829" xr:uid="{86A6DD82-4633-4656-AC60-461C5A4D6119}"/>
    <cellStyle name="40% - Accent6 3 3 2 5" xfId="28269" xr:uid="{D7191AC6-DDEA-4C17-BAB4-75B65ED6A812}"/>
    <cellStyle name="40% - Accent6 3 3 3" xfId="5011" xr:uid="{00000000-0005-0000-0000-00004A070000}"/>
    <cellStyle name="40% - Accent6 3 3 3 2" xfId="13461" xr:uid="{7168E0F0-D68E-486C-AE7B-DAA5A94522F2}"/>
    <cellStyle name="40% - Accent6 3 3 3 3" xfId="21901" xr:uid="{DF4278D3-4B53-4424-A6D3-858BBB3328C0}"/>
    <cellStyle name="40% - Accent6 3 3 3 4" xfId="30341" xr:uid="{B9B6B824-5EE8-4DE5-B930-2C7BB6E7852C}"/>
    <cellStyle name="40% - Accent6 3 3 4" xfId="9243" xr:uid="{8990E5C9-B22F-4158-845C-5D88383F702A}"/>
    <cellStyle name="40% - Accent6 3 3 5" xfId="17684" xr:uid="{6E4DA6DA-4EB8-4134-81C9-A7869CC24590}"/>
    <cellStyle name="40% - Accent6 3 3 6" xfId="26124" xr:uid="{FE995ABA-DF84-444C-B4BB-381B8BB7EEB4}"/>
    <cellStyle name="40% - Accent6 3 4" xfId="1116" xr:uid="{00000000-0005-0000-0000-00004B070000}"/>
    <cellStyle name="40% - Accent6 3 4 2" xfId="3347" xr:uid="{00000000-0005-0000-0000-00004C070000}"/>
    <cellStyle name="40% - Accent6 3 4 2 2" xfId="7569" xr:uid="{00000000-0005-0000-0000-00004D070000}"/>
    <cellStyle name="40% - Accent6 3 4 2 2 2" xfId="16019" xr:uid="{843CA176-9494-49F5-A77C-B3FB447B1236}"/>
    <cellStyle name="40% - Accent6 3 4 2 2 3" xfId="24459" xr:uid="{ADEFB76D-8B9C-4DF1-A66F-3CCF352555DF}"/>
    <cellStyle name="40% - Accent6 3 4 2 2 4" xfId="32899" xr:uid="{8DAB912D-4067-4A98-9141-B2B388294F1C}"/>
    <cellStyle name="40% - Accent6 3 4 2 3" xfId="11801" xr:uid="{8FB3A634-26E4-4937-89D4-D90D270C10A5}"/>
    <cellStyle name="40% - Accent6 3 4 2 4" xfId="20242" xr:uid="{52B43772-1695-47DC-A0DA-C9009ADF1A50}"/>
    <cellStyle name="40% - Accent6 3 4 2 5" xfId="28682" xr:uid="{9D7AF464-CCE4-4B98-8124-D57C0C35831D}"/>
    <cellStyle name="40% - Accent6 3 4 3" xfId="5424" xr:uid="{00000000-0005-0000-0000-00004E070000}"/>
    <cellStyle name="40% - Accent6 3 4 3 2" xfId="13874" xr:uid="{B4693306-AE60-4EC0-9364-B8D6026ED589}"/>
    <cellStyle name="40% - Accent6 3 4 3 3" xfId="22314" xr:uid="{EA963895-B345-45E0-AB08-7908CB551014}"/>
    <cellStyle name="40% - Accent6 3 4 3 4" xfId="30754" xr:uid="{41E97460-9145-4ABB-9533-D198B5EBC169}"/>
    <cellStyle name="40% - Accent6 3 4 4" xfId="9656" xr:uid="{C1AC2F20-DABE-4358-877B-FA772E94166E}"/>
    <cellStyle name="40% - Accent6 3 4 5" xfId="18097" xr:uid="{ED0CEB8F-5F6F-4297-AE25-308E17CC0E3E}"/>
    <cellStyle name="40% - Accent6 3 4 6" xfId="26537" xr:uid="{D41BE65F-26F0-4BA6-89B6-9CABEEBD4867}"/>
    <cellStyle name="40% - Accent6 3 5" xfId="1530" xr:uid="{00000000-0005-0000-0000-00004F070000}"/>
    <cellStyle name="40% - Accent6 3 5 2" xfId="3760" xr:uid="{00000000-0005-0000-0000-000050070000}"/>
    <cellStyle name="40% - Accent6 3 5 2 2" xfId="7982" xr:uid="{00000000-0005-0000-0000-000051070000}"/>
    <cellStyle name="40% - Accent6 3 5 2 2 2" xfId="16432" xr:uid="{4ED7D37E-65FA-4252-9607-4D5AB037B7A8}"/>
    <cellStyle name="40% - Accent6 3 5 2 2 3" xfId="24872" xr:uid="{0EA8F092-7876-4B62-9E1F-410EECCBCBB1}"/>
    <cellStyle name="40% - Accent6 3 5 2 2 4" xfId="33312" xr:uid="{A59379D7-3CFE-4FFE-815D-747B4D7733FA}"/>
    <cellStyle name="40% - Accent6 3 5 2 3" xfId="12214" xr:uid="{BB083C2A-C628-4CC6-ACB0-00DB741FA6FD}"/>
    <cellStyle name="40% - Accent6 3 5 2 4" xfId="20655" xr:uid="{075224CA-3EAE-4CE5-A3C8-0C14E627767F}"/>
    <cellStyle name="40% - Accent6 3 5 2 5" xfId="29095" xr:uid="{C259FD93-B200-487F-BA47-9B70B6C80D83}"/>
    <cellStyle name="40% - Accent6 3 5 3" xfId="5837" xr:uid="{00000000-0005-0000-0000-000052070000}"/>
    <cellStyle name="40% - Accent6 3 5 3 2" xfId="14287" xr:uid="{0F44936C-6247-4B8B-9680-DADA464A9305}"/>
    <cellStyle name="40% - Accent6 3 5 3 3" xfId="22727" xr:uid="{8B73F860-92D8-496A-A050-3804CE81DD03}"/>
    <cellStyle name="40% - Accent6 3 5 3 4" xfId="31167" xr:uid="{690E97AE-8F67-4CFC-A206-DC69273ED4AF}"/>
    <cellStyle name="40% - Accent6 3 5 4" xfId="10069" xr:uid="{4E905E91-8DD2-40C6-B4E1-682A3F2488CC}"/>
    <cellStyle name="40% - Accent6 3 5 5" xfId="18510" xr:uid="{D40B31FD-E094-44ED-873C-95E40842A784}"/>
    <cellStyle name="40% - Accent6 3 5 6" xfId="26950" xr:uid="{94E2B47A-8C3C-4548-A530-A61E4119552B}"/>
    <cellStyle name="40% - Accent6 3 6" xfId="1944" xr:uid="{00000000-0005-0000-0000-000053070000}"/>
    <cellStyle name="40% - Accent6 3 6 2" xfId="4173" xr:uid="{00000000-0005-0000-0000-000054070000}"/>
    <cellStyle name="40% - Accent6 3 6 2 2" xfId="8395" xr:uid="{00000000-0005-0000-0000-000055070000}"/>
    <cellStyle name="40% - Accent6 3 6 2 2 2" xfId="16845" xr:uid="{E26EFF73-BD9F-4652-8A71-0A9B7BAF35B6}"/>
    <cellStyle name="40% - Accent6 3 6 2 2 3" xfId="25285" xr:uid="{24B59AC4-DC75-4892-980E-5043732E9CBE}"/>
    <cellStyle name="40% - Accent6 3 6 2 2 4" xfId="33725" xr:uid="{CD5EB77D-FE1B-434C-AFAE-108AD6D36F2D}"/>
    <cellStyle name="40% - Accent6 3 6 2 3" xfId="12627" xr:uid="{6AC1010A-1098-41EB-BFC3-D6EE1E8AB691}"/>
    <cellStyle name="40% - Accent6 3 6 2 4" xfId="21068" xr:uid="{C1ACE124-54B4-47A1-8752-FA3D415D324B}"/>
    <cellStyle name="40% - Accent6 3 6 2 5" xfId="29508" xr:uid="{023F2298-D0F6-40A6-AEA4-4B5CCB7C15A5}"/>
    <cellStyle name="40% - Accent6 3 6 3" xfId="6250" xr:uid="{00000000-0005-0000-0000-000056070000}"/>
    <cellStyle name="40% - Accent6 3 6 3 2" xfId="14700" xr:uid="{7825D966-771D-4229-88DD-084D4CCD55FE}"/>
    <cellStyle name="40% - Accent6 3 6 3 3" xfId="23140" xr:uid="{08D4C784-AF9C-4506-9408-0667C91E69EB}"/>
    <cellStyle name="40% - Accent6 3 6 3 4" xfId="31580" xr:uid="{4269474E-57AE-46CD-822D-F853F8BD0C79}"/>
    <cellStyle name="40% - Accent6 3 6 4" xfId="10482" xr:uid="{5123E166-3440-4045-A58B-A32CA9E18700}"/>
    <cellStyle name="40% - Accent6 3 6 5" xfId="18923" xr:uid="{A7289245-C97B-453A-A781-A955C8E3079F}"/>
    <cellStyle name="40% - Accent6 3 6 6" xfId="27363" xr:uid="{4A19C8F6-E6A9-426E-9A53-2D768E7A67E3}"/>
    <cellStyle name="40% - Accent6 3 7" xfId="2357" xr:uid="{00000000-0005-0000-0000-000057070000}"/>
    <cellStyle name="40% - Accent6 3 7 2" xfId="6663" xr:uid="{00000000-0005-0000-0000-000058070000}"/>
    <cellStyle name="40% - Accent6 3 7 2 2" xfId="15113" xr:uid="{ADE0395E-7879-455B-A932-137F3A58874D}"/>
    <cellStyle name="40% - Accent6 3 7 2 3" xfId="23553" xr:uid="{40FB97A9-0376-4E97-9391-5BBFC3A6106B}"/>
    <cellStyle name="40% - Accent6 3 7 2 4" xfId="31993" xr:uid="{D56C7C58-243F-40BC-BFB8-EA3CD90683EA}"/>
    <cellStyle name="40% - Accent6 3 7 3" xfId="10895" xr:uid="{63AEE4AF-7576-486B-BC3F-B3B4AE41999C}"/>
    <cellStyle name="40% - Accent6 3 7 4" xfId="19336" xr:uid="{432B8B66-7467-455A-BD52-460EE8262882}"/>
    <cellStyle name="40% - Accent6 3 7 5" xfId="27776" xr:uid="{318A9EFF-0C0F-4DEE-AC8A-4AD18034BFA4}"/>
    <cellStyle name="40% - Accent6 3 8" xfId="4597" xr:uid="{00000000-0005-0000-0000-000059070000}"/>
    <cellStyle name="40% - Accent6 3 8 2" xfId="13047" xr:uid="{00B3FFA7-1A99-4B5B-B1AA-C8E4722667D6}"/>
    <cellStyle name="40% - Accent6 3 8 3" xfId="21487" xr:uid="{CDD2CB2D-6697-45BB-B65D-0C5AC3548D4B}"/>
    <cellStyle name="40% - Accent6 3 8 4" xfId="29927" xr:uid="{212C9145-4DE1-4CDE-8FB0-BDB0F6C524D1}"/>
    <cellStyle name="40% - Accent6 3 9" xfId="8829" xr:uid="{B5D38B8A-674C-470E-882D-3A57B386AFC8}"/>
    <cellStyle name="40% - Accent6 4" xfId="96" xr:uid="{00000000-0005-0000-0000-00005A070000}"/>
    <cellStyle name="40% - Accent6 4 10" xfId="25712" xr:uid="{5143FCCD-78C5-4127-9987-ED5824EE8039}"/>
    <cellStyle name="40% - Accent6 4 2" xfId="665" xr:uid="{00000000-0005-0000-0000-00005B070000}"/>
    <cellStyle name="40% - Accent6 4 2 2" xfId="2936" xr:uid="{00000000-0005-0000-0000-00005C070000}"/>
    <cellStyle name="40% - Accent6 4 2 2 2" xfId="7158" xr:uid="{00000000-0005-0000-0000-00005D070000}"/>
    <cellStyle name="40% - Accent6 4 2 2 2 2" xfId="15608" xr:uid="{89EDBBBD-7353-420F-8659-F319A103AE3B}"/>
    <cellStyle name="40% - Accent6 4 2 2 2 3" xfId="24048" xr:uid="{A911D2C2-A726-413C-82E1-E0888F7B7A27}"/>
    <cellStyle name="40% - Accent6 4 2 2 2 4" xfId="32488" xr:uid="{171164DA-C5C9-4A7E-AD92-8DD7762909DA}"/>
    <cellStyle name="40% - Accent6 4 2 2 3" xfId="11390" xr:uid="{38706B78-B591-4606-9651-1388A6C13907}"/>
    <cellStyle name="40% - Accent6 4 2 2 4" xfId="19831" xr:uid="{40828819-6874-4439-A51E-1E2D9404F954}"/>
    <cellStyle name="40% - Accent6 4 2 2 5" xfId="28271" xr:uid="{279AD7DE-13F1-4C34-A162-214F58BAAA6A}"/>
    <cellStyle name="40% - Accent6 4 2 3" xfId="5013" xr:uid="{00000000-0005-0000-0000-00005E070000}"/>
    <cellStyle name="40% - Accent6 4 2 3 2" xfId="13463" xr:uid="{50D7A29A-5097-4E6B-8703-BE9B38998C01}"/>
    <cellStyle name="40% - Accent6 4 2 3 3" xfId="21903" xr:uid="{C3E30675-4CF4-4813-B3AA-1C8F07865887}"/>
    <cellStyle name="40% - Accent6 4 2 3 4" xfId="30343" xr:uid="{21D3758D-F2FF-456B-B128-E01DF5D4FB78}"/>
    <cellStyle name="40% - Accent6 4 2 4" xfId="9245" xr:uid="{1DA05A00-8D47-496A-AEFE-CB30B7B006FB}"/>
    <cellStyle name="40% - Accent6 4 2 5" xfId="17686" xr:uid="{573FD8F6-02AA-4CBD-B5ED-73FE0CFACEEE}"/>
    <cellStyle name="40% - Accent6 4 2 6" xfId="26126" xr:uid="{F6B2432C-8B5C-410E-ABD1-406C1BEE1FAA}"/>
    <cellStyle name="40% - Accent6 4 3" xfId="1118" xr:uid="{00000000-0005-0000-0000-00005F070000}"/>
    <cellStyle name="40% - Accent6 4 3 2" xfId="3349" xr:uid="{00000000-0005-0000-0000-000060070000}"/>
    <cellStyle name="40% - Accent6 4 3 2 2" xfId="7571" xr:uid="{00000000-0005-0000-0000-000061070000}"/>
    <cellStyle name="40% - Accent6 4 3 2 2 2" xfId="16021" xr:uid="{D1E72DC5-304D-4C03-8AC9-81E977CE587C}"/>
    <cellStyle name="40% - Accent6 4 3 2 2 3" xfId="24461" xr:uid="{3F537081-18D1-4C28-9820-251BFF27109A}"/>
    <cellStyle name="40% - Accent6 4 3 2 2 4" xfId="32901" xr:uid="{39842F85-FF1C-4CC3-BC83-C69DF97DEE37}"/>
    <cellStyle name="40% - Accent6 4 3 2 3" xfId="11803" xr:uid="{7BF36015-C61C-42F6-AFAC-A22F24B260FE}"/>
    <cellStyle name="40% - Accent6 4 3 2 4" xfId="20244" xr:uid="{25575D03-015B-40D5-B05C-84C30A69A668}"/>
    <cellStyle name="40% - Accent6 4 3 2 5" xfId="28684" xr:uid="{EDB6E34D-143F-4529-AD81-00840BAA2974}"/>
    <cellStyle name="40% - Accent6 4 3 3" xfId="5426" xr:uid="{00000000-0005-0000-0000-000062070000}"/>
    <cellStyle name="40% - Accent6 4 3 3 2" xfId="13876" xr:uid="{74FC8B9B-F236-4D1E-8A19-81DB7ABCD7CA}"/>
    <cellStyle name="40% - Accent6 4 3 3 3" xfId="22316" xr:uid="{AE534BC3-07A4-4CAC-B0D1-E4A7166E8193}"/>
    <cellStyle name="40% - Accent6 4 3 3 4" xfId="30756" xr:uid="{348EECA1-8994-442E-B96F-91D37DD923A5}"/>
    <cellStyle name="40% - Accent6 4 3 4" xfId="9658" xr:uid="{CDED267A-E3C2-4661-9336-D2BF25596CDA}"/>
    <cellStyle name="40% - Accent6 4 3 5" xfId="18099" xr:uid="{C8D4C83B-CD1A-4823-A4A1-1032BD3199F1}"/>
    <cellStyle name="40% - Accent6 4 3 6" xfId="26539" xr:uid="{70AE9658-0FB2-4812-81BB-812A69C80A87}"/>
    <cellStyle name="40% - Accent6 4 4" xfId="1532" xr:uid="{00000000-0005-0000-0000-000063070000}"/>
    <cellStyle name="40% - Accent6 4 4 2" xfId="3762" xr:uid="{00000000-0005-0000-0000-000064070000}"/>
    <cellStyle name="40% - Accent6 4 4 2 2" xfId="7984" xr:uid="{00000000-0005-0000-0000-000065070000}"/>
    <cellStyle name="40% - Accent6 4 4 2 2 2" xfId="16434" xr:uid="{FF5029C1-6D23-432D-955D-65334CF8E68B}"/>
    <cellStyle name="40% - Accent6 4 4 2 2 3" xfId="24874" xr:uid="{F101DF82-D802-4F99-BC83-CC83E2AA42F9}"/>
    <cellStyle name="40% - Accent6 4 4 2 2 4" xfId="33314" xr:uid="{0F48293A-96DB-4A23-87D1-4A195914FAAC}"/>
    <cellStyle name="40% - Accent6 4 4 2 3" xfId="12216" xr:uid="{78E8397B-4221-4ADC-BC73-AB051DFF6F8A}"/>
    <cellStyle name="40% - Accent6 4 4 2 4" xfId="20657" xr:uid="{11464367-1875-4AA9-B44F-17C681A5DDAC}"/>
    <cellStyle name="40% - Accent6 4 4 2 5" xfId="29097" xr:uid="{7D26DCD3-E054-4731-A089-A07CB1F6B19E}"/>
    <cellStyle name="40% - Accent6 4 4 3" xfId="5839" xr:uid="{00000000-0005-0000-0000-000066070000}"/>
    <cellStyle name="40% - Accent6 4 4 3 2" xfId="14289" xr:uid="{BF7E871B-C85C-4F90-BAB2-1691F3624581}"/>
    <cellStyle name="40% - Accent6 4 4 3 3" xfId="22729" xr:uid="{203B835C-6C4D-4BBD-AD2B-11C9211146B8}"/>
    <cellStyle name="40% - Accent6 4 4 3 4" xfId="31169" xr:uid="{C0443869-5602-411B-AB05-5D99CCF94CB0}"/>
    <cellStyle name="40% - Accent6 4 4 4" xfId="10071" xr:uid="{67989995-8665-4519-9CC4-25119C1EAC59}"/>
    <cellStyle name="40% - Accent6 4 4 5" xfId="18512" xr:uid="{5D67A500-F348-4A5D-8F5B-2F791ACBC19E}"/>
    <cellStyle name="40% - Accent6 4 4 6" xfId="26952" xr:uid="{0CD45340-2F13-4AF5-91AF-11BE368953FC}"/>
    <cellStyle name="40% - Accent6 4 5" xfId="1946" xr:uid="{00000000-0005-0000-0000-000067070000}"/>
    <cellStyle name="40% - Accent6 4 5 2" xfId="4175" xr:uid="{00000000-0005-0000-0000-000068070000}"/>
    <cellStyle name="40% - Accent6 4 5 2 2" xfId="8397" xr:uid="{00000000-0005-0000-0000-000069070000}"/>
    <cellStyle name="40% - Accent6 4 5 2 2 2" xfId="16847" xr:uid="{6B1FC874-147E-4072-97E9-716B86F923A8}"/>
    <cellStyle name="40% - Accent6 4 5 2 2 3" xfId="25287" xr:uid="{4A4B772F-CC6E-4795-B082-900EBAC96D7B}"/>
    <cellStyle name="40% - Accent6 4 5 2 2 4" xfId="33727" xr:uid="{C7AF8E57-F55B-4E3B-A769-1AF449AB004A}"/>
    <cellStyle name="40% - Accent6 4 5 2 3" xfId="12629" xr:uid="{CCD0E2C0-1E18-454F-8CF9-45B695CE2E36}"/>
    <cellStyle name="40% - Accent6 4 5 2 4" xfId="21070" xr:uid="{AE5C50E5-0EDB-47C7-AEFC-C99B806A2236}"/>
    <cellStyle name="40% - Accent6 4 5 2 5" xfId="29510" xr:uid="{2285F4F9-4A3B-4EDB-9E5C-4E5A41E1B23E}"/>
    <cellStyle name="40% - Accent6 4 5 3" xfId="6252" xr:uid="{00000000-0005-0000-0000-00006A070000}"/>
    <cellStyle name="40% - Accent6 4 5 3 2" xfId="14702" xr:uid="{6C169149-7F29-4258-8B27-B33A6F4A9A29}"/>
    <cellStyle name="40% - Accent6 4 5 3 3" xfId="23142" xr:uid="{7A1186B1-8C33-48D3-8CF6-C56BB27E5B70}"/>
    <cellStyle name="40% - Accent6 4 5 3 4" xfId="31582" xr:uid="{031AF3F9-1A6B-47E9-BBEC-C7B3A39F60EC}"/>
    <cellStyle name="40% - Accent6 4 5 4" xfId="10484" xr:uid="{7D8241C5-639B-4ED2-BDDB-8EA03AD9239A}"/>
    <cellStyle name="40% - Accent6 4 5 5" xfId="18925" xr:uid="{25F1A0A0-46DE-45FD-BFFA-05CFD4303FAE}"/>
    <cellStyle name="40% - Accent6 4 5 6" xfId="27365" xr:uid="{756F571E-32CC-44F1-9537-9F92BF955F31}"/>
    <cellStyle name="40% - Accent6 4 6" xfId="2359" xr:uid="{00000000-0005-0000-0000-00006B070000}"/>
    <cellStyle name="40% - Accent6 4 6 2" xfId="6665" xr:uid="{00000000-0005-0000-0000-00006C070000}"/>
    <cellStyle name="40% - Accent6 4 6 2 2" xfId="15115" xr:uid="{EC0368B9-7BEA-4E29-80AF-9BC05AED8672}"/>
    <cellStyle name="40% - Accent6 4 6 2 3" xfId="23555" xr:uid="{5B89D0B0-1FED-4789-A588-1452E844C7D6}"/>
    <cellStyle name="40% - Accent6 4 6 2 4" xfId="31995" xr:uid="{1D86EDB1-56B0-4288-A59A-D4D0F747B87F}"/>
    <cellStyle name="40% - Accent6 4 6 3" xfId="10897" xr:uid="{E33AF763-87EC-4C28-8B22-DD35B5362757}"/>
    <cellStyle name="40% - Accent6 4 6 4" xfId="19338" xr:uid="{1E38EB34-9583-4E0C-A89F-9BB8F20E7914}"/>
    <cellStyle name="40% - Accent6 4 6 5" xfId="27778" xr:uid="{AC541C77-2343-4189-90FF-1C3305CEC6A1}"/>
    <cellStyle name="40% - Accent6 4 7" xfId="4599" xr:uid="{00000000-0005-0000-0000-00006D070000}"/>
    <cellStyle name="40% - Accent6 4 7 2" xfId="13049" xr:uid="{579416BD-352D-461F-9AA8-B2870CF20C98}"/>
    <cellStyle name="40% - Accent6 4 7 3" xfId="21489" xr:uid="{CE6E6650-8F41-4279-99ED-B07F8FF6E3ED}"/>
    <cellStyle name="40% - Accent6 4 7 4" xfId="29929" xr:uid="{30A2D1D3-3DCE-4BC5-91EC-A6ABA501435A}"/>
    <cellStyle name="40% - Accent6 4 8" xfId="8831" xr:uid="{E8D46020-A91C-4B35-99A2-B167CFDA00CE}"/>
    <cellStyle name="40% - Accent6 4 9" xfId="17272" xr:uid="{B4654211-03B3-4C22-BD6C-E9BE838F9EC7}"/>
    <cellStyle name="40% - Accent6 5" xfId="658" xr:uid="{00000000-0005-0000-0000-00006E070000}"/>
    <cellStyle name="40% - Accent6 5 2" xfId="2929" xr:uid="{00000000-0005-0000-0000-00006F070000}"/>
    <cellStyle name="40% - Accent6 5 2 2" xfId="7151" xr:uid="{00000000-0005-0000-0000-000070070000}"/>
    <cellStyle name="40% - Accent6 5 2 2 2" xfId="15601" xr:uid="{B95DFB03-11C8-447E-938A-5046091E7712}"/>
    <cellStyle name="40% - Accent6 5 2 2 3" xfId="24041" xr:uid="{7E12454E-FF4A-4C87-A507-AF12B848896D}"/>
    <cellStyle name="40% - Accent6 5 2 2 4" xfId="32481" xr:uid="{364F8DF3-CB7E-4D3D-AF2A-4BCEF681DB89}"/>
    <cellStyle name="40% - Accent6 5 2 3" xfId="11383" xr:uid="{ADC17E93-2605-4765-B954-6ABF5540775B}"/>
    <cellStyle name="40% - Accent6 5 2 4" xfId="19824" xr:uid="{6A94E636-778F-4C98-AC5F-CDA4D6EF1396}"/>
    <cellStyle name="40% - Accent6 5 2 5" xfId="28264" xr:uid="{1B6AEDC1-B7BF-436F-9449-FDE2EDFA4A6F}"/>
    <cellStyle name="40% - Accent6 5 3" xfId="5006" xr:uid="{00000000-0005-0000-0000-000071070000}"/>
    <cellStyle name="40% - Accent6 5 3 2" xfId="13456" xr:uid="{DCE2D5E6-5C4E-49C4-AF51-D4ADEDD9C6B6}"/>
    <cellStyle name="40% - Accent6 5 3 3" xfId="21896" xr:uid="{7360298D-7A2D-4BBC-886A-800B2FBB635F}"/>
    <cellStyle name="40% - Accent6 5 3 4" xfId="30336" xr:uid="{73D0DDA1-4388-42CB-88AB-DA29BC305A90}"/>
    <cellStyle name="40% - Accent6 5 4" xfId="9238" xr:uid="{4D941D05-FD51-4262-8B9F-F43FE5DC9CC1}"/>
    <cellStyle name="40% - Accent6 5 5" xfId="17679" xr:uid="{DCC3455B-C11B-4DB4-A110-5EE947AB4C7C}"/>
    <cellStyle name="40% - Accent6 5 6" xfId="26119" xr:uid="{F0589568-7CEC-464D-8A55-58D08E8F8AFC}"/>
    <cellStyle name="40% - Accent6 6" xfId="1111" xr:uid="{00000000-0005-0000-0000-000072070000}"/>
    <cellStyle name="40% - Accent6 6 2" xfId="3342" xr:uid="{00000000-0005-0000-0000-000073070000}"/>
    <cellStyle name="40% - Accent6 6 2 2" xfId="7564" xr:uid="{00000000-0005-0000-0000-000074070000}"/>
    <cellStyle name="40% - Accent6 6 2 2 2" xfId="16014" xr:uid="{AFF067BA-575D-4D0B-B1D2-6C94D8DD20FC}"/>
    <cellStyle name="40% - Accent6 6 2 2 3" xfId="24454" xr:uid="{49F0A04F-702C-42B9-A768-E5562C4D17FF}"/>
    <cellStyle name="40% - Accent6 6 2 2 4" xfId="32894" xr:uid="{2C6BE4CD-EEDD-461F-8BB7-AD5F495287D2}"/>
    <cellStyle name="40% - Accent6 6 2 3" xfId="11796" xr:uid="{8E4058BC-2427-4539-AFC9-81ACE8827274}"/>
    <cellStyle name="40% - Accent6 6 2 4" xfId="20237" xr:uid="{B1162894-F7B6-448B-9558-7B010AF16249}"/>
    <cellStyle name="40% - Accent6 6 2 5" xfId="28677" xr:uid="{BCBE56A6-87EA-4493-A769-8AE19C4B6C6E}"/>
    <cellStyle name="40% - Accent6 6 3" xfId="5419" xr:uid="{00000000-0005-0000-0000-000075070000}"/>
    <cellStyle name="40% - Accent6 6 3 2" xfId="13869" xr:uid="{4F239245-4190-44F1-AC75-C5F3E7297E92}"/>
    <cellStyle name="40% - Accent6 6 3 3" xfId="22309" xr:uid="{59797E9F-EDC5-4E68-AA77-B7014CCBCACD}"/>
    <cellStyle name="40% - Accent6 6 3 4" xfId="30749" xr:uid="{E758B113-5DCA-402A-AFB8-79F485387F64}"/>
    <cellStyle name="40% - Accent6 6 4" xfId="9651" xr:uid="{9A186728-D7C4-4034-A2AC-5533A7ED0E6B}"/>
    <cellStyle name="40% - Accent6 6 5" xfId="18092" xr:uid="{3B3394AF-9A36-48F5-AF7F-47D2A23D968F}"/>
    <cellStyle name="40% - Accent6 6 6" xfId="26532" xr:uid="{3205D2A0-EB79-4E18-A679-520AB5590BDC}"/>
    <cellStyle name="40% - Accent6 7" xfId="1525" xr:uid="{00000000-0005-0000-0000-000076070000}"/>
    <cellStyle name="40% - Accent6 7 2" xfId="3755" xr:uid="{00000000-0005-0000-0000-000077070000}"/>
    <cellStyle name="40% - Accent6 7 2 2" xfId="7977" xr:uid="{00000000-0005-0000-0000-000078070000}"/>
    <cellStyle name="40% - Accent6 7 2 2 2" xfId="16427" xr:uid="{111FB393-AE81-45CD-B170-DE496BEF79B3}"/>
    <cellStyle name="40% - Accent6 7 2 2 3" xfId="24867" xr:uid="{472D4330-9AFF-4DB6-986A-4197E9A53895}"/>
    <cellStyle name="40% - Accent6 7 2 2 4" xfId="33307" xr:uid="{884FC895-54D7-4660-9C18-5DB984D9C55F}"/>
    <cellStyle name="40% - Accent6 7 2 3" xfId="12209" xr:uid="{D0D797FF-BFF0-4FDB-834C-8DE48A9EBEC7}"/>
    <cellStyle name="40% - Accent6 7 2 4" xfId="20650" xr:uid="{8171BF91-C0CC-40DD-A653-E5481B25DB7B}"/>
    <cellStyle name="40% - Accent6 7 2 5" xfId="29090" xr:uid="{303B746C-D5A2-485D-90B2-FDC10CEA2305}"/>
    <cellStyle name="40% - Accent6 7 3" xfId="5832" xr:uid="{00000000-0005-0000-0000-000079070000}"/>
    <cellStyle name="40% - Accent6 7 3 2" xfId="14282" xr:uid="{600B6A97-1F47-4E69-8E6F-4932F1275485}"/>
    <cellStyle name="40% - Accent6 7 3 3" xfId="22722" xr:uid="{035894B6-6043-4596-81E6-9D7AB909D2BF}"/>
    <cellStyle name="40% - Accent6 7 3 4" xfId="31162" xr:uid="{6D8AF1DF-9B58-4C76-BD7A-09D15BC164BA}"/>
    <cellStyle name="40% - Accent6 7 4" xfId="10064" xr:uid="{2279A1EA-6EE7-4B12-98CF-476922CCA0C3}"/>
    <cellStyle name="40% - Accent6 7 5" xfId="18505" xr:uid="{D58C2DE4-2A5B-43CA-AF67-992DA24D892A}"/>
    <cellStyle name="40% - Accent6 7 6" xfId="26945" xr:uid="{7422AE98-80B1-444F-BC9E-67CB55685BF0}"/>
    <cellStyle name="40% - Accent6 8" xfId="1939" xr:uid="{00000000-0005-0000-0000-00007A070000}"/>
    <cellStyle name="40% - Accent6 8 2" xfId="4168" xr:uid="{00000000-0005-0000-0000-00007B070000}"/>
    <cellStyle name="40% - Accent6 8 2 2" xfId="8390" xr:uid="{00000000-0005-0000-0000-00007C070000}"/>
    <cellStyle name="40% - Accent6 8 2 2 2" xfId="16840" xr:uid="{36CD4EA2-F61A-4211-8783-3C8B7B369723}"/>
    <cellStyle name="40% - Accent6 8 2 2 3" xfId="25280" xr:uid="{96EDF17E-2867-4710-B807-4880876720E9}"/>
    <cellStyle name="40% - Accent6 8 2 2 4" xfId="33720" xr:uid="{662E62FE-D725-4F5A-AD5C-8B7FEB73E152}"/>
    <cellStyle name="40% - Accent6 8 2 3" xfId="12622" xr:uid="{61908BD0-EC79-49A0-B63B-82AC337E4B97}"/>
    <cellStyle name="40% - Accent6 8 2 4" xfId="21063" xr:uid="{3549FE95-15BB-485D-BF0D-EE5076DEBB10}"/>
    <cellStyle name="40% - Accent6 8 2 5" xfId="29503" xr:uid="{0A005C94-48DF-486C-B80C-6E3B79A05839}"/>
    <cellStyle name="40% - Accent6 8 3" xfId="6245" xr:uid="{00000000-0005-0000-0000-00007D070000}"/>
    <cellStyle name="40% - Accent6 8 3 2" xfId="14695" xr:uid="{72292B7B-5776-456F-ADB4-E9436158BFA1}"/>
    <cellStyle name="40% - Accent6 8 3 3" xfId="23135" xr:uid="{E1526665-9687-49F7-9C77-ED1E29F9672E}"/>
    <cellStyle name="40% - Accent6 8 3 4" xfId="31575" xr:uid="{8863BA13-46E2-45DC-AC70-623EE26A4890}"/>
    <cellStyle name="40% - Accent6 8 4" xfId="10477" xr:uid="{CD0198D8-CB0B-405E-9221-1CD4D05DE05B}"/>
    <cellStyle name="40% - Accent6 8 5" xfId="18918" xr:uid="{7B9D6A72-F73F-4BC2-A4D1-463951959EF8}"/>
    <cellStyle name="40% - Accent6 8 6" xfId="27358" xr:uid="{1043F8AC-8781-47CD-949B-191439C60E53}"/>
    <cellStyle name="40% - Accent6 9" xfId="2352" xr:uid="{00000000-0005-0000-0000-00007E070000}"/>
    <cellStyle name="40% - Accent6 9 2" xfId="6658" xr:uid="{00000000-0005-0000-0000-00007F070000}"/>
    <cellStyle name="40% - Accent6 9 2 2" xfId="15108" xr:uid="{611DA962-149B-4149-8EF3-16E72EB26E9B}"/>
    <cellStyle name="40% - Accent6 9 2 3" xfId="23548" xr:uid="{DCCD4F4B-6575-4E00-BDE5-EA8BDCA77B45}"/>
    <cellStyle name="40% - Accent6 9 2 4" xfId="31988" xr:uid="{EA7C207F-3531-4B38-AE00-90C18D65C545}"/>
    <cellStyle name="40% - Accent6 9 3" xfId="10890" xr:uid="{A48CBE15-EEC0-4AC6-B30D-B0AB65A82072}"/>
    <cellStyle name="40% - Accent6 9 4" xfId="19331" xr:uid="{684BEAEB-E22F-478A-8E16-0C231C12A0A0}"/>
    <cellStyle name="40% - Accent6 9 5" xfId="27771" xr:uid="{0C8805F5-AAB4-40D9-A9F2-CE57AA970356}"/>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0 2 2" xfId="15433" xr:uid="{6BE996A2-5928-418B-B65E-2CE6750345B7}"/>
    <cellStyle name="Comma 4 2 2 2 10 2 3" xfId="23873" xr:uid="{A853C3BC-D063-4141-9719-1C3097DC8E98}"/>
    <cellStyle name="Comma 4 2 2 2 10 2 4" xfId="32313" xr:uid="{C2DD60A6-2B27-42A4-99B3-FAB43F4EF706}"/>
    <cellStyle name="Comma 4 2 2 2 10 3" xfId="11215" xr:uid="{4D4BC4B8-BEFD-4000-B24F-2FC9A207F7BB}"/>
    <cellStyle name="Comma 4 2 2 2 10 4" xfId="19656" xr:uid="{70DA8385-0F5A-402C-960C-8060D9624B16}"/>
    <cellStyle name="Comma 4 2 2 2 10 5" xfId="28096" xr:uid="{53B2BAA9-D7C7-4B96-9D71-DBF1C397BCC6}"/>
    <cellStyle name="Comma 4 2 2 2 11" xfId="4600" xr:uid="{00000000-0005-0000-0000-0000A3070000}"/>
    <cellStyle name="Comma 4 2 2 2 11 2" xfId="13050" xr:uid="{B26A0E6E-BE52-48B9-B1CF-0870C1429A34}"/>
    <cellStyle name="Comma 4 2 2 2 11 3" xfId="21490" xr:uid="{E3E1EB3B-A65F-4747-B45B-1CB0F353B0D8}"/>
    <cellStyle name="Comma 4 2 2 2 11 4" xfId="29930" xr:uid="{17930D29-51AB-4E40-BC5A-D02FDFC3EE7A}"/>
    <cellStyle name="Comma 4 2 2 2 12" xfId="8832" xr:uid="{A4EF0E13-7721-42E7-A70E-408CE6C57431}"/>
    <cellStyle name="Comma 4 2 2 2 13" xfId="17273" xr:uid="{986213C9-0001-4030-9C62-503F5BF7ADB5}"/>
    <cellStyle name="Comma 4 2 2 2 14" xfId="25713" xr:uid="{5DC15582-170C-44AA-9BB5-0EBF8F2438A9}"/>
    <cellStyle name="Comma 4 2 2 2 2" xfId="129" xr:uid="{00000000-0005-0000-0000-0000A4070000}"/>
    <cellStyle name="Comma 4 2 2 2 2 10" xfId="4601" xr:uid="{00000000-0005-0000-0000-0000A5070000}"/>
    <cellStyle name="Comma 4 2 2 2 2 10 2" xfId="13051" xr:uid="{C24FB364-8FF4-48E5-A43F-98BFC47C8182}"/>
    <cellStyle name="Comma 4 2 2 2 2 10 3" xfId="21491" xr:uid="{6076589F-92A9-42C4-A037-7CAFDF088BDE}"/>
    <cellStyle name="Comma 4 2 2 2 2 10 4" xfId="29931" xr:uid="{CF9C28F4-7BF0-447A-8CD0-1B7B5AB6C3CD}"/>
    <cellStyle name="Comma 4 2 2 2 2 11" xfId="8833" xr:uid="{5324A20B-3198-4088-8C6D-857D1AAD7639}"/>
    <cellStyle name="Comma 4 2 2 2 2 12" xfId="17274" xr:uid="{445AD4E9-C374-4747-862E-BF3127F9688D}"/>
    <cellStyle name="Comma 4 2 2 2 2 13" xfId="25714" xr:uid="{1FE77693-5BDE-4A6B-B7C4-12731E6D0202}"/>
    <cellStyle name="Comma 4 2 2 2 2 2" xfId="130" xr:uid="{00000000-0005-0000-0000-0000A6070000}"/>
    <cellStyle name="Comma 4 2 2 2 2 2 10" xfId="8834" xr:uid="{000B9452-172F-445A-B5DF-1B91B2D91A7A}"/>
    <cellStyle name="Comma 4 2 2 2 2 2 11" xfId="17275" xr:uid="{D4E61F0A-EBDD-48CC-AC7C-9B9493C7EC31}"/>
    <cellStyle name="Comma 4 2 2 2 2 2 12" xfId="25715" xr:uid="{54D9E55C-8B1F-4F07-A9FA-5898449B6CFA}"/>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2 2 2" xfId="15611" xr:uid="{ACE563D3-4DD2-454B-8165-41355F5ED89C}"/>
    <cellStyle name="Comma 4 2 2 2 2 2 2 2 2 3" xfId="24051" xr:uid="{CECD7B38-A5DA-4BE5-A35E-C6498FD6E542}"/>
    <cellStyle name="Comma 4 2 2 2 2 2 2 2 2 4" xfId="32491" xr:uid="{17812A07-504A-4843-B674-2FABEA39752B}"/>
    <cellStyle name="Comma 4 2 2 2 2 2 2 2 3" xfId="11393" xr:uid="{D8B103A0-9565-4391-9AF5-A42A173A39CF}"/>
    <cellStyle name="Comma 4 2 2 2 2 2 2 2 4" xfId="19834" xr:uid="{36CEEEF0-CA0F-485A-9A55-1E634FD74EF6}"/>
    <cellStyle name="Comma 4 2 2 2 2 2 2 2 5" xfId="28274" xr:uid="{5A9D7E30-1ED4-4B08-8EA3-754CE131F9D3}"/>
    <cellStyle name="Comma 4 2 2 2 2 2 2 3" xfId="5016" xr:uid="{00000000-0005-0000-0000-0000AA070000}"/>
    <cellStyle name="Comma 4 2 2 2 2 2 2 3 2" xfId="13466" xr:uid="{A206CB05-A56B-4511-823B-E68B32534C71}"/>
    <cellStyle name="Comma 4 2 2 2 2 2 2 3 3" xfId="21906" xr:uid="{EB5EF5F6-6A42-4898-ABDD-B0224F252B88}"/>
    <cellStyle name="Comma 4 2 2 2 2 2 2 3 4" xfId="30346" xr:uid="{742FEAB3-F90C-4D68-9A1C-25A13A1F6D74}"/>
    <cellStyle name="Comma 4 2 2 2 2 2 2 4" xfId="9248" xr:uid="{CAA0EBFF-7110-4D87-A53B-15FC19CCB3FA}"/>
    <cellStyle name="Comma 4 2 2 2 2 2 2 5" xfId="17689" xr:uid="{61A0EA86-CDCE-448A-9DFF-663A516B197F}"/>
    <cellStyle name="Comma 4 2 2 2 2 2 2 6" xfId="26129" xr:uid="{8F2E0352-AB98-473E-A709-90B51C76DAFB}"/>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2 2 2" xfId="16024" xr:uid="{76A9EA82-0BDD-4DF1-AD93-DB3289245A4F}"/>
    <cellStyle name="Comma 4 2 2 2 2 2 3 2 2 3" xfId="24464" xr:uid="{80E5A32B-D3EC-48DB-9C37-4343D374824D}"/>
    <cellStyle name="Comma 4 2 2 2 2 2 3 2 2 4" xfId="32904" xr:uid="{C9EBB044-DE6D-4400-8B77-0EE03E959704}"/>
    <cellStyle name="Comma 4 2 2 2 2 2 3 2 3" xfId="11806" xr:uid="{7303751C-0395-4E5C-9718-9027F22E9386}"/>
    <cellStyle name="Comma 4 2 2 2 2 2 3 2 4" xfId="20247" xr:uid="{92F5F36B-9C98-43B8-9812-54B1DAF6FFDD}"/>
    <cellStyle name="Comma 4 2 2 2 2 2 3 2 5" xfId="28687" xr:uid="{2E310978-FAE0-4EB6-8535-A60A26BFF1BF}"/>
    <cellStyle name="Comma 4 2 2 2 2 2 3 3" xfId="5429" xr:uid="{00000000-0005-0000-0000-0000AE070000}"/>
    <cellStyle name="Comma 4 2 2 2 2 2 3 3 2" xfId="13879" xr:uid="{5DCED5E2-EDBC-486B-9791-B60404D75C38}"/>
    <cellStyle name="Comma 4 2 2 2 2 2 3 3 3" xfId="22319" xr:uid="{E97A4D66-6F68-4B87-967A-A19D8DBB3752}"/>
    <cellStyle name="Comma 4 2 2 2 2 2 3 3 4" xfId="30759" xr:uid="{0BEADB45-589E-4206-A4DA-40C6C238BA98}"/>
    <cellStyle name="Comma 4 2 2 2 2 2 3 4" xfId="9661" xr:uid="{1DE0DA25-1631-401C-B09A-7F58D6BC81A3}"/>
    <cellStyle name="Comma 4 2 2 2 2 2 3 5" xfId="18102" xr:uid="{CBF611F0-82AB-4512-AFCA-1C6CD6249B8A}"/>
    <cellStyle name="Comma 4 2 2 2 2 2 3 6" xfId="26542" xr:uid="{3F04B6BE-5D20-43A9-B2D4-1CA325F28635}"/>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2 2 2" xfId="16437" xr:uid="{79600519-7C20-488D-B500-398EF6A06AAB}"/>
    <cellStyle name="Comma 4 2 2 2 2 2 4 2 2 3" xfId="24877" xr:uid="{25795BBA-5C5E-4CDD-B1F6-32E3D3695C12}"/>
    <cellStyle name="Comma 4 2 2 2 2 2 4 2 2 4" xfId="33317" xr:uid="{71F6F8B9-B825-439A-AC8C-FEE85F865B0D}"/>
    <cellStyle name="Comma 4 2 2 2 2 2 4 2 3" xfId="12219" xr:uid="{35157915-616E-4057-87C8-BE32AD462BFB}"/>
    <cellStyle name="Comma 4 2 2 2 2 2 4 2 4" xfId="20660" xr:uid="{C18254E4-064E-47FF-8769-D942BED06EE2}"/>
    <cellStyle name="Comma 4 2 2 2 2 2 4 2 5" xfId="29100" xr:uid="{38223CE1-19B6-4CE8-90EA-B024E8E4049D}"/>
    <cellStyle name="Comma 4 2 2 2 2 2 4 3" xfId="5842" xr:uid="{00000000-0005-0000-0000-0000B2070000}"/>
    <cellStyle name="Comma 4 2 2 2 2 2 4 3 2" xfId="14292" xr:uid="{E9D55DA2-9CEB-4FAD-AAE9-6B00BEBD2267}"/>
    <cellStyle name="Comma 4 2 2 2 2 2 4 3 3" xfId="22732" xr:uid="{243B04B3-6BD3-43B3-8B6A-55FB848977FE}"/>
    <cellStyle name="Comma 4 2 2 2 2 2 4 3 4" xfId="31172" xr:uid="{63518DF4-4C79-42BF-A7FC-13B0CAB28B83}"/>
    <cellStyle name="Comma 4 2 2 2 2 2 4 4" xfId="10074" xr:uid="{0DB5F7EB-E2F3-4128-9BEF-0D802969B9D5}"/>
    <cellStyle name="Comma 4 2 2 2 2 2 4 5" xfId="18515" xr:uid="{B4035C5C-AF75-44DC-B559-B62E1C40070C}"/>
    <cellStyle name="Comma 4 2 2 2 2 2 4 6" xfId="26955" xr:uid="{12A785E6-86EC-450F-AF88-5832D7BADAEC}"/>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2 2 2" xfId="16850" xr:uid="{31B6E673-CF30-4BA8-B40E-D42DB1F0458D}"/>
    <cellStyle name="Comma 4 2 2 2 2 2 5 2 2 3" xfId="25290" xr:uid="{EA3022DE-BF2B-4AB5-A9F3-5434359DB96F}"/>
    <cellStyle name="Comma 4 2 2 2 2 2 5 2 2 4" xfId="33730" xr:uid="{A387BF10-4BC7-4E6B-B6CC-41559EC6407C}"/>
    <cellStyle name="Comma 4 2 2 2 2 2 5 2 3" xfId="12632" xr:uid="{9812C129-02D0-45F9-945A-15B7675B3C78}"/>
    <cellStyle name="Comma 4 2 2 2 2 2 5 2 4" xfId="21073" xr:uid="{EA2D8B9B-D512-44D7-876F-80221B094ABA}"/>
    <cellStyle name="Comma 4 2 2 2 2 2 5 2 5" xfId="29513" xr:uid="{528A8368-1931-4221-9ADE-38FC03B0D38B}"/>
    <cellStyle name="Comma 4 2 2 2 2 2 5 3" xfId="6255" xr:uid="{00000000-0005-0000-0000-0000B6070000}"/>
    <cellStyle name="Comma 4 2 2 2 2 2 5 3 2" xfId="14705" xr:uid="{388B907A-1608-4B9C-8867-E66BF5A0E5E8}"/>
    <cellStyle name="Comma 4 2 2 2 2 2 5 3 3" xfId="23145" xr:uid="{2CBF94A9-0CE3-4BA7-958D-3138ED869FD3}"/>
    <cellStyle name="Comma 4 2 2 2 2 2 5 3 4" xfId="31585" xr:uid="{F7B04C7C-EF67-4A87-AAB3-550E7D25365D}"/>
    <cellStyle name="Comma 4 2 2 2 2 2 5 4" xfId="10487" xr:uid="{8EC337F7-1D39-4D0F-9972-F33FE975159E}"/>
    <cellStyle name="Comma 4 2 2 2 2 2 5 5" xfId="18928" xr:uid="{E4EBA281-8467-4942-8E17-153197984F3D}"/>
    <cellStyle name="Comma 4 2 2 2 2 2 5 6" xfId="27368" xr:uid="{E0721DBC-D678-43C9-A08B-2F44F92EEB88}"/>
    <cellStyle name="Comma 4 2 2 2 2 2 6" xfId="2384" xr:uid="{00000000-0005-0000-0000-0000B7070000}"/>
    <cellStyle name="Comma 4 2 2 2 2 2 6 2" xfId="6668" xr:uid="{00000000-0005-0000-0000-0000B8070000}"/>
    <cellStyle name="Comma 4 2 2 2 2 2 6 2 2" xfId="15118" xr:uid="{33C52FD7-E7BF-4D63-A385-C336FAC3E222}"/>
    <cellStyle name="Comma 4 2 2 2 2 2 6 2 3" xfId="23558" xr:uid="{C646453F-134A-40F3-A5F6-B3F8C47C0263}"/>
    <cellStyle name="Comma 4 2 2 2 2 2 6 2 4" xfId="31998" xr:uid="{BB3E8EB3-2DF5-4114-8873-3452732B3B6B}"/>
    <cellStyle name="Comma 4 2 2 2 2 2 6 3" xfId="10900" xr:uid="{2BBEF8E7-7BF4-409D-85D0-902C88D8D099}"/>
    <cellStyle name="Comma 4 2 2 2 2 2 6 4" xfId="19341" xr:uid="{7B84F9E9-E606-410F-8B4C-812831D2D1D6}"/>
    <cellStyle name="Comma 4 2 2 2 2 2 6 5" xfId="27781" xr:uid="{6A827A9C-C79C-4EF5-8CC7-71FFBB11B35E}"/>
    <cellStyle name="Comma 4 2 2 2 2 2 7" xfId="2379" xr:uid="{00000000-0005-0000-0000-0000B9070000}"/>
    <cellStyle name="Comma 4 2 2 2 2 2 8" xfId="2762" xr:uid="{00000000-0005-0000-0000-0000BA070000}"/>
    <cellStyle name="Comma 4 2 2 2 2 2 8 2" xfId="6985" xr:uid="{00000000-0005-0000-0000-0000BB070000}"/>
    <cellStyle name="Comma 4 2 2 2 2 2 8 2 2" xfId="15435" xr:uid="{478DA851-34AD-4294-BE0B-DF5E1376A661}"/>
    <cellStyle name="Comma 4 2 2 2 2 2 8 2 3" xfId="23875" xr:uid="{FB4AEAF2-824A-485F-8C6C-B698C3A9E9A2}"/>
    <cellStyle name="Comma 4 2 2 2 2 2 8 2 4" xfId="32315" xr:uid="{7F286B85-0FEF-4267-9458-B4A75CDBEED3}"/>
    <cellStyle name="Comma 4 2 2 2 2 2 8 3" xfId="11217" xr:uid="{6D6B0AA1-A5C7-4005-9D79-47BA1277BAA7}"/>
    <cellStyle name="Comma 4 2 2 2 2 2 8 4" xfId="19658" xr:uid="{41863E70-1334-4AEB-9BC6-8529EEC0C7E3}"/>
    <cellStyle name="Comma 4 2 2 2 2 2 8 5" xfId="28098" xr:uid="{5D6B5730-9993-4F85-B3B5-E7F408F9D9F2}"/>
    <cellStyle name="Comma 4 2 2 2 2 2 9" xfId="4602" xr:uid="{00000000-0005-0000-0000-0000BC070000}"/>
    <cellStyle name="Comma 4 2 2 2 2 2 9 2" xfId="13052" xr:uid="{6D7FB419-1B67-4E57-B220-0882021E0E44}"/>
    <cellStyle name="Comma 4 2 2 2 2 2 9 3" xfId="21492" xr:uid="{703AD41F-B5F7-41DD-97BD-939FEC8796C7}"/>
    <cellStyle name="Comma 4 2 2 2 2 2 9 4" xfId="29932" xr:uid="{FFE75515-A6DB-4AF2-994D-35E14A8FF357}"/>
    <cellStyle name="Comma 4 2 2 2 2 3" xfId="667" xr:uid="{00000000-0005-0000-0000-0000BD070000}"/>
    <cellStyle name="Comma 4 2 2 2 2 3 2" xfId="2938" xr:uid="{00000000-0005-0000-0000-0000BE070000}"/>
    <cellStyle name="Comma 4 2 2 2 2 3 2 2" xfId="7160" xr:uid="{00000000-0005-0000-0000-0000BF070000}"/>
    <cellStyle name="Comma 4 2 2 2 2 3 2 2 2" xfId="15610" xr:uid="{AB9D644F-D922-4E1C-BF1B-ABD272AC01E9}"/>
    <cellStyle name="Comma 4 2 2 2 2 3 2 2 3" xfId="24050" xr:uid="{1D9D5DDE-6417-4D30-A5DD-50D3F31D739D}"/>
    <cellStyle name="Comma 4 2 2 2 2 3 2 2 4" xfId="32490" xr:uid="{A18DCD8D-2817-4DE1-8AD3-5FF0DC477D46}"/>
    <cellStyle name="Comma 4 2 2 2 2 3 2 3" xfId="11392" xr:uid="{859FE271-787F-4C30-8F34-7A14D6B542B2}"/>
    <cellStyle name="Comma 4 2 2 2 2 3 2 4" xfId="19833" xr:uid="{BE9D4741-7B49-4425-A3F5-399939D067BB}"/>
    <cellStyle name="Comma 4 2 2 2 2 3 2 5" xfId="28273" xr:uid="{F3C3E9B6-F0E9-4B7A-A237-E89E5B48C81D}"/>
    <cellStyle name="Comma 4 2 2 2 2 3 3" xfId="5015" xr:uid="{00000000-0005-0000-0000-0000C0070000}"/>
    <cellStyle name="Comma 4 2 2 2 2 3 3 2" xfId="13465" xr:uid="{379748DA-D724-4DB3-8E29-186093103BF6}"/>
    <cellStyle name="Comma 4 2 2 2 2 3 3 3" xfId="21905" xr:uid="{5D05A33B-4298-413D-BB26-EE8B75E4C747}"/>
    <cellStyle name="Comma 4 2 2 2 2 3 3 4" xfId="30345" xr:uid="{CF72C57E-C238-46B0-87DC-E3DB1FA55D40}"/>
    <cellStyle name="Comma 4 2 2 2 2 3 4" xfId="9247" xr:uid="{13A63A27-7C52-416E-A062-787E6EB8B20C}"/>
    <cellStyle name="Comma 4 2 2 2 2 3 5" xfId="17688" xr:uid="{6B507571-6A2E-4C3C-AD65-C7AC31763CAC}"/>
    <cellStyle name="Comma 4 2 2 2 2 3 6" xfId="26128" xr:uid="{F77456C5-3C19-423D-B601-41B3FC7C8B81}"/>
    <cellStyle name="Comma 4 2 2 2 2 4" xfId="1120" xr:uid="{00000000-0005-0000-0000-0000C1070000}"/>
    <cellStyle name="Comma 4 2 2 2 2 4 2" xfId="3351" xr:uid="{00000000-0005-0000-0000-0000C2070000}"/>
    <cellStyle name="Comma 4 2 2 2 2 4 2 2" xfId="7573" xr:uid="{00000000-0005-0000-0000-0000C3070000}"/>
    <cellStyle name="Comma 4 2 2 2 2 4 2 2 2" xfId="16023" xr:uid="{FD6B7191-2900-42A1-A431-40F61B955D9D}"/>
    <cellStyle name="Comma 4 2 2 2 2 4 2 2 3" xfId="24463" xr:uid="{564CFCD3-8BB5-4789-A933-36E22B6AD0D9}"/>
    <cellStyle name="Comma 4 2 2 2 2 4 2 2 4" xfId="32903" xr:uid="{DB2811A2-D332-45D0-8908-6594A1C8A6C8}"/>
    <cellStyle name="Comma 4 2 2 2 2 4 2 3" xfId="11805" xr:uid="{28475381-5D21-449C-A224-FF0788C7F1BB}"/>
    <cellStyle name="Comma 4 2 2 2 2 4 2 4" xfId="20246" xr:uid="{C74CE9D3-D097-4CAF-B98B-C7064BD11826}"/>
    <cellStyle name="Comma 4 2 2 2 2 4 2 5" xfId="28686" xr:uid="{FC533F2B-FA8F-4373-B6F6-1466534763EB}"/>
    <cellStyle name="Comma 4 2 2 2 2 4 3" xfId="5428" xr:uid="{00000000-0005-0000-0000-0000C4070000}"/>
    <cellStyle name="Comma 4 2 2 2 2 4 3 2" xfId="13878" xr:uid="{26AC94F2-3610-43FE-9B06-82ABD6CD6ABA}"/>
    <cellStyle name="Comma 4 2 2 2 2 4 3 3" xfId="22318" xr:uid="{D8FB11CF-A760-41C4-84DB-6B1F5C96BF51}"/>
    <cellStyle name="Comma 4 2 2 2 2 4 3 4" xfId="30758" xr:uid="{69BE5E5A-4B8E-4693-A889-9B23A2EBFF2D}"/>
    <cellStyle name="Comma 4 2 2 2 2 4 4" xfId="9660" xr:uid="{11EE9E06-F736-4CEB-A1D7-F80596599DB1}"/>
    <cellStyle name="Comma 4 2 2 2 2 4 5" xfId="18101" xr:uid="{25B1CC8F-D7B7-4424-A8D4-E684BDE5427C}"/>
    <cellStyle name="Comma 4 2 2 2 2 4 6" xfId="26541" xr:uid="{6E42F96F-E950-44D7-871D-8B30865E3451}"/>
    <cellStyle name="Comma 4 2 2 2 2 5" xfId="1534" xr:uid="{00000000-0005-0000-0000-0000C5070000}"/>
    <cellStyle name="Comma 4 2 2 2 2 5 2" xfId="3764" xr:uid="{00000000-0005-0000-0000-0000C6070000}"/>
    <cellStyle name="Comma 4 2 2 2 2 5 2 2" xfId="7986" xr:uid="{00000000-0005-0000-0000-0000C7070000}"/>
    <cellStyle name="Comma 4 2 2 2 2 5 2 2 2" xfId="16436" xr:uid="{BE87784B-8880-4421-A6B5-7CBEF89F5620}"/>
    <cellStyle name="Comma 4 2 2 2 2 5 2 2 3" xfId="24876" xr:uid="{500A513D-3DEC-4EF3-B4DE-AA8117408CEF}"/>
    <cellStyle name="Comma 4 2 2 2 2 5 2 2 4" xfId="33316" xr:uid="{3A914B4A-D58B-406C-860B-14E73DE43B37}"/>
    <cellStyle name="Comma 4 2 2 2 2 5 2 3" xfId="12218" xr:uid="{544ABB6E-7985-4FA2-B6BF-CAD20CE72E1D}"/>
    <cellStyle name="Comma 4 2 2 2 2 5 2 4" xfId="20659" xr:uid="{3F512371-0824-4C03-A006-666216467017}"/>
    <cellStyle name="Comma 4 2 2 2 2 5 2 5" xfId="29099" xr:uid="{B833D731-492C-48FD-8CA3-936E4320115F}"/>
    <cellStyle name="Comma 4 2 2 2 2 5 3" xfId="5841" xr:uid="{00000000-0005-0000-0000-0000C8070000}"/>
    <cellStyle name="Comma 4 2 2 2 2 5 3 2" xfId="14291" xr:uid="{C8036F17-968B-410D-A725-77575356CBC9}"/>
    <cellStyle name="Comma 4 2 2 2 2 5 3 3" xfId="22731" xr:uid="{6F525ECE-1383-44F0-BDD4-6442D373D6D9}"/>
    <cellStyle name="Comma 4 2 2 2 2 5 3 4" xfId="31171" xr:uid="{CF57AD53-AB22-4096-9541-E7E313AEF4AE}"/>
    <cellStyle name="Comma 4 2 2 2 2 5 4" xfId="10073" xr:uid="{108CA2C7-2B61-409F-A136-93A5334A6143}"/>
    <cellStyle name="Comma 4 2 2 2 2 5 5" xfId="18514" xr:uid="{B9316DC8-6409-4554-8F1A-3C35D25CD42B}"/>
    <cellStyle name="Comma 4 2 2 2 2 5 6" xfId="26954" xr:uid="{7CE83E33-4F92-4835-A795-635D412F84AC}"/>
    <cellStyle name="Comma 4 2 2 2 2 6" xfId="1948" xr:uid="{00000000-0005-0000-0000-0000C9070000}"/>
    <cellStyle name="Comma 4 2 2 2 2 6 2" xfId="4177" xr:uid="{00000000-0005-0000-0000-0000CA070000}"/>
    <cellStyle name="Comma 4 2 2 2 2 6 2 2" xfId="8399" xr:uid="{00000000-0005-0000-0000-0000CB070000}"/>
    <cellStyle name="Comma 4 2 2 2 2 6 2 2 2" xfId="16849" xr:uid="{E3FD0EC8-AD89-4A3E-8B23-09CD441372B0}"/>
    <cellStyle name="Comma 4 2 2 2 2 6 2 2 3" xfId="25289" xr:uid="{6DA3E21C-74E3-4EED-834B-68B076A151B0}"/>
    <cellStyle name="Comma 4 2 2 2 2 6 2 2 4" xfId="33729" xr:uid="{7FC564C7-CAC0-4735-A575-7A298283347B}"/>
    <cellStyle name="Comma 4 2 2 2 2 6 2 3" xfId="12631" xr:uid="{6D9062FA-EE01-4011-ADD6-EA361DF9C3CE}"/>
    <cellStyle name="Comma 4 2 2 2 2 6 2 4" xfId="21072" xr:uid="{7D017A7B-4B4D-40D4-81BD-A27E7C3FF6EA}"/>
    <cellStyle name="Comma 4 2 2 2 2 6 2 5" xfId="29512" xr:uid="{28AD981A-13B5-4D6D-A000-26FE631BD59A}"/>
    <cellStyle name="Comma 4 2 2 2 2 6 3" xfId="6254" xr:uid="{00000000-0005-0000-0000-0000CC070000}"/>
    <cellStyle name="Comma 4 2 2 2 2 6 3 2" xfId="14704" xr:uid="{9F022187-5D5B-4E91-ADDB-E36D9AC927D0}"/>
    <cellStyle name="Comma 4 2 2 2 2 6 3 3" xfId="23144" xr:uid="{1FBE659A-20A5-42D6-A10B-9581695407B6}"/>
    <cellStyle name="Comma 4 2 2 2 2 6 3 4" xfId="31584" xr:uid="{9FD8D8F5-F0B9-4FB3-9B22-3C76E5CD79E4}"/>
    <cellStyle name="Comma 4 2 2 2 2 6 4" xfId="10486" xr:uid="{25646F5B-CB5B-492D-AF5A-81CBF0890105}"/>
    <cellStyle name="Comma 4 2 2 2 2 6 5" xfId="18927" xr:uid="{5B98A396-E330-4205-9B9C-97509ECF5412}"/>
    <cellStyle name="Comma 4 2 2 2 2 6 6" xfId="27367" xr:uid="{41F68E49-476D-4FDD-8BC6-7E10568E3A27}"/>
    <cellStyle name="Comma 4 2 2 2 2 7" xfId="2383" xr:uid="{00000000-0005-0000-0000-0000CD070000}"/>
    <cellStyle name="Comma 4 2 2 2 2 7 2" xfId="6667" xr:uid="{00000000-0005-0000-0000-0000CE070000}"/>
    <cellStyle name="Comma 4 2 2 2 2 7 2 2" xfId="15117" xr:uid="{2C6B844C-2182-424D-9251-A171CCAF794B}"/>
    <cellStyle name="Comma 4 2 2 2 2 7 2 3" xfId="23557" xr:uid="{31A77577-36D5-460D-A3FA-EC80F1FE4EE4}"/>
    <cellStyle name="Comma 4 2 2 2 2 7 2 4" xfId="31997" xr:uid="{C0C22D07-C1A9-4EEC-B071-195EA46CA5DB}"/>
    <cellStyle name="Comma 4 2 2 2 2 7 3" xfId="10899" xr:uid="{7BA76135-40D7-4540-80BF-2F7F17961C44}"/>
    <cellStyle name="Comma 4 2 2 2 2 7 4" xfId="19340" xr:uid="{591C8315-B8B6-43E4-AE02-93A653CA1417}"/>
    <cellStyle name="Comma 4 2 2 2 2 7 5" xfId="27780" xr:uid="{7FDCA7C0-66FE-4486-B766-BD5FFB56F186}"/>
    <cellStyle name="Comma 4 2 2 2 2 8" xfId="2380" xr:uid="{00000000-0005-0000-0000-0000CF070000}"/>
    <cellStyle name="Comma 4 2 2 2 2 9" xfId="2761" xr:uid="{00000000-0005-0000-0000-0000D0070000}"/>
    <cellStyle name="Comma 4 2 2 2 2 9 2" xfId="6984" xr:uid="{00000000-0005-0000-0000-0000D1070000}"/>
    <cellStyle name="Comma 4 2 2 2 2 9 2 2" xfId="15434" xr:uid="{7367EFB5-ACB4-4D89-A8FB-23136552FCFC}"/>
    <cellStyle name="Comma 4 2 2 2 2 9 2 3" xfId="23874" xr:uid="{03378F09-826E-411C-BBE6-724D4D4A1BD7}"/>
    <cellStyle name="Comma 4 2 2 2 2 9 2 4" xfId="32314" xr:uid="{C66C80AA-D429-4203-84D4-026CF4C77831}"/>
    <cellStyle name="Comma 4 2 2 2 2 9 3" xfId="11216" xr:uid="{189C99B2-315D-4699-B0E2-1040E1CA348B}"/>
    <cellStyle name="Comma 4 2 2 2 2 9 4" xfId="19657" xr:uid="{7B464588-4793-4E3F-8370-F468A5D91656}"/>
    <cellStyle name="Comma 4 2 2 2 2 9 5" xfId="28097" xr:uid="{29B0341A-AE03-4B8B-BE84-577AEBA231FD}"/>
    <cellStyle name="Comma 4 2 2 2 3" xfId="131" xr:uid="{00000000-0005-0000-0000-0000D2070000}"/>
    <cellStyle name="Comma 4 2 2 2 3 10" xfId="8835" xr:uid="{489136AF-2CB6-4DB7-9D21-229D12653187}"/>
    <cellStyle name="Comma 4 2 2 2 3 11" xfId="17276" xr:uid="{2360BC79-94ED-402E-805C-EA61DC988265}"/>
    <cellStyle name="Comma 4 2 2 2 3 12" xfId="25716" xr:uid="{1C778F15-40CD-482F-97CC-DA3DD6937FB9}"/>
    <cellStyle name="Comma 4 2 2 2 3 2" xfId="669" xr:uid="{00000000-0005-0000-0000-0000D3070000}"/>
    <cellStyle name="Comma 4 2 2 2 3 2 2" xfId="2940" xr:uid="{00000000-0005-0000-0000-0000D4070000}"/>
    <cellStyle name="Comma 4 2 2 2 3 2 2 2" xfId="7162" xr:uid="{00000000-0005-0000-0000-0000D5070000}"/>
    <cellStyle name="Comma 4 2 2 2 3 2 2 2 2" xfId="15612" xr:uid="{0A73605B-F27C-4E2E-A904-8E8AD71A98F0}"/>
    <cellStyle name="Comma 4 2 2 2 3 2 2 2 3" xfId="24052" xr:uid="{BBB135D8-814D-4C41-99BD-4524C7F0F96D}"/>
    <cellStyle name="Comma 4 2 2 2 3 2 2 2 4" xfId="32492" xr:uid="{E4CFD91C-A39A-4F7C-8AFD-4D175142EB88}"/>
    <cellStyle name="Comma 4 2 2 2 3 2 2 3" xfId="11394" xr:uid="{1BF31CDB-6D2D-4ADC-8B27-B5B95298123C}"/>
    <cellStyle name="Comma 4 2 2 2 3 2 2 4" xfId="19835" xr:uid="{A65BBE1A-808D-474F-A546-28083AFC60ED}"/>
    <cellStyle name="Comma 4 2 2 2 3 2 2 5" xfId="28275" xr:uid="{0852599F-B057-49A3-91DB-8100EC4537A9}"/>
    <cellStyle name="Comma 4 2 2 2 3 2 3" xfId="5017" xr:uid="{00000000-0005-0000-0000-0000D6070000}"/>
    <cellStyle name="Comma 4 2 2 2 3 2 3 2" xfId="13467" xr:uid="{B17079AE-0D30-4AB5-8DC1-BF279A36E969}"/>
    <cellStyle name="Comma 4 2 2 2 3 2 3 3" xfId="21907" xr:uid="{98FD48F3-301E-4391-9F02-CEF50314F79D}"/>
    <cellStyle name="Comma 4 2 2 2 3 2 3 4" xfId="30347" xr:uid="{B531A4A9-FD21-4DD4-A108-801E012C5234}"/>
    <cellStyle name="Comma 4 2 2 2 3 2 4" xfId="9249" xr:uid="{9DE993D1-96D6-44D3-BE0E-EBD8E39C96A8}"/>
    <cellStyle name="Comma 4 2 2 2 3 2 5" xfId="17690" xr:uid="{3E01461D-AA87-4C20-877F-8D73D03A1971}"/>
    <cellStyle name="Comma 4 2 2 2 3 2 6" xfId="26130" xr:uid="{D5728483-323E-4D88-B631-5FBFE3B13F28}"/>
    <cellStyle name="Comma 4 2 2 2 3 3" xfId="1122" xr:uid="{00000000-0005-0000-0000-0000D7070000}"/>
    <cellStyle name="Comma 4 2 2 2 3 3 2" xfId="3353" xr:uid="{00000000-0005-0000-0000-0000D8070000}"/>
    <cellStyle name="Comma 4 2 2 2 3 3 2 2" xfId="7575" xr:uid="{00000000-0005-0000-0000-0000D9070000}"/>
    <cellStyle name="Comma 4 2 2 2 3 3 2 2 2" xfId="16025" xr:uid="{27A8A29D-A583-4F4E-9D28-133FA495EEEB}"/>
    <cellStyle name="Comma 4 2 2 2 3 3 2 2 3" xfId="24465" xr:uid="{AA83F082-7FA8-4298-BD22-D5CFC2540DD5}"/>
    <cellStyle name="Comma 4 2 2 2 3 3 2 2 4" xfId="32905" xr:uid="{CC61EAA3-54BD-4270-BDAD-BFDD4EF0569A}"/>
    <cellStyle name="Comma 4 2 2 2 3 3 2 3" xfId="11807" xr:uid="{8C0944DF-D7D1-4386-B604-73EBCEF2C232}"/>
    <cellStyle name="Comma 4 2 2 2 3 3 2 4" xfId="20248" xr:uid="{2720D28B-9595-4C92-B499-739F92695C14}"/>
    <cellStyle name="Comma 4 2 2 2 3 3 2 5" xfId="28688" xr:uid="{B5CAEC5C-4584-4643-BE08-D04ED5650869}"/>
    <cellStyle name="Comma 4 2 2 2 3 3 3" xfId="5430" xr:uid="{00000000-0005-0000-0000-0000DA070000}"/>
    <cellStyle name="Comma 4 2 2 2 3 3 3 2" xfId="13880" xr:uid="{EF1323CC-2342-4AC6-9970-C92F6F0F96F2}"/>
    <cellStyle name="Comma 4 2 2 2 3 3 3 3" xfId="22320" xr:uid="{62AA00D1-8E8C-4E03-BA38-4327FBF149A3}"/>
    <cellStyle name="Comma 4 2 2 2 3 3 3 4" xfId="30760" xr:uid="{E838B199-D7FC-48DD-8070-5CF651EDF3F1}"/>
    <cellStyle name="Comma 4 2 2 2 3 3 4" xfId="9662" xr:uid="{A0955BB4-2BFD-4BC0-8A2C-39D9835E8BE8}"/>
    <cellStyle name="Comma 4 2 2 2 3 3 5" xfId="18103" xr:uid="{BE162FD3-2B21-4366-9132-8CD24551995C}"/>
    <cellStyle name="Comma 4 2 2 2 3 3 6" xfId="26543" xr:uid="{7CDB7A2B-09C5-4E49-A163-B8BC0A06D8DA}"/>
    <cellStyle name="Comma 4 2 2 2 3 4" xfId="1536" xr:uid="{00000000-0005-0000-0000-0000DB070000}"/>
    <cellStyle name="Comma 4 2 2 2 3 4 2" xfId="3766" xr:uid="{00000000-0005-0000-0000-0000DC070000}"/>
    <cellStyle name="Comma 4 2 2 2 3 4 2 2" xfId="7988" xr:uid="{00000000-0005-0000-0000-0000DD070000}"/>
    <cellStyle name="Comma 4 2 2 2 3 4 2 2 2" xfId="16438" xr:uid="{F7340908-4750-4540-9B51-A325BD158C9F}"/>
    <cellStyle name="Comma 4 2 2 2 3 4 2 2 3" xfId="24878" xr:uid="{B36771CB-ACE9-484B-94DA-1F29836A28A3}"/>
    <cellStyle name="Comma 4 2 2 2 3 4 2 2 4" xfId="33318" xr:uid="{A5E9EDF7-8A80-43CD-AF5C-A8883A16A192}"/>
    <cellStyle name="Comma 4 2 2 2 3 4 2 3" xfId="12220" xr:uid="{F701BB1B-B5BF-474B-A360-623060B8923E}"/>
    <cellStyle name="Comma 4 2 2 2 3 4 2 4" xfId="20661" xr:uid="{C864AE29-9957-4474-AC07-8DB281562CB2}"/>
    <cellStyle name="Comma 4 2 2 2 3 4 2 5" xfId="29101" xr:uid="{496D8B8C-F9F3-426F-9F75-E2F010C9738E}"/>
    <cellStyle name="Comma 4 2 2 2 3 4 3" xfId="5843" xr:uid="{00000000-0005-0000-0000-0000DE070000}"/>
    <cellStyle name="Comma 4 2 2 2 3 4 3 2" xfId="14293" xr:uid="{83CCCB72-93B9-42E5-8843-95617950F2D8}"/>
    <cellStyle name="Comma 4 2 2 2 3 4 3 3" xfId="22733" xr:uid="{E0C3712A-07A3-4F4F-99D0-F084D97AD817}"/>
    <cellStyle name="Comma 4 2 2 2 3 4 3 4" xfId="31173" xr:uid="{AC8CD5F5-3425-4569-BEA0-6C096C137314}"/>
    <cellStyle name="Comma 4 2 2 2 3 4 4" xfId="10075" xr:uid="{D8E41BF2-3AED-4525-B415-F7B8D1356DAE}"/>
    <cellStyle name="Comma 4 2 2 2 3 4 5" xfId="18516" xr:uid="{363E7609-4A8C-4BC6-B1E3-1E800BD93C94}"/>
    <cellStyle name="Comma 4 2 2 2 3 4 6" xfId="26956" xr:uid="{DC060FD4-319B-4BA6-A7F5-4C97E2F78A55}"/>
    <cellStyle name="Comma 4 2 2 2 3 5" xfId="1950" xr:uid="{00000000-0005-0000-0000-0000DF070000}"/>
    <cellStyle name="Comma 4 2 2 2 3 5 2" xfId="4179" xr:uid="{00000000-0005-0000-0000-0000E0070000}"/>
    <cellStyle name="Comma 4 2 2 2 3 5 2 2" xfId="8401" xr:uid="{00000000-0005-0000-0000-0000E1070000}"/>
    <cellStyle name="Comma 4 2 2 2 3 5 2 2 2" xfId="16851" xr:uid="{6F996DAA-D80B-4BC1-BD15-17FA7272510A}"/>
    <cellStyle name="Comma 4 2 2 2 3 5 2 2 3" xfId="25291" xr:uid="{D64FAECC-A75C-4EAA-BE8C-B7595C22DB52}"/>
    <cellStyle name="Comma 4 2 2 2 3 5 2 2 4" xfId="33731" xr:uid="{215B17E3-F7F5-4F96-880B-B2881E36DD73}"/>
    <cellStyle name="Comma 4 2 2 2 3 5 2 3" xfId="12633" xr:uid="{04C624AA-FD8C-4207-AAA9-45ED6BC1A94F}"/>
    <cellStyle name="Comma 4 2 2 2 3 5 2 4" xfId="21074" xr:uid="{7A5BA50A-36DC-40D8-8D91-D11DD9A612D2}"/>
    <cellStyle name="Comma 4 2 2 2 3 5 2 5" xfId="29514" xr:uid="{72E7AEFE-C944-4891-8AEB-A21031B4479A}"/>
    <cellStyle name="Comma 4 2 2 2 3 5 3" xfId="6256" xr:uid="{00000000-0005-0000-0000-0000E2070000}"/>
    <cellStyle name="Comma 4 2 2 2 3 5 3 2" xfId="14706" xr:uid="{7129F391-5CB2-450A-BD60-0F0D3C7CEB15}"/>
    <cellStyle name="Comma 4 2 2 2 3 5 3 3" xfId="23146" xr:uid="{17ECE719-5C2E-48FF-97CC-8047A69208B7}"/>
    <cellStyle name="Comma 4 2 2 2 3 5 3 4" xfId="31586" xr:uid="{7E00F394-3E0E-4BB7-B855-FDC914259AC7}"/>
    <cellStyle name="Comma 4 2 2 2 3 5 4" xfId="10488" xr:uid="{73B12505-A647-4A9D-9883-A192EA20C2E8}"/>
    <cellStyle name="Comma 4 2 2 2 3 5 5" xfId="18929" xr:uid="{C154BE37-33ED-4CBC-92A3-CE6CE1080999}"/>
    <cellStyle name="Comma 4 2 2 2 3 5 6" xfId="27369" xr:uid="{4F9969C5-7FB0-4FF9-BA81-1B2A0E6CB839}"/>
    <cellStyle name="Comma 4 2 2 2 3 6" xfId="2385" xr:uid="{00000000-0005-0000-0000-0000E3070000}"/>
    <cellStyle name="Comma 4 2 2 2 3 6 2" xfId="6669" xr:uid="{00000000-0005-0000-0000-0000E4070000}"/>
    <cellStyle name="Comma 4 2 2 2 3 6 2 2" xfId="15119" xr:uid="{55AC8824-187D-4234-B81D-DA376034E187}"/>
    <cellStyle name="Comma 4 2 2 2 3 6 2 3" xfId="23559" xr:uid="{720A5F81-861E-4997-B963-FA9E376E0631}"/>
    <cellStyle name="Comma 4 2 2 2 3 6 2 4" xfId="31999" xr:uid="{5CF348BF-EEE9-4799-9CE4-6312C5A292A6}"/>
    <cellStyle name="Comma 4 2 2 2 3 6 3" xfId="10901" xr:uid="{0D028370-4D31-4E71-9CB0-16A38F835925}"/>
    <cellStyle name="Comma 4 2 2 2 3 6 4" xfId="19342" xr:uid="{6413B53C-5500-4606-9FEE-230368F98C2E}"/>
    <cellStyle name="Comma 4 2 2 2 3 6 5" xfId="27782" xr:uid="{DFBC7C35-1997-4CC6-BFFB-DA2D77147A47}"/>
    <cellStyle name="Comma 4 2 2 2 3 7" xfId="2378" xr:uid="{00000000-0005-0000-0000-0000E5070000}"/>
    <cellStyle name="Comma 4 2 2 2 3 8" xfId="2763" xr:uid="{00000000-0005-0000-0000-0000E6070000}"/>
    <cellStyle name="Comma 4 2 2 2 3 8 2" xfId="6986" xr:uid="{00000000-0005-0000-0000-0000E7070000}"/>
    <cellStyle name="Comma 4 2 2 2 3 8 2 2" xfId="15436" xr:uid="{32AC0BF5-0362-41B3-9B0C-D98000066708}"/>
    <cellStyle name="Comma 4 2 2 2 3 8 2 3" xfId="23876" xr:uid="{71059788-D8FD-4998-9E8E-F2BE2AEFF828}"/>
    <cellStyle name="Comma 4 2 2 2 3 8 2 4" xfId="32316" xr:uid="{E39222F6-62AC-4C71-B7E2-20B182586F3C}"/>
    <cellStyle name="Comma 4 2 2 2 3 8 3" xfId="11218" xr:uid="{DFC2C06E-3E9D-4DA4-AAED-7AFFDB98BA86}"/>
    <cellStyle name="Comma 4 2 2 2 3 8 4" xfId="19659" xr:uid="{A0443C1C-CF2D-46CB-A234-B551180AC014}"/>
    <cellStyle name="Comma 4 2 2 2 3 8 5" xfId="28099" xr:uid="{9CEA2B28-FEDB-49EA-A73E-614EADEAEB55}"/>
    <cellStyle name="Comma 4 2 2 2 3 9" xfId="4603" xr:uid="{00000000-0005-0000-0000-0000E8070000}"/>
    <cellStyle name="Comma 4 2 2 2 3 9 2" xfId="13053" xr:uid="{41DAC0AC-B710-487A-8878-14AC6E7F2649}"/>
    <cellStyle name="Comma 4 2 2 2 3 9 3" xfId="21493" xr:uid="{2ED45ECB-C667-4EDE-9432-78034F6794EB}"/>
    <cellStyle name="Comma 4 2 2 2 3 9 4" xfId="29933" xr:uid="{18C82671-40DA-434B-A3F4-37C3EA6B88D2}"/>
    <cellStyle name="Comma 4 2 2 2 4" xfId="666" xr:uid="{00000000-0005-0000-0000-0000E9070000}"/>
    <cellStyle name="Comma 4 2 2 2 4 2" xfId="2937" xr:uid="{00000000-0005-0000-0000-0000EA070000}"/>
    <cellStyle name="Comma 4 2 2 2 4 2 2" xfId="7159" xr:uid="{00000000-0005-0000-0000-0000EB070000}"/>
    <cellStyle name="Comma 4 2 2 2 4 2 2 2" xfId="15609" xr:uid="{C2268CCA-9D8F-41FD-B9BC-D0F225ECF2E2}"/>
    <cellStyle name="Comma 4 2 2 2 4 2 2 3" xfId="24049" xr:uid="{334F4CB3-4AA7-4B8F-AE4D-C254DC30D80B}"/>
    <cellStyle name="Comma 4 2 2 2 4 2 2 4" xfId="32489" xr:uid="{D70D0424-60D6-4267-90E2-B3584F8438B8}"/>
    <cellStyle name="Comma 4 2 2 2 4 2 3" xfId="11391" xr:uid="{494A86BC-199F-4100-BFF9-2FD99EECB910}"/>
    <cellStyle name="Comma 4 2 2 2 4 2 4" xfId="19832" xr:uid="{1E677249-B79A-4FCF-A62C-3059E4C60BE7}"/>
    <cellStyle name="Comma 4 2 2 2 4 2 5" xfId="28272" xr:uid="{BC9AA9CE-2CF6-438C-802F-87ABDAD70C59}"/>
    <cellStyle name="Comma 4 2 2 2 4 3" xfId="5014" xr:uid="{00000000-0005-0000-0000-0000EC070000}"/>
    <cellStyle name="Comma 4 2 2 2 4 3 2" xfId="13464" xr:uid="{F4282CF8-B257-4FFE-81ED-364085040275}"/>
    <cellStyle name="Comma 4 2 2 2 4 3 3" xfId="21904" xr:uid="{703874C9-9204-4BBB-B4C5-805C4C6595D4}"/>
    <cellStyle name="Comma 4 2 2 2 4 3 4" xfId="30344" xr:uid="{540C9877-AA32-4281-84AA-6E695A60DF33}"/>
    <cellStyle name="Comma 4 2 2 2 4 4" xfId="9246" xr:uid="{B258DDF6-4F04-4FF2-B5C9-0FC1231FFDCC}"/>
    <cellStyle name="Comma 4 2 2 2 4 5" xfId="17687" xr:uid="{42248942-8A5F-4E0A-8E15-524084664E95}"/>
    <cellStyle name="Comma 4 2 2 2 4 6" xfId="26127" xr:uid="{27F3C2C0-6C82-4C9E-BE1A-DD14049652C2}"/>
    <cellStyle name="Comma 4 2 2 2 5" xfId="1119" xr:uid="{00000000-0005-0000-0000-0000ED070000}"/>
    <cellStyle name="Comma 4 2 2 2 5 2" xfId="3350" xr:uid="{00000000-0005-0000-0000-0000EE070000}"/>
    <cellStyle name="Comma 4 2 2 2 5 2 2" xfId="7572" xr:uid="{00000000-0005-0000-0000-0000EF070000}"/>
    <cellStyle name="Comma 4 2 2 2 5 2 2 2" xfId="16022" xr:uid="{0F053ACB-842B-4FF3-9AC0-3B17CBA40AC6}"/>
    <cellStyle name="Comma 4 2 2 2 5 2 2 3" xfId="24462" xr:uid="{1DBE58F6-B0B8-401A-A78B-306381868048}"/>
    <cellStyle name="Comma 4 2 2 2 5 2 2 4" xfId="32902" xr:uid="{6F5CE523-1A7B-408E-A61B-E139F4370E44}"/>
    <cellStyle name="Comma 4 2 2 2 5 2 3" xfId="11804" xr:uid="{30666C46-DF2B-43C4-AA91-C4926CC262E4}"/>
    <cellStyle name="Comma 4 2 2 2 5 2 4" xfId="20245" xr:uid="{85982871-2AD3-421A-99B4-13DA839D7400}"/>
    <cellStyle name="Comma 4 2 2 2 5 2 5" xfId="28685" xr:uid="{ECD56C04-CBF1-4400-90AE-95C64DF63678}"/>
    <cellStyle name="Comma 4 2 2 2 5 3" xfId="5427" xr:uid="{00000000-0005-0000-0000-0000F0070000}"/>
    <cellStyle name="Comma 4 2 2 2 5 3 2" xfId="13877" xr:uid="{10EBD212-EC85-442B-9725-BAE37DE037A7}"/>
    <cellStyle name="Comma 4 2 2 2 5 3 3" xfId="22317" xr:uid="{04806FF0-0318-4E79-9A12-630046AD7287}"/>
    <cellStyle name="Comma 4 2 2 2 5 3 4" xfId="30757" xr:uid="{D42D491D-ED7C-4421-8179-B6E70688D17B}"/>
    <cellStyle name="Comma 4 2 2 2 5 4" xfId="9659" xr:uid="{02C23893-BBED-49CC-B0D8-3F5F801AA481}"/>
    <cellStyle name="Comma 4 2 2 2 5 5" xfId="18100" xr:uid="{2FE990B4-44DB-435B-A46B-614E2CBA090A}"/>
    <cellStyle name="Comma 4 2 2 2 5 6" xfId="26540" xr:uid="{3C85FB95-7129-4F3D-9E2A-E98BCAE4BB25}"/>
    <cellStyle name="Comma 4 2 2 2 6" xfId="1533" xr:uid="{00000000-0005-0000-0000-0000F1070000}"/>
    <cellStyle name="Comma 4 2 2 2 6 2" xfId="3763" xr:uid="{00000000-0005-0000-0000-0000F2070000}"/>
    <cellStyle name="Comma 4 2 2 2 6 2 2" xfId="7985" xr:uid="{00000000-0005-0000-0000-0000F3070000}"/>
    <cellStyle name="Comma 4 2 2 2 6 2 2 2" xfId="16435" xr:uid="{15A1F5F9-ADBE-4C99-827E-34E99C2197B1}"/>
    <cellStyle name="Comma 4 2 2 2 6 2 2 3" xfId="24875" xr:uid="{00E81239-DDBE-4129-B455-A467A7125AF0}"/>
    <cellStyle name="Comma 4 2 2 2 6 2 2 4" xfId="33315" xr:uid="{798F8F8D-7878-4E1C-AEDD-B3E5A2016262}"/>
    <cellStyle name="Comma 4 2 2 2 6 2 3" xfId="12217" xr:uid="{FB5BEC42-C8BF-40EC-BDB1-7E629BFDC931}"/>
    <cellStyle name="Comma 4 2 2 2 6 2 4" xfId="20658" xr:uid="{1E635E18-1D34-45AE-8D4F-76B99BCDB30E}"/>
    <cellStyle name="Comma 4 2 2 2 6 2 5" xfId="29098" xr:uid="{0E11E04C-FC75-485F-AE0A-B9CEA82FC5EC}"/>
    <cellStyle name="Comma 4 2 2 2 6 3" xfId="5840" xr:uid="{00000000-0005-0000-0000-0000F4070000}"/>
    <cellStyle name="Comma 4 2 2 2 6 3 2" xfId="14290" xr:uid="{D1925F00-3561-4EA1-A2B2-29337E4A1F25}"/>
    <cellStyle name="Comma 4 2 2 2 6 3 3" xfId="22730" xr:uid="{02844856-AFE3-44B9-8362-6DD0215A0E37}"/>
    <cellStyle name="Comma 4 2 2 2 6 3 4" xfId="31170" xr:uid="{7FAFCA16-794D-4587-A153-2EB952388004}"/>
    <cellStyle name="Comma 4 2 2 2 6 4" xfId="10072" xr:uid="{CC96E7F9-7691-486B-A215-61B00CE57180}"/>
    <cellStyle name="Comma 4 2 2 2 6 5" xfId="18513" xr:uid="{6447C8B3-A301-48C7-A635-2AAA7CBDB36B}"/>
    <cellStyle name="Comma 4 2 2 2 6 6" xfId="26953" xr:uid="{3D594DAB-2CD2-4DA6-9AB8-B5A87290C874}"/>
    <cellStyle name="Comma 4 2 2 2 7" xfId="1947" xr:uid="{00000000-0005-0000-0000-0000F5070000}"/>
    <cellStyle name="Comma 4 2 2 2 7 2" xfId="4176" xr:uid="{00000000-0005-0000-0000-0000F6070000}"/>
    <cellStyle name="Comma 4 2 2 2 7 2 2" xfId="8398" xr:uid="{00000000-0005-0000-0000-0000F7070000}"/>
    <cellStyle name="Comma 4 2 2 2 7 2 2 2" xfId="16848" xr:uid="{0BDAE6F2-962F-4C0E-AE35-2727704CD901}"/>
    <cellStyle name="Comma 4 2 2 2 7 2 2 3" xfId="25288" xr:uid="{B5705776-59F4-4B6F-8AF2-02A3C379DBC4}"/>
    <cellStyle name="Comma 4 2 2 2 7 2 2 4" xfId="33728" xr:uid="{1D5D8325-5191-478F-8187-AC284A57962C}"/>
    <cellStyle name="Comma 4 2 2 2 7 2 3" xfId="12630" xr:uid="{8513C6B7-9616-4AC9-BCCA-F76931462D9A}"/>
    <cellStyle name="Comma 4 2 2 2 7 2 4" xfId="21071" xr:uid="{12ADC7CA-84B8-4D39-99C3-84977C123BE2}"/>
    <cellStyle name="Comma 4 2 2 2 7 2 5" xfId="29511" xr:uid="{4712A929-C59B-4556-8C43-DA9452EBF195}"/>
    <cellStyle name="Comma 4 2 2 2 7 3" xfId="6253" xr:uid="{00000000-0005-0000-0000-0000F8070000}"/>
    <cellStyle name="Comma 4 2 2 2 7 3 2" xfId="14703" xr:uid="{68499788-DBCF-49F5-996D-1C14F487A63A}"/>
    <cellStyle name="Comma 4 2 2 2 7 3 3" xfId="23143" xr:uid="{F38E87C8-F439-4DC7-9185-F4BF26356882}"/>
    <cellStyle name="Comma 4 2 2 2 7 3 4" xfId="31583" xr:uid="{EEDF686A-B88F-46EE-AC85-F8174FF14316}"/>
    <cellStyle name="Comma 4 2 2 2 7 4" xfId="10485" xr:uid="{FD4A7745-478E-4541-9581-499902D52F7C}"/>
    <cellStyle name="Comma 4 2 2 2 7 5" xfId="18926" xr:uid="{4E1EA6C3-4041-4AC8-8DDF-170E28989BAC}"/>
    <cellStyle name="Comma 4 2 2 2 7 6" xfId="27366" xr:uid="{5A3A9C8C-A4DE-4D08-975C-0C9A3DC6EA94}"/>
    <cellStyle name="Comma 4 2 2 2 8" xfId="2382" xr:uid="{00000000-0005-0000-0000-0000F9070000}"/>
    <cellStyle name="Comma 4 2 2 2 8 2" xfId="6666" xr:uid="{00000000-0005-0000-0000-0000FA070000}"/>
    <cellStyle name="Comma 4 2 2 2 8 2 2" xfId="15116" xr:uid="{BFFFBFA8-D028-4D11-8053-B8653330C492}"/>
    <cellStyle name="Comma 4 2 2 2 8 2 3" xfId="23556" xr:uid="{286DD85D-4BD2-463D-BE11-18CC0FFC2483}"/>
    <cellStyle name="Comma 4 2 2 2 8 2 4" xfId="31996" xr:uid="{02AE359E-67E6-444A-8CBB-A806A379E874}"/>
    <cellStyle name="Comma 4 2 2 2 8 3" xfId="10898" xr:uid="{A8145D94-618F-4CDF-93F1-98B6E63E3B74}"/>
    <cellStyle name="Comma 4 2 2 2 8 4" xfId="19339" xr:uid="{CB2F681E-42D1-46AF-84DD-23DD24975CE5}"/>
    <cellStyle name="Comma 4 2 2 2 8 5" xfId="27779" xr:uid="{B8ACCADB-5204-4F00-B83B-388C588946E7}"/>
    <cellStyle name="Comma 4 2 2 2 9" xfId="2381" xr:uid="{00000000-0005-0000-0000-0000FB070000}"/>
    <cellStyle name="Comma 4 2 2 3" xfId="132" xr:uid="{00000000-0005-0000-0000-0000FC070000}"/>
    <cellStyle name="Comma 4 2 2 3 10" xfId="4604" xr:uid="{00000000-0005-0000-0000-0000FD070000}"/>
    <cellStyle name="Comma 4 2 2 3 10 2" xfId="13054" xr:uid="{80F13048-1B7E-4BBC-9CF6-3305074FFF00}"/>
    <cellStyle name="Comma 4 2 2 3 10 3" xfId="21494" xr:uid="{2040C79B-042F-4BFC-8715-5789ACE38849}"/>
    <cellStyle name="Comma 4 2 2 3 10 4" xfId="29934" xr:uid="{7E630BCD-CAF6-4D99-94D5-32349C31456B}"/>
    <cellStyle name="Comma 4 2 2 3 11" xfId="8836" xr:uid="{9DDC8BD5-A728-4D2E-926A-882C357F7852}"/>
    <cellStyle name="Comma 4 2 2 3 12" xfId="17277" xr:uid="{29EEAFFA-3884-4EC4-BC7D-5675142CC7BB}"/>
    <cellStyle name="Comma 4 2 2 3 13" xfId="25717" xr:uid="{C112DACB-F7E6-4244-925F-F7AC7146E396}"/>
    <cellStyle name="Comma 4 2 2 3 2" xfId="133" xr:uid="{00000000-0005-0000-0000-0000FE070000}"/>
    <cellStyle name="Comma 4 2 2 3 2 10" xfId="8837" xr:uid="{6C844763-F2C7-48E2-AB9E-400C2DD1C8BC}"/>
    <cellStyle name="Comma 4 2 2 3 2 11" xfId="17278" xr:uid="{A171ACFF-0425-4D5A-8FD3-34EC23CB573E}"/>
    <cellStyle name="Comma 4 2 2 3 2 12" xfId="25718" xr:uid="{38B5ADAB-A378-4BA7-B73C-D24713A5F054}"/>
    <cellStyle name="Comma 4 2 2 3 2 2" xfId="671" xr:uid="{00000000-0005-0000-0000-0000FF070000}"/>
    <cellStyle name="Comma 4 2 2 3 2 2 2" xfId="2942" xr:uid="{00000000-0005-0000-0000-000000080000}"/>
    <cellStyle name="Comma 4 2 2 3 2 2 2 2" xfId="7164" xr:uid="{00000000-0005-0000-0000-000001080000}"/>
    <cellStyle name="Comma 4 2 2 3 2 2 2 2 2" xfId="15614" xr:uid="{9CA13BEE-6896-4676-818E-066BAAFABA1D}"/>
    <cellStyle name="Comma 4 2 2 3 2 2 2 2 3" xfId="24054" xr:uid="{01B5BE3E-2A10-4191-A13E-61F4F6A6AFA0}"/>
    <cellStyle name="Comma 4 2 2 3 2 2 2 2 4" xfId="32494" xr:uid="{2ABE4A96-94C8-4FDC-8315-BCE4622C7F6B}"/>
    <cellStyle name="Comma 4 2 2 3 2 2 2 3" xfId="11396" xr:uid="{CF143DCA-285F-4D75-85C7-734A12EEC429}"/>
    <cellStyle name="Comma 4 2 2 3 2 2 2 4" xfId="19837" xr:uid="{76212A69-E65C-4486-A8C4-93F6B8C00087}"/>
    <cellStyle name="Comma 4 2 2 3 2 2 2 5" xfId="28277" xr:uid="{9EA5EC11-13B1-4A04-9601-4B79E01B989F}"/>
    <cellStyle name="Comma 4 2 2 3 2 2 3" xfId="5019" xr:uid="{00000000-0005-0000-0000-000002080000}"/>
    <cellStyle name="Comma 4 2 2 3 2 2 3 2" xfId="13469" xr:uid="{73FECDDF-6D32-45D0-9896-23B3F157B5B4}"/>
    <cellStyle name="Comma 4 2 2 3 2 2 3 3" xfId="21909" xr:uid="{5797762E-2DF5-4505-B26A-6E1EDAA2A6A8}"/>
    <cellStyle name="Comma 4 2 2 3 2 2 3 4" xfId="30349" xr:uid="{3E1E09F2-D795-438A-A4DD-CAA28AA63EC5}"/>
    <cellStyle name="Comma 4 2 2 3 2 2 4" xfId="9251" xr:uid="{4A820694-68D4-49CC-A16A-FCAE21775E98}"/>
    <cellStyle name="Comma 4 2 2 3 2 2 5" xfId="17692" xr:uid="{23C1E191-166A-48D5-90CA-A07C97878FE2}"/>
    <cellStyle name="Comma 4 2 2 3 2 2 6" xfId="26132" xr:uid="{EAC939EA-989B-4669-BE9E-8A43E183FC1A}"/>
    <cellStyle name="Comma 4 2 2 3 2 3" xfId="1124" xr:uid="{00000000-0005-0000-0000-000003080000}"/>
    <cellStyle name="Comma 4 2 2 3 2 3 2" xfId="3355" xr:uid="{00000000-0005-0000-0000-000004080000}"/>
    <cellStyle name="Comma 4 2 2 3 2 3 2 2" xfId="7577" xr:uid="{00000000-0005-0000-0000-000005080000}"/>
    <cellStyle name="Comma 4 2 2 3 2 3 2 2 2" xfId="16027" xr:uid="{35E56772-0237-414D-93BD-26BDD6A21B8C}"/>
    <cellStyle name="Comma 4 2 2 3 2 3 2 2 3" xfId="24467" xr:uid="{F5EF668B-75BC-4B6E-ADA1-2C653370D6BE}"/>
    <cellStyle name="Comma 4 2 2 3 2 3 2 2 4" xfId="32907" xr:uid="{F7F7955C-CC1B-4764-9FCA-81AAD17A85C8}"/>
    <cellStyle name="Comma 4 2 2 3 2 3 2 3" xfId="11809" xr:uid="{DB2E91B1-CFD3-45C5-AF87-41A1D8FF3C71}"/>
    <cellStyle name="Comma 4 2 2 3 2 3 2 4" xfId="20250" xr:uid="{935607C8-EE51-49D0-B28E-475F78708A57}"/>
    <cellStyle name="Comma 4 2 2 3 2 3 2 5" xfId="28690" xr:uid="{DAEE33D0-AF51-4988-911A-E749788C9E6E}"/>
    <cellStyle name="Comma 4 2 2 3 2 3 3" xfId="5432" xr:uid="{00000000-0005-0000-0000-000006080000}"/>
    <cellStyle name="Comma 4 2 2 3 2 3 3 2" xfId="13882" xr:uid="{9524330C-6654-465B-9DAF-4818498569B7}"/>
    <cellStyle name="Comma 4 2 2 3 2 3 3 3" xfId="22322" xr:uid="{A4BB3D12-4442-4F94-822E-3BBA357B66FF}"/>
    <cellStyle name="Comma 4 2 2 3 2 3 3 4" xfId="30762" xr:uid="{1CFB4D06-D25E-46C0-A3F3-64B223308ADE}"/>
    <cellStyle name="Comma 4 2 2 3 2 3 4" xfId="9664" xr:uid="{FA96A28F-5087-4DBB-A9AD-8C2626623545}"/>
    <cellStyle name="Comma 4 2 2 3 2 3 5" xfId="18105" xr:uid="{B5FB03BA-D832-4E40-A130-627434CED86F}"/>
    <cellStyle name="Comma 4 2 2 3 2 3 6" xfId="26545" xr:uid="{CAFA8418-D210-4866-B24B-C655BC776D89}"/>
    <cellStyle name="Comma 4 2 2 3 2 4" xfId="1538" xr:uid="{00000000-0005-0000-0000-000007080000}"/>
    <cellStyle name="Comma 4 2 2 3 2 4 2" xfId="3768" xr:uid="{00000000-0005-0000-0000-000008080000}"/>
    <cellStyle name="Comma 4 2 2 3 2 4 2 2" xfId="7990" xr:uid="{00000000-0005-0000-0000-000009080000}"/>
    <cellStyle name="Comma 4 2 2 3 2 4 2 2 2" xfId="16440" xr:uid="{329F74B6-AC17-484D-9F59-4B798AF6E0E4}"/>
    <cellStyle name="Comma 4 2 2 3 2 4 2 2 3" xfId="24880" xr:uid="{738A9A7C-C80F-441E-AC00-2316D5B4E20C}"/>
    <cellStyle name="Comma 4 2 2 3 2 4 2 2 4" xfId="33320" xr:uid="{7117ECCC-BD0F-4BE5-BCE4-CB761A9A620E}"/>
    <cellStyle name="Comma 4 2 2 3 2 4 2 3" xfId="12222" xr:uid="{E7F00521-02A8-44C2-B95E-2C56F71248D3}"/>
    <cellStyle name="Comma 4 2 2 3 2 4 2 4" xfId="20663" xr:uid="{8FCE4A57-9829-4CB2-B2F5-42E547B951C1}"/>
    <cellStyle name="Comma 4 2 2 3 2 4 2 5" xfId="29103" xr:uid="{CC6AB650-0894-4675-80FD-738246E858F7}"/>
    <cellStyle name="Comma 4 2 2 3 2 4 3" xfId="5845" xr:uid="{00000000-0005-0000-0000-00000A080000}"/>
    <cellStyle name="Comma 4 2 2 3 2 4 3 2" xfId="14295" xr:uid="{99D59743-B2B8-45BB-B351-29E58FA56305}"/>
    <cellStyle name="Comma 4 2 2 3 2 4 3 3" xfId="22735" xr:uid="{62B0C9EA-E111-45C2-B4D1-11CDC7262C63}"/>
    <cellStyle name="Comma 4 2 2 3 2 4 3 4" xfId="31175" xr:uid="{DED2B066-1243-4D0B-8111-A3B70420CA89}"/>
    <cellStyle name="Comma 4 2 2 3 2 4 4" xfId="10077" xr:uid="{A31071E0-7BDF-4F9A-A32B-918F3F917185}"/>
    <cellStyle name="Comma 4 2 2 3 2 4 5" xfId="18518" xr:uid="{E0128713-54D4-47BF-9ACD-09A490D67E00}"/>
    <cellStyle name="Comma 4 2 2 3 2 4 6" xfId="26958" xr:uid="{E05ADA0F-1E30-49EB-864B-6973DDDB6E51}"/>
    <cellStyle name="Comma 4 2 2 3 2 5" xfId="1952" xr:uid="{00000000-0005-0000-0000-00000B080000}"/>
    <cellStyle name="Comma 4 2 2 3 2 5 2" xfId="4181" xr:uid="{00000000-0005-0000-0000-00000C080000}"/>
    <cellStyle name="Comma 4 2 2 3 2 5 2 2" xfId="8403" xr:uid="{00000000-0005-0000-0000-00000D080000}"/>
    <cellStyle name="Comma 4 2 2 3 2 5 2 2 2" xfId="16853" xr:uid="{4BFA2719-2B37-4D1C-8D71-38341F664D22}"/>
    <cellStyle name="Comma 4 2 2 3 2 5 2 2 3" xfId="25293" xr:uid="{50F13E23-EBA0-48B6-AC96-973BC37CE575}"/>
    <cellStyle name="Comma 4 2 2 3 2 5 2 2 4" xfId="33733" xr:uid="{E1188FB1-B197-45C7-BBB0-1D892F66918A}"/>
    <cellStyle name="Comma 4 2 2 3 2 5 2 3" xfId="12635" xr:uid="{E19D4635-5A8B-4574-913C-2D59830800BB}"/>
    <cellStyle name="Comma 4 2 2 3 2 5 2 4" xfId="21076" xr:uid="{F69699A4-D24D-4973-B79A-B1E046AB395A}"/>
    <cellStyle name="Comma 4 2 2 3 2 5 2 5" xfId="29516" xr:uid="{2B24D1FC-B52D-45E1-A021-F3D2F9C33BC8}"/>
    <cellStyle name="Comma 4 2 2 3 2 5 3" xfId="6258" xr:uid="{00000000-0005-0000-0000-00000E080000}"/>
    <cellStyle name="Comma 4 2 2 3 2 5 3 2" xfId="14708" xr:uid="{37CF3BE9-60B6-4701-A451-7C6583C83745}"/>
    <cellStyle name="Comma 4 2 2 3 2 5 3 3" xfId="23148" xr:uid="{3FF0F795-B1FB-4A1A-8EAE-133F3EAA9C13}"/>
    <cellStyle name="Comma 4 2 2 3 2 5 3 4" xfId="31588" xr:uid="{EA49962C-B86C-4094-B75C-2BCBC40408B7}"/>
    <cellStyle name="Comma 4 2 2 3 2 5 4" xfId="10490" xr:uid="{C9E837DA-D952-4E42-8F15-D7736F8C25D8}"/>
    <cellStyle name="Comma 4 2 2 3 2 5 5" xfId="18931" xr:uid="{0FDBB779-FF78-45A1-8F87-BF0C7B92A00B}"/>
    <cellStyle name="Comma 4 2 2 3 2 5 6" xfId="27371" xr:uid="{75D958B8-CEFF-403F-A30A-2FDD79E9623D}"/>
    <cellStyle name="Comma 4 2 2 3 2 6" xfId="2387" xr:uid="{00000000-0005-0000-0000-00000F080000}"/>
    <cellStyle name="Comma 4 2 2 3 2 6 2" xfId="6671" xr:uid="{00000000-0005-0000-0000-000010080000}"/>
    <cellStyle name="Comma 4 2 2 3 2 6 2 2" xfId="15121" xr:uid="{F4F24568-CE24-4D79-AB1C-20F73F8BDB1A}"/>
    <cellStyle name="Comma 4 2 2 3 2 6 2 3" xfId="23561" xr:uid="{04AE36DB-57A9-48FD-A4DB-E0E7E7018125}"/>
    <cellStyle name="Comma 4 2 2 3 2 6 2 4" xfId="32001" xr:uid="{0147D3F5-7A07-440B-973F-B19ED0420147}"/>
    <cellStyle name="Comma 4 2 2 3 2 6 3" xfId="10903" xr:uid="{960EA21F-D7BC-4378-B3E7-D0A04689D846}"/>
    <cellStyle name="Comma 4 2 2 3 2 6 4" xfId="19344" xr:uid="{89C0EAF8-5369-4A37-A98F-D6979DAA8C42}"/>
    <cellStyle name="Comma 4 2 2 3 2 6 5" xfId="27784" xr:uid="{116EE0C9-A6B7-476C-984A-99BD1A6D784F}"/>
    <cellStyle name="Comma 4 2 2 3 2 7" xfId="2376" xr:uid="{00000000-0005-0000-0000-000011080000}"/>
    <cellStyle name="Comma 4 2 2 3 2 8" xfId="2765" xr:uid="{00000000-0005-0000-0000-000012080000}"/>
    <cellStyle name="Comma 4 2 2 3 2 8 2" xfId="6988" xr:uid="{00000000-0005-0000-0000-000013080000}"/>
    <cellStyle name="Comma 4 2 2 3 2 8 2 2" xfId="15438" xr:uid="{821F6D52-2822-4448-9FC3-CA888FAA2DDC}"/>
    <cellStyle name="Comma 4 2 2 3 2 8 2 3" xfId="23878" xr:uid="{99C0AFEF-B997-464E-8A38-D2F287ED0C1B}"/>
    <cellStyle name="Comma 4 2 2 3 2 8 2 4" xfId="32318" xr:uid="{1DCE9272-E3CA-446C-BC77-3DD82C524AD4}"/>
    <cellStyle name="Comma 4 2 2 3 2 8 3" xfId="11220" xr:uid="{30CCBB0F-1D8D-462D-8B54-04CA3FA2D52A}"/>
    <cellStyle name="Comma 4 2 2 3 2 8 4" xfId="19661" xr:uid="{DD3EDB53-2FE4-446D-8016-20AF73B2336D}"/>
    <cellStyle name="Comma 4 2 2 3 2 8 5" xfId="28101" xr:uid="{1102C4CF-1EDE-480E-ADC7-13BEB495F8D8}"/>
    <cellStyle name="Comma 4 2 2 3 2 9" xfId="4605" xr:uid="{00000000-0005-0000-0000-000014080000}"/>
    <cellStyle name="Comma 4 2 2 3 2 9 2" xfId="13055" xr:uid="{1B91F5C8-4AA4-4A60-A235-03767C2EB821}"/>
    <cellStyle name="Comma 4 2 2 3 2 9 3" xfId="21495" xr:uid="{282F4673-BEEA-46A9-A088-0D863FA7D22F}"/>
    <cellStyle name="Comma 4 2 2 3 2 9 4" xfId="29935" xr:uid="{61A081C4-8343-45A6-9D46-570DA14F0FDD}"/>
    <cellStyle name="Comma 4 2 2 3 3" xfId="670" xr:uid="{00000000-0005-0000-0000-000015080000}"/>
    <cellStyle name="Comma 4 2 2 3 3 2" xfId="2941" xr:uid="{00000000-0005-0000-0000-000016080000}"/>
    <cellStyle name="Comma 4 2 2 3 3 2 2" xfId="7163" xr:uid="{00000000-0005-0000-0000-000017080000}"/>
    <cellStyle name="Comma 4 2 2 3 3 2 2 2" xfId="15613" xr:uid="{AEC70D71-14E8-43C8-B563-7976EC46175D}"/>
    <cellStyle name="Comma 4 2 2 3 3 2 2 3" xfId="24053" xr:uid="{878116F8-1E3E-46DD-A9AC-50C025D3AEC4}"/>
    <cellStyle name="Comma 4 2 2 3 3 2 2 4" xfId="32493" xr:uid="{DDD95DE1-3C0D-48D2-94F8-F2996DA0021A}"/>
    <cellStyle name="Comma 4 2 2 3 3 2 3" xfId="11395" xr:uid="{74D4F055-8111-4964-8A3A-2A4C6FB51BFC}"/>
    <cellStyle name="Comma 4 2 2 3 3 2 4" xfId="19836" xr:uid="{D8615DC1-9EFE-46AF-9D32-2C3CC9730384}"/>
    <cellStyle name="Comma 4 2 2 3 3 2 5" xfId="28276" xr:uid="{D39DF0ED-CBD5-492F-AAE6-C908364758A0}"/>
    <cellStyle name="Comma 4 2 2 3 3 3" xfId="5018" xr:uid="{00000000-0005-0000-0000-000018080000}"/>
    <cellStyle name="Comma 4 2 2 3 3 3 2" xfId="13468" xr:uid="{D4AC14D3-4F54-4E02-A3E1-D3D4D1A9B176}"/>
    <cellStyle name="Comma 4 2 2 3 3 3 3" xfId="21908" xr:uid="{148192AF-667F-49B3-9B87-EF17E2523911}"/>
    <cellStyle name="Comma 4 2 2 3 3 3 4" xfId="30348" xr:uid="{06BEF487-8310-4DB8-B5C2-F03F36F470DB}"/>
    <cellStyle name="Comma 4 2 2 3 3 4" xfId="9250" xr:uid="{226806EB-BAAB-4C6C-9308-E26D32B9EEEC}"/>
    <cellStyle name="Comma 4 2 2 3 3 5" xfId="17691" xr:uid="{4503C89F-C56E-431B-B3A3-16E15727E77D}"/>
    <cellStyle name="Comma 4 2 2 3 3 6" xfId="26131" xr:uid="{283A2EC6-505B-49CD-9ECA-44944664FD64}"/>
    <cellStyle name="Comma 4 2 2 3 4" xfId="1123" xr:uid="{00000000-0005-0000-0000-000019080000}"/>
    <cellStyle name="Comma 4 2 2 3 4 2" xfId="3354" xr:uid="{00000000-0005-0000-0000-00001A080000}"/>
    <cellStyle name="Comma 4 2 2 3 4 2 2" xfId="7576" xr:uid="{00000000-0005-0000-0000-00001B080000}"/>
    <cellStyle name="Comma 4 2 2 3 4 2 2 2" xfId="16026" xr:uid="{0187ECAC-7E96-4EAD-B0F8-793C6BC27500}"/>
    <cellStyle name="Comma 4 2 2 3 4 2 2 3" xfId="24466" xr:uid="{205B1C19-FE34-47FB-8360-1494626F903F}"/>
    <cellStyle name="Comma 4 2 2 3 4 2 2 4" xfId="32906" xr:uid="{DF0C04D4-2088-48ED-85EE-E23F7D80AD71}"/>
    <cellStyle name="Comma 4 2 2 3 4 2 3" xfId="11808" xr:uid="{EE9260A5-0E64-4BB8-B459-119BFB92CE04}"/>
    <cellStyle name="Comma 4 2 2 3 4 2 4" xfId="20249" xr:uid="{6DF54E98-B4AA-4407-A836-29DCACBDB936}"/>
    <cellStyle name="Comma 4 2 2 3 4 2 5" xfId="28689" xr:uid="{7495D59B-9714-42B9-BDAE-3589BB49429D}"/>
    <cellStyle name="Comma 4 2 2 3 4 3" xfId="5431" xr:uid="{00000000-0005-0000-0000-00001C080000}"/>
    <cellStyle name="Comma 4 2 2 3 4 3 2" xfId="13881" xr:uid="{7F002F31-7E55-46A2-9FEC-1FE2E9C976EE}"/>
    <cellStyle name="Comma 4 2 2 3 4 3 3" xfId="22321" xr:uid="{02A4561B-B3ED-404D-B549-BDE86E1D69A5}"/>
    <cellStyle name="Comma 4 2 2 3 4 3 4" xfId="30761" xr:uid="{F1331B81-C5EB-4B2F-A5CA-805D3C065388}"/>
    <cellStyle name="Comma 4 2 2 3 4 4" xfId="9663" xr:uid="{7936BCD9-75B2-4548-8545-2E745D39C3A5}"/>
    <cellStyle name="Comma 4 2 2 3 4 5" xfId="18104" xr:uid="{867E97CE-3929-4111-82B9-12C80C636095}"/>
    <cellStyle name="Comma 4 2 2 3 4 6" xfId="26544" xr:uid="{A34DA25D-9C50-4368-AE71-10382D6A86A0}"/>
    <cellStyle name="Comma 4 2 2 3 5" xfId="1537" xr:uid="{00000000-0005-0000-0000-00001D080000}"/>
    <cellStyle name="Comma 4 2 2 3 5 2" xfId="3767" xr:uid="{00000000-0005-0000-0000-00001E080000}"/>
    <cellStyle name="Comma 4 2 2 3 5 2 2" xfId="7989" xr:uid="{00000000-0005-0000-0000-00001F080000}"/>
    <cellStyle name="Comma 4 2 2 3 5 2 2 2" xfId="16439" xr:uid="{D887174B-AE7C-456F-815A-DE5A606FB3D2}"/>
    <cellStyle name="Comma 4 2 2 3 5 2 2 3" xfId="24879" xr:uid="{54468DA6-8DB1-44F7-8EEB-78121F6FE043}"/>
    <cellStyle name="Comma 4 2 2 3 5 2 2 4" xfId="33319" xr:uid="{1CB0C3A7-5A8E-4334-B42D-64145604F688}"/>
    <cellStyle name="Comma 4 2 2 3 5 2 3" xfId="12221" xr:uid="{6A89564D-E14A-4999-83AF-6C163352C382}"/>
    <cellStyle name="Comma 4 2 2 3 5 2 4" xfId="20662" xr:uid="{7634CA8D-F42E-44C4-AFA9-A15E5B0852A5}"/>
    <cellStyle name="Comma 4 2 2 3 5 2 5" xfId="29102" xr:uid="{A4445232-822E-4187-B08B-FC73D6EA74C1}"/>
    <cellStyle name="Comma 4 2 2 3 5 3" xfId="5844" xr:uid="{00000000-0005-0000-0000-000020080000}"/>
    <cellStyle name="Comma 4 2 2 3 5 3 2" xfId="14294" xr:uid="{66836C97-6631-40E4-8885-D6B23A979FDA}"/>
    <cellStyle name="Comma 4 2 2 3 5 3 3" xfId="22734" xr:uid="{6F6E49D1-F0E5-4203-B41A-D31B6F5C3C9E}"/>
    <cellStyle name="Comma 4 2 2 3 5 3 4" xfId="31174" xr:uid="{37204C20-7411-40EA-A971-5785C122AF2E}"/>
    <cellStyle name="Comma 4 2 2 3 5 4" xfId="10076" xr:uid="{4AC88778-5A9D-4071-BD53-1D1AD3C5E77F}"/>
    <cellStyle name="Comma 4 2 2 3 5 5" xfId="18517" xr:uid="{AAF64837-EBE2-4570-A72F-AC5E89C5B97F}"/>
    <cellStyle name="Comma 4 2 2 3 5 6" xfId="26957" xr:uid="{EAAD7E59-19EB-49A3-8813-6FFA433B2936}"/>
    <cellStyle name="Comma 4 2 2 3 6" xfId="1951" xr:uid="{00000000-0005-0000-0000-000021080000}"/>
    <cellStyle name="Comma 4 2 2 3 6 2" xfId="4180" xr:uid="{00000000-0005-0000-0000-000022080000}"/>
    <cellStyle name="Comma 4 2 2 3 6 2 2" xfId="8402" xr:uid="{00000000-0005-0000-0000-000023080000}"/>
    <cellStyle name="Comma 4 2 2 3 6 2 2 2" xfId="16852" xr:uid="{5604E2D2-3058-478A-850C-442ED05F4D1E}"/>
    <cellStyle name="Comma 4 2 2 3 6 2 2 3" xfId="25292" xr:uid="{8AF1F252-3910-4951-B3F2-0E60D8D72734}"/>
    <cellStyle name="Comma 4 2 2 3 6 2 2 4" xfId="33732" xr:uid="{ABAADAC4-8BB7-47A8-BDF6-65DC5E90C34A}"/>
    <cellStyle name="Comma 4 2 2 3 6 2 3" xfId="12634" xr:uid="{E31ADBB2-485E-4AFB-B4E2-74906E7425D4}"/>
    <cellStyle name="Comma 4 2 2 3 6 2 4" xfId="21075" xr:uid="{3EBD5C56-7C6B-49BA-B189-80C8F37F2B33}"/>
    <cellStyle name="Comma 4 2 2 3 6 2 5" xfId="29515" xr:uid="{1690092E-0553-487E-B511-81D501100182}"/>
    <cellStyle name="Comma 4 2 2 3 6 3" xfId="6257" xr:uid="{00000000-0005-0000-0000-000024080000}"/>
    <cellStyle name="Comma 4 2 2 3 6 3 2" xfId="14707" xr:uid="{414C4657-3D42-4EEF-B302-C6ACB1CBF948}"/>
    <cellStyle name="Comma 4 2 2 3 6 3 3" xfId="23147" xr:uid="{46860100-A544-4515-9662-21C49258553D}"/>
    <cellStyle name="Comma 4 2 2 3 6 3 4" xfId="31587" xr:uid="{F3EB8358-FC88-44DF-AEF2-F891431BBD3C}"/>
    <cellStyle name="Comma 4 2 2 3 6 4" xfId="10489" xr:uid="{29B57DE1-BEC3-4675-B50F-927E6C69582A}"/>
    <cellStyle name="Comma 4 2 2 3 6 5" xfId="18930" xr:uid="{6EE150B1-106C-4FC2-9A3F-043FD15FE0FD}"/>
    <cellStyle name="Comma 4 2 2 3 6 6" xfId="27370" xr:uid="{546FB3F2-7ECF-4517-9232-0DAC8ED1214E}"/>
    <cellStyle name="Comma 4 2 2 3 7" xfId="2386" xr:uid="{00000000-0005-0000-0000-000025080000}"/>
    <cellStyle name="Comma 4 2 2 3 7 2" xfId="6670" xr:uid="{00000000-0005-0000-0000-000026080000}"/>
    <cellStyle name="Comma 4 2 2 3 7 2 2" xfId="15120" xr:uid="{F442F22E-B675-4DA5-84CC-C2EBA27CCF49}"/>
    <cellStyle name="Comma 4 2 2 3 7 2 3" xfId="23560" xr:uid="{72F2E5F9-3F19-4B84-A8AA-10589CA7B8E1}"/>
    <cellStyle name="Comma 4 2 2 3 7 2 4" xfId="32000" xr:uid="{22F3EA46-E786-4EC3-A617-0D63DB059CE5}"/>
    <cellStyle name="Comma 4 2 2 3 7 3" xfId="10902" xr:uid="{4763D8A6-9A5D-4AEB-A814-C66862C7B555}"/>
    <cellStyle name="Comma 4 2 2 3 7 4" xfId="19343" xr:uid="{41C97F90-0786-416B-B77B-58B4D96B14A1}"/>
    <cellStyle name="Comma 4 2 2 3 7 5" xfId="27783" xr:uid="{1B2EC24D-DE4C-480A-8A08-5B5C86F7A7D5}"/>
    <cellStyle name="Comma 4 2 2 3 8" xfId="2377" xr:uid="{00000000-0005-0000-0000-000027080000}"/>
    <cellStyle name="Comma 4 2 2 3 9" xfId="2764" xr:uid="{00000000-0005-0000-0000-000028080000}"/>
    <cellStyle name="Comma 4 2 2 3 9 2" xfId="6987" xr:uid="{00000000-0005-0000-0000-000029080000}"/>
    <cellStyle name="Comma 4 2 2 3 9 2 2" xfId="15437" xr:uid="{F617E09A-3F1D-4701-879B-23C045A4E438}"/>
    <cellStyle name="Comma 4 2 2 3 9 2 3" xfId="23877" xr:uid="{BB3C7604-EBD2-49EF-8323-5F5B5171D0CB}"/>
    <cellStyle name="Comma 4 2 2 3 9 2 4" xfId="32317" xr:uid="{35FF8E7B-2790-455D-8377-3EF05A0A421A}"/>
    <cellStyle name="Comma 4 2 2 3 9 3" xfId="11219" xr:uid="{57390810-3ABA-4C15-ADD5-DE0BA4BCF7ED}"/>
    <cellStyle name="Comma 4 2 2 3 9 4" xfId="19660" xr:uid="{F656BA6C-09A3-4209-8AFD-705A59F4E48D}"/>
    <cellStyle name="Comma 4 2 2 3 9 5" xfId="28100" xr:uid="{79625616-3820-4F48-A3F7-EA0E54225966}"/>
    <cellStyle name="Comma 4 2 2 4" xfId="134" xr:uid="{00000000-0005-0000-0000-00002A080000}"/>
    <cellStyle name="Comma 4 2 2 4 10" xfId="8838" xr:uid="{6A980D1F-3FC1-4DC1-B4BC-F4002300ED74}"/>
    <cellStyle name="Comma 4 2 2 4 11" xfId="17279" xr:uid="{3C0085EE-C0D5-41A4-AF78-AE6424965944}"/>
    <cellStyle name="Comma 4 2 2 4 12" xfId="25719" xr:uid="{1ED94C19-2DC6-4224-8F52-37E8B4E50C6B}"/>
    <cellStyle name="Comma 4 2 2 4 2" xfId="672" xr:uid="{00000000-0005-0000-0000-00002B080000}"/>
    <cellStyle name="Comma 4 2 2 4 2 2" xfId="2943" xr:uid="{00000000-0005-0000-0000-00002C080000}"/>
    <cellStyle name="Comma 4 2 2 4 2 2 2" xfId="7165" xr:uid="{00000000-0005-0000-0000-00002D080000}"/>
    <cellStyle name="Comma 4 2 2 4 2 2 2 2" xfId="15615" xr:uid="{D5228829-B56D-4EDF-8F2F-F2D56C4683DD}"/>
    <cellStyle name="Comma 4 2 2 4 2 2 2 3" xfId="24055" xr:uid="{AB9DF819-21BB-4377-B921-AC92CE400020}"/>
    <cellStyle name="Comma 4 2 2 4 2 2 2 4" xfId="32495" xr:uid="{54345059-96AA-4204-A3B9-0CB89CF3BCC2}"/>
    <cellStyle name="Comma 4 2 2 4 2 2 3" xfId="11397" xr:uid="{D003E219-3778-4D20-8195-62CBE5DF9A3D}"/>
    <cellStyle name="Comma 4 2 2 4 2 2 4" xfId="19838" xr:uid="{884FC127-A625-4D71-97F5-C16F9AA3DC8F}"/>
    <cellStyle name="Comma 4 2 2 4 2 2 5" xfId="28278" xr:uid="{AC748015-294D-4C3C-916E-87E38005D131}"/>
    <cellStyle name="Comma 4 2 2 4 2 3" xfId="5020" xr:uid="{00000000-0005-0000-0000-00002E080000}"/>
    <cellStyle name="Comma 4 2 2 4 2 3 2" xfId="13470" xr:uid="{E1360535-57E7-45FA-833F-F7CA33B57541}"/>
    <cellStyle name="Comma 4 2 2 4 2 3 3" xfId="21910" xr:uid="{F043740B-E71B-4EC8-B006-52DD7F1258FE}"/>
    <cellStyle name="Comma 4 2 2 4 2 3 4" xfId="30350" xr:uid="{BFC46E85-659F-4749-98F4-5BB3C862CA3A}"/>
    <cellStyle name="Comma 4 2 2 4 2 4" xfId="9252" xr:uid="{84A03DD4-D6FC-4313-91D7-A9839CF4CE46}"/>
    <cellStyle name="Comma 4 2 2 4 2 5" xfId="17693" xr:uid="{746B2462-F7CB-40E9-A830-127FF95C5320}"/>
    <cellStyle name="Comma 4 2 2 4 2 6" xfId="26133" xr:uid="{CF2750D1-130A-4824-B7E8-6600B8021D51}"/>
    <cellStyle name="Comma 4 2 2 4 3" xfId="1125" xr:uid="{00000000-0005-0000-0000-00002F080000}"/>
    <cellStyle name="Comma 4 2 2 4 3 2" xfId="3356" xr:uid="{00000000-0005-0000-0000-000030080000}"/>
    <cellStyle name="Comma 4 2 2 4 3 2 2" xfId="7578" xr:uid="{00000000-0005-0000-0000-000031080000}"/>
    <cellStyle name="Comma 4 2 2 4 3 2 2 2" xfId="16028" xr:uid="{0DBD9929-74DA-4778-9E8A-AAFADBF23898}"/>
    <cellStyle name="Comma 4 2 2 4 3 2 2 3" xfId="24468" xr:uid="{C2FF1CDA-430C-41BF-A36B-D64BD4E62616}"/>
    <cellStyle name="Comma 4 2 2 4 3 2 2 4" xfId="32908" xr:uid="{5D9BF28C-BB6D-4B3F-9B9E-371252D43B6C}"/>
    <cellStyle name="Comma 4 2 2 4 3 2 3" xfId="11810" xr:uid="{6215CB4B-1518-44D7-AA01-BA5B6147C685}"/>
    <cellStyle name="Comma 4 2 2 4 3 2 4" xfId="20251" xr:uid="{E48AE8D4-7388-449D-A67A-EEC95D445D5D}"/>
    <cellStyle name="Comma 4 2 2 4 3 2 5" xfId="28691" xr:uid="{8A75E34C-A56E-4E02-A7D1-D4EED94329E5}"/>
    <cellStyle name="Comma 4 2 2 4 3 3" xfId="5433" xr:uid="{00000000-0005-0000-0000-000032080000}"/>
    <cellStyle name="Comma 4 2 2 4 3 3 2" xfId="13883" xr:uid="{075C8710-1B07-4953-8A86-1FE5554D35FD}"/>
    <cellStyle name="Comma 4 2 2 4 3 3 3" xfId="22323" xr:uid="{129B1E38-AC0B-43F6-9D1C-0BEAF5C51C32}"/>
    <cellStyle name="Comma 4 2 2 4 3 3 4" xfId="30763" xr:uid="{7F3A29EB-48FE-441F-9143-2439576E8C27}"/>
    <cellStyle name="Comma 4 2 2 4 3 4" xfId="9665" xr:uid="{D52A6159-B429-47CB-84E8-3B4228A55350}"/>
    <cellStyle name="Comma 4 2 2 4 3 5" xfId="18106" xr:uid="{D6D754DE-0B9D-4836-A127-430455BB7A40}"/>
    <cellStyle name="Comma 4 2 2 4 3 6" xfId="26546" xr:uid="{092A3E49-CB98-43A1-9187-119D7C02A71C}"/>
    <cellStyle name="Comma 4 2 2 4 4" xfId="1539" xr:uid="{00000000-0005-0000-0000-000033080000}"/>
    <cellStyle name="Comma 4 2 2 4 4 2" xfId="3769" xr:uid="{00000000-0005-0000-0000-000034080000}"/>
    <cellStyle name="Comma 4 2 2 4 4 2 2" xfId="7991" xr:uid="{00000000-0005-0000-0000-000035080000}"/>
    <cellStyle name="Comma 4 2 2 4 4 2 2 2" xfId="16441" xr:uid="{9D8B674F-5C32-4199-9F7F-DEC966FBC364}"/>
    <cellStyle name="Comma 4 2 2 4 4 2 2 3" xfId="24881" xr:uid="{E210E237-E63C-4436-8BE6-B19D69A89877}"/>
    <cellStyle name="Comma 4 2 2 4 4 2 2 4" xfId="33321" xr:uid="{F56E3CE6-FA78-4A86-B190-66E4A83DE29D}"/>
    <cellStyle name="Comma 4 2 2 4 4 2 3" xfId="12223" xr:uid="{607DF24C-E2BD-46BB-91BC-85930AEB1900}"/>
    <cellStyle name="Comma 4 2 2 4 4 2 4" xfId="20664" xr:uid="{E4E4B48D-0891-4442-9DD9-3BF521079241}"/>
    <cellStyle name="Comma 4 2 2 4 4 2 5" xfId="29104" xr:uid="{C025C5A2-A890-4807-9CDA-C82717DA7AE5}"/>
    <cellStyle name="Comma 4 2 2 4 4 3" xfId="5846" xr:uid="{00000000-0005-0000-0000-000036080000}"/>
    <cellStyle name="Comma 4 2 2 4 4 3 2" xfId="14296" xr:uid="{2365A222-B54C-44F5-BC9B-7AA729AB90F7}"/>
    <cellStyle name="Comma 4 2 2 4 4 3 3" xfId="22736" xr:uid="{DC941E7E-4D99-4618-AC57-E702D1324912}"/>
    <cellStyle name="Comma 4 2 2 4 4 3 4" xfId="31176" xr:uid="{14EB471C-634C-4506-A408-42004AD3E529}"/>
    <cellStyle name="Comma 4 2 2 4 4 4" xfId="10078" xr:uid="{2993314D-7C0A-49F3-93F6-2FF4BB377B38}"/>
    <cellStyle name="Comma 4 2 2 4 4 5" xfId="18519" xr:uid="{0E24003D-4660-475F-9537-F495E22F5DA9}"/>
    <cellStyle name="Comma 4 2 2 4 4 6" xfId="26959" xr:uid="{6114B75C-65D1-4E6E-B715-FAE3F3E66C74}"/>
    <cellStyle name="Comma 4 2 2 4 5" xfId="1953" xr:uid="{00000000-0005-0000-0000-000037080000}"/>
    <cellStyle name="Comma 4 2 2 4 5 2" xfId="4182" xr:uid="{00000000-0005-0000-0000-000038080000}"/>
    <cellStyle name="Comma 4 2 2 4 5 2 2" xfId="8404" xr:uid="{00000000-0005-0000-0000-000039080000}"/>
    <cellStyle name="Comma 4 2 2 4 5 2 2 2" xfId="16854" xr:uid="{07AA04E4-660B-4F53-94ED-B274447B2024}"/>
    <cellStyle name="Comma 4 2 2 4 5 2 2 3" xfId="25294" xr:uid="{9951DD70-686B-4880-BC44-5045897A859F}"/>
    <cellStyle name="Comma 4 2 2 4 5 2 2 4" xfId="33734" xr:uid="{494BFAEB-1805-4340-A304-75B7F32F92E7}"/>
    <cellStyle name="Comma 4 2 2 4 5 2 3" xfId="12636" xr:uid="{05AF2EDB-51AF-45E8-BE8D-E1AAB9F09E9F}"/>
    <cellStyle name="Comma 4 2 2 4 5 2 4" xfId="21077" xr:uid="{898EBBFB-E146-4923-91A0-A879F2C18B72}"/>
    <cellStyle name="Comma 4 2 2 4 5 2 5" xfId="29517" xr:uid="{0CC60399-2AC6-4DEC-82D4-A4F81EB04BF4}"/>
    <cellStyle name="Comma 4 2 2 4 5 3" xfId="6259" xr:uid="{00000000-0005-0000-0000-00003A080000}"/>
    <cellStyle name="Comma 4 2 2 4 5 3 2" xfId="14709" xr:uid="{389F6E3C-8F16-4A75-841C-6A15EAA9B326}"/>
    <cellStyle name="Comma 4 2 2 4 5 3 3" xfId="23149" xr:uid="{B4743968-3FF9-40E7-A3A0-B5886F85F94E}"/>
    <cellStyle name="Comma 4 2 2 4 5 3 4" xfId="31589" xr:uid="{BD805DE8-E6B6-4C1B-8A5E-ADED94B3D31C}"/>
    <cellStyle name="Comma 4 2 2 4 5 4" xfId="10491" xr:uid="{A7B373F8-0407-407C-B7FA-F16B7C6A988B}"/>
    <cellStyle name="Comma 4 2 2 4 5 5" xfId="18932" xr:uid="{383319A1-FED8-4C9C-BF67-F591DD0D7F1F}"/>
    <cellStyle name="Comma 4 2 2 4 5 6" xfId="27372" xr:uid="{42015FF4-D6E5-4C90-A982-7F805C3B5845}"/>
    <cellStyle name="Comma 4 2 2 4 6" xfId="2388" xr:uid="{00000000-0005-0000-0000-00003B080000}"/>
    <cellStyle name="Comma 4 2 2 4 6 2" xfId="6672" xr:uid="{00000000-0005-0000-0000-00003C080000}"/>
    <cellStyle name="Comma 4 2 2 4 6 2 2" xfId="15122" xr:uid="{7944619A-A4AF-4E2B-B42B-E76A99E21B5D}"/>
    <cellStyle name="Comma 4 2 2 4 6 2 3" xfId="23562" xr:uid="{F8F7A268-392D-4C31-B866-F71A2F005573}"/>
    <cellStyle name="Comma 4 2 2 4 6 2 4" xfId="32002" xr:uid="{E8E9CF5F-3626-44C3-B822-86363A364A13}"/>
    <cellStyle name="Comma 4 2 2 4 6 3" xfId="10904" xr:uid="{7C99D792-C7F6-4B16-A5EC-DC6AA9F46873}"/>
    <cellStyle name="Comma 4 2 2 4 6 4" xfId="19345" xr:uid="{1EDDD463-780F-49AC-B00B-451C1860CBAA}"/>
    <cellStyle name="Comma 4 2 2 4 6 5" xfId="27785" xr:uid="{2CAF8329-3805-4C64-8EED-9A9AEB994ED0}"/>
    <cellStyle name="Comma 4 2 2 4 7" xfId="2375" xr:uid="{00000000-0005-0000-0000-00003D080000}"/>
    <cellStyle name="Comma 4 2 2 4 8" xfId="2766" xr:uid="{00000000-0005-0000-0000-00003E080000}"/>
    <cellStyle name="Comma 4 2 2 4 8 2" xfId="6989" xr:uid="{00000000-0005-0000-0000-00003F080000}"/>
    <cellStyle name="Comma 4 2 2 4 8 2 2" xfId="15439" xr:uid="{98F2C251-10D4-4825-852A-60DCA7235FBA}"/>
    <cellStyle name="Comma 4 2 2 4 8 2 3" xfId="23879" xr:uid="{605790E6-08AA-4A25-A9B9-0A1047E6721A}"/>
    <cellStyle name="Comma 4 2 2 4 8 2 4" xfId="32319" xr:uid="{9D9B76DF-A0B3-4FCE-903C-C893C9E51535}"/>
    <cellStyle name="Comma 4 2 2 4 8 3" xfId="11221" xr:uid="{62D92912-E8DF-4396-B046-4E3A3FDD7B1C}"/>
    <cellStyle name="Comma 4 2 2 4 8 4" xfId="19662" xr:uid="{DB344D84-34D0-469C-9E24-70F24FC94CA5}"/>
    <cellStyle name="Comma 4 2 2 4 8 5" xfId="28102" xr:uid="{1E2CE9C6-0C04-4434-ABE5-552A99A7769F}"/>
    <cellStyle name="Comma 4 2 2 4 9" xfId="4606" xr:uid="{00000000-0005-0000-0000-000040080000}"/>
    <cellStyle name="Comma 4 2 2 4 9 2" xfId="13056" xr:uid="{26C47369-AD36-4187-909F-0D72EE12A3C2}"/>
    <cellStyle name="Comma 4 2 2 4 9 3" xfId="21496" xr:uid="{E153A4DA-12BC-4F47-9EA3-E1223ED97FCF}"/>
    <cellStyle name="Comma 4 2 2 4 9 4" xfId="29936" xr:uid="{5870061B-B61B-47EC-937B-E7C0C9A72960}"/>
    <cellStyle name="Comma 4 2 2 5" xfId="135" xr:uid="{00000000-0005-0000-0000-000041080000}"/>
    <cellStyle name="Comma 4 2 2 5 10" xfId="8839" xr:uid="{6B60CAE3-EA62-40C9-9633-D42317F26B0E}"/>
    <cellStyle name="Comma 4 2 2 5 11" xfId="17280" xr:uid="{5233E6E1-C1DE-4166-BEF4-BBC842804B5A}"/>
    <cellStyle name="Comma 4 2 2 5 12" xfId="25720" xr:uid="{381416CF-A136-4F79-9E38-D50928267BE6}"/>
    <cellStyle name="Comma 4 2 2 5 2" xfId="673" xr:uid="{00000000-0005-0000-0000-000042080000}"/>
    <cellStyle name="Comma 4 2 2 5 2 2" xfId="2944" xr:uid="{00000000-0005-0000-0000-000043080000}"/>
    <cellStyle name="Comma 4 2 2 5 2 2 2" xfId="7166" xr:uid="{00000000-0005-0000-0000-000044080000}"/>
    <cellStyle name="Comma 4 2 2 5 2 2 2 2" xfId="15616" xr:uid="{1D8ADFF2-9D23-491F-AC16-7AFBFC98B482}"/>
    <cellStyle name="Comma 4 2 2 5 2 2 2 3" xfId="24056" xr:uid="{644D1D76-87EA-496F-9441-6EA04A55A8AD}"/>
    <cellStyle name="Comma 4 2 2 5 2 2 2 4" xfId="32496" xr:uid="{3ED78EBC-B43E-4DF5-935A-6FB2DFBBF04C}"/>
    <cellStyle name="Comma 4 2 2 5 2 2 3" xfId="11398" xr:uid="{652F910B-C61A-4D51-B04F-03E951D5F12B}"/>
    <cellStyle name="Comma 4 2 2 5 2 2 4" xfId="19839" xr:uid="{193F7268-840B-4CB5-A89D-EDCD5A275373}"/>
    <cellStyle name="Comma 4 2 2 5 2 2 5" xfId="28279" xr:uid="{1A269F7E-E835-4CEC-B52A-D96220B13F43}"/>
    <cellStyle name="Comma 4 2 2 5 2 3" xfId="5021" xr:uid="{00000000-0005-0000-0000-000045080000}"/>
    <cellStyle name="Comma 4 2 2 5 2 3 2" xfId="13471" xr:uid="{D08E7C70-8855-4057-B33B-F14E2274171C}"/>
    <cellStyle name="Comma 4 2 2 5 2 3 3" xfId="21911" xr:uid="{2B9C1D00-65E4-433C-864B-3B372C74C0C9}"/>
    <cellStyle name="Comma 4 2 2 5 2 3 4" xfId="30351" xr:uid="{440CBE9C-B249-4383-A2B7-570352AF36D9}"/>
    <cellStyle name="Comma 4 2 2 5 2 4" xfId="9253" xr:uid="{C930324F-5034-4020-B903-695FBBDD6AC7}"/>
    <cellStyle name="Comma 4 2 2 5 2 5" xfId="17694" xr:uid="{BF8D9D42-CB41-49E2-B0FC-8A51EC398ECC}"/>
    <cellStyle name="Comma 4 2 2 5 2 6" xfId="26134" xr:uid="{549CF458-F2E1-415D-A93E-FC32B5ECE643}"/>
    <cellStyle name="Comma 4 2 2 5 3" xfId="1126" xr:uid="{00000000-0005-0000-0000-000046080000}"/>
    <cellStyle name="Comma 4 2 2 5 3 2" xfId="3357" xr:uid="{00000000-0005-0000-0000-000047080000}"/>
    <cellStyle name="Comma 4 2 2 5 3 2 2" xfId="7579" xr:uid="{00000000-0005-0000-0000-000048080000}"/>
    <cellStyle name="Comma 4 2 2 5 3 2 2 2" xfId="16029" xr:uid="{348F2896-58E4-4925-B6A2-A310D5D611D4}"/>
    <cellStyle name="Comma 4 2 2 5 3 2 2 3" xfId="24469" xr:uid="{9668DCE8-B457-4FA5-9818-8456554E581C}"/>
    <cellStyle name="Comma 4 2 2 5 3 2 2 4" xfId="32909" xr:uid="{6D5A171D-991A-4333-85FA-B3167B049ABC}"/>
    <cellStyle name="Comma 4 2 2 5 3 2 3" xfId="11811" xr:uid="{942107CC-0FFB-4AAE-BE1E-E00B0B797D2E}"/>
    <cellStyle name="Comma 4 2 2 5 3 2 4" xfId="20252" xr:uid="{F5D1023B-F74D-4836-BC9A-7FE5C3A6F5B0}"/>
    <cellStyle name="Comma 4 2 2 5 3 2 5" xfId="28692" xr:uid="{A5FC0916-2ACE-4936-8AD4-16250A0ACD89}"/>
    <cellStyle name="Comma 4 2 2 5 3 3" xfId="5434" xr:uid="{00000000-0005-0000-0000-000049080000}"/>
    <cellStyle name="Comma 4 2 2 5 3 3 2" xfId="13884" xr:uid="{FC949000-B37D-41A1-B01F-DA4A2A8B1805}"/>
    <cellStyle name="Comma 4 2 2 5 3 3 3" xfId="22324" xr:uid="{5406DC3E-402E-4E07-8DBB-BD7C36749037}"/>
    <cellStyle name="Comma 4 2 2 5 3 3 4" xfId="30764" xr:uid="{398DDF80-BE5F-470F-B78A-CE613A5090A4}"/>
    <cellStyle name="Comma 4 2 2 5 3 4" xfId="9666" xr:uid="{BA063ABB-A4D9-49AC-9039-C3665AF59DC1}"/>
    <cellStyle name="Comma 4 2 2 5 3 5" xfId="18107" xr:uid="{46032A3D-2384-47A1-9635-93D6099830FC}"/>
    <cellStyle name="Comma 4 2 2 5 3 6" xfId="26547" xr:uid="{3F4A0464-8014-48AB-BC19-8775FEA1C2FC}"/>
    <cellStyle name="Comma 4 2 2 5 4" xfId="1540" xr:uid="{00000000-0005-0000-0000-00004A080000}"/>
    <cellStyle name="Comma 4 2 2 5 4 2" xfId="3770" xr:uid="{00000000-0005-0000-0000-00004B080000}"/>
    <cellStyle name="Comma 4 2 2 5 4 2 2" xfId="7992" xr:uid="{00000000-0005-0000-0000-00004C080000}"/>
    <cellStyle name="Comma 4 2 2 5 4 2 2 2" xfId="16442" xr:uid="{ACFD1BC6-289C-4BD4-B9C0-724EB2E8C583}"/>
    <cellStyle name="Comma 4 2 2 5 4 2 2 3" xfId="24882" xr:uid="{5DAFF0A2-7A01-41F7-9018-0B5AA8372356}"/>
    <cellStyle name="Comma 4 2 2 5 4 2 2 4" xfId="33322" xr:uid="{BAD72C6E-63FA-4BF1-B8F9-F25D83B8A903}"/>
    <cellStyle name="Comma 4 2 2 5 4 2 3" xfId="12224" xr:uid="{582145CE-2550-4953-8C2A-8AD90ED24A84}"/>
    <cellStyle name="Comma 4 2 2 5 4 2 4" xfId="20665" xr:uid="{3C47A645-A95E-43CE-81A4-E9F030A1B6B4}"/>
    <cellStyle name="Comma 4 2 2 5 4 2 5" xfId="29105" xr:uid="{919D7135-DEFC-46AB-98FC-776D33A72451}"/>
    <cellStyle name="Comma 4 2 2 5 4 3" xfId="5847" xr:uid="{00000000-0005-0000-0000-00004D080000}"/>
    <cellStyle name="Comma 4 2 2 5 4 3 2" xfId="14297" xr:uid="{40E609B6-22F3-4EBE-B9AC-1F22044CC3CC}"/>
    <cellStyle name="Comma 4 2 2 5 4 3 3" xfId="22737" xr:uid="{565B676E-3050-408C-9C0F-BCD20588A0B3}"/>
    <cellStyle name="Comma 4 2 2 5 4 3 4" xfId="31177" xr:uid="{ACF7AEE3-E1F9-4DE3-9C5B-299BB240DDE3}"/>
    <cellStyle name="Comma 4 2 2 5 4 4" xfId="10079" xr:uid="{12FF7B5F-FCB0-4531-B2C6-CEF8FB061989}"/>
    <cellStyle name="Comma 4 2 2 5 4 5" xfId="18520" xr:uid="{9E6E89D9-7D2F-43C2-A39D-3558F27AEF83}"/>
    <cellStyle name="Comma 4 2 2 5 4 6" xfId="26960" xr:uid="{0C3927D5-C2DB-4373-A42D-7CF460BB4614}"/>
    <cellStyle name="Comma 4 2 2 5 5" xfId="1954" xr:uid="{00000000-0005-0000-0000-00004E080000}"/>
    <cellStyle name="Comma 4 2 2 5 5 2" xfId="4183" xr:uid="{00000000-0005-0000-0000-00004F080000}"/>
    <cellStyle name="Comma 4 2 2 5 5 2 2" xfId="8405" xr:uid="{00000000-0005-0000-0000-000050080000}"/>
    <cellStyle name="Comma 4 2 2 5 5 2 2 2" xfId="16855" xr:uid="{FDD1FD9C-80C2-4639-A334-04A71B5879D9}"/>
    <cellStyle name="Comma 4 2 2 5 5 2 2 3" xfId="25295" xr:uid="{9BCC5B9A-27FE-41BA-96B6-EE95920C7884}"/>
    <cellStyle name="Comma 4 2 2 5 5 2 2 4" xfId="33735" xr:uid="{1D6C7A32-BF2C-4E99-AB34-31860FB93FEB}"/>
    <cellStyle name="Comma 4 2 2 5 5 2 3" xfId="12637" xr:uid="{4D9236DD-1C56-452F-8F0C-6A98006BD722}"/>
    <cellStyle name="Comma 4 2 2 5 5 2 4" xfId="21078" xr:uid="{E71B6B51-E914-42A1-81F4-ACA69A118C9D}"/>
    <cellStyle name="Comma 4 2 2 5 5 2 5" xfId="29518" xr:uid="{C5D04861-0067-40AC-B5A2-6E3E6454F67D}"/>
    <cellStyle name="Comma 4 2 2 5 5 3" xfId="6260" xr:uid="{00000000-0005-0000-0000-000051080000}"/>
    <cellStyle name="Comma 4 2 2 5 5 3 2" xfId="14710" xr:uid="{8506EA5A-0C66-4FA5-90F0-640CB03AB3D1}"/>
    <cellStyle name="Comma 4 2 2 5 5 3 3" xfId="23150" xr:uid="{B088FE1F-C731-4BE6-A6A6-4B23A14E848E}"/>
    <cellStyle name="Comma 4 2 2 5 5 3 4" xfId="31590" xr:uid="{80763A1E-E016-47CC-83CF-122CFE46BCF5}"/>
    <cellStyle name="Comma 4 2 2 5 5 4" xfId="10492" xr:uid="{CE622C20-E2CA-49C8-8D9A-CD36F1DDCD66}"/>
    <cellStyle name="Comma 4 2 2 5 5 5" xfId="18933" xr:uid="{01B53614-80FB-4EAF-9FD4-EEAE859C5989}"/>
    <cellStyle name="Comma 4 2 2 5 5 6" xfId="27373" xr:uid="{0EDE89AA-C7AA-4DA9-BA59-4DEC765DEC9D}"/>
    <cellStyle name="Comma 4 2 2 5 6" xfId="2389" xr:uid="{00000000-0005-0000-0000-000052080000}"/>
    <cellStyle name="Comma 4 2 2 5 6 2" xfId="6673" xr:uid="{00000000-0005-0000-0000-000053080000}"/>
    <cellStyle name="Comma 4 2 2 5 6 2 2" xfId="15123" xr:uid="{8F9F8E0A-3B7C-4C9F-975A-B9751198C78D}"/>
    <cellStyle name="Comma 4 2 2 5 6 2 3" xfId="23563" xr:uid="{933CFE61-DEC4-4925-A947-43D4A26364BF}"/>
    <cellStyle name="Comma 4 2 2 5 6 2 4" xfId="32003" xr:uid="{88590022-E764-4A89-9B2D-079684B3138F}"/>
    <cellStyle name="Comma 4 2 2 5 6 3" xfId="10905" xr:uid="{7F8E41B3-AB89-429A-9F01-1E9CEC3DBCE0}"/>
    <cellStyle name="Comma 4 2 2 5 6 4" xfId="19346" xr:uid="{57787A57-1A2C-4B67-8E61-2F3E7F38B419}"/>
    <cellStyle name="Comma 4 2 2 5 6 5" xfId="27786" xr:uid="{6520E395-0A8D-48FD-AEF0-2B4260AEA5AB}"/>
    <cellStyle name="Comma 4 2 2 5 7" xfId="2374" xr:uid="{00000000-0005-0000-0000-000054080000}"/>
    <cellStyle name="Comma 4 2 2 5 8" xfId="2767" xr:uid="{00000000-0005-0000-0000-000055080000}"/>
    <cellStyle name="Comma 4 2 2 5 8 2" xfId="6990" xr:uid="{00000000-0005-0000-0000-000056080000}"/>
    <cellStyle name="Comma 4 2 2 5 8 2 2" xfId="15440" xr:uid="{ADD2973E-C31D-4F71-9618-9CF9352C232D}"/>
    <cellStyle name="Comma 4 2 2 5 8 2 3" xfId="23880" xr:uid="{E8E39506-7211-4D64-87E2-832ABF41A0D9}"/>
    <cellStyle name="Comma 4 2 2 5 8 2 4" xfId="32320" xr:uid="{4C8D0262-10CB-48C0-BA52-307C71F28EF7}"/>
    <cellStyle name="Comma 4 2 2 5 8 3" xfId="11222" xr:uid="{08E68179-318C-4D10-AA2A-38A5F06F491F}"/>
    <cellStyle name="Comma 4 2 2 5 8 4" xfId="19663" xr:uid="{6643A90C-D0C5-4FF7-8C6C-636E3B0905FD}"/>
    <cellStyle name="Comma 4 2 2 5 8 5" xfId="28103" xr:uid="{7918BDBF-9D02-424A-B438-BE81EC2D0523}"/>
    <cellStyle name="Comma 4 2 2 5 9" xfId="4607" xr:uid="{00000000-0005-0000-0000-000057080000}"/>
    <cellStyle name="Comma 4 2 2 5 9 2" xfId="13057" xr:uid="{2AC0C019-97B4-421C-9AD9-E6C8D748B6D9}"/>
    <cellStyle name="Comma 4 2 2 5 9 3" xfId="21497" xr:uid="{7A00D9A1-8B41-434B-A1D9-7F3E18408AE1}"/>
    <cellStyle name="Comma 4 2 2 5 9 4" xfId="29937" xr:uid="{B11A6E6D-1312-459B-A7AB-568359FA4828}"/>
    <cellStyle name="Comma 4 2 3" xfId="136" xr:uid="{00000000-0005-0000-0000-000058080000}"/>
    <cellStyle name="Comma 4 2 3 10" xfId="2768" xr:uid="{00000000-0005-0000-0000-000059080000}"/>
    <cellStyle name="Comma 4 2 3 10 2" xfId="6991" xr:uid="{00000000-0005-0000-0000-00005A080000}"/>
    <cellStyle name="Comma 4 2 3 10 2 2" xfId="15441" xr:uid="{FBA71290-8A73-4B8E-BFC9-2BCF69F5EFFA}"/>
    <cellStyle name="Comma 4 2 3 10 2 3" xfId="23881" xr:uid="{B47A5A56-74A2-4D02-B88C-508989D74125}"/>
    <cellStyle name="Comma 4 2 3 10 2 4" xfId="32321" xr:uid="{B5ACC7BC-DCE8-414F-BCD4-2EA55D3050F0}"/>
    <cellStyle name="Comma 4 2 3 10 3" xfId="11223" xr:uid="{87C92DFB-E834-4424-8538-CFC9A0A32469}"/>
    <cellStyle name="Comma 4 2 3 10 4" xfId="19664" xr:uid="{149F46D8-945F-4D4E-8007-7F32FFE7E20C}"/>
    <cellStyle name="Comma 4 2 3 10 5" xfId="28104" xr:uid="{D9AACE7C-9085-4DEF-871A-C2BF44ED8C2D}"/>
    <cellStyle name="Comma 4 2 3 11" xfId="4608" xr:uid="{00000000-0005-0000-0000-00005B080000}"/>
    <cellStyle name="Comma 4 2 3 11 2" xfId="13058" xr:uid="{A7CF98B5-3ECC-41D9-B392-78282C6181AA}"/>
    <cellStyle name="Comma 4 2 3 11 3" xfId="21498" xr:uid="{75953E92-91AD-445F-914C-6E78BD2E55EE}"/>
    <cellStyle name="Comma 4 2 3 11 4" xfId="29938" xr:uid="{AD166886-ACE1-40E0-9CC5-7938089490E6}"/>
    <cellStyle name="Comma 4 2 3 12" xfId="8840" xr:uid="{6119CC0D-51B8-43E2-A26C-9FD245E87CFE}"/>
    <cellStyle name="Comma 4 2 3 13" xfId="17281" xr:uid="{FD8B7622-21CE-497A-A090-0623A8B39C60}"/>
    <cellStyle name="Comma 4 2 3 14" xfId="25721" xr:uid="{D0145A8F-EC3A-4AEE-B2AB-F0E920F3D8BC}"/>
    <cellStyle name="Comma 4 2 3 2" xfId="137" xr:uid="{00000000-0005-0000-0000-00005C080000}"/>
    <cellStyle name="Comma 4 2 3 2 10" xfId="4609" xr:uid="{00000000-0005-0000-0000-00005D080000}"/>
    <cellStyle name="Comma 4 2 3 2 10 2" xfId="13059" xr:uid="{AC4E92DE-AD5F-4B64-BB44-59FF8B33F959}"/>
    <cellStyle name="Comma 4 2 3 2 10 3" xfId="21499" xr:uid="{F312F72E-70E7-444A-A0E2-11C71D7F2FBB}"/>
    <cellStyle name="Comma 4 2 3 2 10 4" xfId="29939" xr:uid="{8654EC21-9009-489C-A230-E90331A81D38}"/>
    <cellStyle name="Comma 4 2 3 2 11" xfId="8841" xr:uid="{409DADC9-6044-4C75-8749-5518704D87D1}"/>
    <cellStyle name="Comma 4 2 3 2 12" xfId="17282" xr:uid="{F7B3F2C7-0C7E-4585-B683-78C0FF292FF9}"/>
    <cellStyle name="Comma 4 2 3 2 13" xfId="25722" xr:uid="{C7CE0E54-E243-4B89-893D-CF5A06797D33}"/>
    <cellStyle name="Comma 4 2 3 2 2" xfId="138" xr:uid="{00000000-0005-0000-0000-00005E080000}"/>
    <cellStyle name="Comma 4 2 3 2 2 10" xfId="8842" xr:uid="{1A834681-CF3E-475F-B9AF-1A8028B2FDF7}"/>
    <cellStyle name="Comma 4 2 3 2 2 11" xfId="17283" xr:uid="{BA043357-9C08-47E4-AD85-D4EB9C067DBB}"/>
    <cellStyle name="Comma 4 2 3 2 2 12" xfId="25723" xr:uid="{99A2EA37-B960-4501-B6F7-07B346C7CA99}"/>
    <cellStyle name="Comma 4 2 3 2 2 2" xfId="676" xr:uid="{00000000-0005-0000-0000-00005F080000}"/>
    <cellStyle name="Comma 4 2 3 2 2 2 2" xfId="2947" xr:uid="{00000000-0005-0000-0000-000060080000}"/>
    <cellStyle name="Comma 4 2 3 2 2 2 2 2" xfId="7169" xr:uid="{00000000-0005-0000-0000-000061080000}"/>
    <cellStyle name="Comma 4 2 3 2 2 2 2 2 2" xfId="15619" xr:uid="{7856ECBF-E46A-40B8-8E3D-9D61A96FAEDA}"/>
    <cellStyle name="Comma 4 2 3 2 2 2 2 2 3" xfId="24059" xr:uid="{3439BFB5-8936-46CB-BAA0-0825F76265F6}"/>
    <cellStyle name="Comma 4 2 3 2 2 2 2 2 4" xfId="32499" xr:uid="{54A540CA-4F6C-4BE4-83B1-677C0648D6FA}"/>
    <cellStyle name="Comma 4 2 3 2 2 2 2 3" xfId="11401" xr:uid="{941FA891-5F89-4A73-9916-E011A2EEFABF}"/>
    <cellStyle name="Comma 4 2 3 2 2 2 2 4" xfId="19842" xr:uid="{FF431778-9C7D-4B76-AAF8-A00DC8894CDD}"/>
    <cellStyle name="Comma 4 2 3 2 2 2 2 5" xfId="28282" xr:uid="{A9A748FA-7090-4461-BCC3-18F8D472F90E}"/>
    <cellStyle name="Comma 4 2 3 2 2 2 3" xfId="5024" xr:uid="{00000000-0005-0000-0000-000062080000}"/>
    <cellStyle name="Comma 4 2 3 2 2 2 3 2" xfId="13474" xr:uid="{2B3CB689-AFC2-490D-89CF-3DCA278951C7}"/>
    <cellStyle name="Comma 4 2 3 2 2 2 3 3" xfId="21914" xr:uid="{0BFBF75E-C8E7-4536-9A04-EB9EB026459C}"/>
    <cellStyle name="Comma 4 2 3 2 2 2 3 4" xfId="30354" xr:uid="{ECFED32D-93C6-4CC7-868E-98900CF86920}"/>
    <cellStyle name="Comma 4 2 3 2 2 2 4" xfId="9256" xr:uid="{C00F796A-16E7-425A-A920-863A4FF64839}"/>
    <cellStyle name="Comma 4 2 3 2 2 2 5" xfId="17697" xr:uid="{9ADCEA71-19D9-47FD-9C99-3606D12C9523}"/>
    <cellStyle name="Comma 4 2 3 2 2 2 6" xfId="26137" xr:uid="{8FB5B1BE-D91B-4B19-BB54-F9BF3652E4A3}"/>
    <cellStyle name="Comma 4 2 3 2 2 3" xfId="1129" xr:uid="{00000000-0005-0000-0000-000063080000}"/>
    <cellStyle name="Comma 4 2 3 2 2 3 2" xfId="3360" xr:uid="{00000000-0005-0000-0000-000064080000}"/>
    <cellStyle name="Comma 4 2 3 2 2 3 2 2" xfId="7582" xr:uid="{00000000-0005-0000-0000-000065080000}"/>
    <cellStyle name="Comma 4 2 3 2 2 3 2 2 2" xfId="16032" xr:uid="{E7CEAE70-BD0C-4F70-8C65-C0B877BD2228}"/>
    <cellStyle name="Comma 4 2 3 2 2 3 2 2 3" xfId="24472" xr:uid="{AD81F253-1640-4130-8ABD-97B1D44FCF70}"/>
    <cellStyle name="Comma 4 2 3 2 2 3 2 2 4" xfId="32912" xr:uid="{D1D7F875-B2C8-48CF-A117-6613BAFE1C55}"/>
    <cellStyle name="Comma 4 2 3 2 2 3 2 3" xfId="11814" xr:uid="{3D4728C9-36C5-4D9A-8DC6-1C9EB04CB486}"/>
    <cellStyle name="Comma 4 2 3 2 2 3 2 4" xfId="20255" xr:uid="{873B0AA0-0943-4520-977D-16A6DA3F0FB2}"/>
    <cellStyle name="Comma 4 2 3 2 2 3 2 5" xfId="28695" xr:uid="{5B38B449-526A-4D3A-B306-42D33A6B0056}"/>
    <cellStyle name="Comma 4 2 3 2 2 3 3" xfId="5437" xr:uid="{00000000-0005-0000-0000-000066080000}"/>
    <cellStyle name="Comma 4 2 3 2 2 3 3 2" xfId="13887" xr:uid="{C98A44EE-1A53-4F70-B2F6-4A46141B446C}"/>
    <cellStyle name="Comma 4 2 3 2 2 3 3 3" xfId="22327" xr:uid="{7FED7130-0AB8-4CA2-9607-67BCA5154102}"/>
    <cellStyle name="Comma 4 2 3 2 2 3 3 4" xfId="30767" xr:uid="{0E9EBD03-E803-4E09-A08D-4E490E47B500}"/>
    <cellStyle name="Comma 4 2 3 2 2 3 4" xfId="9669" xr:uid="{667E1795-09D9-4E34-AFF9-ABCC58C6B5A0}"/>
    <cellStyle name="Comma 4 2 3 2 2 3 5" xfId="18110" xr:uid="{2B619503-3C37-439E-A9DE-EB7534A560AA}"/>
    <cellStyle name="Comma 4 2 3 2 2 3 6" xfId="26550" xr:uid="{A1C2F3DE-5F41-4876-B0FE-A1D00C71122A}"/>
    <cellStyle name="Comma 4 2 3 2 2 4" xfId="1543" xr:uid="{00000000-0005-0000-0000-000067080000}"/>
    <cellStyle name="Comma 4 2 3 2 2 4 2" xfId="3773" xr:uid="{00000000-0005-0000-0000-000068080000}"/>
    <cellStyle name="Comma 4 2 3 2 2 4 2 2" xfId="7995" xr:uid="{00000000-0005-0000-0000-000069080000}"/>
    <cellStyle name="Comma 4 2 3 2 2 4 2 2 2" xfId="16445" xr:uid="{A447CF0A-E6DF-4B6A-AC86-B7E2BB9FA247}"/>
    <cellStyle name="Comma 4 2 3 2 2 4 2 2 3" xfId="24885" xr:uid="{0F580EC0-FFB4-4CBD-B1EB-9ECD4344E5C2}"/>
    <cellStyle name="Comma 4 2 3 2 2 4 2 2 4" xfId="33325" xr:uid="{E980016F-B381-40E8-BFAF-3D51C27414BD}"/>
    <cellStyle name="Comma 4 2 3 2 2 4 2 3" xfId="12227" xr:uid="{33631CB2-C978-41CC-BFFF-F02C42459756}"/>
    <cellStyle name="Comma 4 2 3 2 2 4 2 4" xfId="20668" xr:uid="{E3FF4158-15CF-46D2-8E9A-F705C919E9A4}"/>
    <cellStyle name="Comma 4 2 3 2 2 4 2 5" xfId="29108" xr:uid="{19E7BA6C-BDFC-4FBB-AF47-4DA7F714BFD0}"/>
    <cellStyle name="Comma 4 2 3 2 2 4 3" xfId="5850" xr:uid="{00000000-0005-0000-0000-00006A080000}"/>
    <cellStyle name="Comma 4 2 3 2 2 4 3 2" xfId="14300" xr:uid="{83DEBB1C-1560-4131-BC51-CCF2AF89AF09}"/>
    <cellStyle name="Comma 4 2 3 2 2 4 3 3" xfId="22740" xr:uid="{7ADBBB5A-752B-435B-8305-9B5B51AE899E}"/>
    <cellStyle name="Comma 4 2 3 2 2 4 3 4" xfId="31180" xr:uid="{C2D29A9A-49AD-4638-AA6A-C3F0EEBAC6D2}"/>
    <cellStyle name="Comma 4 2 3 2 2 4 4" xfId="10082" xr:uid="{59C18573-C418-467B-A789-6303F4354AFD}"/>
    <cellStyle name="Comma 4 2 3 2 2 4 5" xfId="18523" xr:uid="{DCF48931-EC88-4DC7-8DCE-24320A831906}"/>
    <cellStyle name="Comma 4 2 3 2 2 4 6" xfId="26963" xr:uid="{18540A23-BE1D-4A56-8A3D-3E60EE0DB241}"/>
    <cellStyle name="Comma 4 2 3 2 2 5" xfId="1957" xr:uid="{00000000-0005-0000-0000-00006B080000}"/>
    <cellStyle name="Comma 4 2 3 2 2 5 2" xfId="4186" xr:uid="{00000000-0005-0000-0000-00006C080000}"/>
    <cellStyle name="Comma 4 2 3 2 2 5 2 2" xfId="8408" xr:uid="{00000000-0005-0000-0000-00006D080000}"/>
    <cellStyle name="Comma 4 2 3 2 2 5 2 2 2" xfId="16858" xr:uid="{FBDD4FDB-626F-4558-8EC1-00F1A31709B5}"/>
    <cellStyle name="Comma 4 2 3 2 2 5 2 2 3" xfId="25298" xr:uid="{294B2B15-06F9-4454-80F3-ABA14CAE9B07}"/>
    <cellStyle name="Comma 4 2 3 2 2 5 2 2 4" xfId="33738" xr:uid="{0FA9D6B6-14C3-416F-A3A4-B98BE6BC6B2A}"/>
    <cellStyle name="Comma 4 2 3 2 2 5 2 3" xfId="12640" xr:uid="{2F1DA5D6-C820-4B2E-B2BE-57896C18D435}"/>
    <cellStyle name="Comma 4 2 3 2 2 5 2 4" xfId="21081" xr:uid="{E3E2E8B1-B028-4610-B14D-04066001A268}"/>
    <cellStyle name="Comma 4 2 3 2 2 5 2 5" xfId="29521" xr:uid="{65FFF51A-20EB-4E4C-9539-CC6FFA5EF5C3}"/>
    <cellStyle name="Comma 4 2 3 2 2 5 3" xfId="6263" xr:uid="{00000000-0005-0000-0000-00006E080000}"/>
    <cellStyle name="Comma 4 2 3 2 2 5 3 2" xfId="14713" xr:uid="{012394C4-648C-4847-B133-D31B7521B64D}"/>
    <cellStyle name="Comma 4 2 3 2 2 5 3 3" xfId="23153" xr:uid="{F5310CA2-1C69-4348-94ED-A357587B932C}"/>
    <cellStyle name="Comma 4 2 3 2 2 5 3 4" xfId="31593" xr:uid="{DC1C9184-9A91-4E28-AE2C-2524A1454D1C}"/>
    <cellStyle name="Comma 4 2 3 2 2 5 4" xfId="10495" xr:uid="{9BF3F861-C8C0-4ED5-8731-475B4DCF04E7}"/>
    <cellStyle name="Comma 4 2 3 2 2 5 5" xfId="18936" xr:uid="{F20F04D0-11AE-451C-9FE9-96B447735A26}"/>
    <cellStyle name="Comma 4 2 3 2 2 5 6" xfId="27376" xr:uid="{D020C42B-FC87-46AE-81C2-2058BCE50CF3}"/>
    <cellStyle name="Comma 4 2 3 2 2 6" xfId="2392" xr:uid="{00000000-0005-0000-0000-00006F080000}"/>
    <cellStyle name="Comma 4 2 3 2 2 6 2" xfId="6676" xr:uid="{00000000-0005-0000-0000-000070080000}"/>
    <cellStyle name="Comma 4 2 3 2 2 6 2 2" xfId="15126" xr:uid="{52764B35-56F0-4DBA-97FC-A406128ED0BA}"/>
    <cellStyle name="Comma 4 2 3 2 2 6 2 3" xfId="23566" xr:uid="{6C02DE3B-E040-428B-9AB7-A2FE1FE7C8DE}"/>
    <cellStyle name="Comma 4 2 3 2 2 6 2 4" xfId="32006" xr:uid="{68697FD4-20D9-4A64-8944-962C89BA95A6}"/>
    <cellStyle name="Comma 4 2 3 2 2 6 3" xfId="10908" xr:uid="{73E409B6-E896-4FFA-AFBB-A2BDF07E6EF2}"/>
    <cellStyle name="Comma 4 2 3 2 2 6 4" xfId="19349" xr:uid="{E1E4AD3F-4FA1-4A58-B29E-5CE54EF12D9C}"/>
    <cellStyle name="Comma 4 2 3 2 2 6 5" xfId="27789" xr:uid="{BE0399A1-FDF7-464C-8859-5E3062AB0494}"/>
    <cellStyle name="Comma 4 2 3 2 2 7" xfId="2371" xr:uid="{00000000-0005-0000-0000-000071080000}"/>
    <cellStyle name="Comma 4 2 3 2 2 8" xfId="2770" xr:uid="{00000000-0005-0000-0000-000072080000}"/>
    <cellStyle name="Comma 4 2 3 2 2 8 2" xfId="6993" xr:uid="{00000000-0005-0000-0000-000073080000}"/>
    <cellStyle name="Comma 4 2 3 2 2 8 2 2" xfId="15443" xr:uid="{8787808C-6FC0-4BC5-B96B-9239B6886A6E}"/>
    <cellStyle name="Comma 4 2 3 2 2 8 2 3" xfId="23883" xr:uid="{3029AD93-E7FE-4B8C-B8BF-49AFEE6FE973}"/>
    <cellStyle name="Comma 4 2 3 2 2 8 2 4" xfId="32323" xr:uid="{E5C02017-65FB-495C-B931-109E9A047189}"/>
    <cellStyle name="Comma 4 2 3 2 2 8 3" xfId="11225" xr:uid="{5607D3D4-14AD-4DC4-AD1E-9965A0E189D4}"/>
    <cellStyle name="Comma 4 2 3 2 2 8 4" xfId="19666" xr:uid="{AD0E1061-FCDC-48F8-88BA-61EBDF70D2B6}"/>
    <cellStyle name="Comma 4 2 3 2 2 8 5" xfId="28106" xr:uid="{1C1482FE-2B5A-4255-9D8E-3CA8BB283C96}"/>
    <cellStyle name="Comma 4 2 3 2 2 9" xfId="4610" xr:uid="{00000000-0005-0000-0000-000074080000}"/>
    <cellStyle name="Comma 4 2 3 2 2 9 2" xfId="13060" xr:uid="{EB92251C-9DE3-4E80-B423-9271EADBAB00}"/>
    <cellStyle name="Comma 4 2 3 2 2 9 3" xfId="21500" xr:uid="{D4CDB0D7-D45C-455B-BFC4-009F1653385C}"/>
    <cellStyle name="Comma 4 2 3 2 2 9 4" xfId="29940" xr:uid="{F5E8229A-A262-4F75-82F1-2882E8030CBF}"/>
    <cellStyle name="Comma 4 2 3 2 3" xfId="675" xr:uid="{00000000-0005-0000-0000-000075080000}"/>
    <cellStyle name="Comma 4 2 3 2 3 2" xfId="2946" xr:uid="{00000000-0005-0000-0000-000076080000}"/>
    <cellStyle name="Comma 4 2 3 2 3 2 2" xfId="7168" xr:uid="{00000000-0005-0000-0000-000077080000}"/>
    <cellStyle name="Comma 4 2 3 2 3 2 2 2" xfId="15618" xr:uid="{EFA7506D-FD21-4A7D-A1F1-6B155593D1E6}"/>
    <cellStyle name="Comma 4 2 3 2 3 2 2 3" xfId="24058" xr:uid="{31EE53AE-6A86-4BF7-96B4-8A45E5D503A4}"/>
    <cellStyle name="Comma 4 2 3 2 3 2 2 4" xfId="32498" xr:uid="{79114248-3DDD-4556-893A-9FC10C7D184C}"/>
    <cellStyle name="Comma 4 2 3 2 3 2 3" xfId="11400" xr:uid="{44474111-90D3-4561-A14F-4EA46E769D0D}"/>
    <cellStyle name="Comma 4 2 3 2 3 2 4" xfId="19841" xr:uid="{880BD869-97C0-4E4D-923F-554FEBC6967E}"/>
    <cellStyle name="Comma 4 2 3 2 3 2 5" xfId="28281" xr:uid="{455FF67E-BCCC-4970-B12E-91F6FA25B107}"/>
    <cellStyle name="Comma 4 2 3 2 3 3" xfId="5023" xr:uid="{00000000-0005-0000-0000-000078080000}"/>
    <cellStyle name="Comma 4 2 3 2 3 3 2" xfId="13473" xr:uid="{94045F19-94BE-4C1A-A980-9297D6A909DB}"/>
    <cellStyle name="Comma 4 2 3 2 3 3 3" xfId="21913" xr:uid="{B3EEE71E-951B-46B2-B618-134BA7CBB5DF}"/>
    <cellStyle name="Comma 4 2 3 2 3 3 4" xfId="30353" xr:uid="{F60B7B4A-AD0F-4A42-B040-C8B065BD8C32}"/>
    <cellStyle name="Comma 4 2 3 2 3 4" xfId="9255" xr:uid="{9C843BCF-1E6D-4346-BC47-8C47CB5D9998}"/>
    <cellStyle name="Comma 4 2 3 2 3 5" xfId="17696" xr:uid="{CF677AF7-67B8-4F21-BF98-7E3C075CFBE0}"/>
    <cellStyle name="Comma 4 2 3 2 3 6" xfId="26136" xr:uid="{43143236-8893-4CF8-BD88-0A64AB8A02C7}"/>
    <cellStyle name="Comma 4 2 3 2 4" xfId="1128" xr:uid="{00000000-0005-0000-0000-000079080000}"/>
    <cellStyle name="Comma 4 2 3 2 4 2" xfId="3359" xr:uid="{00000000-0005-0000-0000-00007A080000}"/>
    <cellStyle name="Comma 4 2 3 2 4 2 2" xfId="7581" xr:uid="{00000000-0005-0000-0000-00007B080000}"/>
    <cellStyle name="Comma 4 2 3 2 4 2 2 2" xfId="16031" xr:uid="{4C9F47D6-28A4-440D-BED7-668174759480}"/>
    <cellStyle name="Comma 4 2 3 2 4 2 2 3" xfId="24471" xr:uid="{23F72F07-EA74-452D-9DBE-CFA55C2A9F1F}"/>
    <cellStyle name="Comma 4 2 3 2 4 2 2 4" xfId="32911" xr:uid="{3ECA8246-484B-489E-9C59-FA455900A023}"/>
    <cellStyle name="Comma 4 2 3 2 4 2 3" xfId="11813" xr:uid="{568FECD3-2122-427D-A150-9B0948DCEF06}"/>
    <cellStyle name="Comma 4 2 3 2 4 2 4" xfId="20254" xr:uid="{8C30E1F4-1199-42AB-84CB-62DD00E11A17}"/>
    <cellStyle name="Comma 4 2 3 2 4 2 5" xfId="28694" xr:uid="{8409E7FF-D08B-4D0D-9E23-F580AB371B00}"/>
    <cellStyle name="Comma 4 2 3 2 4 3" xfId="5436" xr:uid="{00000000-0005-0000-0000-00007C080000}"/>
    <cellStyle name="Comma 4 2 3 2 4 3 2" xfId="13886" xr:uid="{2707D86C-8E51-4A6B-A9A7-121DB6509AC5}"/>
    <cellStyle name="Comma 4 2 3 2 4 3 3" xfId="22326" xr:uid="{3DED1EB8-BB76-4E9E-AD63-95423199AFB5}"/>
    <cellStyle name="Comma 4 2 3 2 4 3 4" xfId="30766" xr:uid="{67A0B0AB-D0C6-4C3B-9B3E-00E4905277F3}"/>
    <cellStyle name="Comma 4 2 3 2 4 4" xfId="9668" xr:uid="{33E88C21-F217-45CF-9D41-7B41E06BED50}"/>
    <cellStyle name="Comma 4 2 3 2 4 5" xfId="18109" xr:uid="{175C8F5B-B22F-4876-9D54-BDCAE17B4A77}"/>
    <cellStyle name="Comma 4 2 3 2 4 6" xfId="26549" xr:uid="{5AC0E860-7CD9-4B03-9C95-0AA03353FB9D}"/>
    <cellStyle name="Comma 4 2 3 2 5" xfId="1542" xr:uid="{00000000-0005-0000-0000-00007D080000}"/>
    <cellStyle name="Comma 4 2 3 2 5 2" xfId="3772" xr:uid="{00000000-0005-0000-0000-00007E080000}"/>
    <cellStyle name="Comma 4 2 3 2 5 2 2" xfId="7994" xr:uid="{00000000-0005-0000-0000-00007F080000}"/>
    <cellStyle name="Comma 4 2 3 2 5 2 2 2" xfId="16444" xr:uid="{8F2C9D02-DB3E-48D0-AF47-62A97C7C0A4D}"/>
    <cellStyle name="Comma 4 2 3 2 5 2 2 3" xfId="24884" xr:uid="{0E347A84-BB44-42E1-8E52-522BFD97228E}"/>
    <cellStyle name="Comma 4 2 3 2 5 2 2 4" xfId="33324" xr:uid="{60BAC093-7D70-4A1A-8B46-68E4CC3DF1A0}"/>
    <cellStyle name="Comma 4 2 3 2 5 2 3" xfId="12226" xr:uid="{72E310FB-E86C-4D4D-88E7-8B2950CF95ED}"/>
    <cellStyle name="Comma 4 2 3 2 5 2 4" xfId="20667" xr:uid="{5E4053A0-535E-4761-9873-5B73D0253FCF}"/>
    <cellStyle name="Comma 4 2 3 2 5 2 5" xfId="29107" xr:uid="{A715C3EB-4990-47A1-9238-2AE0E57D7758}"/>
    <cellStyle name="Comma 4 2 3 2 5 3" xfId="5849" xr:uid="{00000000-0005-0000-0000-000080080000}"/>
    <cellStyle name="Comma 4 2 3 2 5 3 2" xfId="14299" xr:uid="{6A2095ED-5A8F-4B5F-98F9-9703FBF9ADF6}"/>
    <cellStyle name="Comma 4 2 3 2 5 3 3" xfId="22739" xr:uid="{74B8ABF4-E366-4969-8E5C-B28DE15E5172}"/>
    <cellStyle name="Comma 4 2 3 2 5 3 4" xfId="31179" xr:uid="{F6065FC8-F45B-4E0C-B96C-74D5EAB74BD0}"/>
    <cellStyle name="Comma 4 2 3 2 5 4" xfId="10081" xr:uid="{28C43473-7E08-4479-92B9-344BA1B3F22D}"/>
    <cellStyle name="Comma 4 2 3 2 5 5" xfId="18522" xr:uid="{A51F9604-5D53-4D26-B98B-A63CF14A33E8}"/>
    <cellStyle name="Comma 4 2 3 2 5 6" xfId="26962" xr:uid="{1CCA7D83-5FFB-4A57-B1BC-F82D032D377F}"/>
    <cellStyle name="Comma 4 2 3 2 6" xfId="1956" xr:uid="{00000000-0005-0000-0000-000081080000}"/>
    <cellStyle name="Comma 4 2 3 2 6 2" xfId="4185" xr:uid="{00000000-0005-0000-0000-000082080000}"/>
    <cellStyle name="Comma 4 2 3 2 6 2 2" xfId="8407" xr:uid="{00000000-0005-0000-0000-000083080000}"/>
    <cellStyle name="Comma 4 2 3 2 6 2 2 2" xfId="16857" xr:uid="{DDBB2876-48F7-4AF1-89BC-B166160C036E}"/>
    <cellStyle name="Comma 4 2 3 2 6 2 2 3" xfId="25297" xr:uid="{0856510F-831D-4B00-8D54-920AEAECFE4A}"/>
    <cellStyle name="Comma 4 2 3 2 6 2 2 4" xfId="33737" xr:uid="{0D797C90-B680-420C-B9B4-9EE609E99DB1}"/>
    <cellStyle name="Comma 4 2 3 2 6 2 3" xfId="12639" xr:uid="{930152C3-8B8C-4997-90AB-8B7FEC39510E}"/>
    <cellStyle name="Comma 4 2 3 2 6 2 4" xfId="21080" xr:uid="{F613721B-ABC2-4163-8512-2A920DCA652E}"/>
    <cellStyle name="Comma 4 2 3 2 6 2 5" xfId="29520" xr:uid="{33EF1529-6966-4420-9D96-76BCD5644530}"/>
    <cellStyle name="Comma 4 2 3 2 6 3" xfId="6262" xr:uid="{00000000-0005-0000-0000-000084080000}"/>
    <cellStyle name="Comma 4 2 3 2 6 3 2" xfId="14712" xr:uid="{EC5C898E-4184-4B29-B381-AD4CA30D2E5D}"/>
    <cellStyle name="Comma 4 2 3 2 6 3 3" xfId="23152" xr:uid="{1B580490-2F0D-472E-9575-03B521185FCA}"/>
    <cellStyle name="Comma 4 2 3 2 6 3 4" xfId="31592" xr:uid="{41F4CFC5-74D4-4507-B592-4D05EBD59962}"/>
    <cellStyle name="Comma 4 2 3 2 6 4" xfId="10494" xr:uid="{AA6BA8CA-578C-472C-AA68-3BF5FECF3EF0}"/>
    <cellStyle name="Comma 4 2 3 2 6 5" xfId="18935" xr:uid="{A77B1922-C7DD-4FAD-8658-C5A90A20FAD0}"/>
    <cellStyle name="Comma 4 2 3 2 6 6" xfId="27375" xr:uid="{D6BB9E3E-AE49-42E2-8711-76A10530933A}"/>
    <cellStyle name="Comma 4 2 3 2 7" xfId="2391" xr:uid="{00000000-0005-0000-0000-000085080000}"/>
    <cellStyle name="Comma 4 2 3 2 7 2" xfId="6675" xr:uid="{00000000-0005-0000-0000-000086080000}"/>
    <cellStyle name="Comma 4 2 3 2 7 2 2" xfId="15125" xr:uid="{CD76EB0E-F46A-4A49-A83B-5FE8B016BC0B}"/>
    <cellStyle name="Comma 4 2 3 2 7 2 3" xfId="23565" xr:uid="{59A485AE-E424-4002-B758-62E518621A95}"/>
    <cellStyle name="Comma 4 2 3 2 7 2 4" xfId="32005" xr:uid="{2BCD2B2E-037B-4343-A00D-CEAB91514373}"/>
    <cellStyle name="Comma 4 2 3 2 7 3" xfId="10907" xr:uid="{96E0F1A3-C636-49FC-99F9-697D98AD48FD}"/>
    <cellStyle name="Comma 4 2 3 2 7 4" xfId="19348" xr:uid="{85F42999-BB92-4E52-9DB2-21C602564707}"/>
    <cellStyle name="Comma 4 2 3 2 7 5" xfId="27788" xr:uid="{9E96D224-7E77-4534-BA6E-D0EA19724C5F}"/>
    <cellStyle name="Comma 4 2 3 2 8" xfId="2372" xr:uid="{00000000-0005-0000-0000-000087080000}"/>
    <cellStyle name="Comma 4 2 3 2 9" xfId="2769" xr:uid="{00000000-0005-0000-0000-000088080000}"/>
    <cellStyle name="Comma 4 2 3 2 9 2" xfId="6992" xr:uid="{00000000-0005-0000-0000-000089080000}"/>
    <cellStyle name="Comma 4 2 3 2 9 2 2" xfId="15442" xr:uid="{D44BD045-019F-4E3F-ABF5-88D2F8E2465D}"/>
    <cellStyle name="Comma 4 2 3 2 9 2 3" xfId="23882" xr:uid="{7C81DE3F-D792-4A53-97AE-1DA185E4E0D4}"/>
    <cellStyle name="Comma 4 2 3 2 9 2 4" xfId="32322" xr:uid="{9701978A-EB3D-4B7F-A4F4-232094449F90}"/>
    <cellStyle name="Comma 4 2 3 2 9 3" xfId="11224" xr:uid="{49FCEE52-49F8-4FF0-BD10-119598868F13}"/>
    <cellStyle name="Comma 4 2 3 2 9 4" xfId="19665" xr:uid="{7731996D-641D-4C05-8FEF-A13C67EFE3B9}"/>
    <cellStyle name="Comma 4 2 3 2 9 5" xfId="28105" xr:uid="{5A6CA6AD-CE75-4C4B-ACDD-078177170214}"/>
    <cellStyle name="Comma 4 2 3 3" xfId="139" xr:uid="{00000000-0005-0000-0000-00008A080000}"/>
    <cellStyle name="Comma 4 2 3 3 10" xfId="8843" xr:uid="{356C0368-3A8C-4D99-9896-5EA926B9C78F}"/>
    <cellStyle name="Comma 4 2 3 3 11" xfId="17284" xr:uid="{53EED3C0-9962-4074-A433-E2A3BC4B08DA}"/>
    <cellStyle name="Comma 4 2 3 3 12" xfId="25724" xr:uid="{467152EF-55EC-4056-A34E-2D698FB9679D}"/>
    <cellStyle name="Comma 4 2 3 3 2" xfId="677" xr:uid="{00000000-0005-0000-0000-00008B080000}"/>
    <cellStyle name="Comma 4 2 3 3 2 2" xfId="2948" xr:uid="{00000000-0005-0000-0000-00008C080000}"/>
    <cellStyle name="Comma 4 2 3 3 2 2 2" xfId="7170" xr:uid="{00000000-0005-0000-0000-00008D080000}"/>
    <cellStyle name="Comma 4 2 3 3 2 2 2 2" xfId="15620" xr:uid="{43B6D0A2-0A69-4D0F-8C9F-19FD4B389D76}"/>
    <cellStyle name="Comma 4 2 3 3 2 2 2 3" xfId="24060" xr:uid="{58A0C691-B118-4BB9-8A5A-2DDFFA26DCB8}"/>
    <cellStyle name="Comma 4 2 3 3 2 2 2 4" xfId="32500" xr:uid="{6D7FD308-DD93-4CE4-BE32-8A169AE39EB6}"/>
    <cellStyle name="Comma 4 2 3 3 2 2 3" xfId="11402" xr:uid="{0E0F38D5-DFDA-401E-B57E-79E97FEBB306}"/>
    <cellStyle name="Comma 4 2 3 3 2 2 4" xfId="19843" xr:uid="{7BC1F2E3-226E-4823-971A-72F258B60FC2}"/>
    <cellStyle name="Comma 4 2 3 3 2 2 5" xfId="28283" xr:uid="{451159B8-8BFC-4515-A0EC-0B291475D1E9}"/>
    <cellStyle name="Comma 4 2 3 3 2 3" xfId="5025" xr:uid="{00000000-0005-0000-0000-00008E080000}"/>
    <cellStyle name="Comma 4 2 3 3 2 3 2" xfId="13475" xr:uid="{621AF0FD-0D73-4EA3-BD30-9A56F75F677C}"/>
    <cellStyle name="Comma 4 2 3 3 2 3 3" xfId="21915" xr:uid="{899BB4E5-B9B4-4CA7-9B1F-C8AD2900040A}"/>
    <cellStyle name="Comma 4 2 3 3 2 3 4" xfId="30355" xr:uid="{361F2163-9D7A-4B17-BFF9-021B29F90DAF}"/>
    <cellStyle name="Comma 4 2 3 3 2 4" xfId="9257" xr:uid="{DE7450FD-5AA4-48E6-9F72-AF1334F9DB05}"/>
    <cellStyle name="Comma 4 2 3 3 2 5" xfId="17698" xr:uid="{0CB1951E-2DB2-448F-9F00-A3F7387C97D3}"/>
    <cellStyle name="Comma 4 2 3 3 2 6" xfId="26138" xr:uid="{5C8380EE-F312-4CD5-A8C4-D481777A1640}"/>
    <cellStyle name="Comma 4 2 3 3 3" xfId="1130" xr:uid="{00000000-0005-0000-0000-00008F080000}"/>
    <cellStyle name="Comma 4 2 3 3 3 2" xfId="3361" xr:uid="{00000000-0005-0000-0000-000090080000}"/>
    <cellStyle name="Comma 4 2 3 3 3 2 2" xfId="7583" xr:uid="{00000000-0005-0000-0000-000091080000}"/>
    <cellStyle name="Comma 4 2 3 3 3 2 2 2" xfId="16033" xr:uid="{B8C27BE6-E8EB-4996-95E9-EB7ED701EF03}"/>
    <cellStyle name="Comma 4 2 3 3 3 2 2 3" xfId="24473" xr:uid="{F26D691A-237E-4C70-A1EA-274DD5E24A25}"/>
    <cellStyle name="Comma 4 2 3 3 3 2 2 4" xfId="32913" xr:uid="{FDD87280-47B4-4FCF-BC8C-8D986EB4A534}"/>
    <cellStyle name="Comma 4 2 3 3 3 2 3" xfId="11815" xr:uid="{20679736-A660-46AB-9E87-20CE05172AD9}"/>
    <cellStyle name="Comma 4 2 3 3 3 2 4" xfId="20256" xr:uid="{E197D8D8-72F6-4C07-AEF3-F8F5F9FD6CF1}"/>
    <cellStyle name="Comma 4 2 3 3 3 2 5" xfId="28696" xr:uid="{E4D70F24-ADA1-4D4D-8D6E-21A14063E0F1}"/>
    <cellStyle name="Comma 4 2 3 3 3 3" xfId="5438" xr:uid="{00000000-0005-0000-0000-000092080000}"/>
    <cellStyle name="Comma 4 2 3 3 3 3 2" xfId="13888" xr:uid="{A64AB2E1-FB14-4CD0-BD3E-F9ED9B98EEC1}"/>
    <cellStyle name="Comma 4 2 3 3 3 3 3" xfId="22328" xr:uid="{1474A566-E18D-4B67-853F-12D2F1C5B26B}"/>
    <cellStyle name="Comma 4 2 3 3 3 3 4" xfId="30768" xr:uid="{4AFDFADF-B4F6-4519-85C0-5E4062CA157B}"/>
    <cellStyle name="Comma 4 2 3 3 3 4" xfId="9670" xr:uid="{209F3390-E679-475D-9212-E7C5FCC6F75F}"/>
    <cellStyle name="Comma 4 2 3 3 3 5" xfId="18111" xr:uid="{55D9A694-A128-4739-837A-D64448551B91}"/>
    <cellStyle name="Comma 4 2 3 3 3 6" xfId="26551" xr:uid="{DE926956-182C-4A76-9330-58EE996D2BF3}"/>
    <cellStyle name="Comma 4 2 3 3 4" xfId="1544" xr:uid="{00000000-0005-0000-0000-000093080000}"/>
    <cellStyle name="Comma 4 2 3 3 4 2" xfId="3774" xr:uid="{00000000-0005-0000-0000-000094080000}"/>
    <cellStyle name="Comma 4 2 3 3 4 2 2" xfId="7996" xr:uid="{00000000-0005-0000-0000-000095080000}"/>
    <cellStyle name="Comma 4 2 3 3 4 2 2 2" xfId="16446" xr:uid="{DBB3BC31-22C8-4E48-A200-BCE02940FE59}"/>
    <cellStyle name="Comma 4 2 3 3 4 2 2 3" xfId="24886" xr:uid="{31DF59D0-5F30-45CF-BD03-3A71BAB3D803}"/>
    <cellStyle name="Comma 4 2 3 3 4 2 2 4" xfId="33326" xr:uid="{7F074428-D4A4-4F65-AC07-1552BDA25081}"/>
    <cellStyle name="Comma 4 2 3 3 4 2 3" xfId="12228" xr:uid="{43B6827F-48B4-4D56-9638-FFACD8CC8054}"/>
    <cellStyle name="Comma 4 2 3 3 4 2 4" xfId="20669" xr:uid="{3E295447-C6EC-466E-9F5C-B49F93C7B9C1}"/>
    <cellStyle name="Comma 4 2 3 3 4 2 5" xfId="29109" xr:uid="{FC4DBC0A-A781-407B-960C-324CB48A991E}"/>
    <cellStyle name="Comma 4 2 3 3 4 3" xfId="5851" xr:uid="{00000000-0005-0000-0000-000096080000}"/>
    <cellStyle name="Comma 4 2 3 3 4 3 2" xfId="14301" xr:uid="{5F73D6A3-C80C-44AD-9067-3E4F271F7DFD}"/>
    <cellStyle name="Comma 4 2 3 3 4 3 3" xfId="22741" xr:uid="{0EECF729-B52D-4E05-A338-20BC65D7D694}"/>
    <cellStyle name="Comma 4 2 3 3 4 3 4" xfId="31181" xr:uid="{71D92013-A7F7-4ECC-86D6-CF38FFEDC577}"/>
    <cellStyle name="Comma 4 2 3 3 4 4" xfId="10083" xr:uid="{DFAF1395-0C4F-420E-848F-3B3FDA48181E}"/>
    <cellStyle name="Comma 4 2 3 3 4 5" xfId="18524" xr:uid="{8AB127CD-2548-4734-86FF-1C18536AA8E3}"/>
    <cellStyle name="Comma 4 2 3 3 4 6" xfId="26964" xr:uid="{0F0EC77A-6E95-4D6E-8E47-27AFEAE09818}"/>
    <cellStyle name="Comma 4 2 3 3 5" xfId="1958" xr:uid="{00000000-0005-0000-0000-000097080000}"/>
    <cellStyle name="Comma 4 2 3 3 5 2" xfId="4187" xr:uid="{00000000-0005-0000-0000-000098080000}"/>
    <cellStyle name="Comma 4 2 3 3 5 2 2" xfId="8409" xr:uid="{00000000-0005-0000-0000-000099080000}"/>
    <cellStyle name="Comma 4 2 3 3 5 2 2 2" xfId="16859" xr:uid="{00403348-384F-446C-ABAC-F51E84AD57A9}"/>
    <cellStyle name="Comma 4 2 3 3 5 2 2 3" xfId="25299" xr:uid="{994DA2FA-3E6F-49D2-9214-4727A072FC92}"/>
    <cellStyle name="Comma 4 2 3 3 5 2 2 4" xfId="33739" xr:uid="{698BF46B-6A57-47F7-8BE8-BEE134467782}"/>
    <cellStyle name="Comma 4 2 3 3 5 2 3" xfId="12641" xr:uid="{FBCDD816-9FE3-4B94-ACEC-29DED0788AC2}"/>
    <cellStyle name="Comma 4 2 3 3 5 2 4" xfId="21082" xr:uid="{9D30DF68-064D-4B0E-AF5E-4D0DFFC07785}"/>
    <cellStyle name="Comma 4 2 3 3 5 2 5" xfId="29522" xr:uid="{20ED5EA9-1B6C-4693-8196-D17C7BEAA8C1}"/>
    <cellStyle name="Comma 4 2 3 3 5 3" xfId="6264" xr:uid="{00000000-0005-0000-0000-00009A080000}"/>
    <cellStyle name="Comma 4 2 3 3 5 3 2" xfId="14714" xr:uid="{C7514222-FE71-4BFA-8A5D-991D641819FC}"/>
    <cellStyle name="Comma 4 2 3 3 5 3 3" xfId="23154" xr:uid="{A97380CC-E0A5-4CA6-A678-C6C934A4E7B7}"/>
    <cellStyle name="Comma 4 2 3 3 5 3 4" xfId="31594" xr:uid="{E5C09468-5E89-40D0-8C15-06D93E0E9912}"/>
    <cellStyle name="Comma 4 2 3 3 5 4" xfId="10496" xr:uid="{A04193EA-4BA8-47EF-83EE-B9405A450C2E}"/>
    <cellStyle name="Comma 4 2 3 3 5 5" xfId="18937" xr:uid="{2E08DD22-389C-4B0D-9F82-7448B5331850}"/>
    <cellStyle name="Comma 4 2 3 3 5 6" xfId="27377" xr:uid="{D968D551-B5C6-41E5-8B6C-506CBF1A9E01}"/>
    <cellStyle name="Comma 4 2 3 3 6" xfId="2393" xr:uid="{00000000-0005-0000-0000-00009B080000}"/>
    <cellStyle name="Comma 4 2 3 3 6 2" xfId="6677" xr:uid="{00000000-0005-0000-0000-00009C080000}"/>
    <cellStyle name="Comma 4 2 3 3 6 2 2" xfId="15127" xr:uid="{584C31D4-499D-45EB-BE39-DB8A8C004386}"/>
    <cellStyle name="Comma 4 2 3 3 6 2 3" xfId="23567" xr:uid="{371E8062-7022-470C-91D8-D928A356CB8A}"/>
    <cellStyle name="Comma 4 2 3 3 6 2 4" xfId="32007" xr:uid="{BE0D7A24-ADCF-4A11-A716-AAE75DCF55C1}"/>
    <cellStyle name="Comma 4 2 3 3 6 3" xfId="10909" xr:uid="{3C4F4559-7FB1-457A-9154-122308BD7ABD}"/>
    <cellStyle name="Comma 4 2 3 3 6 4" xfId="19350" xr:uid="{0F4B6971-8AB6-47B9-A8B5-970B8AC9A56A}"/>
    <cellStyle name="Comma 4 2 3 3 6 5" xfId="27790" xr:uid="{198B1886-F81C-4E2A-B6A5-915DE5234F51}"/>
    <cellStyle name="Comma 4 2 3 3 7" xfId="2370" xr:uid="{00000000-0005-0000-0000-00009D080000}"/>
    <cellStyle name="Comma 4 2 3 3 8" xfId="2771" xr:uid="{00000000-0005-0000-0000-00009E080000}"/>
    <cellStyle name="Comma 4 2 3 3 8 2" xfId="6994" xr:uid="{00000000-0005-0000-0000-00009F080000}"/>
    <cellStyle name="Comma 4 2 3 3 8 2 2" xfId="15444" xr:uid="{4595969C-36F0-4CBE-9CC4-5A420E8CA81E}"/>
    <cellStyle name="Comma 4 2 3 3 8 2 3" xfId="23884" xr:uid="{CBE1F81B-A7BE-406B-B8BC-BBA12C6B6E7D}"/>
    <cellStyle name="Comma 4 2 3 3 8 2 4" xfId="32324" xr:uid="{48B108C5-EF94-49C3-8A39-E821A5CD032D}"/>
    <cellStyle name="Comma 4 2 3 3 8 3" xfId="11226" xr:uid="{241F15B6-A5BF-4AAA-8854-3358D68F290D}"/>
    <cellStyle name="Comma 4 2 3 3 8 4" xfId="19667" xr:uid="{517063BB-91B6-4656-942C-EA68D5E030C3}"/>
    <cellStyle name="Comma 4 2 3 3 8 5" xfId="28107" xr:uid="{EEFF04CF-EC51-4D6A-B496-ABB05FD24CDA}"/>
    <cellStyle name="Comma 4 2 3 3 9" xfId="4611" xr:uid="{00000000-0005-0000-0000-0000A0080000}"/>
    <cellStyle name="Comma 4 2 3 3 9 2" xfId="13061" xr:uid="{3C4DDAA9-E8D2-49F3-A634-433CB972D08A}"/>
    <cellStyle name="Comma 4 2 3 3 9 3" xfId="21501" xr:uid="{AD8EA657-1D49-4F61-9746-73FBDA7BDEE1}"/>
    <cellStyle name="Comma 4 2 3 3 9 4" xfId="29941" xr:uid="{712837FB-C65A-400B-BC91-4EEF2EDCCAE8}"/>
    <cellStyle name="Comma 4 2 3 4" xfId="674" xr:uid="{00000000-0005-0000-0000-0000A1080000}"/>
    <cellStyle name="Comma 4 2 3 4 2" xfId="2945" xr:uid="{00000000-0005-0000-0000-0000A2080000}"/>
    <cellStyle name="Comma 4 2 3 4 2 2" xfId="7167" xr:uid="{00000000-0005-0000-0000-0000A3080000}"/>
    <cellStyle name="Comma 4 2 3 4 2 2 2" xfId="15617" xr:uid="{21B2C372-DA70-4927-BB7B-C203D3E264F9}"/>
    <cellStyle name="Comma 4 2 3 4 2 2 3" xfId="24057" xr:uid="{14023A9F-6EEB-4E1D-939C-5525D507B6ED}"/>
    <cellStyle name="Comma 4 2 3 4 2 2 4" xfId="32497" xr:uid="{7E96686C-AC66-4819-B8B2-2F6E4C1BB254}"/>
    <cellStyle name="Comma 4 2 3 4 2 3" xfId="11399" xr:uid="{FE52C9FA-CC37-4C29-ADE9-B9B4F3EC3641}"/>
    <cellStyle name="Comma 4 2 3 4 2 4" xfId="19840" xr:uid="{DC6FB5A6-616D-43D0-9846-95952A8A76BC}"/>
    <cellStyle name="Comma 4 2 3 4 2 5" xfId="28280" xr:uid="{BCB5251D-608F-4A28-9605-EC0A3C28C2D1}"/>
    <cellStyle name="Comma 4 2 3 4 3" xfId="5022" xr:uid="{00000000-0005-0000-0000-0000A4080000}"/>
    <cellStyle name="Comma 4 2 3 4 3 2" xfId="13472" xr:uid="{0655AB26-7DF3-47AE-99DB-734EFC160FE0}"/>
    <cellStyle name="Comma 4 2 3 4 3 3" xfId="21912" xr:uid="{7E061F33-5B79-4387-B1DA-FCC5217380FA}"/>
    <cellStyle name="Comma 4 2 3 4 3 4" xfId="30352" xr:uid="{676B4135-3DFF-4E1B-97BF-27310D727D5C}"/>
    <cellStyle name="Comma 4 2 3 4 4" xfId="9254" xr:uid="{5AF313E5-7382-4D27-8CDC-9A257FB23794}"/>
    <cellStyle name="Comma 4 2 3 4 5" xfId="17695" xr:uid="{6DDA22BF-4165-4506-A4BB-05B502EDACE4}"/>
    <cellStyle name="Comma 4 2 3 4 6" xfId="26135" xr:uid="{E9F361BF-99E7-4AA8-BAFF-B63FC7ED9645}"/>
    <cellStyle name="Comma 4 2 3 5" xfId="1127" xr:uid="{00000000-0005-0000-0000-0000A5080000}"/>
    <cellStyle name="Comma 4 2 3 5 2" xfId="3358" xr:uid="{00000000-0005-0000-0000-0000A6080000}"/>
    <cellStyle name="Comma 4 2 3 5 2 2" xfId="7580" xr:uid="{00000000-0005-0000-0000-0000A7080000}"/>
    <cellStyle name="Comma 4 2 3 5 2 2 2" xfId="16030" xr:uid="{5E2ADF64-7DC6-4880-83C0-C454E5FDEC43}"/>
    <cellStyle name="Comma 4 2 3 5 2 2 3" xfId="24470" xr:uid="{F377A7FF-6DD9-4414-91CD-CF93E2385D3E}"/>
    <cellStyle name="Comma 4 2 3 5 2 2 4" xfId="32910" xr:uid="{6F64433F-9835-4ADC-9E54-77FF68D805E0}"/>
    <cellStyle name="Comma 4 2 3 5 2 3" xfId="11812" xr:uid="{69CA6259-C4CD-4E5C-ADE6-43A182C015E9}"/>
    <cellStyle name="Comma 4 2 3 5 2 4" xfId="20253" xr:uid="{22CDC85D-9943-49FC-804F-1E34B0427852}"/>
    <cellStyle name="Comma 4 2 3 5 2 5" xfId="28693" xr:uid="{F62769D2-F4F5-4AFF-AF8F-CE305D7C6765}"/>
    <cellStyle name="Comma 4 2 3 5 3" xfId="5435" xr:uid="{00000000-0005-0000-0000-0000A8080000}"/>
    <cellStyle name="Comma 4 2 3 5 3 2" xfId="13885" xr:uid="{AB587CCF-477B-4A7E-AE43-1FC9869D47DB}"/>
    <cellStyle name="Comma 4 2 3 5 3 3" xfId="22325" xr:uid="{C6976D40-8F72-441C-B5F9-BC641762D6EB}"/>
    <cellStyle name="Comma 4 2 3 5 3 4" xfId="30765" xr:uid="{B2294305-6582-4B02-A0C6-67F98915FDA9}"/>
    <cellStyle name="Comma 4 2 3 5 4" xfId="9667" xr:uid="{EF89E635-A399-4821-9553-C8BCB289CFA2}"/>
    <cellStyle name="Comma 4 2 3 5 5" xfId="18108" xr:uid="{049E24C0-B3B7-4BB4-A797-C01832AED670}"/>
    <cellStyle name="Comma 4 2 3 5 6" xfId="26548" xr:uid="{8C8A05E1-0A59-438E-BE3E-98CE5700303D}"/>
    <cellStyle name="Comma 4 2 3 6" xfId="1541" xr:uid="{00000000-0005-0000-0000-0000A9080000}"/>
    <cellStyle name="Comma 4 2 3 6 2" xfId="3771" xr:uid="{00000000-0005-0000-0000-0000AA080000}"/>
    <cellStyle name="Comma 4 2 3 6 2 2" xfId="7993" xr:uid="{00000000-0005-0000-0000-0000AB080000}"/>
    <cellStyle name="Comma 4 2 3 6 2 2 2" xfId="16443" xr:uid="{2B5221E4-95CE-4413-BC05-0AABFF4EE0E5}"/>
    <cellStyle name="Comma 4 2 3 6 2 2 3" xfId="24883" xr:uid="{09796B3D-837F-4832-B315-AEBBCB4C7693}"/>
    <cellStyle name="Comma 4 2 3 6 2 2 4" xfId="33323" xr:uid="{211F58CD-69A9-4413-A3DE-E70A197CD3F5}"/>
    <cellStyle name="Comma 4 2 3 6 2 3" xfId="12225" xr:uid="{A4DAAF0A-3C69-446B-ADD7-3452BFB805B6}"/>
    <cellStyle name="Comma 4 2 3 6 2 4" xfId="20666" xr:uid="{ADAB8CC1-5A20-42D0-94B5-41DA74DEEC29}"/>
    <cellStyle name="Comma 4 2 3 6 2 5" xfId="29106" xr:uid="{3901F023-B97A-48A9-90C6-2221EA1F89EF}"/>
    <cellStyle name="Comma 4 2 3 6 3" xfId="5848" xr:uid="{00000000-0005-0000-0000-0000AC080000}"/>
    <cellStyle name="Comma 4 2 3 6 3 2" xfId="14298" xr:uid="{F1FC13A3-4A3F-435C-8E37-A82C0E96A0F7}"/>
    <cellStyle name="Comma 4 2 3 6 3 3" xfId="22738" xr:uid="{33E93E1E-D9AF-4A79-A795-ECED2F7A30B2}"/>
    <cellStyle name="Comma 4 2 3 6 3 4" xfId="31178" xr:uid="{9242BABA-E866-49FE-94B5-7CC1D353A415}"/>
    <cellStyle name="Comma 4 2 3 6 4" xfId="10080" xr:uid="{29C67C10-94B2-432E-B09E-323D56797B16}"/>
    <cellStyle name="Comma 4 2 3 6 5" xfId="18521" xr:uid="{FDA22266-D18E-4833-8B56-D0B3D6972F87}"/>
    <cellStyle name="Comma 4 2 3 6 6" xfId="26961" xr:uid="{38F46686-E141-4A61-B5AC-6EAD680B4FAB}"/>
    <cellStyle name="Comma 4 2 3 7" xfId="1955" xr:uid="{00000000-0005-0000-0000-0000AD080000}"/>
    <cellStyle name="Comma 4 2 3 7 2" xfId="4184" xr:uid="{00000000-0005-0000-0000-0000AE080000}"/>
    <cellStyle name="Comma 4 2 3 7 2 2" xfId="8406" xr:uid="{00000000-0005-0000-0000-0000AF080000}"/>
    <cellStyle name="Comma 4 2 3 7 2 2 2" xfId="16856" xr:uid="{D1A428EF-DD5C-458A-857B-F13CB8D21745}"/>
    <cellStyle name="Comma 4 2 3 7 2 2 3" xfId="25296" xr:uid="{C144F7A9-A6AF-444A-B172-FE04C5BF155B}"/>
    <cellStyle name="Comma 4 2 3 7 2 2 4" xfId="33736" xr:uid="{A516CF8A-D0C2-4E51-BCF6-CC1B62DF7185}"/>
    <cellStyle name="Comma 4 2 3 7 2 3" xfId="12638" xr:uid="{CEA248EA-EFBC-4D2A-97CA-E556990ADFB1}"/>
    <cellStyle name="Comma 4 2 3 7 2 4" xfId="21079" xr:uid="{282D5FFE-9819-43DD-86E8-DD796C87D85E}"/>
    <cellStyle name="Comma 4 2 3 7 2 5" xfId="29519" xr:uid="{0C31A8EF-E269-4042-9F11-B5B41D892AF5}"/>
    <cellStyle name="Comma 4 2 3 7 3" xfId="6261" xr:uid="{00000000-0005-0000-0000-0000B0080000}"/>
    <cellStyle name="Comma 4 2 3 7 3 2" xfId="14711" xr:uid="{68460E58-43B2-49DC-964A-E286FC0783FF}"/>
    <cellStyle name="Comma 4 2 3 7 3 3" xfId="23151" xr:uid="{127E983E-4C4B-4AE0-8DCD-347147B79C2A}"/>
    <cellStyle name="Comma 4 2 3 7 3 4" xfId="31591" xr:uid="{7D203356-FBF9-40CC-887E-6F695AF1012D}"/>
    <cellStyle name="Comma 4 2 3 7 4" xfId="10493" xr:uid="{A941B605-D63A-4022-944F-FBDE5371A971}"/>
    <cellStyle name="Comma 4 2 3 7 5" xfId="18934" xr:uid="{AC387853-DD5A-481D-9F81-DE382A64E925}"/>
    <cellStyle name="Comma 4 2 3 7 6" xfId="27374" xr:uid="{4CEEC5EB-53D6-43AD-826D-215C97644383}"/>
    <cellStyle name="Comma 4 2 3 8" xfId="2390" xr:uid="{00000000-0005-0000-0000-0000B1080000}"/>
    <cellStyle name="Comma 4 2 3 8 2" xfId="6674" xr:uid="{00000000-0005-0000-0000-0000B2080000}"/>
    <cellStyle name="Comma 4 2 3 8 2 2" xfId="15124" xr:uid="{20E69C7C-5926-4393-8631-7D328D5EE1E2}"/>
    <cellStyle name="Comma 4 2 3 8 2 3" xfId="23564" xr:uid="{E134C87D-B16E-4F5E-BA7D-53761EFD8F4D}"/>
    <cellStyle name="Comma 4 2 3 8 2 4" xfId="32004" xr:uid="{FEE437A5-B22D-4260-91EE-6960148794CA}"/>
    <cellStyle name="Comma 4 2 3 8 3" xfId="10906" xr:uid="{EBD238E9-2D6A-42BA-8A60-208826445B76}"/>
    <cellStyle name="Comma 4 2 3 8 4" xfId="19347" xr:uid="{96125ADC-23F9-4F27-84E8-C77C1C4CB6C5}"/>
    <cellStyle name="Comma 4 2 3 8 5" xfId="27787" xr:uid="{EF9DA75A-FE35-4D34-88C1-64ED3C418CF1}"/>
    <cellStyle name="Comma 4 2 3 9" xfId="2373" xr:uid="{00000000-0005-0000-0000-0000B3080000}"/>
    <cellStyle name="Comma 4 2 4" xfId="140" xr:uid="{00000000-0005-0000-0000-0000B4080000}"/>
    <cellStyle name="Comma 4 2 4 10" xfId="4612" xr:uid="{00000000-0005-0000-0000-0000B5080000}"/>
    <cellStyle name="Comma 4 2 4 10 2" xfId="13062" xr:uid="{959641EF-600B-4C96-9CD7-E2C613AA0B5A}"/>
    <cellStyle name="Comma 4 2 4 10 3" xfId="21502" xr:uid="{2F491D87-E9BB-47CC-B903-920DF4B2AD41}"/>
    <cellStyle name="Comma 4 2 4 10 4" xfId="29942" xr:uid="{11FF3B2F-6044-448B-AFC9-030D01A48BFB}"/>
    <cellStyle name="Comma 4 2 4 11" xfId="8844" xr:uid="{9445F63A-B7E3-47C1-98D3-CE6F03DEA243}"/>
    <cellStyle name="Comma 4 2 4 12" xfId="17285" xr:uid="{E750343E-3A06-4CFC-8085-2FBBBC42BEC7}"/>
    <cellStyle name="Comma 4 2 4 13" xfId="25725" xr:uid="{23E8AF2A-6567-4D6E-8C96-3F0B6EFB52C9}"/>
    <cellStyle name="Comma 4 2 4 2" xfId="141" xr:uid="{00000000-0005-0000-0000-0000B6080000}"/>
    <cellStyle name="Comma 4 2 4 2 10" xfId="8845" xr:uid="{EA28D094-1339-4A41-8FEA-EA8ADFE54322}"/>
    <cellStyle name="Comma 4 2 4 2 11" xfId="17286" xr:uid="{D8710A15-E899-431F-A00D-FB664059837B}"/>
    <cellStyle name="Comma 4 2 4 2 12" xfId="25726" xr:uid="{6530D3C8-BC64-4A8C-B953-03FA76B39E17}"/>
    <cellStyle name="Comma 4 2 4 2 2" xfId="679" xr:uid="{00000000-0005-0000-0000-0000B7080000}"/>
    <cellStyle name="Comma 4 2 4 2 2 2" xfId="2950" xr:uid="{00000000-0005-0000-0000-0000B8080000}"/>
    <cellStyle name="Comma 4 2 4 2 2 2 2" xfId="7172" xr:uid="{00000000-0005-0000-0000-0000B9080000}"/>
    <cellStyle name="Comma 4 2 4 2 2 2 2 2" xfId="15622" xr:uid="{57E97EDE-308F-413E-BC1D-C1A0E4E1EEC0}"/>
    <cellStyle name="Comma 4 2 4 2 2 2 2 3" xfId="24062" xr:uid="{99BF4D7E-6766-4360-AF7F-1348256162C2}"/>
    <cellStyle name="Comma 4 2 4 2 2 2 2 4" xfId="32502" xr:uid="{EB7ED8D7-1988-4F9E-AD89-07C463482627}"/>
    <cellStyle name="Comma 4 2 4 2 2 2 3" xfId="11404" xr:uid="{D2ABDD5B-14B2-4CE1-ACDA-1C842A7D508E}"/>
    <cellStyle name="Comma 4 2 4 2 2 2 4" xfId="19845" xr:uid="{BCC5A96A-9976-4262-8767-12CD37D46DD3}"/>
    <cellStyle name="Comma 4 2 4 2 2 2 5" xfId="28285" xr:uid="{1A60AD60-9912-4C8D-8B62-EA5EAB0BA2AB}"/>
    <cellStyle name="Comma 4 2 4 2 2 3" xfId="5027" xr:uid="{00000000-0005-0000-0000-0000BA080000}"/>
    <cellStyle name="Comma 4 2 4 2 2 3 2" xfId="13477" xr:uid="{C375DCD6-55D2-430D-96CA-2CF6E6F62F31}"/>
    <cellStyle name="Comma 4 2 4 2 2 3 3" xfId="21917" xr:uid="{7CB50B0B-0749-44EC-8BBE-15FCD30D65D1}"/>
    <cellStyle name="Comma 4 2 4 2 2 3 4" xfId="30357" xr:uid="{719E2D25-9B7C-49B7-A140-6D13902EFA11}"/>
    <cellStyle name="Comma 4 2 4 2 2 4" xfId="9259" xr:uid="{EA7FF264-5A66-498B-B17B-589F5A0D5250}"/>
    <cellStyle name="Comma 4 2 4 2 2 5" xfId="17700" xr:uid="{48F3300B-ACD5-465E-A839-77BE8773C232}"/>
    <cellStyle name="Comma 4 2 4 2 2 6" xfId="26140" xr:uid="{18A120E6-C566-4C8E-AD9B-205FFF342A4F}"/>
    <cellStyle name="Comma 4 2 4 2 3" xfId="1132" xr:uid="{00000000-0005-0000-0000-0000BB080000}"/>
    <cellStyle name="Comma 4 2 4 2 3 2" xfId="3363" xr:uid="{00000000-0005-0000-0000-0000BC080000}"/>
    <cellStyle name="Comma 4 2 4 2 3 2 2" xfId="7585" xr:uid="{00000000-0005-0000-0000-0000BD080000}"/>
    <cellStyle name="Comma 4 2 4 2 3 2 2 2" xfId="16035" xr:uid="{B641822E-4909-4BB1-B780-A6B91650DB85}"/>
    <cellStyle name="Comma 4 2 4 2 3 2 2 3" xfId="24475" xr:uid="{F906BAE5-E02B-445C-8114-5AE77DADEBCA}"/>
    <cellStyle name="Comma 4 2 4 2 3 2 2 4" xfId="32915" xr:uid="{60867949-38A4-4338-B9E2-84DE20AB9B12}"/>
    <cellStyle name="Comma 4 2 4 2 3 2 3" xfId="11817" xr:uid="{0E00CEA9-8DF6-43F2-9F02-BBCE302F2607}"/>
    <cellStyle name="Comma 4 2 4 2 3 2 4" xfId="20258" xr:uid="{F845D112-B018-4EBE-B9E7-AE2A70815EE4}"/>
    <cellStyle name="Comma 4 2 4 2 3 2 5" xfId="28698" xr:uid="{2BC3F125-3EEE-4CD6-812C-505D0701CCB8}"/>
    <cellStyle name="Comma 4 2 4 2 3 3" xfId="5440" xr:uid="{00000000-0005-0000-0000-0000BE080000}"/>
    <cellStyle name="Comma 4 2 4 2 3 3 2" xfId="13890" xr:uid="{39E64810-9995-41C1-88C5-77381930728B}"/>
    <cellStyle name="Comma 4 2 4 2 3 3 3" xfId="22330" xr:uid="{DC9F43BA-62BF-46A3-8694-2028C0D70C7C}"/>
    <cellStyle name="Comma 4 2 4 2 3 3 4" xfId="30770" xr:uid="{F298E8E9-6658-4082-B5DD-4084B3E3BBCD}"/>
    <cellStyle name="Comma 4 2 4 2 3 4" xfId="9672" xr:uid="{1FAF4E41-1C5A-4C7E-B6EB-DF2E71121B82}"/>
    <cellStyle name="Comma 4 2 4 2 3 5" xfId="18113" xr:uid="{B8949AA2-E114-443B-8C11-A9F03809C8B8}"/>
    <cellStyle name="Comma 4 2 4 2 3 6" xfId="26553" xr:uid="{52657A3F-48B3-443F-A224-A5986EC5111B}"/>
    <cellStyle name="Comma 4 2 4 2 4" xfId="1546" xr:uid="{00000000-0005-0000-0000-0000BF080000}"/>
    <cellStyle name="Comma 4 2 4 2 4 2" xfId="3776" xr:uid="{00000000-0005-0000-0000-0000C0080000}"/>
    <cellStyle name="Comma 4 2 4 2 4 2 2" xfId="7998" xr:uid="{00000000-0005-0000-0000-0000C1080000}"/>
    <cellStyle name="Comma 4 2 4 2 4 2 2 2" xfId="16448" xr:uid="{A2B20939-6AFE-4E02-8988-AF295567CA44}"/>
    <cellStyle name="Comma 4 2 4 2 4 2 2 3" xfId="24888" xr:uid="{EAE9B137-7F02-4D4B-BC86-16C99FF0D52B}"/>
    <cellStyle name="Comma 4 2 4 2 4 2 2 4" xfId="33328" xr:uid="{0B43D544-AFFD-4A5C-A13F-FBFD6689FF54}"/>
    <cellStyle name="Comma 4 2 4 2 4 2 3" xfId="12230" xr:uid="{7B04C990-63C8-4F5F-8225-472849BCFD93}"/>
    <cellStyle name="Comma 4 2 4 2 4 2 4" xfId="20671" xr:uid="{80EBE254-3183-4867-8AFA-073BB647C810}"/>
    <cellStyle name="Comma 4 2 4 2 4 2 5" xfId="29111" xr:uid="{90A676F2-2696-4299-84BD-453A11EB97D9}"/>
    <cellStyle name="Comma 4 2 4 2 4 3" xfId="5853" xr:uid="{00000000-0005-0000-0000-0000C2080000}"/>
    <cellStyle name="Comma 4 2 4 2 4 3 2" xfId="14303" xr:uid="{2AB14D60-2D02-420E-B168-868C576F8513}"/>
    <cellStyle name="Comma 4 2 4 2 4 3 3" xfId="22743" xr:uid="{FFC12C41-621B-43C1-9CF7-E0F53EF7F1F6}"/>
    <cellStyle name="Comma 4 2 4 2 4 3 4" xfId="31183" xr:uid="{E24CED9B-9791-4D29-BD15-129051D9E444}"/>
    <cellStyle name="Comma 4 2 4 2 4 4" xfId="10085" xr:uid="{D59DC004-C873-4F66-9250-19EF8EB5241B}"/>
    <cellStyle name="Comma 4 2 4 2 4 5" xfId="18526" xr:uid="{7684B129-DD60-45A6-8747-BE7AD058E829}"/>
    <cellStyle name="Comma 4 2 4 2 4 6" xfId="26966" xr:uid="{1D5D8BA7-E2BF-4CE3-8159-D099EBE287E8}"/>
    <cellStyle name="Comma 4 2 4 2 5" xfId="1960" xr:uid="{00000000-0005-0000-0000-0000C3080000}"/>
    <cellStyle name="Comma 4 2 4 2 5 2" xfId="4189" xr:uid="{00000000-0005-0000-0000-0000C4080000}"/>
    <cellStyle name="Comma 4 2 4 2 5 2 2" xfId="8411" xr:uid="{00000000-0005-0000-0000-0000C5080000}"/>
    <cellStyle name="Comma 4 2 4 2 5 2 2 2" xfId="16861" xr:uid="{AAEF0C3B-1C17-4FB4-9FCE-989191D99B86}"/>
    <cellStyle name="Comma 4 2 4 2 5 2 2 3" xfId="25301" xr:uid="{FC857209-7588-4A4F-95FF-9B498C17144E}"/>
    <cellStyle name="Comma 4 2 4 2 5 2 2 4" xfId="33741" xr:uid="{DA3EA1DF-3E9E-40CC-B67A-0EA167F76721}"/>
    <cellStyle name="Comma 4 2 4 2 5 2 3" xfId="12643" xr:uid="{50A5429F-45A3-4A35-843A-97542211D94D}"/>
    <cellStyle name="Comma 4 2 4 2 5 2 4" xfId="21084" xr:uid="{D37F705E-66C0-402E-9BE8-89803E688884}"/>
    <cellStyle name="Comma 4 2 4 2 5 2 5" xfId="29524" xr:uid="{FC541268-A492-4C8A-B09D-E0F9A82A4E9F}"/>
    <cellStyle name="Comma 4 2 4 2 5 3" xfId="6266" xr:uid="{00000000-0005-0000-0000-0000C6080000}"/>
    <cellStyle name="Comma 4 2 4 2 5 3 2" xfId="14716" xr:uid="{2B066C0E-F396-4A8A-8615-249FD60176D5}"/>
    <cellStyle name="Comma 4 2 4 2 5 3 3" xfId="23156" xr:uid="{22C030FD-F87B-46D1-8645-400C1C203D8E}"/>
    <cellStyle name="Comma 4 2 4 2 5 3 4" xfId="31596" xr:uid="{AE3C97CB-EF16-48E1-86A2-5D2B0B2617EE}"/>
    <cellStyle name="Comma 4 2 4 2 5 4" xfId="10498" xr:uid="{4583D655-9986-4AF1-B99D-FC2DEFAE5C24}"/>
    <cellStyle name="Comma 4 2 4 2 5 5" xfId="18939" xr:uid="{B369ECFF-E171-42CC-9B8F-4DB288D37145}"/>
    <cellStyle name="Comma 4 2 4 2 5 6" xfId="27379" xr:uid="{F1C27A5B-8174-44D1-8DE6-0A4032B7C9F0}"/>
    <cellStyle name="Comma 4 2 4 2 6" xfId="2395" xr:uid="{00000000-0005-0000-0000-0000C7080000}"/>
    <cellStyle name="Comma 4 2 4 2 6 2" xfId="6679" xr:uid="{00000000-0005-0000-0000-0000C8080000}"/>
    <cellStyle name="Comma 4 2 4 2 6 2 2" xfId="15129" xr:uid="{C1842FE2-C5B3-412D-85CD-8D1DE11A9AFD}"/>
    <cellStyle name="Comma 4 2 4 2 6 2 3" xfId="23569" xr:uid="{7B33085D-06FF-4D90-B19F-4B788D57D0E6}"/>
    <cellStyle name="Comma 4 2 4 2 6 2 4" xfId="32009" xr:uid="{A1438B1D-A3C0-40B4-B774-21B46C2FFF9E}"/>
    <cellStyle name="Comma 4 2 4 2 6 3" xfId="10911" xr:uid="{1457FCD3-C261-4BFE-8138-6A1985072B01}"/>
    <cellStyle name="Comma 4 2 4 2 6 4" xfId="19352" xr:uid="{5846DE7A-C610-441F-8FAC-C54068B9B7E8}"/>
    <cellStyle name="Comma 4 2 4 2 6 5" xfId="27792" xr:uid="{85A45F40-4B90-4067-B8CD-E13E68ABD5E3}"/>
    <cellStyle name="Comma 4 2 4 2 7" xfId="2368" xr:uid="{00000000-0005-0000-0000-0000C9080000}"/>
    <cellStyle name="Comma 4 2 4 2 8" xfId="2773" xr:uid="{00000000-0005-0000-0000-0000CA080000}"/>
    <cellStyle name="Comma 4 2 4 2 8 2" xfId="6996" xr:uid="{00000000-0005-0000-0000-0000CB080000}"/>
    <cellStyle name="Comma 4 2 4 2 8 2 2" xfId="15446" xr:uid="{3DEBA7B9-2207-443C-B861-DD95AD6BBA3B}"/>
    <cellStyle name="Comma 4 2 4 2 8 2 3" xfId="23886" xr:uid="{80C8A2CA-0A8A-4655-BF2D-D4FE5153DDBF}"/>
    <cellStyle name="Comma 4 2 4 2 8 2 4" xfId="32326" xr:uid="{A07D5F42-CD28-4961-9896-A416302D7681}"/>
    <cellStyle name="Comma 4 2 4 2 8 3" xfId="11228" xr:uid="{48BF1AD9-91A1-49F6-92E5-73150F9356E2}"/>
    <cellStyle name="Comma 4 2 4 2 8 4" xfId="19669" xr:uid="{E350C4F8-D297-437E-8625-8717C202E19F}"/>
    <cellStyle name="Comma 4 2 4 2 8 5" xfId="28109" xr:uid="{BF78C947-3B71-442A-A42F-F8E5DDB2F9F9}"/>
    <cellStyle name="Comma 4 2 4 2 9" xfId="4613" xr:uid="{00000000-0005-0000-0000-0000CC080000}"/>
    <cellStyle name="Comma 4 2 4 2 9 2" xfId="13063" xr:uid="{4E3CA772-B510-40D7-86A7-A49EDC9B39E6}"/>
    <cellStyle name="Comma 4 2 4 2 9 3" xfId="21503" xr:uid="{7F3504AE-506C-4E1B-A0EE-BDDE65189230}"/>
    <cellStyle name="Comma 4 2 4 2 9 4" xfId="29943" xr:uid="{798D19D8-9AB0-4706-AA42-E8649B6CCB19}"/>
    <cellStyle name="Comma 4 2 4 3" xfId="678" xr:uid="{00000000-0005-0000-0000-0000CD080000}"/>
    <cellStyle name="Comma 4 2 4 3 2" xfId="2949" xr:uid="{00000000-0005-0000-0000-0000CE080000}"/>
    <cellStyle name="Comma 4 2 4 3 2 2" xfId="7171" xr:uid="{00000000-0005-0000-0000-0000CF080000}"/>
    <cellStyle name="Comma 4 2 4 3 2 2 2" xfId="15621" xr:uid="{2644E50B-CFEF-4E01-A9A3-10748409BD66}"/>
    <cellStyle name="Comma 4 2 4 3 2 2 3" xfId="24061" xr:uid="{FCDAEB26-6D05-422A-BA9E-DC125EF8BCC2}"/>
    <cellStyle name="Comma 4 2 4 3 2 2 4" xfId="32501" xr:uid="{7A852855-A910-4B9C-8793-3F90B4A0698D}"/>
    <cellStyle name="Comma 4 2 4 3 2 3" xfId="11403" xr:uid="{7C142D6E-FBFC-4CD0-BFA0-8B13E8F2D561}"/>
    <cellStyle name="Comma 4 2 4 3 2 4" xfId="19844" xr:uid="{5A3253D8-BF13-480E-91EC-F564CA03E19E}"/>
    <cellStyle name="Comma 4 2 4 3 2 5" xfId="28284" xr:uid="{90D68483-2B6D-4CD5-9737-276D847A1D4C}"/>
    <cellStyle name="Comma 4 2 4 3 3" xfId="5026" xr:uid="{00000000-0005-0000-0000-0000D0080000}"/>
    <cellStyle name="Comma 4 2 4 3 3 2" xfId="13476" xr:uid="{06BB3D2A-CAD3-4A36-805B-604C4CF56C73}"/>
    <cellStyle name="Comma 4 2 4 3 3 3" xfId="21916" xr:uid="{C98DAC7A-6922-44E4-A778-BAE9F66887A2}"/>
    <cellStyle name="Comma 4 2 4 3 3 4" xfId="30356" xr:uid="{49F04160-A829-4AA1-8CDC-6E8DBCC1A683}"/>
    <cellStyle name="Comma 4 2 4 3 4" xfId="9258" xr:uid="{3C642C9A-3070-469C-9868-617E96068E73}"/>
    <cellStyle name="Comma 4 2 4 3 5" xfId="17699" xr:uid="{3F70D58A-7634-4FB2-93D4-373B681E4239}"/>
    <cellStyle name="Comma 4 2 4 3 6" xfId="26139" xr:uid="{F89E93FF-0849-4441-8413-405A7FAFFA4C}"/>
    <cellStyle name="Comma 4 2 4 4" xfId="1131" xr:uid="{00000000-0005-0000-0000-0000D1080000}"/>
    <cellStyle name="Comma 4 2 4 4 2" xfId="3362" xr:uid="{00000000-0005-0000-0000-0000D2080000}"/>
    <cellStyle name="Comma 4 2 4 4 2 2" xfId="7584" xr:uid="{00000000-0005-0000-0000-0000D3080000}"/>
    <cellStyle name="Comma 4 2 4 4 2 2 2" xfId="16034" xr:uid="{6618829D-BD17-453B-B18E-89E30426D1D3}"/>
    <cellStyle name="Comma 4 2 4 4 2 2 3" xfId="24474" xr:uid="{1C3DD6C5-4633-4866-B60D-952C9CBE35DD}"/>
    <cellStyle name="Comma 4 2 4 4 2 2 4" xfId="32914" xr:uid="{F3156394-5204-4C0D-914C-7FC2C4AEB6BB}"/>
    <cellStyle name="Comma 4 2 4 4 2 3" xfId="11816" xr:uid="{EF3AD689-4D18-4436-806B-6BB76BF676E9}"/>
    <cellStyle name="Comma 4 2 4 4 2 4" xfId="20257" xr:uid="{EDE8EC33-E5DA-4830-A3A2-5A854311F1CA}"/>
    <cellStyle name="Comma 4 2 4 4 2 5" xfId="28697" xr:uid="{D1C69143-9128-42FB-9732-37AEF0019B8B}"/>
    <cellStyle name="Comma 4 2 4 4 3" xfId="5439" xr:uid="{00000000-0005-0000-0000-0000D4080000}"/>
    <cellStyle name="Comma 4 2 4 4 3 2" xfId="13889" xr:uid="{E3951BA2-F56C-48C6-A70C-4D9FA686E1AD}"/>
    <cellStyle name="Comma 4 2 4 4 3 3" xfId="22329" xr:uid="{551DDFDD-6D75-417E-BCC1-1C00310A7748}"/>
    <cellStyle name="Comma 4 2 4 4 3 4" xfId="30769" xr:uid="{9CC24000-0AFA-498B-8C8E-738164B85A72}"/>
    <cellStyle name="Comma 4 2 4 4 4" xfId="9671" xr:uid="{342320CE-7FDA-4062-93EE-FD5906CD74D0}"/>
    <cellStyle name="Comma 4 2 4 4 5" xfId="18112" xr:uid="{CAB6C6BB-5E76-48E4-8348-FDE2D2386FAD}"/>
    <cellStyle name="Comma 4 2 4 4 6" xfId="26552" xr:uid="{E2BC0F65-60E4-45F1-97AB-56A05C55621C}"/>
    <cellStyle name="Comma 4 2 4 5" xfId="1545" xr:uid="{00000000-0005-0000-0000-0000D5080000}"/>
    <cellStyle name="Comma 4 2 4 5 2" xfId="3775" xr:uid="{00000000-0005-0000-0000-0000D6080000}"/>
    <cellStyle name="Comma 4 2 4 5 2 2" xfId="7997" xr:uid="{00000000-0005-0000-0000-0000D7080000}"/>
    <cellStyle name="Comma 4 2 4 5 2 2 2" xfId="16447" xr:uid="{2C326A89-3E77-4257-A339-BD583884CE6F}"/>
    <cellStyle name="Comma 4 2 4 5 2 2 3" xfId="24887" xr:uid="{0699C3C2-E292-46AA-8B81-8F29673A9D97}"/>
    <cellStyle name="Comma 4 2 4 5 2 2 4" xfId="33327" xr:uid="{16B63D2A-494D-427B-99F6-707E1A883A1C}"/>
    <cellStyle name="Comma 4 2 4 5 2 3" xfId="12229" xr:uid="{EF44DBDE-A112-4A57-94E6-5A99D75DCBEA}"/>
    <cellStyle name="Comma 4 2 4 5 2 4" xfId="20670" xr:uid="{42B4D6C0-1362-4C39-BB86-5DDE8B0BCEE9}"/>
    <cellStyle name="Comma 4 2 4 5 2 5" xfId="29110" xr:uid="{6A035EB3-5BF6-4A21-A4AF-5C79508DBD8A}"/>
    <cellStyle name="Comma 4 2 4 5 3" xfId="5852" xr:uid="{00000000-0005-0000-0000-0000D8080000}"/>
    <cellStyle name="Comma 4 2 4 5 3 2" xfId="14302" xr:uid="{F62DB5D0-7F6E-4798-8F1F-6BC6D718BA51}"/>
    <cellStyle name="Comma 4 2 4 5 3 3" xfId="22742" xr:uid="{3D2031E0-BBAE-48B1-83A0-3F59D9D0C794}"/>
    <cellStyle name="Comma 4 2 4 5 3 4" xfId="31182" xr:uid="{FFEBDC35-01E5-4FD9-A386-87A702A45FD6}"/>
    <cellStyle name="Comma 4 2 4 5 4" xfId="10084" xr:uid="{1056A61E-1539-4B77-BC68-251ABB619BB4}"/>
    <cellStyle name="Comma 4 2 4 5 5" xfId="18525" xr:uid="{5CC4EDA9-A6B9-4233-89CC-80E4FC4C839A}"/>
    <cellStyle name="Comma 4 2 4 5 6" xfId="26965" xr:uid="{F0CE0643-FE2D-4D91-B79B-1534C8E93CE1}"/>
    <cellStyle name="Comma 4 2 4 6" xfId="1959" xr:uid="{00000000-0005-0000-0000-0000D9080000}"/>
    <cellStyle name="Comma 4 2 4 6 2" xfId="4188" xr:uid="{00000000-0005-0000-0000-0000DA080000}"/>
    <cellStyle name="Comma 4 2 4 6 2 2" xfId="8410" xr:uid="{00000000-0005-0000-0000-0000DB080000}"/>
    <cellStyle name="Comma 4 2 4 6 2 2 2" xfId="16860" xr:uid="{9032E4D3-4741-49AF-8C58-60A8DC6B6DC5}"/>
    <cellStyle name="Comma 4 2 4 6 2 2 3" xfId="25300" xr:uid="{BE2123C5-50A6-49A1-BB04-91E62A7E0810}"/>
    <cellStyle name="Comma 4 2 4 6 2 2 4" xfId="33740" xr:uid="{1F37382B-244B-472D-BC14-14376B807755}"/>
    <cellStyle name="Comma 4 2 4 6 2 3" xfId="12642" xr:uid="{49E4EE65-6BB8-432A-B43B-00E55A2A597E}"/>
    <cellStyle name="Comma 4 2 4 6 2 4" xfId="21083" xr:uid="{1EC635F6-B4F9-4E0C-836C-188D7CB8AD29}"/>
    <cellStyle name="Comma 4 2 4 6 2 5" xfId="29523" xr:uid="{2DD0C248-D2FE-4FC6-A127-B5BD6C5B3D02}"/>
    <cellStyle name="Comma 4 2 4 6 3" xfId="6265" xr:uid="{00000000-0005-0000-0000-0000DC080000}"/>
    <cellStyle name="Comma 4 2 4 6 3 2" xfId="14715" xr:uid="{94D1A4CA-40D0-4057-BCB0-A5D0ACEFD4FA}"/>
    <cellStyle name="Comma 4 2 4 6 3 3" xfId="23155" xr:uid="{B05119E3-CDC4-4CA5-AE3D-7EB47E72343D}"/>
    <cellStyle name="Comma 4 2 4 6 3 4" xfId="31595" xr:uid="{17B8ECB5-930F-46F9-8393-53FF5528AFD4}"/>
    <cellStyle name="Comma 4 2 4 6 4" xfId="10497" xr:uid="{58C71593-BA6C-43F0-8ACF-03C720CB9C99}"/>
    <cellStyle name="Comma 4 2 4 6 5" xfId="18938" xr:uid="{5F7279D2-D422-4012-8A48-313181DBFDB8}"/>
    <cellStyle name="Comma 4 2 4 6 6" xfId="27378" xr:uid="{3CE47589-5979-4C5D-9DA7-B2ACC540585F}"/>
    <cellStyle name="Comma 4 2 4 7" xfId="2394" xr:uid="{00000000-0005-0000-0000-0000DD080000}"/>
    <cellStyle name="Comma 4 2 4 7 2" xfId="6678" xr:uid="{00000000-0005-0000-0000-0000DE080000}"/>
    <cellStyle name="Comma 4 2 4 7 2 2" xfId="15128" xr:uid="{8AC4C0D6-FF05-45FA-8B95-B93BDB120FB4}"/>
    <cellStyle name="Comma 4 2 4 7 2 3" xfId="23568" xr:uid="{B6058993-306F-429F-8A6D-D7792797169E}"/>
    <cellStyle name="Comma 4 2 4 7 2 4" xfId="32008" xr:uid="{C9241D22-B08F-4999-B465-FD95842F3762}"/>
    <cellStyle name="Comma 4 2 4 7 3" xfId="10910" xr:uid="{E64CB55A-01E0-478E-98F9-2D3C27E8A824}"/>
    <cellStyle name="Comma 4 2 4 7 4" xfId="19351" xr:uid="{A2277F1A-F876-4F20-868D-03BB81C67657}"/>
    <cellStyle name="Comma 4 2 4 7 5" xfId="27791" xr:uid="{C2500554-BB5C-48FB-B67B-12C81097A333}"/>
    <cellStyle name="Comma 4 2 4 8" xfId="2369" xr:uid="{00000000-0005-0000-0000-0000DF080000}"/>
    <cellStyle name="Comma 4 2 4 9" xfId="2772" xr:uid="{00000000-0005-0000-0000-0000E0080000}"/>
    <cellStyle name="Comma 4 2 4 9 2" xfId="6995" xr:uid="{00000000-0005-0000-0000-0000E1080000}"/>
    <cellStyle name="Comma 4 2 4 9 2 2" xfId="15445" xr:uid="{7538F0A9-F355-416F-A175-A9C03DC1D8A0}"/>
    <cellStyle name="Comma 4 2 4 9 2 3" xfId="23885" xr:uid="{0C5E62AE-AFBF-4044-8CE9-A0534EDFDA53}"/>
    <cellStyle name="Comma 4 2 4 9 2 4" xfId="32325" xr:uid="{9B1D0A43-6AAA-4D8D-86CB-D2CE725184F9}"/>
    <cellStyle name="Comma 4 2 4 9 3" xfId="11227" xr:uid="{3F9A0DB4-7677-4223-B792-3423F7D2AA4C}"/>
    <cellStyle name="Comma 4 2 4 9 4" xfId="19668" xr:uid="{B014BF64-119A-4908-85F6-E8FCF0E9FCC3}"/>
    <cellStyle name="Comma 4 2 4 9 5" xfId="28108" xr:uid="{6A8354FF-3D2E-44B0-9DD0-869BEE03B7BF}"/>
    <cellStyle name="Comma 4 2 5" xfId="142" xr:uid="{00000000-0005-0000-0000-0000E2080000}"/>
    <cellStyle name="Comma 4 2 5 10" xfId="8846" xr:uid="{55B78877-2724-4139-910B-1B2E981B57E3}"/>
    <cellStyle name="Comma 4 2 5 11" xfId="17287" xr:uid="{BE74E68D-83AA-452A-B086-1E135F11958F}"/>
    <cellStyle name="Comma 4 2 5 12" xfId="25727" xr:uid="{F85E1447-FE7C-4F12-BDBC-6DFF62E4CBED}"/>
    <cellStyle name="Comma 4 2 5 2" xfId="680" xr:uid="{00000000-0005-0000-0000-0000E3080000}"/>
    <cellStyle name="Comma 4 2 5 2 2" xfId="2951" xr:uid="{00000000-0005-0000-0000-0000E4080000}"/>
    <cellStyle name="Comma 4 2 5 2 2 2" xfId="7173" xr:uid="{00000000-0005-0000-0000-0000E5080000}"/>
    <cellStyle name="Comma 4 2 5 2 2 2 2" xfId="15623" xr:uid="{FCD4CDD1-3F5B-429F-9FF9-A6824D2ED3B5}"/>
    <cellStyle name="Comma 4 2 5 2 2 2 3" xfId="24063" xr:uid="{2C105FE8-8536-4AA6-8D6D-45A3B5069974}"/>
    <cellStyle name="Comma 4 2 5 2 2 2 4" xfId="32503" xr:uid="{10A18F74-248A-4AE6-8F84-EC3EF0BCC690}"/>
    <cellStyle name="Comma 4 2 5 2 2 3" xfId="11405" xr:uid="{C740F8ED-DF09-40E1-8143-DA3BB57B99F8}"/>
    <cellStyle name="Comma 4 2 5 2 2 4" xfId="19846" xr:uid="{4FB54204-191C-4D12-B86B-A533DE87BCE1}"/>
    <cellStyle name="Comma 4 2 5 2 2 5" xfId="28286" xr:uid="{910E86C9-EB63-4EA3-B323-407BE5142FD7}"/>
    <cellStyle name="Comma 4 2 5 2 3" xfId="5028" xr:uid="{00000000-0005-0000-0000-0000E6080000}"/>
    <cellStyle name="Comma 4 2 5 2 3 2" xfId="13478" xr:uid="{73E9F5AD-9F34-4C95-80AC-8F795BEFD46C}"/>
    <cellStyle name="Comma 4 2 5 2 3 3" xfId="21918" xr:uid="{C00CBD59-B2AC-4A02-96AE-55899846BD05}"/>
    <cellStyle name="Comma 4 2 5 2 3 4" xfId="30358" xr:uid="{CC9ECE71-1D60-44CA-93AA-67B0C9D08B7B}"/>
    <cellStyle name="Comma 4 2 5 2 4" xfId="9260" xr:uid="{F4369DFD-5E86-4695-BB85-D0A1B47CECDF}"/>
    <cellStyle name="Comma 4 2 5 2 5" xfId="17701" xr:uid="{2631C3CD-649B-448E-B94E-A72EA84AF544}"/>
    <cellStyle name="Comma 4 2 5 2 6" xfId="26141" xr:uid="{AF06ED9C-E47B-428D-B693-0A3868CA6A4B}"/>
    <cellStyle name="Comma 4 2 5 3" xfId="1133" xr:uid="{00000000-0005-0000-0000-0000E7080000}"/>
    <cellStyle name="Comma 4 2 5 3 2" xfId="3364" xr:uid="{00000000-0005-0000-0000-0000E8080000}"/>
    <cellStyle name="Comma 4 2 5 3 2 2" xfId="7586" xr:uid="{00000000-0005-0000-0000-0000E9080000}"/>
    <cellStyle name="Comma 4 2 5 3 2 2 2" xfId="16036" xr:uid="{750F3594-2792-4F4D-A89E-A05CE5805353}"/>
    <cellStyle name="Comma 4 2 5 3 2 2 3" xfId="24476" xr:uid="{D09260EC-8B61-4082-8A3C-D83D18F4963E}"/>
    <cellStyle name="Comma 4 2 5 3 2 2 4" xfId="32916" xr:uid="{9E292A83-AC7D-48A5-9667-558E0720D899}"/>
    <cellStyle name="Comma 4 2 5 3 2 3" xfId="11818" xr:uid="{80A90413-11D6-4CD5-8F40-43FB9105A764}"/>
    <cellStyle name="Comma 4 2 5 3 2 4" xfId="20259" xr:uid="{2D2895F4-7398-4560-8371-A8E16D160C7A}"/>
    <cellStyle name="Comma 4 2 5 3 2 5" xfId="28699" xr:uid="{5B9AAA3B-EDFA-4FFF-965D-744437345D99}"/>
    <cellStyle name="Comma 4 2 5 3 3" xfId="5441" xr:uid="{00000000-0005-0000-0000-0000EA080000}"/>
    <cellStyle name="Comma 4 2 5 3 3 2" xfId="13891" xr:uid="{E82F7858-F48F-4EC9-8FD8-772D639F494A}"/>
    <cellStyle name="Comma 4 2 5 3 3 3" xfId="22331" xr:uid="{0030C06A-8285-4A54-B368-F1F4E665EC4B}"/>
    <cellStyle name="Comma 4 2 5 3 3 4" xfId="30771" xr:uid="{59585AE4-5655-42A9-8F37-42DCB086FC6D}"/>
    <cellStyle name="Comma 4 2 5 3 4" xfId="9673" xr:uid="{7D0EE7FE-A992-4D40-B241-4A70F95C1724}"/>
    <cellStyle name="Comma 4 2 5 3 5" xfId="18114" xr:uid="{8A58AF70-A667-46EE-A8A5-B56812AA55EB}"/>
    <cellStyle name="Comma 4 2 5 3 6" xfId="26554" xr:uid="{0241DBB8-FD62-4D4C-A7E3-6AAE3B5F8788}"/>
    <cellStyle name="Comma 4 2 5 4" xfId="1547" xr:uid="{00000000-0005-0000-0000-0000EB080000}"/>
    <cellStyle name="Comma 4 2 5 4 2" xfId="3777" xr:uid="{00000000-0005-0000-0000-0000EC080000}"/>
    <cellStyle name="Comma 4 2 5 4 2 2" xfId="7999" xr:uid="{00000000-0005-0000-0000-0000ED080000}"/>
    <cellStyle name="Comma 4 2 5 4 2 2 2" xfId="16449" xr:uid="{148621F5-AC43-431A-93BC-3724B2784D5E}"/>
    <cellStyle name="Comma 4 2 5 4 2 2 3" xfId="24889" xr:uid="{9DA75416-8B8C-4D68-8518-EB8A06211D33}"/>
    <cellStyle name="Comma 4 2 5 4 2 2 4" xfId="33329" xr:uid="{5CD6F87E-B94C-412F-869F-E8D2A991262A}"/>
    <cellStyle name="Comma 4 2 5 4 2 3" xfId="12231" xr:uid="{DD18861C-CBB9-433D-85ED-82E28C6AB768}"/>
    <cellStyle name="Comma 4 2 5 4 2 4" xfId="20672" xr:uid="{3E32A6F4-40CD-4B18-BE6D-EF18483CC609}"/>
    <cellStyle name="Comma 4 2 5 4 2 5" xfId="29112" xr:uid="{AE74F1B9-BC02-4D15-B7B7-416A47BDECEC}"/>
    <cellStyle name="Comma 4 2 5 4 3" xfId="5854" xr:uid="{00000000-0005-0000-0000-0000EE080000}"/>
    <cellStyle name="Comma 4 2 5 4 3 2" xfId="14304" xr:uid="{401B8698-5863-41AA-956F-45785F1F3342}"/>
    <cellStyle name="Comma 4 2 5 4 3 3" xfId="22744" xr:uid="{3EE88278-2EC1-4FD7-955B-0C5F188E312E}"/>
    <cellStyle name="Comma 4 2 5 4 3 4" xfId="31184" xr:uid="{2F6B93EF-EF9F-4534-AB10-0EA48F179317}"/>
    <cellStyle name="Comma 4 2 5 4 4" xfId="10086" xr:uid="{35ECBE09-C238-4AC0-8143-D58745CB92DD}"/>
    <cellStyle name="Comma 4 2 5 4 5" xfId="18527" xr:uid="{FEDEC468-47BA-4F70-99AE-CA66ECBD00FC}"/>
    <cellStyle name="Comma 4 2 5 4 6" xfId="26967" xr:uid="{5DE65AE8-89C6-4D6E-AC9E-B67D106301A8}"/>
    <cellStyle name="Comma 4 2 5 5" xfId="1961" xr:uid="{00000000-0005-0000-0000-0000EF080000}"/>
    <cellStyle name="Comma 4 2 5 5 2" xfId="4190" xr:uid="{00000000-0005-0000-0000-0000F0080000}"/>
    <cellStyle name="Comma 4 2 5 5 2 2" xfId="8412" xr:uid="{00000000-0005-0000-0000-0000F1080000}"/>
    <cellStyle name="Comma 4 2 5 5 2 2 2" xfId="16862" xr:uid="{AB458764-CFAC-409F-A6CB-3B837B3504E5}"/>
    <cellStyle name="Comma 4 2 5 5 2 2 3" xfId="25302" xr:uid="{146DC284-2FE6-4C99-B7AD-A9990A3B8CC1}"/>
    <cellStyle name="Comma 4 2 5 5 2 2 4" xfId="33742" xr:uid="{DF8139E7-0812-46EC-A2CE-5BAE0881B53A}"/>
    <cellStyle name="Comma 4 2 5 5 2 3" xfId="12644" xr:uid="{9C923B5E-93CF-4514-83F1-2B2F7B72CFF4}"/>
    <cellStyle name="Comma 4 2 5 5 2 4" xfId="21085" xr:uid="{2EA5DCB9-C099-4629-990D-2CA1C9265D39}"/>
    <cellStyle name="Comma 4 2 5 5 2 5" xfId="29525" xr:uid="{C6BBC2D3-BC5F-475D-A1F7-13529150E6BB}"/>
    <cellStyle name="Comma 4 2 5 5 3" xfId="6267" xr:uid="{00000000-0005-0000-0000-0000F2080000}"/>
    <cellStyle name="Comma 4 2 5 5 3 2" xfId="14717" xr:uid="{D49F72F6-BC0B-4188-AAF9-E597B6B08577}"/>
    <cellStyle name="Comma 4 2 5 5 3 3" xfId="23157" xr:uid="{A4DBE1E0-21B1-4BF1-8E31-327A0C52A764}"/>
    <cellStyle name="Comma 4 2 5 5 3 4" xfId="31597" xr:uid="{25706258-083B-4ADA-A644-60110F74CED4}"/>
    <cellStyle name="Comma 4 2 5 5 4" xfId="10499" xr:uid="{4D64163A-175E-4BF6-A407-5691F02DDD52}"/>
    <cellStyle name="Comma 4 2 5 5 5" xfId="18940" xr:uid="{4FDB3DAD-4FDD-4645-A944-8A7CA495EA54}"/>
    <cellStyle name="Comma 4 2 5 5 6" xfId="27380" xr:uid="{9FAD7E8E-C358-401A-8F82-77A9F5C12509}"/>
    <cellStyle name="Comma 4 2 5 6" xfId="2396" xr:uid="{00000000-0005-0000-0000-0000F3080000}"/>
    <cellStyle name="Comma 4 2 5 6 2" xfId="6680" xr:uid="{00000000-0005-0000-0000-0000F4080000}"/>
    <cellStyle name="Comma 4 2 5 6 2 2" xfId="15130" xr:uid="{7DFD5E7A-2984-4CD7-87C0-C540EDC6F30B}"/>
    <cellStyle name="Comma 4 2 5 6 2 3" xfId="23570" xr:uid="{A3B5B113-B265-40FB-AA2C-3319720D6FCC}"/>
    <cellStyle name="Comma 4 2 5 6 2 4" xfId="32010" xr:uid="{2D4C6C6E-993A-4648-AD47-FD765594E8F8}"/>
    <cellStyle name="Comma 4 2 5 6 3" xfId="10912" xr:uid="{DC11E537-C115-488A-A44E-67B9F4F14D57}"/>
    <cellStyle name="Comma 4 2 5 6 4" xfId="19353" xr:uid="{D6C809B4-7863-467C-BA92-EA06CACA9B31}"/>
    <cellStyle name="Comma 4 2 5 6 5" xfId="27793" xr:uid="{9BD4B51B-918B-4758-9A0A-B7E5472088BC}"/>
    <cellStyle name="Comma 4 2 5 7" xfId="2367" xr:uid="{00000000-0005-0000-0000-0000F5080000}"/>
    <cellStyle name="Comma 4 2 5 8" xfId="2774" xr:uid="{00000000-0005-0000-0000-0000F6080000}"/>
    <cellStyle name="Comma 4 2 5 8 2" xfId="6997" xr:uid="{00000000-0005-0000-0000-0000F7080000}"/>
    <cellStyle name="Comma 4 2 5 8 2 2" xfId="15447" xr:uid="{B35D8C51-FB2A-44D5-88EA-1DEBB5C7FF1D}"/>
    <cellStyle name="Comma 4 2 5 8 2 3" xfId="23887" xr:uid="{35426929-D1E9-48F7-82F1-92F27E77AC96}"/>
    <cellStyle name="Comma 4 2 5 8 2 4" xfId="32327" xr:uid="{A5F98A01-FE79-4FA5-83CE-44EEC810DD08}"/>
    <cellStyle name="Comma 4 2 5 8 3" xfId="11229" xr:uid="{CCE7FE41-E00A-44B6-ABA9-2BB2CAD4E381}"/>
    <cellStyle name="Comma 4 2 5 8 4" xfId="19670" xr:uid="{F01163D9-C77B-4DBF-B357-7AE515A8F5A9}"/>
    <cellStyle name="Comma 4 2 5 8 5" xfId="28110" xr:uid="{CC41632E-52AA-400F-B758-BA80A0EA7321}"/>
    <cellStyle name="Comma 4 2 5 9" xfId="4614" xr:uid="{00000000-0005-0000-0000-0000F8080000}"/>
    <cellStyle name="Comma 4 2 5 9 2" xfId="13064" xr:uid="{056378CB-A0C1-4B36-ACB6-84BC7B829060}"/>
    <cellStyle name="Comma 4 2 5 9 3" xfId="21504" xr:uid="{6162D0B9-E873-4341-AD2D-FA25EB043E56}"/>
    <cellStyle name="Comma 4 2 5 9 4" xfId="29944" xr:uid="{1EA82D3B-AC83-4D4F-9D9C-679AAD978DC9}"/>
    <cellStyle name="Comma 4 2 6" xfId="143" xr:uid="{00000000-0005-0000-0000-0000F9080000}"/>
    <cellStyle name="Comma 4 2 6 10" xfId="8847" xr:uid="{5182572F-A212-4BFA-86EF-BA3E4757F0DE}"/>
    <cellStyle name="Comma 4 2 6 11" xfId="17288" xr:uid="{3AC09FF7-1E3D-45E2-86AC-19AEFC552DF0}"/>
    <cellStyle name="Comma 4 2 6 12" xfId="25728" xr:uid="{180521A5-828D-48B8-B22F-1C9EC96EE2CD}"/>
    <cellStyle name="Comma 4 2 6 2" xfId="681" xr:uid="{00000000-0005-0000-0000-0000FA080000}"/>
    <cellStyle name="Comma 4 2 6 2 2" xfId="2952" xr:uid="{00000000-0005-0000-0000-0000FB080000}"/>
    <cellStyle name="Comma 4 2 6 2 2 2" xfId="7174" xr:uid="{00000000-0005-0000-0000-0000FC080000}"/>
    <cellStyle name="Comma 4 2 6 2 2 2 2" xfId="15624" xr:uid="{93EE8218-DCC8-4C32-8958-F84A8915F580}"/>
    <cellStyle name="Comma 4 2 6 2 2 2 3" xfId="24064" xr:uid="{A372D13A-52BB-4E53-B55E-75E2181223B0}"/>
    <cellStyle name="Comma 4 2 6 2 2 2 4" xfId="32504" xr:uid="{25143333-97C7-4474-8C06-5E205FCB30D0}"/>
    <cellStyle name="Comma 4 2 6 2 2 3" xfId="11406" xr:uid="{4644EA9E-60A7-4243-AAE5-0EB20C88B0F3}"/>
    <cellStyle name="Comma 4 2 6 2 2 4" xfId="19847" xr:uid="{50FE4FF7-1513-45F1-9E86-69851BD43312}"/>
    <cellStyle name="Comma 4 2 6 2 2 5" xfId="28287" xr:uid="{5F4732A7-ACB6-4371-9DD7-BFE59F418740}"/>
    <cellStyle name="Comma 4 2 6 2 3" xfId="5029" xr:uid="{00000000-0005-0000-0000-0000FD080000}"/>
    <cellStyle name="Comma 4 2 6 2 3 2" xfId="13479" xr:uid="{C870650A-D076-4819-8086-03EF59F3B3DB}"/>
    <cellStyle name="Comma 4 2 6 2 3 3" xfId="21919" xr:uid="{FDD8E027-FB54-4C90-B0D2-753ACD84C35D}"/>
    <cellStyle name="Comma 4 2 6 2 3 4" xfId="30359" xr:uid="{BB477C89-10F0-48E0-B07E-D42E7847BCE3}"/>
    <cellStyle name="Comma 4 2 6 2 4" xfId="9261" xr:uid="{DDE6E941-BB78-4A10-A1D5-ACD4ACD6B8D5}"/>
    <cellStyle name="Comma 4 2 6 2 5" xfId="17702" xr:uid="{9735D1A0-564D-4DB6-B04E-E9780C69C583}"/>
    <cellStyle name="Comma 4 2 6 2 6" xfId="26142" xr:uid="{ECAAF90C-8CD8-4310-BC51-26EE5D1B6387}"/>
    <cellStyle name="Comma 4 2 6 3" xfId="1134" xr:uid="{00000000-0005-0000-0000-0000FE080000}"/>
    <cellStyle name="Comma 4 2 6 3 2" xfId="3365" xr:uid="{00000000-0005-0000-0000-0000FF080000}"/>
    <cellStyle name="Comma 4 2 6 3 2 2" xfId="7587" xr:uid="{00000000-0005-0000-0000-000000090000}"/>
    <cellStyle name="Comma 4 2 6 3 2 2 2" xfId="16037" xr:uid="{C75913F0-47F1-46A4-A6CB-E0E619B6F234}"/>
    <cellStyle name="Comma 4 2 6 3 2 2 3" xfId="24477" xr:uid="{10DACA36-76B1-4613-8BE6-DC98F2F39F7B}"/>
    <cellStyle name="Comma 4 2 6 3 2 2 4" xfId="32917" xr:uid="{CF758D69-DAC7-4079-B3E3-BD573F55095E}"/>
    <cellStyle name="Comma 4 2 6 3 2 3" xfId="11819" xr:uid="{B94D74DB-5F8C-4AD6-99AC-675830ACE905}"/>
    <cellStyle name="Comma 4 2 6 3 2 4" xfId="20260" xr:uid="{D5073A02-3F76-4F62-8B81-55E073F4D91F}"/>
    <cellStyle name="Comma 4 2 6 3 2 5" xfId="28700" xr:uid="{5331C449-F62C-4910-BB13-A6DEB12B98BC}"/>
    <cellStyle name="Comma 4 2 6 3 3" xfId="5442" xr:uid="{00000000-0005-0000-0000-000001090000}"/>
    <cellStyle name="Comma 4 2 6 3 3 2" xfId="13892" xr:uid="{BA242EBC-EC09-46F9-9B2E-8451B4F46C57}"/>
    <cellStyle name="Comma 4 2 6 3 3 3" xfId="22332" xr:uid="{F27D22A2-DD57-46ED-84C3-69A3BF2D64BA}"/>
    <cellStyle name="Comma 4 2 6 3 3 4" xfId="30772" xr:uid="{32678ADD-7E46-4C7B-A7F9-3CB0E10C1AFA}"/>
    <cellStyle name="Comma 4 2 6 3 4" xfId="9674" xr:uid="{D7E6F26B-8E46-4E45-9AF6-BF25ACDDD3B0}"/>
    <cellStyle name="Comma 4 2 6 3 5" xfId="18115" xr:uid="{F2FA37AC-C62F-4A06-A724-1C94B7857BC9}"/>
    <cellStyle name="Comma 4 2 6 3 6" xfId="26555" xr:uid="{0F647632-4591-4BE1-A289-D99A3C5302E8}"/>
    <cellStyle name="Comma 4 2 6 4" xfId="1548" xr:uid="{00000000-0005-0000-0000-000002090000}"/>
    <cellStyle name="Comma 4 2 6 4 2" xfId="3778" xr:uid="{00000000-0005-0000-0000-000003090000}"/>
    <cellStyle name="Comma 4 2 6 4 2 2" xfId="8000" xr:uid="{00000000-0005-0000-0000-000004090000}"/>
    <cellStyle name="Comma 4 2 6 4 2 2 2" xfId="16450" xr:uid="{3E48261A-053D-4F2B-B305-2594A967FA43}"/>
    <cellStyle name="Comma 4 2 6 4 2 2 3" xfId="24890" xr:uid="{CB1E7230-B59B-4926-B5F6-181FB964769B}"/>
    <cellStyle name="Comma 4 2 6 4 2 2 4" xfId="33330" xr:uid="{60F16F4C-6590-48B6-B915-5772FE677838}"/>
    <cellStyle name="Comma 4 2 6 4 2 3" xfId="12232" xr:uid="{A277BC80-EB59-4218-9578-CECC775FA396}"/>
    <cellStyle name="Comma 4 2 6 4 2 4" xfId="20673" xr:uid="{ED7352C0-D911-46C8-B0A8-EF46BF96F2A4}"/>
    <cellStyle name="Comma 4 2 6 4 2 5" xfId="29113" xr:uid="{50ABC500-7BDB-4C40-889E-FA6A09B8602C}"/>
    <cellStyle name="Comma 4 2 6 4 3" xfId="5855" xr:uid="{00000000-0005-0000-0000-000005090000}"/>
    <cellStyle name="Comma 4 2 6 4 3 2" xfId="14305" xr:uid="{3E185C28-654A-46D8-B9FB-CEEFBCF8D893}"/>
    <cellStyle name="Comma 4 2 6 4 3 3" xfId="22745" xr:uid="{A42EAE96-1FE6-4896-B9FD-17B9A424EA1C}"/>
    <cellStyle name="Comma 4 2 6 4 3 4" xfId="31185" xr:uid="{F3061092-FF06-49E6-8494-CC753614ED32}"/>
    <cellStyle name="Comma 4 2 6 4 4" xfId="10087" xr:uid="{51F79C84-A671-4214-B5C3-763788F5CB1F}"/>
    <cellStyle name="Comma 4 2 6 4 5" xfId="18528" xr:uid="{57EE3A8D-BADC-4202-A2E1-B4E42C08A48C}"/>
    <cellStyle name="Comma 4 2 6 4 6" xfId="26968" xr:uid="{AD2AF015-2AAE-40C8-A4A1-D03054D608D2}"/>
    <cellStyle name="Comma 4 2 6 5" xfId="1962" xr:uid="{00000000-0005-0000-0000-000006090000}"/>
    <cellStyle name="Comma 4 2 6 5 2" xfId="4191" xr:uid="{00000000-0005-0000-0000-000007090000}"/>
    <cellStyle name="Comma 4 2 6 5 2 2" xfId="8413" xr:uid="{00000000-0005-0000-0000-000008090000}"/>
    <cellStyle name="Comma 4 2 6 5 2 2 2" xfId="16863" xr:uid="{7AF9B5F9-DDE9-417E-AE00-04370A503C55}"/>
    <cellStyle name="Comma 4 2 6 5 2 2 3" xfId="25303" xr:uid="{751CF8CF-362D-4489-B214-1935BE6F575E}"/>
    <cellStyle name="Comma 4 2 6 5 2 2 4" xfId="33743" xr:uid="{F8E4841C-0D31-44C0-A415-F1D3382F3AE5}"/>
    <cellStyle name="Comma 4 2 6 5 2 3" xfId="12645" xr:uid="{C0A6EEF5-7B42-42E3-AB50-C130FB8600A2}"/>
    <cellStyle name="Comma 4 2 6 5 2 4" xfId="21086" xr:uid="{00559D43-7C59-4785-8219-673A1F065B2F}"/>
    <cellStyle name="Comma 4 2 6 5 2 5" xfId="29526" xr:uid="{79AD01EF-F06B-4B84-B562-793A7DBC0BA2}"/>
    <cellStyle name="Comma 4 2 6 5 3" xfId="6268" xr:uid="{00000000-0005-0000-0000-000009090000}"/>
    <cellStyle name="Comma 4 2 6 5 3 2" xfId="14718" xr:uid="{4ED3FE45-F995-4774-8C6B-CD33A2B49423}"/>
    <cellStyle name="Comma 4 2 6 5 3 3" xfId="23158" xr:uid="{AFFF03D8-0CEA-4709-B297-68F729750E58}"/>
    <cellStyle name="Comma 4 2 6 5 3 4" xfId="31598" xr:uid="{B8E8F2FF-E73E-4F7F-849B-9D3F281DE6A6}"/>
    <cellStyle name="Comma 4 2 6 5 4" xfId="10500" xr:uid="{AD055203-F817-4794-8377-D9D23A261334}"/>
    <cellStyle name="Comma 4 2 6 5 5" xfId="18941" xr:uid="{D663CCE8-C7AB-4521-8FC5-67FE21E0C1A3}"/>
    <cellStyle name="Comma 4 2 6 5 6" xfId="27381" xr:uid="{F161F2C3-0B18-40FF-8A4D-6CFF20CCA075}"/>
    <cellStyle name="Comma 4 2 6 6" xfId="2397" xr:uid="{00000000-0005-0000-0000-00000A090000}"/>
    <cellStyle name="Comma 4 2 6 6 2" xfId="6681" xr:uid="{00000000-0005-0000-0000-00000B090000}"/>
    <cellStyle name="Comma 4 2 6 6 2 2" xfId="15131" xr:uid="{DBCA90FD-7382-4797-A885-809F9F8CB3D6}"/>
    <cellStyle name="Comma 4 2 6 6 2 3" xfId="23571" xr:uid="{AFB22E43-7CEE-4C40-9F1C-F164498A55E1}"/>
    <cellStyle name="Comma 4 2 6 6 2 4" xfId="32011" xr:uid="{7C60C352-0600-40B5-9F19-EEE6FE0F303E}"/>
    <cellStyle name="Comma 4 2 6 6 3" xfId="10913" xr:uid="{A58F5E9F-3F48-4728-8ADF-C55D31EB42E4}"/>
    <cellStyle name="Comma 4 2 6 6 4" xfId="19354" xr:uid="{63C149E6-FE86-4FEB-810B-3D2916757080}"/>
    <cellStyle name="Comma 4 2 6 6 5" xfId="27794" xr:uid="{0E924C04-550B-4CA6-AA04-884F212EAA3B}"/>
    <cellStyle name="Comma 4 2 6 7" xfId="2366" xr:uid="{00000000-0005-0000-0000-00000C090000}"/>
    <cellStyle name="Comma 4 2 6 8" xfId="2775" xr:uid="{00000000-0005-0000-0000-00000D090000}"/>
    <cellStyle name="Comma 4 2 6 8 2" xfId="6998" xr:uid="{00000000-0005-0000-0000-00000E090000}"/>
    <cellStyle name="Comma 4 2 6 8 2 2" xfId="15448" xr:uid="{8F736879-0368-4355-92B9-95D9C371D409}"/>
    <cellStyle name="Comma 4 2 6 8 2 3" xfId="23888" xr:uid="{EC40B827-E1EB-4CC9-8EE6-F14ACAB9DAE6}"/>
    <cellStyle name="Comma 4 2 6 8 2 4" xfId="32328" xr:uid="{3E16E23B-8F46-43B1-A895-A7F277B3E9D4}"/>
    <cellStyle name="Comma 4 2 6 8 3" xfId="11230" xr:uid="{7901F3D3-64A2-44BD-8DD5-30B120C82BE1}"/>
    <cellStyle name="Comma 4 2 6 8 4" xfId="19671" xr:uid="{A1B4F5EA-B1F9-4681-9F8E-5076D61EEF50}"/>
    <cellStyle name="Comma 4 2 6 8 5" xfId="28111" xr:uid="{AFAFC07F-52F7-4E07-B23A-4FF30ECCAFB6}"/>
    <cellStyle name="Comma 4 2 6 9" xfId="4615" xr:uid="{00000000-0005-0000-0000-00000F090000}"/>
    <cellStyle name="Comma 4 2 6 9 2" xfId="13065" xr:uid="{AB55084F-7F5F-4404-9D69-3ABA3A2C7331}"/>
    <cellStyle name="Comma 4 2 6 9 3" xfId="21505" xr:uid="{EE01DE6B-D40E-49BE-B999-CD3EED0DD55C}"/>
    <cellStyle name="Comma 4 2 6 9 4" xfId="29945" xr:uid="{4E8271BC-A6A9-4AAB-A5AB-726A35506FE6}"/>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0 2 2" xfId="15449" xr:uid="{747AFD3B-8E1D-42FE-AC5D-6E6FBBDFBB31}"/>
    <cellStyle name="Comma 4 3 2 10 2 3" xfId="23889" xr:uid="{7022260A-7645-4168-80CE-6FB1E27ED75E}"/>
    <cellStyle name="Comma 4 3 2 10 2 4" xfId="32329" xr:uid="{2FB5DE38-8B5F-4271-9924-FCF1EFCADB8B}"/>
    <cellStyle name="Comma 4 3 2 10 3" xfId="11231" xr:uid="{2B561ECB-6175-4DE9-B01E-BE770482B499}"/>
    <cellStyle name="Comma 4 3 2 10 4" xfId="19672" xr:uid="{A9E8F80A-4456-49C2-8533-553A756D79C5}"/>
    <cellStyle name="Comma 4 3 2 10 5" xfId="28112" xr:uid="{F8F2E2FB-9CA1-45DE-967F-8FC6D3E33892}"/>
    <cellStyle name="Comma 4 3 2 11" xfId="4616" xr:uid="{00000000-0005-0000-0000-000014090000}"/>
    <cellStyle name="Comma 4 3 2 11 2" xfId="13066" xr:uid="{003E605B-C652-41C7-B055-AB70A7A7C34F}"/>
    <cellStyle name="Comma 4 3 2 11 3" xfId="21506" xr:uid="{21DDD1EF-0CD1-423B-8891-ADF091AB5D5B}"/>
    <cellStyle name="Comma 4 3 2 11 4" xfId="29946" xr:uid="{3582533A-2E6D-412B-95C2-B157AD48D851}"/>
    <cellStyle name="Comma 4 3 2 12" xfId="8848" xr:uid="{CC0F7CEF-97BD-43BB-9D25-9C0B27FACCC0}"/>
    <cellStyle name="Comma 4 3 2 13" xfId="17289" xr:uid="{33269768-489F-4CC0-85D1-FCD08B2F21E9}"/>
    <cellStyle name="Comma 4 3 2 14" xfId="25729" xr:uid="{1EA61709-46A2-4D28-A0B6-2B2CD04AEC28}"/>
    <cellStyle name="Comma 4 3 2 2" xfId="146" xr:uid="{00000000-0005-0000-0000-000015090000}"/>
    <cellStyle name="Comma 4 3 2 2 10" xfId="4617" xr:uid="{00000000-0005-0000-0000-000016090000}"/>
    <cellStyle name="Comma 4 3 2 2 10 2" xfId="13067" xr:uid="{D4E2E5AC-24CB-4FEA-B9F1-7DD019F3F3DE}"/>
    <cellStyle name="Comma 4 3 2 2 10 3" xfId="21507" xr:uid="{2251EB8D-C8AB-4BE9-B866-9C27E401A77C}"/>
    <cellStyle name="Comma 4 3 2 2 10 4" xfId="29947" xr:uid="{8D8B3702-D599-4E31-A059-B25362D574AD}"/>
    <cellStyle name="Comma 4 3 2 2 11" xfId="8849" xr:uid="{31F3A3B7-FF27-4D9F-B63F-E14BB608E4D1}"/>
    <cellStyle name="Comma 4 3 2 2 12" xfId="17290" xr:uid="{5044FAF3-947B-4D92-90AF-5518C0B5CBD7}"/>
    <cellStyle name="Comma 4 3 2 2 13" xfId="25730" xr:uid="{9F66781F-6392-466C-A8FE-0110AE28873E}"/>
    <cellStyle name="Comma 4 3 2 2 2" xfId="147" xr:uid="{00000000-0005-0000-0000-000017090000}"/>
    <cellStyle name="Comma 4 3 2 2 2 10" xfId="8850" xr:uid="{79A8FB1B-A4A9-4417-B5A9-232EF3F068BC}"/>
    <cellStyle name="Comma 4 3 2 2 2 11" xfId="17291" xr:uid="{2071D4D1-6673-4467-A3F2-D5B174E91AEE}"/>
    <cellStyle name="Comma 4 3 2 2 2 12" xfId="25731" xr:uid="{037B350D-DCF4-4472-A7E8-FB5F738701F1}"/>
    <cellStyle name="Comma 4 3 2 2 2 2" xfId="684" xr:uid="{00000000-0005-0000-0000-000018090000}"/>
    <cellStyle name="Comma 4 3 2 2 2 2 2" xfId="2955" xr:uid="{00000000-0005-0000-0000-000019090000}"/>
    <cellStyle name="Comma 4 3 2 2 2 2 2 2" xfId="7177" xr:uid="{00000000-0005-0000-0000-00001A090000}"/>
    <cellStyle name="Comma 4 3 2 2 2 2 2 2 2" xfId="15627" xr:uid="{62ACC74F-6659-4A81-84DD-CC9732144106}"/>
    <cellStyle name="Comma 4 3 2 2 2 2 2 2 3" xfId="24067" xr:uid="{ACE6E38B-AAC5-4D2E-9A6A-EFD47F22E797}"/>
    <cellStyle name="Comma 4 3 2 2 2 2 2 2 4" xfId="32507" xr:uid="{89F38F42-72BD-4F60-965C-16F466A70ACF}"/>
    <cellStyle name="Comma 4 3 2 2 2 2 2 3" xfId="11409" xr:uid="{A044E2C0-F9F0-4876-96FE-49B192FC7A4E}"/>
    <cellStyle name="Comma 4 3 2 2 2 2 2 4" xfId="19850" xr:uid="{D1381B7D-E038-4FC3-ACEB-9F2B640A54FB}"/>
    <cellStyle name="Comma 4 3 2 2 2 2 2 5" xfId="28290" xr:uid="{0413904C-084B-4594-881F-AD2A18EAF2FB}"/>
    <cellStyle name="Comma 4 3 2 2 2 2 3" xfId="5032" xr:uid="{00000000-0005-0000-0000-00001B090000}"/>
    <cellStyle name="Comma 4 3 2 2 2 2 3 2" xfId="13482" xr:uid="{4AEC1381-86D4-4A06-A4A1-50147E7631AF}"/>
    <cellStyle name="Comma 4 3 2 2 2 2 3 3" xfId="21922" xr:uid="{5F4C71CE-260F-4582-83ED-B3CC5C0CC35A}"/>
    <cellStyle name="Comma 4 3 2 2 2 2 3 4" xfId="30362" xr:uid="{B678B170-BBB3-4C79-BA60-5E559DA15AC6}"/>
    <cellStyle name="Comma 4 3 2 2 2 2 4" xfId="9264" xr:uid="{F8A08C4E-DE6F-418B-98D0-2887207C51CB}"/>
    <cellStyle name="Comma 4 3 2 2 2 2 5" xfId="17705" xr:uid="{B9294027-A500-47B2-A398-940EEFB16870}"/>
    <cellStyle name="Comma 4 3 2 2 2 2 6" xfId="26145" xr:uid="{B2216312-F8C1-4ADA-BF75-EC140C2276AE}"/>
    <cellStyle name="Comma 4 3 2 2 2 3" xfId="1137" xr:uid="{00000000-0005-0000-0000-00001C090000}"/>
    <cellStyle name="Comma 4 3 2 2 2 3 2" xfId="3368" xr:uid="{00000000-0005-0000-0000-00001D090000}"/>
    <cellStyle name="Comma 4 3 2 2 2 3 2 2" xfId="7590" xr:uid="{00000000-0005-0000-0000-00001E090000}"/>
    <cellStyle name="Comma 4 3 2 2 2 3 2 2 2" xfId="16040" xr:uid="{02BCEDF0-C41E-4D23-9CE7-40042CC88C15}"/>
    <cellStyle name="Comma 4 3 2 2 2 3 2 2 3" xfId="24480" xr:uid="{202CABEC-EC3B-4A9D-88FA-747FFD28F85F}"/>
    <cellStyle name="Comma 4 3 2 2 2 3 2 2 4" xfId="32920" xr:uid="{8EE8A676-E8C8-4C46-9C7C-399CABA1F9A4}"/>
    <cellStyle name="Comma 4 3 2 2 2 3 2 3" xfId="11822" xr:uid="{AE8B811B-8168-4888-8FC7-D60A417BA097}"/>
    <cellStyle name="Comma 4 3 2 2 2 3 2 4" xfId="20263" xr:uid="{6C4E4F7E-9F28-4FC6-9A22-6D50CCCC0895}"/>
    <cellStyle name="Comma 4 3 2 2 2 3 2 5" xfId="28703" xr:uid="{AD367CFD-89EB-44C3-882A-832BE5A665B3}"/>
    <cellStyle name="Comma 4 3 2 2 2 3 3" xfId="5445" xr:uid="{00000000-0005-0000-0000-00001F090000}"/>
    <cellStyle name="Comma 4 3 2 2 2 3 3 2" xfId="13895" xr:uid="{D7D0E1B5-EB15-4B05-95EC-92D380022171}"/>
    <cellStyle name="Comma 4 3 2 2 2 3 3 3" xfId="22335" xr:uid="{1A9EFB07-5465-4795-B840-44ABBCBC593B}"/>
    <cellStyle name="Comma 4 3 2 2 2 3 3 4" xfId="30775" xr:uid="{B3C54ED2-5A74-40D7-B0C5-45544BE9F92C}"/>
    <cellStyle name="Comma 4 3 2 2 2 3 4" xfId="9677" xr:uid="{A02EC266-DE9B-4B0B-B062-59E25093DE11}"/>
    <cellStyle name="Comma 4 3 2 2 2 3 5" xfId="18118" xr:uid="{91508A58-9A30-4ACA-9F0C-EC87EDCFBCA2}"/>
    <cellStyle name="Comma 4 3 2 2 2 3 6" xfId="26558" xr:uid="{183E5ED7-0F82-4AEB-BF57-235028373FEA}"/>
    <cellStyle name="Comma 4 3 2 2 2 4" xfId="1551" xr:uid="{00000000-0005-0000-0000-000020090000}"/>
    <cellStyle name="Comma 4 3 2 2 2 4 2" xfId="3781" xr:uid="{00000000-0005-0000-0000-000021090000}"/>
    <cellStyle name="Comma 4 3 2 2 2 4 2 2" xfId="8003" xr:uid="{00000000-0005-0000-0000-000022090000}"/>
    <cellStyle name="Comma 4 3 2 2 2 4 2 2 2" xfId="16453" xr:uid="{967579A1-2716-462B-8C75-75885172A284}"/>
    <cellStyle name="Comma 4 3 2 2 2 4 2 2 3" xfId="24893" xr:uid="{1AAB35FE-13BD-4539-B905-97283A0E708A}"/>
    <cellStyle name="Comma 4 3 2 2 2 4 2 2 4" xfId="33333" xr:uid="{3540F085-7176-4B1B-9584-639D31EB7690}"/>
    <cellStyle name="Comma 4 3 2 2 2 4 2 3" xfId="12235" xr:uid="{64E8693B-CC6E-4D28-BA68-298B3B642E82}"/>
    <cellStyle name="Comma 4 3 2 2 2 4 2 4" xfId="20676" xr:uid="{63D6B36A-61C3-4770-A2BF-A787C3C500BF}"/>
    <cellStyle name="Comma 4 3 2 2 2 4 2 5" xfId="29116" xr:uid="{E0ADAB25-9209-4022-A0D2-F57809E14298}"/>
    <cellStyle name="Comma 4 3 2 2 2 4 3" xfId="5858" xr:uid="{00000000-0005-0000-0000-000023090000}"/>
    <cellStyle name="Comma 4 3 2 2 2 4 3 2" xfId="14308" xr:uid="{0935F2E7-AAF0-4BEF-9B6E-E3944E79076D}"/>
    <cellStyle name="Comma 4 3 2 2 2 4 3 3" xfId="22748" xr:uid="{16F3937D-5C1F-4D29-8562-8B7813BC4036}"/>
    <cellStyle name="Comma 4 3 2 2 2 4 3 4" xfId="31188" xr:uid="{04B6CCE9-D3EB-4C2A-9E2B-44280EDDAFDD}"/>
    <cellStyle name="Comma 4 3 2 2 2 4 4" xfId="10090" xr:uid="{D67A34E8-73F9-41CB-B7D9-4009A86F906E}"/>
    <cellStyle name="Comma 4 3 2 2 2 4 5" xfId="18531" xr:uid="{AACFCDB4-1E03-4684-A265-4FB048F5993C}"/>
    <cellStyle name="Comma 4 3 2 2 2 4 6" xfId="26971" xr:uid="{BC0A4FC4-A039-4773-8C9A-648A85C6167C}"/>
    <cellStyle name="Comma 4 3 2 2 2 5" xfId="1965" xr:uid="{00000000-0005-0000-0000-000024090000}"/>
    <cellStyle name="Comma 4 3 2 2 2 5 2" xfId="4194" xr:uid="{00000000-0005-0000-0000-000025090000}"/>
    <cellStyle name="Comma 4 3 2 2 2 5 2 2" xfId="8416" xr:uid="{00000000-0005-0000-0000-000026090000}"/>
    <cellStyle name="Comma 4 3 2 2 2 5 2 2 2" xfId="16866" xr:uid="{8298F8E0-2E50-4B5A-A47C-C3A0274C3419}"/>
    <cellStyle name="Comma 4 3 2 2 2 5 2 2 3" xfId="25306" xr:uid="{2AA317CA-EDFD-4118-A5DA-2959D20FF3E4}"/>
    <cellStyle name="Comma 4 3 2 2 2 5 2 2 4" xfId="33746" xr:uid="{F4D8D1BA-2595-4A4B-9BF6-CBCB470ABFC8}"/>
    <cellStyle name="Comma 4 3 2 2 2 5 2 3" xfId="12648" xr:uid="{B12A4B2B-2ACE-44DD-9F57-FA6EE9F71FF2}"/>
    <cellStyle name="Comma 4 3 2 2 2 5 2 4" xfId="21089" xr:uid="{CD5B3FD4-04C5-45E3-A480-4B444FF8564A}"/>
    <cellStyle name="Comma 4 3 2 2 2 5 2 5" xfId="29529" xr:uid="{BF188F6E-93BB-4701-8A7B-1CBF24B0C96B}"/>
    <cellStyle name="Comma 4 3 2 2 2 5 3" xfId="6271" xr:uid="{00000000-0005-0000-0000-000027090000}"/>
    <cellStyle name="Comma 4 3 2 2 2 5 3 2" xfId="14721" xr:uid="{8B86E6BD-556F-4129-9559-93E314FFCF9B}"/>
    <cellStyle name="Comma 4 3 2 2 2 5 3 3" xfId="23161" xr:uid="{481DCCB2-A01B-4053-8166-3FCA6F10F959}"/>
    <cellStyle name="Comma 4 3 2 2 2 5 3 4" xfId="31601" xr:uid="{E6378217-8B4B-4E04-B031-8CFB1E31E8E5}"/>
    <cellStyle name="Comma 4 3 2 2 2 5 4" xfId="10503" xr:uid="{1C429F5C-2AB2-43B1-8C66-E0F52A6774B8}"/>
    <cellStyle name="Comma 4 3 2 2 2 5 5" xfId="18944" xr:uid="{B97AAC66-C3EC-485B-B5AE-5AF4906107A2}"/>
    <cellStyle name="Comma 4 3 2 2 2 5 6" xfId="27384" xr:uid="{D1A08BFA-E717-4196-83E1-2DF8D44CAC73}"/>
    <cellStyle name="Comma 4 3 2 2 2 6" xfId="2400" xr:uid="{00000000-0005-0000-0000-000028090000}"/>
    <cellStyle name="Comma 4 3 2 2 2 6 2" xfId="6684" xr:uid="{00000000-0005-0000-0000-000029090000}"/>
    <cellStyle name="Comma 4 3 2 2 2 6 2 2" xfId="15134" xr:uid="{11D6EFF0-0CA1-4870-BA11-71660490E5C5}"/>
    <cellStyle name="Comma 4 3 2 2 2 6 2 3" xfId="23574" xr:uid="{0E38DEA0-1A31-4B7F-9049-F4FDAB1A31E5}"/>
    <cellStyle name="Comma 4 3 2 2 2 6 2 4" xfId="32014" xr:uid="{E039B2C3-2F54-4660-8BBD-ACF1D508B295}"/>
    <cellStyle name="Comma 4 3 2 2 2 6 3" xfId="10916" xr:uid="{B6D1CEB9-1C3B-4806-BE65-1A00EE558259}"/>
    <cellStyle name="Comma 4 3 2 2 2 6 4" xfId="19357" xr:uid="{41A78A38-9AEE-4595-A63B-3B414A4BD428}"/>
    <cellStyle name="Comma 4 3 2 2 2 6 5" xfId="27797" xr:uid="{37B28162-C2D2-4816-9ED3-80BDFBEBC4E3}"/>
    <cellStyle name="Comma 4 3 2 2 2 7" xfId="2363" xr:uid="{00000000-0005-0000-0000-00002A090000}"/>
    <cellStyle name="Comma 4 3 2 2 2 8" xfId="2778" xr:uid="{00000000-0005-0000-0000-00002B090000}"/>
    <cellStyle name="Comma 4 3 2 2 2 8 2" xfId="7001" xr:uid="{00000000-0005-0000-0000-00002C090000}"/>
    <cellStyle name="Comma 4 3 2 2 2 8 2 2" xfId="15451" xr:uid="{A568D1DB-F2BB-4E0B-8682-EA94F052EA8D}"/>
    <cellStyle name="Comma 4 3 2 2 2 8 2 3" xfId="23891" xr:uid="{17EFC1EE-EF59-46F3-9857-29B62B3F61D0}"/>
    <cellStyle name="Comma 4 3 2 2 2 8 2 4" xfId="32331" xr:uid="{113CF5B0-1741-4310-9FDA-80D12FA78579}"/>
    <cellStyle name="Comma 4 3 2 2 2 8 3" xfId="11233" xr:uid="{BA6F0DDE-5F75-41A5-A437-07F08703ACFC}"/>
    <cellStyle name="Comma 4 3 2 2 2 8 4" xfId="19674" xr:uid="{BB26EB95-56E2-47BB-872C-B8004FDDD485}"/>
    <cellStyle name="Comma 4 3 2 2 2 8 5" xfId="28114" xr:uid="{AFEC0F66-A428-43A2-A261-5453014A1961}"/>
    <cellStyle name="Comma 4 3 2 2 2 9" xfId="4618" xr:uid="{00000000-0005-0000-0000-00002D090000}"/>
    <cellStyle name="Comma 4 3 2 2 2 9 2" xfId="13068" xr:uid="{9E3FE2C4-D836-445B-B4AB-83B0DE3FF2D6}"/>
    <cellStyle name="Comma 4 3 2 2 2 9 3" xfId="21508" xr:uid="{1307B5AF-F044-4366-B564-C340958777B0}"/>
    <cellStyle name="Comma 4 3 2 2 2 9 4" xfId="29948" xr:uid="{585E4537-C39E-4300-B485-2CC6E4FFA4A2}"/>
    <cellStyle name="Comma 4 3 2 2 3" xfId="683" xr:uid="{00000000-0005-0000-0000-00002E090000}"/>
    <cellStyle name="Comma 4 3 2 2 3 2" xfId="2954" xr:uid="{00000000-0005-0000-0000-00002F090000}"/>
    <cellStyle name="Comma 4 3 2 2 3 2 2" xfId="7176" xr:uid="{00000000-0005-0000-0000-000030090000}"/>
    <cellStyle name="Comma 4 3 2 2 3 2 2 2" xfId="15626" xr:uid="{59E19651-C7D9-4D45-BF13-CAA6E3FE9FA1}"/>
    <cellStyle name="Comma 4 3 2 2 3 2 2 3" xfId="24066" xr:uid="{32656EF3-A9FD-42B1-8343-47AA88D305F8}"/>
    <cellStyle name="Comma 4 3 2 2 3 2 2 4" xfId="32506" xr:uid="{20D7A47F-947F-4CED-BDF8-30D79B8B3639}"/>
    <cellStyle name="Comma 4 3 2 2 3 2 3" xfId="11408" xr:uid="{C4846252-5540-4132-8DCB-DEFB4B22A554}"/>
    <cellStyle name="Comma 4 3 2 2 3 2 4" xfId="19849" xr:uid="{5535D85D-6015-44A2-AF42-DEC9DF6ACB62}"/>
    <cellStyle name="Comma 4 3 2 2 3 2 5" xfId="28289" xr:uid="{92BACEB5-969E-4152-9B96-632DE172D6E8}"/>
    <cellStyle name="Comma 4 3 2 2 3 3" xfId="5031" xr:uid="{00000000-0005-0000-0000-000031090000}"/>
    <cellStyle name="Comma 4 3 2 2 3 3 2" xfId="13481" xr:uid="{81B7034B-BB2B-4FE9-AB93-39C7808A58E6}"/>
    <cellStyle name="Comma 4 3 2 2 3 3 3" xfId="21921" xr:uid="{0A08DBC3-0D46-4B10-850E-BDCFCC67D703}"/>
    <cellStyle name="Comma 4 3 2 2 3 3 4" xfId="30361" xr:uid="{88C20AD2-523B-4F95-97D3-0DCD343930DC}"/>
    <cellStyle name="Comma 4 3 2 2 3 4" xfId="9263" xr:uid="{A9ED7300-90AF-4274-9D00-AFCF38D451E2}"/>
    <cellStyle name="Comma 4 3 2 2 3 5" xfId="17704" xr:uid="{EF536F09-02C7-4DA8-96AC-E81393EB5719}"/>
    <cellStyle name="Comma 4 3 2 2 3 6" xfId="26144" xr:uid="{A0B78D4A-2442-43FF-88FC-8B4B78642111}"/>
    <cellStyle name="Comma 4 3 2 2 4" xfId="1136" xr:uid="{00000000-0005-0000-0000-000032090000}"/>
    <cellStyle name="Comma 4 3 2 2 4 2" xfId="3367" xr:uid="{00000000-0005-0000-0000-000033090000}"/>
    <cellStyle name="Comma 4 3 2 2 4 2 2" xfId="7589" xr:uid="{00000000-0005-0000-0000-000034090000}"/>
    <cellStyle name="Comma 4 3 2 2 4 2 2 2" xfId="16039" xr:uid="{D3EB8620-9002-4D86-AD11-EE2A23B410AB}"/>
    <cellStyle name="Comma 4 3 2 2 4 2 2 3" xfId="24479" xr:uid="{F11BBF73-7888-4C04-BFAA-A4DAB4FDD271}"/>
    <cellStyle name="Comma 4 3 2 2 4 2 2 4" xfId="32919" xr:uid="{E14EFD37-7CB0-4675-8514-F9D5940B60CA}"/>
    <cellStyle name="Comma 4 3 2 2 4 2 3" xfId="11821" xr:uid="{E7C83003-937A-4F24-9E89-0B4141A12B2A}"/>
    <cellStyle name="Comma 4 3 2 2 4 2 4" xfId="20262" xr:uid="{D232FCAD-C5C2-43D5-ABD7-F3C01C497895}"/>
    <cellStyle name="Comma 4 3 2 2 4 2 5" xfId="28702" xr:uid="{7E2E84CE-1A41-40FA-A0E6-3FE24DA49BFF}"/>
    <cellStyle name="Comma 4 3 2 2 4 3" xfId="5444" xr:uid="{00000000-0005-0000-0000-000035090000}"/>
    <cellStyle name="Comma 4 3 2 2 4 3 2" xfId="13894" xr:uid="{39211D4D-DE2A-4539-BF2E-7B37498901A8}"/>
    <cellStyle name="Comma 4 3 2 2 4 3 3" xfId="22334" xr:uid="{810E14CE-85E0-4987-B410-223727199E0E}"/>
    <cellStyle name="Comma 4 3 2 2 4 3 4" xfId="30774" xr:uid="{B070504C-EA38-49EE-BBDB-AFF55A2E1677}"/>
    <cellStyle name="Comma 4 3 2 2 4 4" xfId="9676" xr:uid="{7A3D612F-DC50-411E-BE03-84183EB9961D}"/>
    <cellStyle name="Comma 4 3 2 2 4 5" xfId="18117" xr:uid="{0A081065-33BC-473B-A1EF-7FAD1911B606}"/>
    <cellStyle name="Comma 4 3 2 2 4 6" xfId="26557" xr:uid="{145ABDA4-6512-43EE-9EA5-337E877892D1}"/>
    <cellStyle name="Comma 4 3 2 2 5" xfId="1550" xr:uid="{00000000-0005-0000-0000-000036090000}"/>
    <cellStyle name="Comma 4 3 2 2 5 2" xfId="3780" xr:uid="{00000000-0005-0000-0000-000037090000}"/>
    <cellStyle name="Comma 4 3 2 2 5 2 2" xfId="8002" xr:uid="{00000000-0005-0000-0000-000038090000}"/>
    <cellStyle name="Comma 4 3 2 2 5 2 2 2" xfId="16452" xr:uid="{69FEE270-2CBD-4973-BC87-E26D31CCFC92}"/>
    <cellStyle name="Comma 4 3 2 2 5 2 2 3" xfId="24892" xr:uid="{741552C3-3D4D-4977-BDBE-723826241F65}"/>
    <cellStyle name="Comma 4 3 2 2 5 2 2 4" xfId="33332" xr:uid="{5C3F5C70-2C26-4A39-A038-9B5D121D664B}"/>
    <cellStyle name="Comma 4 3 2 2 5 2 3" xfId="12234" xr:uid="{544A1571-72A3-484C-BF7B-E6D9FD3DFF87}"/>
    <cellStyle name="Comma 4 3 2 2 5 2 4" xfId="20675" xr:uid="{947A3B5C-C1E7-45BD-840F-51392FF048D4}"/>
    <cellStyle name="Comma 4 3 2 2 5 2 5" xfId="29115" xr:uid="{2892F1AC-A655-4D20-93B7-D7099D1A11AD}"/>
    <cellStyle name="Comma 4 3 2 2 5 3" xfId="5857" xr:uid="{00000000-0005-0000-0000-000039090000}"/>
    <cellStyle name="Comma 4 3 2 2 5 3 2" xfId="14307" xr:uid="{446DC5A8-022A-45D6-B106-000C53AFE7F0}"/>
    <cellStyle name="Comma 4 3 2 2 5 3 3" xfId="22747" xr:uid="{7EE21EF5-1835-4D90-B3A2-FD987D4C3A8C}"/>
    <cellStyle name="Comma 4 3 2 2 5 3 4" xfId="31187" xr:uid="{8CE96EAC-5EB7-461F-8E3D-ADC172509751}"/>
    <cellStyle name="Comma 4 3 2 2 5 4" xfId="10089" xr:uid="{40EB537B-DF17-45CF-8871-1243B321A85A}"/>
    <cellStyle name="Comma 4 3 2 2 5 5" xfId="18530" xr:uid="{5D4C3481-31DE-4B9E-8D45-524F7FA6F6FA}"/>
    <cellStyle name="Comma 4 3 2 2 5 6" xfId="26970" xr:uid="{F6FFC7FE-88D7-4636-A86A-870A44C83225}"/>
    <cellStyle name="Comma 4 3 2 2 6" xfId="1964" xr:uid="{00000000-0005-0000-0000-00003A090000}"/>
    <cellStyle name="Comma 4 3 2 2 6 2" xfId="4193" xr:uid="{00000000-0005-0000-0000-00003B090000}"/>
    <cellStyle name="Comma 4 3 2 2 6 2 2" xfId="8415" xr:uid="{00000000-0005-0000-0000-00003C090000}"/>
    <cellStyle name="Comma 4 3 2 2 6 2 2 2" xfId="16865" xr:uid="{14C98028-8943-4331-9607-AC2E1E6D2247}"/>
    <cellStyle name="Comma 4 3 2 2 6 2 2 3" xfId="25305" xr:uid="{95CA1A80-AAAA-4A19-9398-184B96B31AA0}"/>
    <cellStyle name="Comma 4 3 2 2 6 2 2 4" xfId="33745" xr:uid="{358FE8C5-B1D6-44C9-9DFD-CFBF940A4923}"/>
    <cellStyle name="Comma 4 3 2 2 6 2 3" xfId="12647" xr:uid="{9F0141F0-BB15-4608-B92D-8A9B591CECEA}"/>
    <cellStyle name="Comma 4 3 2 2 6 2 4" xfId="21088" xr:uid="{2FC03ABA-ECC5-413C-B4F7-992AD4F40835}"/>
    <cellStyle name="Comma 4 3 2 2 6 2 5" xfId="29528" xr:uid="{F86B3AAF-E009-4193-B5A9-5561B9D14042}"/>
    <cellStyle name="Comma 4 3 2 2 6 3" xfId="6270" xr:uid="{00000000-0005-0000-0000-00003D090000}"/>
    <cellStyle name="Comma 4 3 2 2 6 3 2" xfId="14720" xr:uid="{165ECE18-DC48-4DDA-8449-17B855715661}"/>
    <cellStyle name="Comma 4 3 2 2 6 3 3" xfId="23160" xr:uid="{569FD623-99FC-4E81-B0AB-B3CD7AFB9FB0}"/>
    <cellStyle name="Comma 4 3 2 2 6 3 4" xfId="31600" xr:uid="{6DA68E5D-557D-45A9-9C19-BF66F24C75B0}"/>
    <cellStyle name="Comma 4 3 2 2 6 4" xfId="10502" xr:uid="{225D193A-DB73-44ED-BE1D-26FBBF4380C2}"/>
    <cellStyle name="Comma 4 3 2 2 6 5" xfId="18943" xr:uid="{AB2F86FB-AC8E-4F74-A737-58B89027BB59}"/>
    <cellStyle name="Comma 4 3 2 2 6 6" xfId="27383" xr:uid="{F8B1336D-1849-4391-9A93-DAEC43CBA7A0}"/>
    <cellStyle name="Comma 4 3 2 2 7" xfId="2399" xr:uid="{00000000-0005-0000-0000-00003E090000}"/>
    <cellStyle name="Comma 4 3 2 2 7 2" xfId="6683" xr:uid="{00000000-0005-0000-0000-00003F090000}"/>
    <cellStyle name="Comma 4 3 2 2 7 2 2" xfId="15133" xr:uid="{6096C43A-FE7C-4FCA-B6C2-BE79602AA995}"/>
    <cellStyle name="Comma 4 3 2 2 7 2 3" xfId="23573" xr:uid="{438831CA-1BB4-461E-9B8F-C8272E52B42E}"/>
    <cellStyle name="Comma 4 3 2 2 7 2 4" xfId="32013" xr:uid="{A6E629AB-3C94-4CCE-A7B0-CC79A584045E}"/>
    <cellStyle name="Comma 4 3 2 2 7 3" xfId="10915" xr:uid="{8DCD3932-A4C6-4166-85E7-4D2BC0A3E32A}"/>
    <cellStyle name="Comma 4 3 2 2 7 4" xfId="19356" xr:uid="{EA68E789-3B44-4019-86D3-01BDFA145222}"/>
    <cellStyle name="Comma 4 3 2 2 7 5" xfId="27796" xr:uid="{9DD68A03-9D19-41FF-A449-495C6449363D}"/>
    <cellStyle name="Comma 4 3 2 2 8" xfId="2364" xr:uid="{00000000-0005-0000-0000-000040090000}"/>
    <cellStyle name="Comma 4 3 2 2 9" xfId="2777" xr:uid="{00000000-0005-0000-0000-000041090000}"/>
    <cellStyle name="Comma 4 3 2 2 9 2" xfId="7000" xr:uid="{00000000-0005-0000-0000-000042090000}"/>
    <cellStyle name="Comma 4 3 2 2 9 2 2" xfId="15450" xr:uid="{0D3F6352-21FA-4815-86A1-7DA73A39C129}"/>
    <cellStyle name="Comma 4 3 2 2 9 2 3" xfId="23890" xr:uid="{CF287597-EC42-439A-8861-9E43096E26E0}"/>
    <cellStyle name="Comma 4 3 2 2 9 2 4" xfId="32330" xr:uid="{DF8070FE-F23A-492D-AC6C-2099B5A9ED04}"/>
    <cellStyle name="Comma 4 3 2 2 9 3" xfId="11232" xr:uid="{F1FD04EE-E534-454C-B1BA-29E941F9FED8}"/>
    <cellStyle name="Comma 4 3 2 2 9 4" xfId="19673" xr:uid="{6D51DE2F-D64D-4F23-B92E-548074F7A216}"/>
    <cellStyle name="Comma 4 3 2 2 9 5" xfId="28113" xr:uid="{CC992E5F-1B12-43E9-885B-2E389F241068}"/>
    <cellStyle name="Comma 4 3 2 3" xfId="148" xr:uid="{00000000-0005-0000-0000-000043090000}"/>
    <cellStyle name="Comma 4 3 2 3 10" xfId="8851" xr:uid="{BEE87AE9-36DF-491F-A2AF-8F04E648DB91}"/>
    <cellStyle name="Comma 4 3 2 3 11" xfId="17292" xr:uid="{6C56D728-2CCF-48BD-A71E-DBE7E5F8CEAA}"/>
    <cellStyle name="Comma 4 3 2 3 12" xfId="25732" xr:uid="{C2817259-A6B8-48E6-BB18-10BBC2C9B831}"/>
    <cellStyle name="Comma 4 3 2 3 2" xfId="685" xr:uid="{00000000-0005-0000-0000-000044090000}"/>
    <cellStyle name="Comma 4 3 2 3 2 2" xfId="2956" xr:uid="{00000000-0005-0000-0000-000045090000}"/>
    <cellStyle name="Comma 4 3 2 3 2 2 2" xfId="7178" xr:uid="{00000000-0005-0000-0000-000046090000}"/>
    <cellStyle name="Comma 4 3 2 3 2 2 2 2" xfId="15628" xr:uid="{7F4B519B-45B8-4F25-9C96-F1B18896AE32}"/>
    <cellStyle name="Comma 4 3 2 3 2 2 2 3" xfId="24068" xr:uid="{2C1C0887-C622-493B-9202-7ABDE6C11621}"/>
    <cellStyle name="Comma 4 3 2 3 2 2 2 4" xfId="32508" xr:uid="{7181F0E7-7486-4BE4-89B7-63E83B9FCFD5}"/>
    <cellStyle name="Comma 4 3 2 3 2 2 3" xfId="11410" xr:uid="{4CCBDA0E-09DC-4935-82F7-1085618E73A8}"/>
    <cellStyle name="Comma 4 3 2 3 2 2 4" xfId="19851" xr:uid="{50B171FC-6E10-4B6A-B906-2226E26189B8}"/>
    <cellStyle name="Comma 4 3 2 3 2 2 5" xfId="28291" xr:uid="{EAF835CD-29DD-4E6D-968B-3F1AC7FFB718}"/>
    <cellStyle name="Comma 4 3 2 3 2 3" xfId="5033" xr:uid="{00000000-0005-0000-0000-000047090000}"/>
    <cellStyle name="Comma 4 3 2 3 2 3 2" xfId="13483" xr:uid="{DECBDCC9-D453-44EB-A89E-E6ACDF33E305}"/>
    <cellStyle name="Comma 4 3 2 3 2 3 3" xfId="21923" xr:uid="{09ACA1B0-21C3-44D4-B6BA-D60EAA2E9E46}"/>
    <cellStyle name="Comma 4 3 2 3 2 3 4" xfId="30363" xr:uid="{24CF9C4D-42DE-451C-BE8E-40A58CFE2DD3}"/>
    <cellStyle name="Comma 4 3 2 3 2 4" xfId="9265" xr:uid="{AD770B73-C12A-4E44-98D5-B9D9B9F69ECB}"/>
    <cellStyle name="Comma 4 3 2 3 2 5" xfId="17706" xr:uid="{2C68097E-BEDB-4D77-8BF0-618F1AEC1DE6}"/>
    <cellStyle name="Comma 4 3 2 3 2 6" xfId="26146" xr:uid="{CFCD0810-6437-4310-8BF8-2CA4A262361F}"/>
    <cellStyle name="Comma 4 3 2 3 3" xfId="1138" xr:uid="{00000000-0005-0000-0000-000048090000}"/>
    <cellStyle name="Comma 4 3 2 3 3 2" xfId="3369" xr:uid="{00000000-0005-0000-0000-000049090000}"/>
    <cellStyle name="Comma 4 3 2 3 3 2 2" xfId="7591" xr:uid="{00000000-0005-0000-0000-00004A090000}"/>
    <cellStyle name="Comma 4 3 2 3 3 2 2 2" xfId="16041" xr:uid="{D9FF4CCF-15E3-43D1-8502-CCF941F09FEF}"/>
    <cellStyle name="Comma 4 3 2 3 3 2 2 3" xfId="24481" xr:uid="{7BDE8E38-35F9-486C-AE05-A92F461C0A91}"/>
    <cellStyle name="Comma 4 3 2 3 3 2 2 4" xfId="32921" xr:uid="{5CB7978E-0DEF-45CF-8851-E449DA72D895}"/>
    <cellStyle name="Comma 4 3 2 3 3 2 3" xfId="11823" xr:uid="{313772CC-2C12-4CCB-8F55-2D098AAC893B}"/>
    <cellStyle name="Comma 4 3 2 3 3 2 4" xfId="20264" xr:uid="{CFDFB53D-D9B1-49A5-B7ED-8243C4C936ED}"/>
    <cellStyle name="Comma 4 3 2 3 3 2 5" xfId="28704" xr:uid="{6FCC36E1-827E-4D90-B652-6933BD921C9B}"/>
    <cellStyle name="Comma 4 3 2 3 3 3" xfId="5446" xr:uid="{00000000-0005-0000-0000-00004B090000}"/>
    <cellStyle name="Comma 4 3 2 3 3 3 2" xfId="13896" xr:uid="{33EE9286-3325-43A8-A072-CDBAC0FE5A6C}"/>
    <cellStyle name="Comma 4 3 2 3 3 3 3" xfId="22336" xr:uid="{3247AE1A-7039-446A-8185-2C8B79C86706}"/>
    <cellStyle name="Comma 4 3 2 3 3 3 4" xfId="30776" xr:uid="{B9DE1208-D331-4853-AFFD-70AF6CB50E5F}"/>
    <cellStyle name="Comma 4 3 2 3 3 4" xfId="9678" xr:uid="{9A4837B2-0859-4862-BD5E-45B79922699A}"/>
    <cellStyle name="Comma 4 3 2 3 3 5" xfId="18119" xr:uid="{227D480C-094E-4178-93C2-7A8D5A95911F}"/>
    <cellStyle name="Comma 4 3 2 3 3 6" xfId="26559" xr:uid="{E81EE6CB-11D4-4EBB-98C5-0588E69D9CAE}"/>
    <cellStyle name="Comma 4 3 2 3 4" xfId="1552" xr:uid="{00000000-0005-0000-0000-00004C090000}"/>
    <cellStyle name="Comma 4 3 2 3 4 2" xfId="3782" xr:uid="{00000000-0005-0000-0000-00004D090000}"/>
    <cellStyle name="Comma 4 3 2 3 4 2 2" xfId="8004" xr:uid="{00000000-0005-0000-0000-00004E090000}"/>
    <cellStyle name="Comma 4 3 2 3 4 2 2 2" xfId="16454" xr:uid="{FE247ABD-EFA3-424B-A2FC-9C9F4E43A998}"/>
    <cellStyle name="Comma 4 3 2 3 4 2 2 3" xfId="24894" xr:uid="{42613438-75E3-4113-9259-4FBD6E281991}"/>
    <cellStyle name="Comma 4 3 2 3 4 2 2 4" xfId="33334" xr:uid="{8605C46B-A5B4-4918-B761-5D8311A50DA9}"/>
    <cellStyle name="Comma 4 3 2 3 4 2 3" xfId="12236" xr:uid="{8D16CF38-D97F-4F29-9564-35CFE82854EF}"/>
    <cellStyle name="Comma 4 3 2 3 4 2 4" xfId="20677" xr:uid="{469BAA53-6109-4C4D-834A-BDC6DDBCD838}"/>
    <cellStyle name="Comma 4 3 2 3 4 2 5" xfId="29117" xr:uid="{37DE93F7-249B-46B4-B6ED-F0BFF39B33E6}"/>
    <cellStyle name="Comma 4 3 2 3 4 3" xfId="5859" xr:uid="{00000000-0005-0000-0000-00004F090000}"/>
    <cellStyle name="Comma 4 3 2 3 4 3 2" xfId="14309" xr:uid="{6DAA4920-B036-4E8A-90F1-7F1E52F422EE}"/>
    <cellStyle name="Comma 4 3 2 3 4 3 3" xfId="22749" xr:uid="{EF342AD9-4C79-4BA9-89C3-9E51F68A4DFE}"/>
    <cellStyle name="Comma 4 3 2 3 4 3 4" xfId="31189" xr:uid="{D5B5FB8E-2544-4C1E-BD72-A9C880E90F90}"/>
    <cellStyle name="Comma 4 3 2 3 4 4" xfId="10091" xr:uid="{C549511A-127B-403B-A2B6-383236BAC169}"/>
    <cellStyle name="Comma 4 3 2 3 4 5" xfId="18532" xr:uid="{688C762E-E16A-4E95-84A5-0BC6BB36E6E8}"/>
    <cellStyle name="Comma 4 3 2 3 4 6" xfId="26972" xr:uid="{3C1D8101-6501-409B-8B94-4AB3621F9B78}"/>
    <cellStyle name="Comma 4 3 2 3 5" xfId="1966" xr:uid="{00000000-0005-0000-0000-000050090000}"/>
    <cellStyle name="Comma 4 3 2 3 5 2" xfId="4195" xr:uid="{00000000-0005-0000-0000-000051090000}"/>
    <cellStyle name="Comma 4 3 2 3 5 2 2" xfId="8417" xr:uid="{00000000-0005-0000-0000-000052090000}"/>
    <cellStyle name="Comma 4 3 2 3 5 2 2 2" xfId="16867" xr:uid="{6541AF2C-41DB-46A3-889E-232418C1FF59}"/>
    <cellStyle name="Comma 4 3 2 3 5 2 2 3" xfId="25307" xr:uid="{F44880F6-2951-48B2-8C08-61669017C8A1}"/>
    <cellStyle name="Comma 4 3 2 3 5 2 2 4" xfId="33747" xr:uid="{7BA4BB1B-B6D4-4AC9-A3DD-CAC3ED6ED4A0}"/>
    <cellStyle name="Comma 4 3 2 3 5 2 3" xfId="12649" xr:uid="{2D0692B3-CD26-4023-B751-86845AF5EE01}"/>
    <cellStyle name="Comma 4 3 2 3 5 2 4" xfId="21090" xr:uid="{AF782A4D-BABD-4F52-BC67-CC847BBDEC60}"/>
    <cellStyle name="Comma 4 3 2 3 5 2 5" xfId="29530" xr:uid="{A064DC0F-652B-44C5-8286-83EBAAEAF5D7}"/>
    <cellStyle name="Comma 4 3 2 3 5 3" xfId="6272" xr:uid="{00000000-0005-0000-0000-000053090000}"/>
    <cellStyle name="Comma 4 3 2 3 5 3 2" xfId="14722" xr:uid="{BD968398-AD1D-46A4-B522-B60DD14E5DE3}"/>
    <cellStyle name="Comma 4 3 2 3 5 3 3" xfId="23162" xr:uid="{554580FC-AC6C-4CC6-91E0-20E00861E79C}"/>
    <cellStyle name="Comma 4 3 2 3 5 3 4" xfId="31602" xr:uid="{FC0F6D4E-2C95-41C4-A626-65104EFDB587}"/>
    <cellStyle name="Comma 4 3 2 3 5 4" xfId="10504" xr:uid="{E2C6037D-F227-426E-9E88-455907CAE3EB}"/>
    <cellStyle name="Comma 4 3 2 3 5 5" xfId="18945" xr:uid="{2CE8C83D-2D6A-4032-8FC9-D375EB8EE2B4}"/>
    <cellStyle name="Comma 4 3 2 3 5 6" xfId="27385" xr:uid="{A263E9B5-1E35-47EF-8433-1FD2EF6E3EDC}"/>
    <cellStyle name="Comma 4 3 2 3 6" xfId="2401" xr:uid="{00000000-0005-0000-0000-000054090000}"/>
    <cellStyle name="Comma 4 3 2 3 6 2" xfId="6685" xr:uid="{00000000-0005-0000-0000-000055090000}"/>
    <cellStyle name="Comma 4 3 2 3 6 2 2" xfId="15135" xr:uid="{D1E9EAB2-92FC-401C-93F8-30F11A1A1505}"/>
    <cellStyle name="Comma 4 3 2 3 6 2 3" xfId="23575" xr:uid="{462D5709-3B3F-4F48-ADC2-AF7EA8A7C006}"/>
    <cellStyle name="Comma 4 3 2 3 6 2 4" xfId="32015" xr:uid="{FA8CF9E7-E9C7-4822-888B-77F53B9B074A}"/>
    <cellStyle name="Comma 4 3 2 3 6 3" xfId="10917" xr:uid="{B7BF0C7A-AF7E-45A3-AC7F-71C1B559B421}"/>
    <cellStyle name="Comma 4 3 2 3 6 4" xfId="19358" xr:uid="{A45410EB-CB66-4716-A5F1-8C95D60E4413}"/>
    <cellStyle name="Comma 4 3 2 3 6 5" xfId="27798" xr:uid="{CCF858B0-FE79-4633-8A84-061317507619}"/>
    <cellStyle name="Comma 4 3 2 3 7" xfId="2362" xr:uid="{00000000-0005-0000-0000-000056090000}"/>
    <cellStyle name="Comma 4 3 2 3 8" xfId="2779" xr:uid="{00000000-0005-0000-0000-000057090000}"/>
    <cellStyle name="Comma 4 3 2 3 8 2" xfId="7002" xr:uid="{00000000-0005-0000-0000-000058090000}"/>
    <cellStyle name="Comma 4 3 2 3 8 2 2" xfId="15452" xr:uid="{1245C475-97A3-438E-A114-FA7CFD2FA48A}"/>
    <cellStyle name="Comma 4 3 2 3 8 2 3" xfId="23892" xr:uid="{9608CBF1-3E09-462A-82E4-B1FE234BB895}"/>
    <cellStyle name="Comma 4 3 2 3 8 2 4" xfId="32332" xr:uid="{7045E153-E419-45CA-97E0-CC18D1F23A32}"/>
    <cellStyle name="Comma 4 3 2 3 8 3" xfId="11234" xr:uid="{D0AEF9E0-7185-41F7-A0F3-1007FA3ECDAC}"/>
    <cellStyle name="Comma 4 3 2 3 8 4" xfId="19675" xr:uid="{15E6B59D-750C-42B2-84A7-DEFE2D213676}"/>
    <cellStyle name="Comma 4 3 2 3 8 5" xfId="28115" xr:uid="{E7B8C639-81E2-4834-8E10-F4F6CB212497}"/>
    <cellStyle name="Comma 4 3 2 3 9" xfId="4619" xr:uid="{00000000-0005-0000-0000-000059090000}"/>
    <cellStyle name="Comma 4 3 2 3 9 2" xfId="13069" xr:uid="{2551AB78-9D23-4DDA-A24B-E378834A037C}"/>
    <cellStyle name="Comma 4 3 2 3 9 3" xfId="21509" xr:uid="{700294DE-C6F5-46A8-A40B-EF3A212F1FED}"/>
    <cellStyle name="Comma 4 3 2 3 9 4" xfId="29949" xr:uid="{DFB0D65C-8E8C-497B-A829-07C5B632AC62}"/>
    <cellStyle name="Comma 4 3 2 4" xfId="682" xr:uid="{00000000-0005-0000-0000-00005A090000}"/>
    <cellStyle name="Comma 4 3 2 4 2" xfId="2953" xr:uid="{00000000-0005-0000-0000-00005B090000}"/>
    <cellStyle name="Comma 4 3 2 4 2 2" xfId="7175" xr:uid="{00000000-0005-0000-0000-00005C090000}"/>
    <cellStyle name="Comma 4 3 2 4 2 2 2" xfId="15625" xr:uid="{36F2ED73-3EED-4A6A-8FE5-4E17F6A04A4D}"/>
    <cellStyle name="Comma 4 3 2 4 2 2 3" xfId="24065" xr:uid="{4AD196FF-00FF-443A-9FD6-986C7A68ED68}"/>
    <cellStyle name="Comma 4 3 2 4 2 2 4" xfId="32505" xr:uid="{C08479C5-E0B1-4712-903E-816357581867}"/>
    <cellStyle name="Comma 4 3 2 4 2 3" xfId="11407" xr:uid="{9F8B2D25-3B09-4BAE-881A-F72E7F7131CC}"/>
    <cellStyle name="Comma 4 3 2 4 2 4" xfId="19848" xr:uid="{9885E63F-7DFC-45B3-97DF-A48BC33F65A7}"/>
    <cellStyle name="Comma 4 3 2 4 2 5" xfId="28288" xr:uid="{ECF5BF1F-3249-4997-8AAF-5818AAD505B5}"/>
    <cellStyle name="Comma 4 3 2 4 3" xfId="5030" xr:uid="{00000000-0005-0000-0000-00005D090000}"/>
    <cellStyle name="Comma 4 3 2 4 3 2" xfId="13480" xr:uid="{184E0837-A6C2-40FF-8619-AE227D4110BB}"/>
    <cellStyle name="Comma 4 3 2 4 3 3" xfId="21920" xr:uid="{44B6CF0D-5734-4187-B397-DCB7A069D923}"/>
    <cellStyle name="Comma 4 3 2 4 3 4" xfId="30360" xr:uid="{4E989837-D160-48A4-B5A2-8DA02FD9D3A3}"/>
    <cellStyle name="Comma 4 3 2 4 4" xfId="9262" xr:uid="{101BC9B6-8EC9-40AA-B416-54678C841883}"/>
    <cellStyle name="Comma 4 3 2 4 5" xfId="17703" xr:uid="{60A61602-82AF-4B23-B811-233BDB8BB148}"/>
    <cellStyle name="Comma 4 3 2 4 6" xfId="26143" xr:uid="{1397E605-2DD6-4DAA-B4B9-365E2C18474C}"/>
    <cellStyle name="Comma 4 3 2 5" xfId="1135" xr:uid="{00000000-0005-0000-0000-00005E090000}"/>
    <cellStyle name="Comma 4 3 2 5 2" xfId="3366" xr:uid="{00000000-0005-0000-0000-00005F090000}"/>
    <cellStyle name="Comma 4 3 2 5 2 2" xfId="7588" xr:uid="{00000000-0005-0000-0000-000060090000}"/>
    <cellStyle name="Comma 4 3 2 5 2 2 2" xfId="16038" xr:uid="{4D52BAAC-8309-46A2-B0F3-57CE9C00719D}"/>
    <cellStyle name="Comma 4 3 2 5 2 2 3" xfId="24478" xr:uid="{25B6EC7A-6E21-4544-82FA-6C1727FC31F0}"/>
    <cellStyle name="Comma 4 3 2 5 2 2 4" xfId="32918" xr:uid="{5683AE49-462D-44A4-8F6F-C61C83928144}"/>
    <cellStyle name="Comma 4 3 2 5 2 3" xfId="11820" xr:uid="{82EB0FE1-4A02-404B-9413-B08CE6EDB896}"/>
    <cellStyle name="Comma 4 3 2 5 2 4" xfId="20261" xr:uid="{CA5A4AD3-4B13-464E-BB8D-1E0BEADA685A}"/>
    <cellStyle name="Comma 4 3 2 5 2 5" xfId="28701" xr:uid="{4910D1FA-0209-4548-A110-BFFBA4F1E7B7}"/>
    <cellStyle name="Comma 4 3 2 5 3" xfId="5443" xr:uid="{00000000-0005-0000-0000-000061090000}"/>
    <cellStyle name="Comma 4 3 2 5 3 2" xfId="13893" xr:uid="{372AC6D0-489D-42CE-B012-08E9E6218989}"/>
    <cellStyle name="Comma 4 3 2 5 3 3" xfId="22333" xr:uid="{1E4BC5FE-EE67-47D6-83E0-B8F3DE96BFC5}"/>
    <cellStyle name="Comma 4 3 2 5 3 4" xfId="30773" xr:uid="{C5C3C8DD-FDDF-4F42-A010-5D7195352B63}"/>
    <cellStyle name="Comma 4 3 2 5 4" xfId="9675" xr:uid="{410A16C0-92E2-437B-95F4-11B3F02961BB}"/>
    <cellStyle name="Comma 4 3 2 5 5" xfId="18116" xr:uid="{04082E1D-4352-4811-B0A3-9ED33D04B11D}"/>
    <cellStyle name="Comma 4 3 2 5 6" xfId="26556" xr:uid="{AE07BDBA-8D9F-4560-BB9C-2299B21099C5}"/>
    <cellStyle name="Comma 4 3 2 6" xfId="1549" xr:uid="{00000000-0005-0000-0000-000062090000}"/>
    <cellStyle name="Comma 4 3 2 6 2" xfId="3779" xr:uid="{00000000-0005-0000-0000-000063090000}"/>
    <cellStyle name="Comma 4 3 2 6 2 2" xfId="8001" xr:uid="{00000000-0005-0000-0000-000064090000}"/>
    <cellStyle name="Comma 4 3 2 6 2 2 2" xfId="16451" xr:uid="{635F1C4A-28D8-43B2-B26C-A818D912F83E}"/>
    <cellStyle name="Comma 4 3 2 6 2 2 3" xfId="24891" xr:uid="{9EA70D6A-2B87-4CFA-B810-E0B04362E605}"/>
    <cellStyle name="Comma 4 3 2 6 2 2 4" xfId="33331" xr:uid="{5EFB535C-BCAD-4039-A9D4-E14447A91B4A}"/>
    <cellStyle name="Comma 4 3 2 6 2 3" xfId="12233" xr:uid="{31077426-BFC9-4FCB-AADA-C8E20D04A97E}"/>
    <cellStyle name="Comma 4 3 2 6 2 4" xfId="20674" xr:uid="{8B3E4A0D-56AC-499F-BC3F-ED519E5C39EC}"/>
    <cellStyle name="Comma 4 3 2 6 2 5" xfId="29114" xr:uid="{5041CC48-2DAC-4814-967C-CD27C04F3BCF}"/>
    <cellStyle name="Comma 4 3 2 6 3" xfId="5856" xr:uid="{00000000-0005-0000-0000-000065090000}"/>
    <cellStyle name="Comma 4 3 2 6 3 2" xfId="14306" xr:uid="{F8505D40-8D85-43AE-9810-40F0EED69AA9}"/>
    <cellStyle name="Comma 4 3 2 6 3 3" xfId="22746" xr:uid="{0A2802FB-40BC-4B2C-82A9-9A8E579D503D}"/>
    <cellStyle name="Comma 4 3 2 6 3 4" xfId="31186" xr:uid="{CF9B724C-6EF2-4AB0-91D1-DC2529AA2072}"/>
    <cellStyle name="Comma 4 3 2 6 4" xfId="10088" xr:uid="{400A82FC-7D95-4FE4-A4B9-B6C2351161E1}"/>
    <cellStyle name="Comma 4 3 2 6 5" xfId="18529" xr:uid="{AEA24CAD-CECA-465F-83A0-A24EAC9023C3}"/>
    <cellStyle name="Comma 4 3 2 6 6" xfId="26969" xr:uid="{D605D45D-0632-4FBA-8E01-A4F2BEED7888}"/>
    <cellStyle name="Comma 4 3 2 7" xfId="1963" xr:uid="{00000000-0005-0000-0000-000066090000}"/>
    <cellStyle name="Comma 4 3 2 7 2" xfId="4192" xr:uid="{00000000-0005-0000-0000-000067090000}"/>
    <cellStyle name="Comma 4 3 2 7 2 2" xfId="8414" xr:uid="{00000000-0005-0000-0000-000068090000}"/>
    <cellStyle name="Comma 4 3 2 7 2 2 2" xfId="16864" xr:uid="{73CC8C63-CE5A-411C-AC08-257332A29462}"/>
    <cellStyle name="Comma 4 3 2 7 2 2 3" xfId="25304" xr:uid="{098FDCBE-5842-4E3F-A5F9-DF9E7681680A}"/>
    <cellStyle name="Comma 4 3 2 7 2 2 4" xfId="33744" xr:uid="{0CA55665-9769-47E8-AC98-2266F74CC8D9}"/>
    <cellStyle name="Comma 4 3 2 7 2 3" xfId="12646" xr:uid="{071EE20E-8E2E-47C2-BAE0-DBC68D5AAD7A}"/>
    <cellStyle name="Comma 4 3 2 7 2 4" xfId="21087" xr:uid="{B059CA78-DE24-4AA3-9883-F1DBBD1D9539}"/>
    <cellStyle name="Comma 4 3 2 7 2 5" xfId="29527" xr:uid="{30AA6D19-E2D8-431C-BC71-064B897B48E3}"/>
    <cellStyle name="Comma 4 3 2 7 3" xfId="6269" xr:uid="{00000000-0005-0000-0000-000069090000}"/>
    <cellStyle name="Comma 4 3 2 7 3 2" xfId="14719" xr:uid="{06DC2F56-43AE-47F8-8A5E-B18C7AD6C930}"/>
    <cellStyle name="Comma 4 3 2 7 3 3" xfId="23159" xr:uid="{0A59AECD-D540-4BD9-8A8A-A6D427E0206C}"/>
    <cellStyle name="Comma 4 3 2 7 3 4" xfId="31599" xr:uid="{9057A79D-3651-4B1C-A4EA-24D2CA3A61D9}"/>
    <cellStyle name="Comma 4 3 2 7 4" xfId="10501" xr:uid="{EAE66C80-5360-4296-B5E7-9424D1785572}"/>
    <cellStyle name="Comma 4 3 2 7 5" xfId="18942" xr:uid="{9ADADC0E-D5FA-4B01-A5F4-A0E60F759C88}"/>
    <cellStyle name="Comma 4 3 2 7 6" xfId="27382" xr:uid="{DA94CBFD-12EB-4489-AADC-B5BAB648D56F}"/>
    <cellStyle name="Comma 4 3 2 8" xfId="2398" xr:uid="{00000000-0005-0000-0000-00006A090000}"/>
    <cellStyle name="Comma 4 3 2 8 2" xfId="6682" xr:uid="{00000000-0005-0000-0000-00006B090000}"/>
    <cellStyle name="Comma 4 3 2 8 2 2" xfId="15132" xr:uid="{5D31DD78-4258-42C2-9E59-5DA7457A1C7B}"/>
    <cellStyle name="Comma 4 3 2 8 2 3" xfId="23572" xr:uid="{431E11E3-BD78-4D1B-902E-1B96ABF840BD}"/>
    <cellStyle name="Comma 4 3 2 8 2 4" xfId="32012" xr:uid="{C2BEE637-1CB8-4407-876B-C5C0C432D27F}"/>
    <cellStyle name="Comma 4 3 2 8 3" xfId="10914" xr:uid="{B4971768-824E-406F-AA78-497011630AFC}"/>
    <cellStyle name="Comma 4 3 2 8 4" xfId="19355" xr:uid="{9F50FEC6-9E7A-430D-BAB4-AD147EF847E3}"/>
    <cellStyle name="Comma 4 3 2 8 5" xfId="27795" xr:uid="{30C2E7C1-9A3A-4EE8-A552-574948AC1EDB}"/>
    <cellStyle name="Comma 4 3 2 9" xfId="2365" xr:uid="{00000000-0005-0000-0000-00006C090000}"/>
    <cellStyle name="Comma 4 3 3" xfId="149" xr:uid="{00000000-0005-0000-0000-00006D090000}"/>
    <cellStyle name="Comma 4 3 3 10" xfId="4620" xr:uid="{00000000-0005-0000-0000-00006E090000}"/>
    <cellStyle name="Comma 4 3 3 10 2" xfId="13070" xr:uid="{A6DE642D-DAE5-4990-A9E8-385A9E351E4B}"/>
    <cellStyle name="Comma 4 3 3 10 3" xfId="21510" xr:uid="{6F620F4A-7EC4-4F05-B5DA-07810D96AF8F}"/>
    <cellStyle name="Comma 4 3 3 10 4" xfId="29950" xr:uid="{D47868C7-9856-4107-A641-97D8FC096C50}"/>
    <cellStyle name="Comma 4 3 3 11" xfId="8852" xr:uid="{EF7D35FA-7DA2-4ED6-96BE-24A233604E75}"/>
    <cellStyle name="Comma 4 3 3 12" xfId="17293" xr:uid="{7E29A0B8-140A-47C0-B732-60F6624B6CAD}"/>
    <cellStyle name="Comma 4 3 3 13" xfId="25733" xr:uid="{3E3D855C-28D1-4FCD-851A-4F553204997B}"/>
    <cellStyle name="Comma 4 3 3 2" xfId="150" xr:uid="{00000000-0005-0000-0000-00006F090000}"/>
    <cellStyle name="Comma 4 3 3 2 10" xfId="8853" xr:uid="{BED37F1B-F462-4407-AAD4-2703C0722802}"/>
    <cellStyle name="Comma 4 3 3 2 11" xfId="17294" xr:uid="{A185F7BF-9641-41DE-86F3-DDECC2103AB6}"/>
    <cellStyle name="Comma 4 3 3 2 12" xfId="25734" xr:uid="{F6F954F3-7B23-49C4-BB8E-6AD0710776E4}"/>
    <cellStyle name="Comma 4 3 3 2 2" xfId="687" xr:uid="{00000000-0005-0000-0000-000070090000}"/>
    <cellStyle name="Comma 4 3 3 2 2 2" xfId="2958" xr:uid="{00000000-0005-0000-0000-000071090000}"/>
    <cellStyle name="Comma 4 3 3 2 2 2 2" xfId="7180" xr:uid="{00000000-0005-0000-0000-000072090000}"/>
    <cellStyle name="Comma 4 3 3 2 2 2 2 2" xfId="15630" xr:uid="{741D70BB-8553-480D-9969-BE691352CEF9}"/>
    <cellStyle name="Comma 4 3 3 2 2 2 2 3" xfId="24070" xr:uid="{7E7E2275-ECA2-4833-A6EF-F9C58589ED47}"/>
    <cellStyle name="Comma 4 3 3 2 2 2 2 4" xfId="32510" xr:uid="{900239CE-1FD7-4CA0-B403-71500EB62118}"/>
    <cellStyle name="Comma 4 3 3 2 2 2 3" xfId="11412" xr:uid="{1C5E337C-BF65-4CA8-A607-2DEEF586F49A}"/>
    <cellStyle name="Comma 4 3 3 2 2 2 4" xfId="19853" xr:uid="{50641578-9DD4-43A2-89D9-75F7B8BC4E0D}"/>
    <cellStyle name="Comma 4 3 3 2 2 2 5" xfId="28293" xr:uid="{850A20BA-6D5E-425E-8B3D-316334F90F0F}"/>
    <cellStyle name="Comma 4 3 3 2 2 3" xfId="5035" xr:uid="{00000000-0005-0000-0000-000073090000}"/>
    <cellStyle name="Comma 4 3 3 2 2 3 2" xfId="13485" xr:uid="{8D36E430-5102-48A3-96D7-8558DC98AF84}"/>
    <cellStyle name="Comma 4 3 3 2 2 3 3" xfId="21925" xr:uid="{FC47E7A8-BAC7-483A-A7A7-B58B53F3A8D9}"/>
    <cellStyle name="Comma 4 3 3 2 2 3 4" xfId="30365" xr:uid="{3C923040-A3CD-4495-8E2B-C256D993D54E}"/>
    <cellStyle name="Comma 4 3 3 2 2 4" xfId="9267" xr:uid="{95C9C44A-C75A-4370-873B-4B810805C141}"/>
    <cellStyle name="Comma 4 3 3 2 2 5" xfId="17708" xr:uid="{48BCA14E-5C62-4AD2-B8DE-EE7A9EF41809}"/>
    <cellStyle name="Comma 4 3 3 2 2 6" xfId="26148" xr:uid="{BF948F8A-EDA5-47E9-BC7F-740E488061B6}"/>
    <cellStyle name="Comma 4 3 3 2 3" xfId="1140" xr:uid="{00000000-0005-0000-0000-000074090000}"/>
    <cellStyle name="Comma 4 3 3 2 3 2" xfId="3371" xr:uid="{00000000-0005-0000-0000-000075090000}"/>
    <cellStyle name="Comma 4 3 3 2 3 2 2" xfId="7593" xr:uid="{00000000-0005-0000-0000-000076090000}"/>
    <cellStyle name="Comma 4 3 3 2 3 2 2 2" xfId="16043" xr:uid="{6DBB9E40-24B1-47A4-9A8A-353C4C37193A}"/>
    <cellStyle name="Comma 4 3 3 2 3 2 2 3" xfId="24483" xr:uid="{239259EE-1312-4F08-A8A4-3822366D9C94}"/>
    <cellStyle name="Comma 4 3 3 2 3 2 2 4" xfId="32923" xr:uid="{CAEAEE5A-8CCB-4D22-BD95-0CE6A1563D7C}"/>
    <cellStyle name="Comma 4 3 3 2 3 2 3" xfId="11825" xr:uid="{39D542E2-B766-4F73-8018-93B02F8DD460}"/>
    <cellStyle name="Comma 4 3 3 2 3 2 4" xfId="20266" xr:uid="{EA0B2975-E739-4F9D-A2D6-2739B8F4C55D}"/>
    <cellStyle name="Comma 4 3 3 2 3 2 5" xfId="28706" xr:uid="{53DCE0C8-E454-40C7-B0D3-3E24A47FE6F2}"/>
    <cellStyle name="Comma 4 3 3 2 3 3" xfId="5448" xr:uid="{00000000-0005-0000-0000-000077090000}"/>
    <cellStyle name="Comma 4 3 3 2 3 3 2" xfId="13898" xr:uid="{4ECD3648-F57B-4211-A06C-46900DE8EBB9}"/>
    <cellStyle name="Comma 4 3 3 2 3 3 3" xfId="22338" xr:uid="{F9ADFA96-BE25-4590-96AA-BA4D53849573}"/>
    <cellStyle name="Comma 4 3 3 2 3 3 4" xfId="30778" xr:uid="{9940B857-27FB-4ACD-81C0-DABE41F2175E}"/>
    <cellStyle name="Comma 4 3 3 2 3 4" xfId="9680" xr:uid="{858EA162-EA07-46A7-BEE2-29EE223B1663}"/>
    <cellStyle name="Comma 4 3 3 2 3 5" xfId="18121" xr:uid="{763DE106-BDFA-40C2-9F6C-967899F1F358}"/>
    <cellStyle name="Comma 4 3 3 2 3 6" xfId="26561" xr:uid="{64D40DD2-46D9-4C72-822B-AB7E60A04F05}"/>
    <cellStyle name="Comma 4 3 3 2 4" xfId="1554" xr:uid="{00000000-0005-0000-0000-000078090000}"/>
    <cellStyle name="Comma 4 3 3 2 4 2" xfId="3784" xr:uid="{00000000-0005-0000-0000-000079090000}"/>
    <cellStyle name="Comma 4 3 3 2 4 2 2" xfId="8006" xr:uid="{00000000-0005-0000-0000-00007A090000}"/>
    <cellStyle name="Comma 4 3 3 2 4 2 2 2" xfId="16456" xr:uid="{CBF93835-E496-46FE-B8D3-515ECD3F0FD3}"/>
    <cellStyle name="Comma 4 3 3 2 4 2 2 3" xfId="24896" xr:uid="{0C378239-8170-48F0-88FD-C1226B1AFDCA}"/>
    <cellStyle name="Comma 4 3 3 2 4 2 2 4" xfId="33336" xr:uid="{CF8DB1D6-E665-411E-BFCF-D884C552B93D}"/>
    <cellStyle name="Comma 4 3 3 2 4 2 3" xfId="12238" xr:uid="{1F08B117-57A1-4D42-BDAB-FAE4C3F97472}"/>
    <cellStyle name="Comma 4 3 3 2 4 2 4" xfId="20679" xr:uid="{1D65167F-6A81-4A59-BACA-72C20930399B}"/>
    <cellStyle name="Comma 4 3 3 2 4 2 5" xfId="29119" xr:uid="{E91A6BB3-620A-4F7E-9522-E5B009640A6B}"/>
    <cellStyle name="Comma 4 3 3 2 4 3" xfId="5861" xr:uid="{00000000-0005-0000-0000-00007B090000}"/>
    <cellStyle name="Comma 4 3 3 2 4 3 2" xfId="14311" xr:uid="{D3D11847-9E4B-4CB9-AADE-C69BD0E9E931}"/>
    <cellStyle name="Comma 4 3 3 2 4 3 3" xfId="22751" xr:uid="{3E0A5FE3-3BB0-4624-9B7C-E0DD29132FFE}"/>
    <cellStyle name="Comma 4 3 3 2 4 3 4" xfId="31191" xr:uid="{80D45CF0-43E5-4DB5-A875-8F5F3FB197B3}"/>
    <cellStyle name="Comma 4 3 3 2 4 4" xfId="10093" xr:uid="{B8158349-DC70-4129-A80E-97F4B9E37CAB}"/>
    <cellStyle name="Comma 4 3 3 2 4 5" xfId="18534" xr:uid="{91964F43-6810-49F3-A631-20F8BE4AF2C5}"/>
    <cellStyle name="Comma 4 3 3 2 4 6" xfId="26974" xr:uid="{FEB48E58-0CBF-42CC-BBBC-7FD93457385E}"/>
    <cellStyle name="Comma 4 3 3 2 5" xfId="1968" xr:uid="{00000000-0005-0000-0000-00007C090000}"/>
    <cellStyle name="Comma 4 3 3 2 5 2" xfId="4197" xr:uid="{00000000-0005-0000-0000-00007D090000}"/>
    <cellStyle name="Comma 4 3 3 2 5 2 2" xfId="8419" xr:uid="{00000000-0005-0000-0000-00007E090000}"/>
    <cellStyle name="Comma 4 3 3 2 5 2 2 2" xfId="16869" xr:uid="{5EBB8222-3D25-4EEA-8E71-6B52141CF430}"/>
    <cellStyle name="Comma 4 3 3 2 5 2 2 3" xfId="25309" xr:uid="{D3D8C6EF-F467-467E-9D11-C2569B9C96F5}"/>
    <cellStyle name="Comma 4 3 3 2 5 2 2 4" xfId="33749" xr:uid="{0F4C8EE9-85E7-4D16-B750-63148DD535EE}"/>
    <cellStyle name="Comma 4 3 3 2 5 2 3" xfId="12651" xr:uid="{BE329746-AAB2-4060-B481-60B752EF6FE3}"/>
    <cellStyle name="Comma 4 3 3 2 5 2 4" xfId="21092" xr:uid="{0AF8248B-E38F-4DAC-86E9-BCEF86207956}"/>
    <cellStyle name="Comma 4 3 3 2 5 2 5" xfId="29532" xr:uid="{945BE7D0-89B3-43F0-B331-6ED1F6EF0794}"/>
    <cellStyle name="Comma 4 3 3 2 5 3" xfId="6274" xr:uid="{00000000-0005-0000-0000-00007F090000}"/>
    <cellStyle name="Comma 4 3 3 2 5 3 2" xfId="14724" xr:uid="{873284DD-3A15-4087-9DC7-35E27151DFFC}"/>
    <cellStyle name="Comma 4 3 3 2 5 3 3" xfId="23164" xr:uid="{9AAB6CB0-1855-48B8-9337-7EEFD17569F0}"/>
    <cellStyle name="Comma 4 3 3 2 5 3 4" xfId="31604" xr:uid="{1140538F-911E-4F05-84B1-D5DF342D9DD8}"/>
    <cellStyle name="Comma 4 3 3 2 5 4" xfId="10506" xr:uid="{3ECC3C7F-4D93-49A7-A9E3-F737CBC48070}"/>
    <cellStyle name="Comma 4 3 3 2 5 5" xfId="18947" xr:uid="{F9605ED7-D726-47EA-A778-57A8A741ABA4}"/>
    <cellStyle name="Comma 4 3 3 2 5 6" xfId="27387" xr:uid="{DFD87289-11C2-47F3-B826-A295B4F3785E}"/>
    <cellStyle name="Comma 4 3 3 2 6" xfId="2403" xr:uid="{00000000-0005-0000-0000-000080090000}"/>
    <cellStyle name="Comma 4 3 3 2 6 2" xfId="6687" xr:uid="{00000000-0005-0000-0000-000081090000}"/>
    <cellStyle name="Comma 4 3 3 2 6 2 2" xfId="15137" xr:uid="{F296841A-4BCB-462A-8BE5-49A66069A808}"/>
    <cellStyle name="Comma 4 3 3 2 6 2 3" xfId="23577" xr:uid="{4AF7F90A-D1F8-4C55-A4FF-70D5AB70E3FF}"/>
    <cellStyle name="Comma 4 3 3 2 6 2 4" xfId="32017" xr:uid="{45D61FFF-7DFE-4DB9-9CCD-2FB26FACC28E}"/>
    <cellStyle name="Comma 4 3 3 2 6 3" xfId="10919" xr:uid="{76B2ACB5-513C-47C3-A1F3-8708C0D82888}"/>
    <cellStyle name="Comma 4 3 3 2 6 4" xfId="19360" xr:uid="{ECD53C1E-05AA-4F7F-992C-B0790C3FEEE1}"/>
    <cellStyle name="Comma 4 3 3 2 6 5" xfId="27800" xr:uid="{26C1743E-76F6-4973-9B70-56192614166B}"/>
    <cellStyle name="Comma 4 3 3 2 7" xfId="2360" xr:uid="{00000000-0005-0000-0000-000082090000}"/>
    <cellStyle name="Comma 4 3 3 2 8" xfId="2781" xr:uid="{00000000-0005-0000-0000-000083090000}"/>
    <cellStyle name="Comma 4 3 3 2 8 2" xfId="7004" xr:uid="{00000000-0005-0000-0000-000084090000}"/>
    <cellStyle name="Comma 4 3 3 2 8 2 2" xfId="15454" xr:uid="{317C873B-053E-4A92-8873-51CB59F889CE}"/>
    <cellStyle name="Comma 4 3 3 2 8 2 3" xfId="23894" xr:uid="{EC3AE992-36FC-4BE2-B554-15897E6FA9CE}"/>
    <cellStyle name="Comma 4 3 3 2 8 2 4" xfId="32334" xr:uid="{8A20DF1C-D8CC-45BE-BE24-88AFF7CD3D7B}"/>
    <cellStyle name="Comma 4 3 3 2 8 3" xfId="11236" xr:uid="{CA23EFE4-8616-4391-A0AF-43BD3D47DE83}"/>
    <cellStyle name="Comma 4 3 3 2 8 4" xfId="19677" xr:uid="{B34A979A-B765-426B-8378-6F40C032409D}"/>
    <cellStyle name="Comma 4 3 3 2 8 5" xfId="28117" xr:uid="{CBDEFB14-A674-425F-AB95-321B8AA51216}"/>
    <cellStyle name="Comma 4 3 3 2 9" xfId="4621" xr:uid="{00000000-0005-0000-0000-000085090000}"/>
    <cellStyle name="Comma 4 3 3 2 9 2" xfId="13071" xr:uid="{3A09976B-ED8B-458F-BD22-A7BEF400C575}"/>
    <cellStyle name="Comma 4 3 3 2 9 3" xfId="21511" xr:uid="{87A449B3-B476-4AD8-B660-2BF37CD00BFE}"/>
    <cellStyle name="Comma 4 3 3 2 9 4" xfId="29951" xr:uid="{53E62B97-1DEB-4AA9-8B69-F75B7BD27703}"/>
    <cellStyle name="Comma 4 3 3 3" xfId="686" xr:uid="{00000000-0005-0000-0000-000086090000}"/>
    <cellStyle name="Comma 4 3 3 3 2" xfId="2957" xr:uid="{00000000-0005-0000-0000-000087090000}"/>
    <cellStyle name="Comma 4 3 3 3 2 2" xfId="7179" xr:uid="{00000000-0005-0000-0000-000088090000}"/>
    <cellStyle name="Comma 4 3 3 3 2 2 2" xfId="15629" xr:uid="{C9569F62-49EE-4C84-B82B-8F25A2CEA042}"/>
    <cellStyle name="Comma 4 3 3 3 2 2 3" xfId="24069" xr:uid="{3FB1A048-E768-45B6-8725-7F663FB1FC5C}"/>
    <cellStyle name="Comma 4 3 3 3 2 2 4" xfId="32509" xr:uid="{62F064AE-85F3-45F7-9F6A-AC9438A95CBD}"/>
    <cellStyle name="Comma 4 3 3 3 2 3" xfId="11411" xr:uid="{BA8B1EB7-7D52-482A-B6D0-30AB5401316A}"/>
    <cellStyle name="Comma 4 3 3 3 2 4" xfId="19852" xr:uid="{7CD0A791-4913-48E3-958D-FFE7EB3E5413}"/>
    <cellStyle name="Comma 4 3 3 3 2 5" xfId="28292" xr:uid="{06A7FBAD-9463-49F6-B9F4-56BD478B4863}"/>
    <cellStyle name="Comma 4 3 3 3 3" xfId="5034" xr:uid="{00000000-0005-0000-0000-000089090000}"/>
    <cellStyle name="Comma 4 3 3 3 3 2" xfId="13484" xr:uid="{A4B3158A-6CBB-4B8A-BA9E-0ACD4FE85C5C}"/>
    <cellStyle name="Comma 4 3 3 3 3 3" xfId="21924" xr:uid="{ED3C82A6-3D00-4649-BB8A-F905CA5B05D7}"/>
    <cellStyle name="Comma 4 3 3 3 3 4" xfId="30364" xr:uid="{0EBA3B1D-0CC5-48C4-A61F-5938D9F551C8}"/>
    <cellStyle name="Comma 4 3 3 3 4" xfId="9266" xr:uid="{C425F019-28DD-4D81-983F-F53CAD2E8288}"/>
    <cellStyle name="Comma 4 3 3 3 5" xfId="17707" xr:uid="{74DE8B70-8BC9-442A-A685-18368C2B4071}"/>
    <cellStyle name="Comma 4 3 3 3 6" xfId="26147" xr:uid="{A1195395-55C2-40F5-B633-04E10CACDAD7}"/>
    <cellStyle name="Comma 4 3 3 4" xfId="1139" xr:uid="{00000000-0005-0000-0000-00008A090000}"/>
    <cellStyle name="Comma 4 3 3 4 2" xfId="3370" xr:uid="{00000000-0005-0000-0000-00008B090000}"/>
    <cellStyle name="Comma 4 3 3 4 2 2" xfId="7592" xr:uid="{00000000-0005-0000-0000-00008C090000}"/>
    <cellStyle name="Comma 4 3 3 4 2 2 2" xfId="16042" xr:uid="{1BA48724-A641-4B05-824E-205A10F5231C}"/>
    <cellStyle name="Comma 4 3 3 4 2 2 3" xfId="24482" xr:uid="{1AC7B1C3-72A1-4CFF-B30F-2E6BBF24BCFC}"/>
    <cellStyle name="Comma 4 3 3 4 2 2 4" xfId="32922" xr:uid="{8287DB11-32B7-4E71-A134-F442A0463C9E}"/>
    <cellStyle name="Comma 4 3 3 4 2 3" xfId="11824" xr:uid="{F558A291-8AFE-4168-B19C-C8AA57ED8277}"/>
    <cellStyle name="Comma 4 3 3 4 2 4" xfId="20265" xr:uid="{3811A18E-86A9-4197-B5BA-075AA4B84C2C}"/>
    <cellStyle name="Comma 4 3 3 4 2 5" xfId="28705" xr:uid="{1A35D66D-80FD-4AEF-AEE0-7D4724A67577}"/>
    <cellStyle name="Comma 4 3 3 4 3" xfId="5447" xr:uid="{00000000-0005-0000-0000-00008D090000}"/>
    <cellStyle name="Comma 4 3 3 4 3 2" xfId="13897" xr:uid="{0CFBA28F-D6A5-4E5F-8373-5AF049A45FE0}"/>
    <cellStyle name="Comma 4 3 3 4 3 3" xfId="22337" xr:uid="{2B914F13-0E26-466E-A335-CBF9C50FF2AD}"/>
    <cellStyle name="Comma 4 3 3 4 3 4" xfId="30777" xr:uid="{7639E117-66ED-42E3-83ED-F32666B619C7}"/>
    <cellStyle name="Comma 4 3 3 4 4" xfId="9679" xr:uid="{A54B595A-7551-42E7-898F-FB8347E5AB2B}"/>
    <cellStyle name="Comma 4 3 3 4 5" xfId="18120" xr:uid="{0C7EDF81-EB66-4C79-B773-06E1C0717F87}"/>
    <cellStyle name="Comma 4 3 3 4 6" xfId="26560" xr:uid="{88C32ED1-EAE1-4DCE-B17D-207A318DFCBD}"/>
    <cellStyle name="Comma 4 3 3 5" xfId="1553" xr:uid="{00000000-0005-0000-0000-00008E090000}"/>
    <cellStyle name="Comma 4 3 3 5 2" xfId="3783" xr:uid="{00000000-0005-0000-0000-00008F090000}"/>
    <cellStyle name="Comma 4 3 3 5 2 2" xfId="8005" xr:uid="{00000000-0005-0000-0000-000090090000}"/>
    <cellStyle name="Comma 4 3 3 5 2 2 2" xfId="16455" xr:uid="{CB520CAA-DE54-4223-8162-A919329A8CD0}"/>
    <cellStyle name="Comma 4 3 3 5 2 2 3" xfId="24895" xr:uid="{A958FD82-1658-4022-A2AE-29FD007F3E43}"/>
    <cellStyle name="Comma 4 3 3 5 2 2 4" xfId="33335" xr:uid="{3743496E-CD33-4EFE-A2F7-94AC1C79EA2F}"/>
    <cellStyle name="Comma 4 3 3 5 2 3" xfId="12237" xr:uid="{E7A0788C-34B7-43E1-968B-7496D003B154}"/>
    <cellStyle name="Comma 4 3 3 5 2 4" xfId="20678" xr:uid="{D4266976-DAF6-43F0-B16B-B3ABD85C6A3E}"/>
    <cellStyle name="Comma 4 3 3 5 2 5" xfId="29118" xr:uid="{7C380A1C-92A3-48A5-8435-3E8C3B2DC202}"/>
    <cellStyle name="Comma 4 3 3 5 3" xfId="5860" xr:uid="{00000000-0005-0000-0000-000091090000}"/>
    <cellStyle name="Comma 4 3 3 5 3 2" xfId="14310" xr:uid="{99701BC0-AB5E-4DEC-960A-F5546D1DD101}"/>
    <cellStyle name="Comma 4 3 3 5 3 3" xfId="22750" xr:uid="{901BC2DE-70F8-4563-B69E-9CA9CBD4E5B3}"/>
    <cellStyle name="Comma 4 3 3 5 3 4" xfId="31190" xr:uid="{3531581A-2EC2-4B49-9BE4-1B27B84FFAF7}"/>
    <cellStyle name="Comma 4 3 3 5 4" xfId="10092" xr:uid="{2CE1EA28-09C7-4A50-AA19-4ECF4CDD04C1}"/>
    <cellStyle name="Comma 4 3 3 5 5" xfId="18533" xr:uid="{0425A331-F310-48B1-8626-E3DEBD3773BE}"/>
    <cellStyle name="Comma 4 3 3 5 6" xfId="26973" xr:uid="{7D1F6C8D-9533-410A-9ECE-DE85910AD412}"/>
    <cellStyle name="Comma 4 3 3 6" xfId="1967" xr:uid="{00000000-0005-0000-0000-000092090000}"/>
    <cellStyle name="Comma 4 3 3 6 2" xfId="4196" xr:uid="{00000000-0005-0000-0000-000093090000}"/>
    <cellStyle name="Comma 4 3 3 6 2 2" xfId="8418" xr:uid="{00000000-0005-0000-0000-000094090000}"/>
    <cellStyle name="Comma 4 3 3 6 2 2 2" xfId="16868" xr:uid="{BCD6CFAA-E6AB-4FFF-8A4D-FB19E7B70B06}"/>
    <cellStyle name="Comma 4 3 3 6 2 2 3" xfId="25308" xr:uid="{49D1AA14-FD9A-4E6F-BAC8-2BE413AC989E}"/>
    <cellStyle name="Comma 4 3 3 6 2 2 4" xfId="33748" xr:uid="{ABA79C87-2782-4245-B661-19A8D1C63CB7}"/>
    <cellStyle name="Comma 4 3 3 6 2 3" xfId="12650" xr:uid="{0BF211B6-D70F-45B7-B542-486F505D673E}"/>
    <cellStyle name="Comma 4 3 3 6 2 4" xfId="21091" xr:uid="{65DEE058-C9FF-4E35-B48A-5888B18319CF}"/>
    <cellStyle name="Comma 4 3 3 6 2 5" xfId="29531" xr:uid="{5434BA3A-225F-42B9-9CA9-F365D9A36451}"/>
    <cellStyle name="Comma 4 3 3 6 3" xfId="6273" xr:uid="{00000000-0005-0000-0000-000095090000}"/>
    <cellStyle name="Comma 4 3 3 6 3 2" xfId="14723" xr:uid="{AB112B26-C334-439A-9F82-76C1B8588250}"/>
    <cellStyle name="Comma 4 3 3 6 3 3" xfId="23163" xr:uid="{36E561E8-A68E-4737-AB03-716F13193CA9}"/>
    <cellStyle name="Comma 4 3 3 6 3 4" xfId="31603" xr:uid="{CAE67B08-7B33-4A02-83D2-D3ED06965254}"/>
    <cellStyle name="Comma 4 3 3 6 4" xfId="10505" xr:uid="{91841C4A-2552-4FD0-A53B-C242BE9EFEB2}"/>
    <cellStyle name="Comma 4 3 3 6 5" xfId="18946" xr:uid="{530680D2-C8E2-43F3-859F-3337959B5093}"/>
    <cellStyle name="Comma 4 3 3 6 6" xfId="27386" xr:uid="{CE4EE2B0-A487-4593-8FF0-F2115ED17AA1}"/>
    <cellStyle name="Comma 4 3 3 7" xfId="2402" xr:uid="{00000000-0005-0000-0000-000096090000}"/>
    <cellStyle name="Comma 4 3 3 7 2" xfId="6686" xr:uid="{00000000-0005-0000-0000-000097090000}"/>
    <cellStyle name="Comma 4 3 3 7 2 2" xfId="15136" xr:uid="{EC04D3CC-346B-4247-99FA-2BE06FF5FF8C}"/>
    <cellStyle name="Comma 4 3 3 7 2 3" xfId="23576" xr:uid="{1D9A38EC-8BE8-44DA-A15B-1817B5772328}"/>
    <cellStyle name="Comma 4 3 3 7 2 4" xfId="32016" xr:uid="{4ECA2BD4-270B-4BA5-A30D-76E2F6380231}"/>
    <cellStyle name="Comma 4 3 3 7 3" xfId="10918" xr:uid="{6011C56F-EB39-4902-825C-3780E611EC69}"/>
    <cellStyle name="Comma 4 3 3 7 4" xfId="19359" xr:uid="{5EBF8665-3B83-4C1D-B78F-A806ECF32561}"/>
    <cellStyle name="Comma 4 3 3 7 5" xfId="27799" xr:uid="{E7093B3E-97AD-44D8-9FA1-E255A6432010}"/>
    <cellStyle name="Comma 4 3 3 8" xfId="2361" xr:uid="{00000000-0005-0000-0000-000098090000}"/>
    <cellStyle name="Comma 4 3 3 9" xfId="2780" xr:uid="{00000000-0005-0000-0000-000099090000}"/>
    <cellStyle name="Comma 4 3 3 9 2" xfId="7003" xr:uid="{00000000-0005-0000-0000-00009A090000}"/>
    <cellStyle name="Comma 4 3 3 9 2 2" xfId="15453" xr:uid="{C311011A-EAB5-4EAA-9501-C14F972235CB}"/>
    <cellStyle name="Comma 4 3 3 9 2 3" xfId="23893" xr:uid="{EC630DB0-C036-4E98-AD5D-6371D7A5D6E7}"/>
    <cellStyle name="Comma 4 3 3 9 2 4" xfId="32333" xr:uid="{F70E60C7-FD2A-4927-9551-8EC3350A164C}"/>
    <cellStyle name="Comma 4 3 3 9 3" xfId="11235" xr:uid="{C28C51B6-055F-4AD1-9213-E05792D85974}"/>
    <cellStyle name="Comma 4 3 3 9 4" xfId="19676" xr:uid="{6C5682EF-16D0-48BF-87F9-4370D4745DFD}"/>
    <cellStyle name="Comma 4 3 3 9 5" xfId="28116" xr:uid="{8E891A47-E398-493B-A2C4-D0AB96ED005F}"/>
    <cellStyle name="Comma 4 3 4" xfId="151" xr:uid="{00000000-0005-0000-0000-00009B090000}"/>
    <cellStyle name="Comma 4 3 4 10" xfId="8854" xr:uid="{4511922F-59CC-4F4A-9D90-CF0B34701344}"/>
    <cellStyle name="Comma 4 3 4 11" xfId="17295" xr:uid="{F92FA645-36C6-4C70-A900-F5F311DFB958}"/>
    <cellStyle name="Comma 4 3 4 12" xfId="25735" xr:uid="{C4369646-A5EB-48E2-B0D4-10269D8BC9AF}"/>
    <cellStyle name="Comma 4 3 4 2" xfId="688" xr:uid="{00000000-0005-0000-0000-00009C090000}"/>
    <cellStyle name="Comma 4 3 4 2 2" xfId="2959" xr:uid="{00000000-0005-0000-0000-00009D090000}"/>
    <cellStyle name="Comma 4 3 4 2 2 2" xfId="7181" xr:uid="{00000000-0005-0000-0000-00009E090000}"/>
    <cellStyle name="Comma 4 3 4 2 2 2 2" xfId="15631" xr:uid="{49EA7E9C-AEA4-4653-83CC-85A39B9BD16B}"/>
    <cellStyle name="Comma 4 3 4 2 2 2 3" xfId="24071" xr:uid="{ED9D579C-0F42-4C6A-9E97-BAF829998F27}"/>
    <cellStyle name="Comma 4 3 4 2 2 2 4" xfId="32511" xr:uid="{99F21A27-CEE5-4321-8E10-6DD55FE83AB5}"/>
    <cellStyle name="Comma 4 3 4 2 2 3" xfId="11413" xr:uid="{1EE3CC06-B9CE-43E9-B6AD-90A6CE737535}"/>
    <cellStyle name="Comma 4 3 4 2 2 4" xfId="19854" xr:uid="{10F8F16F-ADFC-4556-A286-0650A24BAEFC}"/>
    <cellStyle name="Comma 4 3 4 2 2 5" xfId="28294" xr:uid="{F8427CE4-E5E4-4B14-BEA0-C05FE9692D86}"/>
    <cellStyle name="Comma 4 3 4 2 3" xfId="5036" xr:uid="{00000000-0005-0000-0000-00009F090000}"/>
    <cellStyle name="Comma 4 3 4 2 3 2" xfId="13486" xr:uid="{B2A7ED8D-F86D-48C4-BFD5-0B871F28DC11}"/>
    <cellStyle name="Comma 4 3 4 2 3 3" xfId="21926" xr:uid="{2E1F1C4C-88EF-4AE6-9199-EDAA58A3C1DF}"/>
    <cellStyle name="Comma 4 3 4 2 3 4" xfId="30366" xr:uid="{9F9A13B5-BB8F-4E1D-A2BF-7C924131A301}"/>
    <cellStyle name="Comma 4 3 4 2 4" xfId="9268" xr:uid="{B9394754-27C4-46C5-8DE4-C2B614F4F3FF}"/>
    <cellStyle name="Comma 4 3 4 2 5" xfId="17709" xr:uid="{3134A3A4-A7E2-401A-ABD3-99CDD401AE21}"/>
    <cellStyle name="Comma 4 3 4 2 6" xfId="26149" xr:uid="{624BAD24-BC36-4CA4-96EC-E8CE17B3BCB7}"/>
    <cellStyle name="Comma 4 3 4 3" xfId="1141" xr:uid="{00000000-0005-0000-0000-0000A0090000}"/>
    <cellStyle name="Comma 4 3 4 3 2" xfId="3372" xr:uid="{00000000-0005-0000-0000-0000A1090000}"/>
    <cellStyle name="Comma 4 3 4 3 2 2" xfId="7594" xr:uid="{00000000-0005-0000-0000-0000A2090000}"/>
    <cellStyle name="Comma 4 3 4 3 2 2 2" xfId="16044" xr:uid="{B2964E9F-F535-4CE0-8376-DE82EF700304}"/>
    <cellStyle name="Comma 4 3 4 3 2 2 3" xfId="24484" xr:uid="{DCCA7545-6D8E-4EF3-92F0-7CF47592ADFB}"/>
    <cellStyle name="Comma 4 3 4 3 2 2 4" xfId="32924" xr:uid="{5DD4F00C-A552-4A3E-8752-455F329D4688}"/>
    <cellStyle name="Comma 4 3 4 3 2 3" xfId="11826" xr:uid="{553BB149-E326-4130-B62E-ABEA3B02E1C8}"/>
    <cellStyle name="Comma 4 3 4 3 2 4" xfId="20267" xr:uid="{0687A587-09E2-43EB-A716-82BB15282A30}"/>
    <cellStyle name="Comma 4 3 4 3 2 5" xfId="28707" xr:uid="{2AD522BD-5B39-4CFC-8C23-0CA76E15832C}"/>
    <cellStyle name="Comma 4 3 4 3 3" xfId="5449" xr:uid="{00000000-0005-0000-0000-0000A3090000}"/>
    <cellStyle name="Comma 4 3 4 3 3 2" xfId="13899" xr:uid="{1E05E8AA-0BCD-48B0-B97E-568C3218AA1E}"/>
    <cellStyle name="Comma 4 3 4 3 3 3" xfId="22339" xr:uid="{8F00026A-F8ED-4387-9755-549A2BF77448}"/>
    <cellStyle name="Comma 4 3 4 3 3 4" xfId="30779" xr:uid="{98A72598-7310-4AEC-9866-5FF5485A264A}"/>
    <cellStyle name="Comma 4 3 4 3 4" xfId="9681" xr:uid="{F387BA4A-C97B-40C0-AA1E-77B29CD98617}"/>
    <cellStyle name="Comma 4 3 4 3 5" xfId="18122" xr:uid="{0229A849-D12A-485D-9529-0C21775D2123}"/>
    <cellStyle name="Comma 4 3 4 3 6" xfId="26562" xr:uid="{EF7E646D-5F23-4974-83FE-3BABCD9B262B}"/>
    <cellStyle name="Comma 4 3 4 4" xfId="1555" xr:uid="{00000000-0005-0000-0000-0000A4090000}"/>
    <cellStyle name="Comma 4 3 4 4 2" xfId="3785" xr:uid="{00000000-0005-0000-0000-0000A5090000}"/>
    <cellStyle name="Comma 4 3 4 4 2 2" xfId="8007" xr:uid="{00000000-0005-0000-0000-0000A6090000}"/>
    <cellStyle name="Comma 4 3 4 4 2 2 2" xfId="16457" xr:uid="{17FB208C-4335-49C0-8FB1-7833FFF4381E}"/>
    <cellStyle name="Comma 4 3 4 4 2 2 3" xfId="24897" xr:uid="{3A3E4F5A-A0D1-4DC9-9E1E-2F297A42CFDE}"/>
    <cellStyle name="Comma 4 3 4 4 2 2 4" xfId="33337" xr:uid="{DEBB822C-C29F-4316-9327-E83B19B40183}"/>
    <cellStyle name="Comma 4 3 4 4 2 3" xfId="12239" xr:uid="{5254B150-B330-45B0-8637-B98CB0B359D2}"/>
    <cellStyle name="Comma 4 3 4 4 2 4" xfId="20680" xr:uid="{7D3B8060-3D7C-47E9-AA21-B2AE6A087F92}"/>
    <cellStyle name="Comma 4 3 4 4 2 5" xfId="29120" xr:uid="{C5CF6566-E901-48E6-BA49-3C06D762B0C0}"/>
    <cellStyle name="Comma 4 3 4 4 3" xfId="5862" xr:uid="{00000000-0005-0000-0000-0000A7090000}"/>
    <cellStyle name="Comma 4 3 4 4 3 2" xfId="14312" xr:uid="{85A6091C-CF11-44B2-8B6E-5D94BDA2369B}"/>
    <cellStyle name="Comma 4 3 4 4 3 3" xfId="22752" xr:uid="{67652D72-1A84-4F97-8296-6C4AFD0681C7}"/>
    <cellStyle name="Comma 4 3 4 4 3 4" xfId="31192" xr:uid="{93A5934D-0BC4-43CD-84C7-6DD051F9692D}"/>
    <cellStyle name="Comma 4 3 4 4 4" xfId="10094" xr:uid="{8E9BDF99-23C9-416B-8948-C02081ACE95E}"/>
    <cellStyle name="Comma 4 3 4 4 5" xfId="18535" xr:uid="{3945BE7E-023E-46F2-9006-96EC0A58E84E}"/>
    <cellStyle name="Comma 4 3 4 4 6" xfId="26975" xr:uid="{37AB28E3-E7D4-4257-B93E-C6F3A26A70BD}"/>
    <cellStyle name="Comma 4 3 4 5" xfId="1969" xr:uid="{00000000-0005-0000-0000-0000A8090000}"/>
    <cellStyle name="Comma 4 3 4 5 2" xfId="4198" xr:uid="{00000000-0005-0000-0000-0000A9090000}"/>
    <cellStyle name="Comma 4 3 4 5 2 2" xfId="8420" xr:uid="{00000000-0005-0000-0000-0000AA090000}"/>
    <cellStyle name="Comma 4 3 4 5 2 2 2" xfId="16870" xr:uid="{1BF2B4C2-EA71-439A-92C0-943B806E9EA8}"/>
    <cellStyle name="Comma 4 3 4 5 2 2 3" xfId="25310" xr:uid="{79AEFE48-317B-4891-8A85-8B8D7852E253}"/>
    <cellStyle name="Comma 4 3 4 5 2 2 4" xfId="33750" xr:uid="{E825C73F-441F-4C47-91C8-83769BA81E6D}"/>
    <cellStyle name="Comma 4 3 4 5 2 3" xfId="12652" xr:uid="{A4372325-8F95-4FB6-A7B5-71CC7DC577D6}"/>
    <cellStyle name="Comma 4 3 4 5 2 4" xfId="21093" xr:uid="{21D08778-7855-404F-88F1-49D91328ECFB}"/>
    <cellStyle name="Comma 4 3 4 5 2 5" xfId="29533" xr:uid="{B5320D1A-9CA2-4213-853A-D9BF8A802AAC}"/>
    <cellStyle name="Comma 4 3 4 5 3" xfId="6275" xr:uid="{00000000-0005-0000-0000-0000AB090000}"/>
    <cellStyle name="Comma 4 3 4 5 3 2" xfId="14725" xr:uid="{86C5D67C-41DD-4750-B148-45408A58ED99}"/>
    <cellStyle name="Comma 4 3 4 5 3 3" xfId="23165" xr:uid="{ECB23B62-D5CF-4289-ADBA-C64F3DD220CD}"/>
    <cellStyle name="Comma 4 3 4 5 3 4" xfId="31605" xr:uid="{E60059F0-14A2-4692-84E2-59E3A9B1884F}"/>
    <cellStyle name="Comma 4 3 4 5 4" xfId="10507" xr:uid="{C6799D3F-6C64-4C6F-8990-F4B1F5450570}"/>
    <cellStyle name="Comma 4 3 4 5 5" xfId="18948" xr:uid="{3A050519-A8DD-48E8-88DF-82CA1C3FF43C}"/>
    <cellStyle name="Comma 4 3 4 5 6" xfId="27388" xr:uid="{9A97C472-9855-4203-8E66-237D10C50308}"/>
    <cellStyle name="Comma 4 3 4 6" xfId="2404" xr:uid="{00000000-0005-0000-0000-0000AC090000}"/>
    <cellStyle name="Comma 4 3 4 6 2" xfId="6688" xr:uid="{00000000-0005-0000-0000-0000AD090000}"/>
    <cellStyle name="Comma 4 3 4 6 2 2" xfId="15138" xr:uid="{65D460DC-84F8-4EB7-8277-27D8B118B87D}"/>
    <cellStyle name="Comma 4 3 4 6 2 3" xfId="23578" xr:uid="{3B0547E3-EC65-4CDF-97FD-673EC61DC7E6}"/>
    <cellStyle name="Comma 4 3 4 6 2 4" xfId="32018" xr:uid="{EC73A7CB-C309-4FF3-B012-E7B6984D807F}"/>
    <cellStyle name="Comma 4 3 4 6 3" xfId="10920" xr:uid="{1AB95D98-8651-4E95-A8F4-341AEAC81AAC}"/>
    <cellStyle name="Comma 4 3 4 6 4" xfId="19361" xr:uid="{B1F2F5F9-E7EB-438A-AD86-856D8A6216DB}"/>
    <cellStyle name="Comma 4 3 4 6 5" xfId="27801" xr:uid="{E0546BD5-50AA-43AF-B400-80DB9ECE2B33}"/>
    <cellStyle name="Comma 4 3 4 7" xfId="2700" xr:uid="{00000000-0005-0000-0000-0000AE090000}"/>
    <cellStyle name="Comma 4 3 4 8" xfId="2782" xr:uid="{00000000-0005-0000-0000-0000AF090000}"/>
    <cellStyle name="Comma 4 3 4 8 2" xfId="7005" xr:uid="{00000000-0005-0000-0000-0000B0090000}"/>
    <cellStyle name="Comma 4 3 4 8 2 2" xfId="15455" xr:uid="{CE563A0C-2015-4D7A-ACD1-B8BE75D04487}"/>
    <cellStyle name="Comma 4 3 4 8 2 3" xfId="23895" xr:uid="{1127476F-54F2-4428-837B-234FFDA5C4F2}"/>
    <cellStyle name="Comma 4 3 4 8 2 4" xfId="32335" xr:uid="{861FCB3B-11E3-4E29-A0E7-EF7FB9D094F3}"/>
    <cellStyle name="Comma 4 3 4 8 3" xfId="11237" xr:uid="{644DB485-175B-4A2D-91F7-FF049893ADE3}"/>
    <cellStyle name="Comma 4 3 4 8 4" xfId="19678" xr:uid="{099CF136-22D7-4001-AFFA-B3FB2C4F6A2E}"/>
    <cellStyle name="Comma 4 3 4 8 5" xfId="28118" xr:uid="{D1A71DEF-0DB0-4D12-8D2F-AAF423E80471}"/>
    <cellStyle name="Comma 4 3 4 9" xfId="4622" xr:uid="{00000000-0005-0000-0000-0000B1090000}"/>
    <cellStyle name="Comma 4 3 4 9 2" xfId="13072" xr:uid="{3738C870-8CA8-4FA1-B7C4-B7072673D19B}"/>
    <cellStyle name="Comma 4 3 4 9 3" xfId="21512" xr:uid="{30A2590C-6777-4E73-8C5C-4EA3FD1D98E7}"/>
    <cellStyle name="Comma 4 3 4 9 4" xfId="29952" xr:uid="{A957DA4A-FA3F-4A40-AC52-36AAA41A79D4}"/>
    <cellStyle name="Comma 4 3 5" xfId="152" xr:uid="{00000000-0005-0000-0000-0000B2090000}"/>
    <cellStyle name="Comma 4 3 5 10" xfId="8855" xr:uid="{BA38D30C-1C12-4258-B4B6-147DF4CD6386}"/>
    <cellStyle name="Comma 4 3 5 11" xfId="17296" xr:uid="{27C5D389-B3A6-42B3-82A7-FB5BE3BC182C}"/>
    <cellStyle name="Comma 4 3 5 12" xfId="25736" xr:uid="{EE0AF239-980D-4682-BB82-08B8A1A9211E}"/>
    <cellStyle name="Comma 4 3 5 2" xfId="689" xr:uid="{00000000-0005-0000-0000-0000B3090000}"/>
    <cellStyle name="Comma 4 3 5 2 2" xfId="2960" xr:uid="{00000000-0005-0000-0000-0000B4090000}"/>
    <cellStyle name="Comma 4 3 5 2 2 2" xfId="7182" xr:uid="{00000000-0005-0000-0000-0000B5090000}"/>
    <cellStyle name="Comma 4 3 5 2 2 2 2" xfId="15632" xr:uid="{1F0096CC-1394-4F79-A19B-6CE9F3699FE0}"/>
    <cellStyle name="Comma 4 3 5 2 2 2 3" xfId="24072" xr:uid="{CD52592C-75B6-401D-960A-577D8A1AB012}"/>
    <cellStyle name="Comma 4 3 5 2 2 2 4" xfId="32512" xr:uid="{C1EFD963-FEB5-4660-9E7C-296F95E52DB0}"/>
    <cellStyle name="Comma 4 3 5 2 2 3" xfId="11414" xr:uid="{CB137A46-B741-44B4-8719-BAC169914146}"/>
    <cellStyle name="Comma 4 3 5 2 2 4" xfId="19855" xr:uid="{62BACA55-1027-4326-8FA9-E90BAF3E0074}"/>
    <cellStyle name="Comma 4 3 5 2 2 5" xfId="28295" xr:uid="{DDDE72EF-F526-4159-AD9B-281CB3FE411C}"/>
    <cellStyle name="Comma 4 3 5 2 3" xfId="5037" xr:uid="{00000000-0005-0000-0000-0000B6090000}"/>
    <cellStyle name="Comma 4 3 5 2 3 2" xfId="13487" xr:uid="{AAB0E67C-721B-460D-9874-55421F1A44FD}"/>
    <cellStyle name="Comma 4 3 5 2 3 3" xfId="21927" xr:uid="{54506A3F-8522-49C6-9297-9682C1515F0D}"/>
    <cellStyle name="Comma 4 3 5 2 3 4" xfId="30367" xr:uid="{F5389357-1276-48EA-9430-602967C74A85}"/>
    <cellStyle name="Comma 4 3 5 2 4" xfId="9269" xr:uid="{CB67AEA0-AF9F-400F-8281-25E9D3ED8C0F}"/>
    <cellStyle name="Comma 4 3 5 2 5" xfId="17710" xr:uid="{B998EDC0-A28F-4F8A-959F-0B1F4CC0D811}"/>
    <cellStyle name="Comma 4 3 5 2 6" xfId="26150" xr:uid="{0E675FF9-0352-4726-B2C0-C932E243553D}"/>
    <cellStyle name="Comma 4 3 5 3" xfId="1142" xr:uid="{00000000-0005-0000-0000-0000B7090000}"/>
    <cellStyle name="Comma 4 3 5 3 2" xfId="3373" xr:uid="{00000000-0005-0000-0000-0000B8090000}"/>
    <cellStyle name="Comma 4 3 5 3 2 2" xfId="7595" xr:uid="{00000000-0005-0000-0000-0000B9090000}"/>
    <cellStyle name="Comma 4 3 5 3 2 2 2" xfId="16045" xr:uid="{765C98CB-0EAF-4420-9C1D-69F7F1B4E965}"/>
    <cellStyle name="Comma 4 3 5 3 2 2 3" xfId="24485" xr:uid="{5DFF7E25-E2C5-4481-9440-37AA08A95983}"/>
    <cellStyle name="Comma 4 3 5 3 2 2 4" xfId="32925" xr:uid="{919F6C09-7A2E-4E34-87C0-0930D792B1EA}"/>
    <cellStyle name="Comma 4 3 5 3 2 3" xfId="11827" xr:uid="{8D56641A-0008-45FD-8E25-DDE49364FB34}"/>
    <cellStyle name="Comma 4 3 5 3 2 4" xfId="20268" xr:uid="{01B8381D-2510-4940-8275-9ACB5F6CD001}"/>
    <cellStyle name="Comma 4 3 5 3 2 5" xfId="28708" xr:uid="{A5FBC98C-5263-427E-8754-6EE585F72348}"/>
    <cellStyle name="Comma 4 3 5 3 3" xfId="5450" xr:uid="{00000000-0005-0000-0000-0000BA090000}"/>
    <cellStyle name="Comma 4 3 5 3 3 2" xfId="13900" xr:uid="{A6915184-7E40-4BA2-A0B8-DAB03BECAED9}"/>
    <cellStyle name="Comma 4 3 5 3 3 3" xfId="22340" xr:uid="{FCF35234-3B4A-4336-897A-02A707C12A3F}"/>
    <cellStyle name="Comma 4 3 5 3 3 4" xfId="30780" xr:uid="{4E10BB0F-FD1C-4DA6-A7FE-39C1C0740B77}"/>
    <cellStyle name="Comma 4 3 5 3 4" xfId="9682" xr:uid="{81022553-8408-46DC-AF8C-5C54DC35873C}"/>
    <cellStyle name="Comma 4 3 5 3 5" xfId="18123" xr:uid="{B8A067EA-C9D5-42AA-B0E5-B446956DCFBE}"/>
    <cellStyle name="Comma 4 3 5 3 6" xfId="26563" xr:uid="{5DE7F63C-568A-48C9-9A97-BA6912BDB996}"/>
    <cellStyle name="Comma 4 3 5 4" xfId="1556" xr:uid="{00000000-0005-0000-0000-0000BB090000}"/>
    <cellStyle name="Comma 4 3 5 4 2" xfId="3786" xr:uid="{00000000-0005-0000-0000-0000BC090000}"/>
    <cellStyle name="Comma 4 3 5 4 2 2" xfId="8008" xr:uid="{00000000-0005-0000-0000-0000BD090000}"/>
    <cellStyle name="Comma 4 3 5 4 2 2 2" xfId="16458" xr:uid="{FFDDAB9E-EC52-4395-800D-9BD32763446E}"/>
    <cellStyle name="Comma 4 3 5 4 2 2 3" xfId="24898" xr:uid="{CA10C260-A353-425D-B752-3D0F5957E854}"/>
    <cellStyle name="Comma 4 3 5 4 2 2 4" xfId="33338" xr:uid="{5F450FAD-35B0-43FA-B6D3-85D71C9B2F6D}"/>
    <cellStyle name="Comma 4 3 5 4 2 3" xfId="12240" xr:uid="{306EFEC5-AF46-4ED0-A2FD-9DA164469CCE}"/>
    <cellStyle name="Comma 4 3 5 4 2 4" xfId="20681" xr:uid="{EDB6CCCA-A941-4472-AC8C-E7CC1C0D24A3}"/>
    <cellStyle name="Comma 4 3 5 4 2 5" xfId="29121" xr:uid="{E9BF5399-E9A7-43AD-9B18-033A625E04D9}"/>
    <cellStyle name="Comma 4 3 5 4 3" xfId="5863" xr:uid="{00000000-0005-0000-0000-0000BE090000}"/>
    <cellStyle name="Comma 4 3 5 4 3 2" xfId="14313" xr:uid="{38402CCC-55B1-4AFD-A27B-59A66FE0BF10}"/>
    <cellStyle name="Comma 4 3 5 4 3 3" xfId="22753" xr:uid="{52797206-39EA-4379-9F29-D70B6D56E43A}"/>
    <cellStyle name="Comma 4 3 5 4 3 4" xfId="31193" xr:uid="{9D11E266-F466-4E65-98DB-DB1F81FE386F}"/>
    <cellStyle name="Comma 4 3 5 4 4" xfId="10095" xr:uid="{9E84EC96-80D4-4B4D-B0A8-E054062C7236}"/>
    <cellStyle name="Comma 4 3 5 4 5" xfId="18536" xr:uid="{2BCA5E9E-E536-473F-A090-3BE405A18BA6}"/>
    <cellStyle name="Comma 4 3 5 4 6" xfId="26976" xr:uid="{C4CEAF33-5FDD-4C65-ACC0-DBC1AF357BDA}"/>
    <cellStyle name="Comma 4 3 5 5" xfId="1970" xr:uid="{00000000-0005-0000-0000-0000BF090000}"/>
    <cellStyle name="Comma 4 3 5 5 2" xfId="4199" xr:uid="{00000000-0005-0000-0000-0000C0090000}"/>
    <cellStyle name="Comma 4 3 5 5 2 2" xfId="8421" xr:uid="{00000000-0005-0000-0000-0000C1090000}"/>
    <cellStyle name="Comma 4 3 5 5 2 2 2" xfId="16871" xr:uid="{0AB61D66-7CE0-4B27-848E-758A3810BADA}"/>
    <cellStyle name="Comma 4 3 5 5 2 2 3" xfId="25311" xr:uid="{BEC5772D-0BE6-4851-9370-63ED06B5B0CE}"/>
    <cellStyle name="Comma 4 3 5 5 2 2 4" xfId="33751" xr:uid="{AAAE7945-0ACA-462A-91B6-6DC8B626CA8A}"/>
    <cellStyle name="Comma 4 3 5 5 2 3" xfId="12653" xr:uid="{4D6FB769-A9D5-4BCF-AF7C-085960B09FC3}"/>
    <cellStyle name="Comma 4 3 5 5 2 4" xfId="21094" xr:uid="{89B61F3C-728C-4107-9BC0-00374F287C65}"/>
    <cellStyle name="Comma 4 3 5 5 2 5" xfId="29534" xr:uid="{9D39C8C7-AF49-4321-B947-C85B6F37A085}"/>
    <cellStyle name="Comma 4 3 5 5 3" xfId="6276" xr:uid="{00000000-0005-0000-0000-0000C2090000}"/>
    <cellStyle name="Comma 4 3 5 5 3 2" xfId="14726" xr:uid="{3A891F13-A5E3-4095-A0F7-95874C4E5BF6}"/>
    <cellStyle name="Comma 4 3 5 5 3 3" xfId="23166" xr:uid="{15327D77-5A61-4844-8F6F-22E7AD6FF0B2}"/>
    <cellStyle name="Comma 4 3 5 5 3 4" xfId="31606" xr:uid="{65A572FC-7EFA-4E40-BA69-8759166E8000}"/>
    <cellStyle name="Comma 4 3 5 5 4" xfId="10508" xr:uid="{CF124C50-BAB0-4A4B-ACBE-14ADE7ED790F}"/>
    <cellStyle name="Comma 4 3 5 5 5" xfId="18949" xr:uid="{FA0E41F4-DC5B-44EF-A8BC-E1FA42876053}"/>
    <cellStyle name="Comma 4 3 5 5 6" xfId="27389" xr:uid="{1204D6D9-D67E-4F8F-81CD-824CED336285}"/>
    <cellStyle name="Comma 4 3 5 6" xfId="2405" xr:uid="{00000000-0005-0000-0000-0000C3090000}"/>
    <cellStyle name="Comma 4 3 5 6 2" xfId="6689" xr:uid="{00000000-0005-0000-0000-0000C4090000}"/>
    <cellStyle name="Comma 4 3 5 6 2 2" xfId="15139" xr:uid="{8DDC14B9-3117-4C6A-88C7-5EBABA6F2EE0}"/>
    <cellStyle name="Comma 4 3 5 6 2 3" xfId="23579" xr:uid="{036B3E9B-2B3C-49E3-A257-1B9B52B3A583}"/>
    <cellStyle name="Comma 4 3 5 6 2 4" xfId="32019" xr:uid="{86A15B4A-7257-44D8-94A1-9027896D99E5}"/>
    <cellStyle name="Comma 4 3 5 6 3" xfId="10921" xr:uid="{578540B0-037B-4FC1-AEBE-12EF4A4ECB47}"/>
    <cellStyle name="Comma 4 3 5 6 4" xfId="19362" xr:uid="{657B1A7A-E5C5-4275-B73D-4A893E551963}"/>
    <cellStyle name="Comma 4 3 5 6 5" xfId="27802" xr:uid="{1C36AB1D-09D8-47AC-8CB1-81E162132FBB}"/>
    <cellStyle name="Comma 4 3 5 7" xfId="2701" xr:uid="{00000000-0005-0000-0000-0000C5090000}"/>
    <cellStyle name="Comma 4 3 5 8" xfId="2783" xr:uid="{00000000-0005-0000-0000-0000C6090000}"/>
    <cellStyle name="Comma 4 3 5 8 2" xfId="7006" xr:uid="{00000000-0005-0000-0000-0000C7090000}"/>
    <cellStyle name="Comma 4 3 5 8 2 2" xfId="15456" xr:uid="{2B298833-D411-4CF0-8992-21FF53A1B0A7}"/>
    <cellStyle name="Comma 4 3 5 8 2 3" xfId="23896" xr:uid="{78C00CEF-15F3-4F87-A487-809932FC9864}"/>
    <cellStyle name="Comma 4 3 5 8 2 4" xfId="32336" xr:uid="{244470B8-9D83-48A7-AEB5-89D36E07A4A0}"/>
    <cellStyle name="Comma 4 3 5 8 3" xfId="11238" xr:uid="{071C879C-DF57-4600-A172-C664474C31D0}"/>
    <cellStyle name="Comma 4 3 5 8 4" xfId="19679" xr:uid="{144B603A-6098-44F7-967F-0B24437657C3}"/>
    <cellStyle name="Comma 4 3 5 8 5" xfId="28119" xr:uid="{3FB5ED45-192B-4DC3-A2FF-C5DB21855400}"/>
    <cellStyle name="Comma 4 3 5 9" xfId="4623" xr:uid="{00000000-0005-0000-0000-0000C8090000}"/>
    <cellStyle name="Comma 4 3 5 9 2" xfId="13073" xr:uid="{A268ED7E-9C8B-49B7-833F-CD40E7B8F060}"/>
    <cellStyle name="Comma 4 3 5 9 3" xfId="21513" xr:uid="{C0A65733-8ED6-4F5E-B401-3C2C20B5FBD0}"/>
    <cellStyle name="Comma 4 3 5 9 4" xfId="29953" xr:uid="{242CFFE4-1577-48E6-9E02-C2F0A05B35C1}"/>
    <cellStyle name="Comma 4 4" xfId="153" xr:uid="{00000000-0005-0000-0000-0000C9090000}"/>
    <cellStyle name="Comma 4 4 10" xfId="2784" xr:uid="{00000000-0005-0000-0000-0000CA090000}"/>
    <cellStyle name="Comma 4 4 10 2" xfId="7007" xr:uid="{00000000-0005-0000-0000-0000CB090000}"/>
    <cellStyle name="Comma 4 4 10 2 2" xfId="15457" xr:uid="{3B6109D3-A563-41C1-8CF5-C9605122408D}"/>
    <cellStyle name="Comma 4 4 10 2 3" xfId="23897" xr:uid="{B7397E12-0956-4269-A3E8-03ACB330AEE5}"/>
    <cellStyle name="Comma 4 4 10 2 4" xfId="32337" xr:uid="{49AA94DA-A660-4FC5-921D-56CC97CDD495}"/>
    <cellStyle name="Comma 4 4 10 3" xfId="11239" xr:uid="{E6B113D7-9038-46D2-80B2-8FDB69D431E3}"/>
    <cellStyle name="Comma 4 4 10 4" xfId="19680" xr:uid="{C5283337-AD93-4561-99BD-CD80E7CB8B86}"/>
    <cellStyle name="Comma 4 4 10 5" xfId="28120" xr:uid="{DB47D68E-CB0B-4E8C-8207-A37E9873E879}"/>
    <cellStyle name="Comma 4 4 11" xfId="4624" xr:uid="{00000000-0005-0000-0000-0000CC090000}"/>
    <cellStyle name="Comma 4 4 11 2" xfId="13074" xr:uid="{F24FB155-FCFC-44CB-804A-C5FC69C1ED6A}"/>
    <cellStyle name="Comma 4 4 11 3" xfId="21514" xr:uid="{30C3F054-E6C9-4B92-84D1-BB70DFCFD2DF}"/>
    <cellStyle name="Comma 4 4 11 4" xfId="29954" xr:uid="{CA1F08BC-3412-41F2-B894-68BBD8F59D6C}"/>
    <cellStyle name="Comma 4 4 12" xfId="8856" xr:uid="{E6177E96-7C54-434A-9360-FFA7B29F48E2}"/>
    <cellStyle name="Comma 4 4 13" xfId="17297" xr:uid="{B0A4EC34-99F6-47FE-A7ED-3FE84A656BF2}"/>
    <cellStyle name="Comma 4 4 14" xfId="25737" xr:uid="{6A83A686-F335-49AE-9744-11F96055DA35}"/>
    <cellStyle name="Comma 4 4 2" xfId="154" xr:uid="{00000000-0005-0000-0000-0000CD090000}"/>
    <cellStyle name="Comma 4 4 2 10" xfId="4625" xr:uid="{00000000-0005-0000-0000-0000CE090000}"/>
    <cellStyle name="Comma 4 4 2 10 2" xfId="13075" xr:uid="{CDDE60C4-2D02-4444-A42E-6CB561A9E455}"/>
    <cellStyle name="Comma 4 4 2 10 3" xfId="21515" xr:uid="{7F6C6474-026F-4265-9061-355E05851084}"/>
    <cellStyle name="Comma 4 4 2 10 4" xfId="29955" xr:uid="{9169778D-EA1F-4A65-B4F1-AAFBE29ED3C6}"/>
    <cellStyle name="Comma 4 4 2 11" xfId="8857" xr:uid="{7CC27A7D-D53B-4C69-B763-2780D4ADED2B}"/>
    <cellStyle name="Comma 4 4 2 12" xfId="17298" xr:uid="{BD09CB20-B1E7-4F19-9697-20E014BFE383}"/>
    <cellStyle name="Comma 4 4 2 13" xfId="25738" xr:uid="{A0062181-E156-46FA-BB54-86169697E938}"/>
    <cellStyle name="Comma 4 4 2 2" xfId="155" xr:uid="{00000000-0005-0000-0000-0000CF090000}"/>
    <cellStyle name="Comma 4 4 2 2 10" xfId="8858" xr:uid="{CF5ED8D9-D51D-422D-B406-E368A417059A}"/>
    <cellStyle name="Comma 4 4 2 2 11" xfId="17299" xr:uid="{D0A26A33-BBF5-4D19-B5EE-7F3CB79244A8}"/>
    <cellStyle name="Comma 4 4 2 2 12" xfId="25739" xr:uid="{063C2FA2-0235-4485-BD65-03E556EEC438}"/>
    <cellStyle name="Comma 4 4 2 2 2" xfId="692" xr:uid="{00000000-0005-0000-0000-0000D0090000}"/>
    <cellStyle name="Comma 4 4 2 2 2 2" xfId="2963" xr:uid="{00000000-0005-0000-0000-0000D1090000}"/>
    <cellStyle name="Comma 4 4 2 2 2 2 2" xfId="7185" xr:uid="{00000000-0005-0000-0000-0000D2090000}"/>
    <cellStyle name="Comma 4 4 2 2 2 2 2 2" xfId="15635" xr:uid="{70D26609-6944-4DBC-BDA7-385C69374BCF}"/>
    <cellStyle name="Comma 4 4 2 2 2 2 2 3" xfId="24075" xr:uid="{9FA35312-307E-4424-AC56-754C9AF1904F}"/>
    <cellStyle name="Comma 4 4 2 2 2 2 2 4" xfId="32515" xr:uid="{A5995382-FC1C-489D-BDDC-5F111BB46E56}"/>
    <cellStyle name="Comma 4 4 2 2 2 2 3" xfId="11417" xr:uid="{B33DB5D6-98B4-4688-94CE-EF3BFA2EEF0C}"/>
    <cellStyle name="Comma 4 4 2 2 2 2 4" xfId="19858" xr:uid="{B876D6E2-1F14-4041-93AA-0441D3A21325}"/>
    <cellStyle name="Comma 4 4 2 2 2 2 5" xfId="28298" xr:uid="{68755E47-A951-4F3B-8147-9B049A9708D1}"/>
    <cellStyle name="Comma 4 4 2 2 2 3" xfId="5040" xr:uid="{00000000-0005-0000-0000-0000D3090000}"/>
    <cellStyle name="Comma 4 4 2 2 2 3 2" xfId="13490" xr:uid="{C14572FD-1762-4C4F-ACED-6F66AA341BA8}"/>
    <cellStyle name="Comma 4 4 2 2 2 3 3" xfId="21930" xr:uid="{AD43815C-C307-4E73-ACB0-840829B8741D}"/>
    <cellStyle name="Comma 4 4 2 2 2 3 4" xfId="30370" xr:uid="{F531426F-668C-45B5-B4CC-AC9D60DB174D}"/>
    <cellStyle name="Comma 4 4 2 2 2 4" xfId="9272" xr:uid="{124FF0E6-ED66-4F07-927E-AD5B45F817E8}"/>
    <cellStyle name="Comma 4 4 2 2 2 5" xfId="17713" xr:uid="{7358FDCB-0A5D-44B2-99DE-307264CC634D}"/>
    <cellStyle name="Comma 4 4 2 2 2 6" xfId="26153" xr:uid="{32F86486-458D-4A46-81E4-6A0EC0EB3646}"/>
    <cellStyle name="Comma 4 4 2 2 3" xfId="1145" xr:uid="{00000000-0005-0000-0000-0000D4090000}"/>
    <cellStyle name="Comma 4 4 2 2 3 2" xfId="3376" xr:uid="{00000000-0005-0000-0000-0000D5090000}"/>
    <cellStyle name="Comma 4 4 2 2 3 2 2" xfId="7598" xr:uid="{00000000-0005-0000-0000-0000D6090000}"/>
    <cellStyle name="Comma 4 4 2 2 3 2 2 2" xfId="16048" xr:uid="{491A3FF7-1C69-48F6-A82D-7B76D3C72C05}"/>
    <cellStyle name="Comma 4 4 2 2 3 2 2 3" xfId="24488" xr:uid="{511330E7-6934-454B-A8D6-91BC05EB9068}"/>
    <cellStyle name="Comma 4 4 2 2 3 2 2 4" xfId="32928" xr:uid="{34679B24-711F-4CD0-B01D-AEA158C66B4D}"/>
    <cellStyle name="Comma 4 4 2 2 3 2 3" xfId="11830" xr:uid="{A6065A39-015F-43D0-92B4-BD328B9FED87}"/>
    <cellStyle name="Comma 4 4 2 2 3 2 4" xfId="20271" xr:uid="{F1F5426A-123D-42C0-A67F-7751C7F9F1B5}"/>
    <cellStyle name="Comma 4 4 2 2 3 2 5" xfId="28711" xr:uid="{E776DAD0-1F6E-4DC5-8C7C-FF5EBE386418}"/>
    <cellStyle name="Comma 4 4 2 2 3 3" xfId="5453" xr:uid="{00000000-0005-0000-0000-0000D7090000}"/>
    <cellStyle name="Comma 4 4 2 2 3 3 2" xfId="13903" xr:uid="{463B02A1-77F9-4B07-87C5-21D3A4B34E0E}"/>
    <cellStyle name="Comma 4 4 2 2 3 3 3" xfId="22343" xr:uid="{B7489629-9838-40D4-8167-A67AA0F6BAAE}"/>
    <cellStyle name="Comma 4 4 2 2 3 3 4" xfId="30783" xr:uid="{634BAC88-5C69-4E5B-A362-2A4289914D1D}"/>
    <cellStyle name="Comma 4 4 2 2 3 4" xfId="9685" xr:uid="{0405CAA3-AACA-46FE-8C7A-BF1E60DF6B1F}"/>
    <cellStyle name="Comma 4 4 2 2 3 5" xfId="18126" xr:uid="{89B0A88D-A06F-4D71-83B4-43A244A24CF2}"/>
    <cellStyle name="Comma 4 4 2 2 3 6" xfId="26566" xr:uid="{B1481A4C-3EB1-4A15-A07D-5A3F5ECD4AD6}"/>
    <cellStyle name="Comma 4 4 2 2 4" xfId="1559" xr:uid="{00000000-0005-0000-0000-0000D8090000}"/>
    <cellStyle name="Comma 4 4 2 2 4 2" xfId="3789" xr:uid="{00000000-0005-0000-0000-0000D9090000}"/>
    <cellStyle name="Comma 4 4 2 2 4 2 2" xfId="8011" xr:uid="{00000000-0005-0000-0000-0000DA090000}"/>
    <cellStyle name="Comma 4 4 2 2 4 2 2 2" xfId="16461" xr:uid="{01AE6D8C-2ACF-407B-9EE8-CC7A4C430202}"/>
    <cellStyle name="Comma 4 4 2 2 4 2 2 3" xfId="24901" xr:uid="{5AF97F7A-DB32-4883-9FF0-AA0833B1ED3E}"/>
    <cellStyle name="Comma 4 4 2 2 4 2 2 4" xfId="33341" xr:uid="{DA622FA5-F6BD-4548-8152-25FDFC777DF3}"/>
    <cellStyle name="Comma 4 4 2 2 4 2 3" xfId="12243" xr:uid="{C937B866-FA02-4D4C-B584-9910C8FA9B0C}"/>
    <cellStyle name="Comma 4 4 2 2 4 2 4" xfId="20684" xr:uid="{2D81F7C3-6BEB-4B72-9ECD-490D61AC8CE5}"/>
    <cellStyle name="Comma 4 4 2 2 4 2 5" xfId="29124" xr:uid="{DD4233A3-0572-45F0-B580-FBB1BD1DB07E}"/>
    <cellStyle name="Comma 4 4 2 2 4 3" xfId="5866" xr:uid="{00000000-0005-0000-0000-0000DB090000}"/>
    <cellStyle name="Comma 4 4 2 2 4 3 2" xfId="14316" xr:uid="{AF99AD4B-031B-49BC-BD3A-280CB583F928}"/>
    <cellStyle name="Comma 4 4 2 2 4 3 3" xfId="22756" xr:uid="{99EDD21D-8734-428D-B3B1-6F4796857BE3}"/>
    <cellStyle name="Comma 4 4 2 2 4 3 4" xfId="31196" xr:uid="{C239F963-447C-4112-B04F-C2DB21D72C68}"/>
    <cellStyle name="Comma 4 4 2 2 4 4" xfId="10098" xr:uid="{47D2F33D-8507-42FE-B2A2-0B394F6EECEA}"/>
    <cellStyle name="Comma 4 4 2 2 4 5" xfId="18539" xr:uid="{B58E2B8F-6EC5-41EF-BCAF-4DACF6F9D353}"/>
    <cellStyle name="Comma 4 4 2 2 4 6" xfId="26979" xr:uid="{589FE8D2-CF05-449B-811A-AA6A6888CCA8}"/>
    <cellStyle name="Comma 4 4 2 2 5" xfId="1973" xr:uid="{00000000-0005-0000-0000-0000DC090000}"/>
    <cellStyle name="Comma 4 4 2 2 5 2" xfId="4202" xr:uid="{00000000-0005-0000-0000-0000DD090000}"/>
    <cellStyle name="Comma 4 4 2 2 5 2 2" xfId="8424" xr:uid="{00000000-0005-0000-0000-0000DE090000}"/>
    <cellStyle name="Comma 4 4 2 2 5 2 2 2" xfId="16874" xr:uid="{5C49249B-680A-4C17-AB0D-67AD87CAECBC}"/>
    <cellStyle name="Comma 4 4 2 2 5 2 2 3" xfId="25314" xr:uid="{0E591C07-CD07-41F8-84F5-19784FDB4D01}"/>
    <cellStyle name="Comma 4 4 2 2 5 2 2 4" xfId="33754" xr:uid="{D598D166-24A5-4ABC-8F08-B90AD518F590}"/>
    <cellStyle name="Comma 4 4 2 2 5 2 3" xfId="12656" xr:uid="{B64D7DDD-A1BE-422E-B28F-B9FB3A53759E}"/>
    <cellStyle name="Comma 4 4 2 2 5 2 4" xfId="21097" xr:uid="{9119ADA5-4005-494A-9EEA-5840625623CE}"/>
    <cellStyle name="Comma 4 4 2 2 5 2 5" xfId="29537" xr:uid="{7B00FFE6-2861-4C8D-815B-BE7DCD90F6ED}"/>
    <cellStyle name="Comma 4 4 2 2 5 3" xfId="6279" xr:uid="{00000000-0005-0000-0000-0000DF090000}"/>
    <cellStyle name="Comma 4 4 2 2 5 3 2" xfId="14729" xr:uid="{0C42D8EC-8DC4-42BF-8337-F9CAD3282F1D}"/>
    <cellStyle name="Comma 4 4 2 2 5 3 3" xfId="23169" xr:uid="{FBD52C46-951A-4DC1-B1EB-56CC58D16500}"/>
    <cellStyle name="Comma 4 4 2 2 5 3 4" xfId="31609" xr:uid="{C7DE1D55-90D6-4286-9A18-C09EF0A86004}"/>
    <cellStyle name="Comma 4 4 2 2 5 4" xfId="10511" xr:uid="{73893FAB-73C6-4329-B943-490B0D767157}"/>
    <cellStyle name="Comma 4 4 2 2 5 5" xfId="18952" xr:uid="{493C4E03-2C2B-4B78-853A-121192C81E77}"/>
    <cellStyle name="Comma 4 4 2 2 5 6" xfId="27392" xr:uid="{2183E048-C634-48F9-BAD1-8841DFE8277C}"/>
    <cellStyle name="Comma 4 4 2 2 6" xfId="2408" xr:uid="{00000000-0005-0000-0000-0000E0090000}"/>
    <cellStyle name="Comma 4 4 2 2 6 2" xfId="6692" xr:uid="{00000000-0005-0000-0000-0000E1090000}"/>
    <cellStyle name="Comma 4 4 2 2 6 2 2" xfId="15142" xr:uid="{F768646D-51C8-4DD6-91A7-4017D4440F47}"/>
    <cellStyle name="Comma 4 4 2 2 6 2 3" xfId="23582" xr:uid="{39AE1CD6-5252-4BEC-AC91-7BB170E95DA2}"/>
    <cellStyle name="Comma 4 4 2 2 6 2 4" xfId="32022" xr:uid="{1B046EAB-B29F-443F-AB94-1BECD04491B3}"/>
    <cellStyle name="Comma 4 4 2 2 6 3" xfId="10924" xr:uid="{DE844BAE-6CB4-462F-AAB8-1E35F36D6D3D}"/>
    <cellStyle name="Comma 4 4 2 2 6 4" xfId="19365" xr:uid="{2315D66B-08CB-4332-B31F-063EF909B7B1}"/>
    <cellStyle name="Comma 4 4 2 2 6 5" xfId="27805" xr:uid="{3F3F2AAE-74A0-4A9A-AA70-CE57FC09D747}"/>
    <cellStyle name="Comma 4 4 2 2 7" xfId="2704" xr:uid="{00000000-0005-0000-0000-0000E2090000}"/>
    <cellStyle name="Comma 4 4 2 2 8" xfId="2786" xr:uid="{00000000-0005-0000-0000-0000E3090000}"/>
    <cellStyle name="Comma 4 4 2 2 8 2" xfId="7009" xr:uid="{00000000-0005-0000-0000-0000E4090000}"/>
    <cellStyle name="Comma 4 4 2 2 8 2 2" xfId="15459" xr:uid="{769BD6A0-B3B4-41D9-9D63-968D0610594E}"/>
    <cellStyle name="Comma 4 4 2 2 8 2 3" xfId="23899" xr:uid="{0C4E42A5-DF6E-4371-BB09-CCD569DA7230}"/>
    <cellStyle name="Comma 4 4 2 2 8 2 4" xfId="32339" xr:uid="{4150139D-48D2-4F91-AEDD-8C7114D6B4E7}"/>
    <cellStyle name="Comma 4 4 2 2 8 3" xfId="11241" xr:uid="{EE0D559F-8AC7-4329-B217-14D080ADA891}"/>
    <cellStyle name="Comma 4 4 2 2 8 4" xfId="19682" xr:uid="{53CB7E04-8867-4252-859D-F71114216A08}"/>
    <cellStyle name="Comma 4 4 2 2 8 5" xfId="28122" xr:uid="{0BF47BEA-19EA-4AE6-BE09-0312F3ABA811}"/>
    <cellStyle name="Comma 4 4 2 2 9" xfId="4626" xr:uid="{00000000-0005-0000-0000-0000E5090000}"/>
    <cellStyle name="Comma 4 4 2 2 9 2" xfId="13076" xr:uid="{9B2E68B7-54FC-41A9-8597-5BFEC1E1BD44}"/>
    <cellStyle name="Comma 4 4 2 2 9 3" xfId="21516" xr:uid="{AE7B35E7-4495-469F-A5F7-1C8628EC925D}"/>
    <cellStyle name="Comma 4 4 2 2 9 4" xfId="29956" xr:uid="{5FC220B6-2022-4172-BB34-62CAA0E817EF}"/>
    <cellStyle name="Comma 4 4 2 3" xfId="691" xr:uid="{00000000-0005-0000-0000-0000E6090000}"/>
    <cellStyle name="Comma 4 4 2 3 2" xfId="2962" xr:uid="{00000000-0005-0000-0000-0000E7090000}"/>
    <cellStyle name="Comma 4 4 2 3 2 2" xfId="7184" xr:uid="{00000000-0005-0000-0000-0000E8090000}"/>
    <cellStyle name="Comma 4 4 2 3 2 2 2" xfId="15634" xr:uid="{86678405-9F79-4D41-9882-814274B46D31}"/>
    <cellStyle name="Comma 4 4 2 3 2 2 3" xfId="24074" xr:uid="{5D0D1F08-4335-4E72-B94C-C38C199DE9CD}"/>
    <cellStyle name="Comma 4 4 2 3 2 2 4" xfId="32514" xr:uid="{4A1962D7-09B5-4A78-9E95-5F129795F6AF}"/>
    <cellStyle name="Comma 4 4 2 3 2 3" xfId="11416" xr:uid="{EEED3F08-FE88-4B35-BA44-E40BDEB7E84A}"/>
    <cellStyle name="Comma 4 4 2 3 2 4" xfId="19857" xr:uid="{4DF3E9BE-2DF3-4515-B23D-274B336660E4}"/>
    <cellStyle name="Comma 4 4 2 3 2 5" xfId="28297" xr:uid="{4F979CA7-F8B3-4237-A4DF-EB549E1FD9FF}"/>
    <cellStyle name="Comma 4 4 2 3 3" xfId="5039" xr:uid="{00000000-0005-0000-0000-0000E9090000}"/>
    <cellStyle name="Comma 4 4 2 3 3 2" xfId="13489" xr:uid="{0DF7F5B0-0D66-481E-B327-657E4618198E}"/>
    <cellStyle name="Comma 4 4 2 3 3 3" xfId="21929" xr:uid="{B213409B-3B13-4EE1-9C71-6612BF35C3A4}"/>
    <cellStyle name="Comma 4 4 2 3 3 4" xfId="30369" xr:uid="{B72011FD-B7DF-4A94-9340-C5A14F3BEA7B}"/>
    <cellStyle name="Comma 4 4 2 3 4" xfId="9271" xr:uid="{C7C71CCF-CF5F-4079-AEA2-C7616A84FDED}"/>
    <cellStyle name="Comma 4 4 2 3 5" xfId="17712" xr:uid="{48F1DF6F-B139-4B94-B55A-190A691BC5FE}"/>
    <cellStyle name="Comma 4 4 2 3 6" xfId="26152" xr:uid="{B676AF2A-7D57-4C76-88F4-156B84E9BFC7}"/>
    <cellStyle name="Comma 4 4 2 4" xfId="1144" xr:uid="{00000000-0005-0000-0000-0000EA090000}"/>
    <cellStyle name="Comma 4 4 2 4 2" xfId="3375" xr:uid="{00000000-0005-0000-0000-0000EB090000}"/>
    <cellStyle name="Comma 4 4 2 4 2 2" xfId="7597" xr:uid="{00000000-0005-0000-0000-0000EC090000}"/>
    <cellStyle name="Comma 4 4 2 4 2 2 2" xfId="16047" xr:uid="{0A134AEE-86E1-4ABA-BC1B-C375D99785C2}"/>
    <cellStyle name="Comma 4 4 2 4 2 2 3" xfId="24487" xr:uid="{0EFD48BF-1381-4EB5-9518-DD6B8BDACE5B}"/>
    <cellStyle name="Comma 4 4 2 4 2 2 4" xfId="32927" xr:uid="{D9CD9BFD-8FAB-4341-A277-46EF99996FB9}"/>
    <cellStyle name="Comma 4 4 2 4 2 3" xfId="11829" xr:uid="{355ACCDA-7259-4745-9159-6E1A967EB984}"/>
    <cellStyle name="Comma 4 4 2 4 2 4" xfId="20270" xr:uid="{A72FC8E8-4966-4483-8AC3-38AD66657156}"/>
    <cellStyle name="Comma 4 4 2 4 2 5" xfId="28710" xr:uid="{B642B9D0-B9AB-4A02-A435-E0EF68486B9D}"/>
    <cellStyle name="Comma 4 4 2 4 3" xfId="5452" xr:uid="{00000000-0005-0000-0000-0000ED090000}"/>
    <cellStyle name="Comma 4 4 2 4 3 2" xfId="13902" xr:uid="{378DE03D-EB30-4FB9-835A-1C0D6958297D}"/>
    <cellStyle name="Comma 4 4 2 4 3 3" xfId="22342" xr:uid="{36D7C6EF-603D-4B12-86DF-F35BAB41B894}"/>
    <cellStyle name="Comma 4 4 2 4 3 4" xfId="30782" xr:uid="{62D956D7-C721-4AB0-998E-064B0A4A369C}"/>
    <cellStyle name="Comma 4 4 2 4 4" xfId="9684" xr:uid="{29E9C3AB-7531-4ED9-93E6-814B0E1699B2}"/>
    <cellStyle name="Comma 4 4 2 4 5" xfId="18125" xr:uid="{17AD8C62-6B00-493D-8917-616925C6DB8A}"/>
    <cellStyle name="Comma 4 4 2 4 6" xfId="26565" xr:uid="{FC88EED9-3ABB-48F5-A1EA-64FAE0374612}"/>
    <cellStyle name="Comma 4 4 2 5" xfId="1558" xr:uid="{00000000-0005-0000-0000-0000EE090000}"/>
    <cellStyle name="Comma 4 4 2 5 2" xfId="3788" xr:uid="{00000000-0005-0000-0000-0000EF090000}"/>
    <cellStyle name="Comma 4 4 2 5 2 2" xfId="8010" xr:uid="{00000000-0005-0000-0000-0000F0090000}"/>
    <cellStyle name="Comma 4 4 2 5 2 2 2" xfId="16460" xr:uid="{9EEEC340-9180-4039-99E6-4D86AC073557}"/>
    <cellStyle name="Comma 4 4 2 5 2 2 3" xfId="24900" xr:uid="{C4827A63-C960-4EB5-BA9E-3CDCEF5A231F}"/>
    <cellStyle name="Comma 4 4 2 5 2 2 4" xfId="33340" xr:uid="{745FF74A-E9FD-46C1-AB10-21CD60D68744}"/>
    <cellStyle name="Comma 4 4 2 5 2 3" xfId="12242" xr:uid="{6476DD05-1F3D-4E72-B5CF-11AE7CB55D81}"/>
    <cellStyle name="Comma 4 4 2 5 2 4" xfId="20683" xr:uid="{3B6D6B70-F670-49D0-8181-A8CF7C79AF3D}"/>
    <cellStyle name="Comma 4 4 2 5 2 5" xfId="29123" xr:uid="{C9E691ED-672A-4622-828B-7AAAC1ADEAAF}"/>
    <cellStyle name="Comma 4 4 2 5 3" xfId="5865" xr:uid="{00000000-0005-0000-0000-0000F1090000}"/>
    <cellStyle name="Comma 4 4 2 5 3 2" xfId="14315" xr:uid="{751F35E5-AC2A-4D0C-AEB0-01DF07084D64}"/>
    <cellStyle name="Comma 4 4 2 5 3 3" xfId="22755" xr:uid="{9FBD01F5-C77F-417C-A285-2F7D7D7C76A6}"/>
    <cellStyle name="Comma 4 4 2 5 3 4" xfId="31195" xr:uid="{3ED3F8AC-1038-48FD-8FB5-22B0014B5E36}"/>
    <cellStyle name="Comma 4 4 2 5 4" xfId="10097" xr:uid="{0DC27053-6E37-4D56-AE12-18343BDF907F}"/>
    <cellStyle name="Comma 4 4 2 5 5" xfId="18538" xr:uid="{A1853410-9639-4247-8343-B7B21AE1A6F7}"/>
    <cellStyle name="Comma 4 4 2 5 6" xfId="26978" xr:uid="{B37C0FD2-C3A2-492A-AFA6-C52EDB893C97}"/>
    <cellStyle name="Comma 4 4 2 6" xfId="1972" xr:uid="{00000000-0005-0000-0000-0000F2090000}"/>
    <cellStyle name="Comma 4 4 2 6 2" xfId="4201" xr:uid="{00000000-0005-0000-0000-0000F3090000}"/>
    <cellStyle name="Comma 4 4 2 6 2 2" xfId="8423" xr:uid="{00000000-0005-0000-0000-0000F4090000}"/>
    <cellStyle name="Comma 4 4 2 6 2 2 2" xfId="16873" xr:uid="{AE158D3D-DF89-4125-813F-2BED0961D1D5}"/>
    <cellStyle name="Comma 4 4 2 6 2 2 3" xfId="25313" xr:uid="{4BF7340C-66B2-4CBC-B4AE-807FD20A7A88}"/>
    <cellStyle name="Comma 4 4 2 6 2 2 4" xfId="33753" xr:uid="{4CFA2EC7-EC23-4D32-968D-36A61ED62FA7}"/>
    <cellStyle name="Comma 4 4 2 6 2 3" xfId="12655" xr:uid="{861E2152-1FEB-4285-820D-8D93AFDD257C}"/>
    <cellStyle name="Comma 4 4 2 6 2 4" xfId="21096" xr:uid="{DD049A0A-8165-4B73-8E4C-7EB658650AE1}"/>
    <cellStyle name="Comma 4 4 2 6 2 5" xfId="29536" xr:uid="{F7BE7FF9-87DE-48DA-8B21-BCF47084B928}"/>
    <cellStyle name="Comma 4 4 2 6 3" xfId="6278" xr:uid="{00000000-0005-0000-0000-0000F5090000}"/>
    <cellStyle name="Comma 4 4 2 6 3 2" xfId="14728" xr:uid="{26147D40-415B-4C79-B96F-6B98D06FC2C0}"/>
    <cellStyle name="Comma 4 4 2 6 3 3" xfId="23168" xr:uid="{AC9C3A9D-F9DB-496C-A530-51D3986B2200}"/>
    <cellStyle name="Comma 4 4 2 6 3 4" xfId="31608" xr:uid="{DD52D6C2-BD8E-4ED0-836C-1E081E28143D}"/>
    <cellStyle name="Comma 4 4 2 6 4" xfId="10510" xr:uid="{A7285F5D-1F14-4969-909A-404E5C80C36A}"/>
    <cellStyle name="Comma 4 4 2 6 5" xfId="18951" xr:uid="{FB2F939F-2DE4-4B7C-A5EB-0F34F5BC34E9}"/>
    <cellStyle name="Comma 4 4 2 6 6" xfId="27391" xr:uid="{02FF57BD-35F0-48B0-B184-DE5B81241179}"/>
    <cellStyle name="Comma 4 4 2 7" xfId="2407" xr:uid="{00000000-0005-0000-0000-0000F6090000}"/>
    <cellStyle name="Comma 4 4 2 7 2" xfId="6691" xr:uid="{00000000-0005-0000-0000-0000F7090000}"/>
    <cellStyle name="Comma 4 4 2 7 2 2" xfId="15141" xr:uid="{9E1EC6A9-2DAF-45D2-8DB0-76008FA2B87B}"/>
    <cellStyle name="Comma 4 4 2 7 2 3" xfId="23581" xr:uid="{F6C6DEDE-FFD9-4E2A-B026-BD5C686E6399}"/>
    <cellStyle name="Comma 4 4 2 7 2 4" xfId="32021" xr:uid="{79012F0E-819A-4D2F-92CD-1FFAC447B776}"/>
    <cellStyle name="Comma 4 4 2 7 3" xfId="10923" xr:uid="{F347D281-60D4-47E7-BFD5-20C95464FFE8}"/>
    <cellStyle name="Comma 4 4 2 7 4" xfId="19364" xr:uid="{4EEB4D9C-1224-403F-98F9-02BD1015A16C}"/>
    <cellStyle name="Comma 4 4 2 7 5" xfId="27804" xr:uid="{60D3123C-CCFC-4E11-8214-8AB88BD5AF40}"/>
    <cellStyle name="Comma 4 4 2 8" xfId="2703" xr:uid="{00000000-0005-0000-0000-0000F8090000}"/>
    <cellStyle name="Comma 4 4 2 9" xfId="2785" xr:uid="{00000000-0005-0000-0000-0000F9090000}"/>
    <cellStyle name="Comma 4 4 2 9 2" xfId="7008" xr:uid="{00000000-0005-0000-0000-0000FA090000}"/>
    <cellStyle name="Comma 4 4 2 9 2 2" xfId="15458" xr:uid="{8391E514-9F63-46A1-867E-590D93B43009}"/>
    <cellStyle name="Comma 4 4 2 9 2 3" xfId="23898" xr:uid="{31DDF3F9-A0E5-4430-A33F-960B9CEDEDCC}"/>
    <cellStyle name="Comma 4 4 2 9 2 4" xfId="32338" xr:uid="{F8E58DC3-7DBD-4CF8-AA73-0AFE5C2FD0C9}"/>
    <cellStyle name="Comma 4 4 2 9 3" xfId="11240" xr:uid="{18518F17-0561-40D9-970C-7011AB58C41E}"/>
    <cellStyle name="Comma 4 4 2 9 4" xfId="19681" xr:uid="{4E353310-DD58-412A-B8DC-E1CBA7A939D4}"/>
    <cellStyle name="Comma 4 4 2 9 5" xfId="28121" xr:uid="{F634F9F5-3121-46E5-BB80-168147A394A5}"/>
    <cellStyle name="Comma 4 4 3" xfId="156" xr:uid="{00000000-0005-0000-0000-0000FB090000}"/>
    <cellStyle name="Comma 4 4 3 10" xfId="8859" xr:uid="{68A1A44A-E127-43BE-92B2-5A432631AE45}"/>
    <cellStyle name="Comma 4 4 3 11" xfId="17300" xr:uid="{57EB8347-788E-41F6-8EB4-612B86AE3CBE}"/>
    <cellStyle name="Comma 4 4 3 12" xfId="25740" xr:uid="{28E2B430-B803-48D7-B155-978FF4BFB68B}"/>
    <cellStyle name="Comma 4 4 3 2" xfId="693" xr:uid="{00000000-0005-0000-0000-0000FC090000}"/>
    <cellStyle name="Comma 4 4 3 2 2" xfId="2964" xr:uid="{00000000-0005-0000-0000-0000FD090000}"/>
    <cellStyle name="Comma 4 4 3 2 2 2" xfId="7186" xr:uid="{00000000-0005-0000-0000-0000FE090000}"/>
    <cellStyle name="Comma 4 4 3 2 2 2 2" xfId="15636" xr:uid="{FCD94E79-FDDE-40DE-89FE-718F8F517A00}"/>
    <cellStyle name="Comma 4 4 3 2 2 2 3" xfId="24076" xr:uid="{F8D8019A-F369-4DED-846F-95B61DFEC584}"/>
    <cellStyle name="Comma 4 4 3 2 2 2 4" xfId="32516" xr:uid="{742DD6B6-E3CB-4BEF-82F0-2595987070CE}"/>
    <cellStyle name="Comma 4 4 3 2 2 3" xfId="11418" xr:uid="{08C5D5E4-662F-4FB6-A4C4-6D6DA511B142}"/>
    <cellStyle name="Comma 4 4 3 2 2 4" xfId="19859" xr:uid="{FB7FBFB1-5868-42EB-8AB6-FBCFAC350753}"/>
    <cellStyle name="Comma 4 4 3 2 2 5" xfId="28299" xr:uid="{22FECEF2-385B-48D9-AB72-3BEE767CF873}"/>
    <cellStyle name="Comma 4 4 3 2 3" xfId="5041" xr:uid="{00000000-0005-0000-0000-0000FF090000}"/>
    <cellStyle name="Comma 4 4 3 2 3 2" xfId="13491" xr:uid="{AC3E0CBC-5DF6-4334-BD28-43D7A648EC40}"/>
    <cellStyle name="Comma 4 4 3 2 3 3" xfId="21931" xr:uid="{0931D34D-C76B-4C56-9D99-9C221A2712FB}"/>
    <cellStyle name="Comma 4 4 3 2 3 4" xfId="30371" xr:uid="{3140B75B-F006-49BA-94A0-DD05F3B259CC}"/>
    <cellStyle name="Comma 4 4 3 2 4" xfId="9273" xr:uid="{2D4AD9DC-F444-4072-97C0-B085F3620BFC}"/>
    <cellStyle name="Comma 4 4 3 2 5" xfId="17714" xr:uid="{6F696E09-64FC-4512-8B11-D07CA222D6C7}"/>
    <cellStyle name="Comma 4 4 3 2 6" xfId="26154" xr:uid="{261FE4DA-B36F-40B8-8E5E-4D83D3BDCCA3}"/>
    <cellStyle name="Comma 4 4 3 3" xfId="1146" xr:uid="{00000000-0005-0000-0000-0000000A0000}"/>
    <cellStyle name="Comma 4 4 3 3 2" xfId="3377" xr:uid="{00000000-0005-0000-0000-0000010A0000}"/>
    <cellStyle name="Comma 4 4 3 3 2 2" xfId="7599" xr:uid="{00000000-0005-0000-0000-0000020A0000}"/>
    <cellStyle name="Comma 4 4 3 3 2 2 2" xfId="16049" xr:uid="{4BE648BC-8194-4A13-B12F-C78166835601}"/>
    <cellStyle name="Comma 4 4 3 3 2 2 3" xfId="24489" xr:uid="{A597A4F4-7562-4792-AB00-1FC24A61BAA2}"/>
    <cellStyle name="Comma 4 4 3 3 2 2 4" xfId="32929" xr:uid="{17AEBB86-330B-4A02-9093-FD22DCFEA1CC}"/>
    <cellStyle name="Comma 4 4 3 3 2 3" xfId="11831" xr:uid="{5CBA7BFC-9E36-450F-9D24-1D36697140B4}"/>
    <cellStyle name="Comma 4 4 3 3 2 4" xfId="20272" xr:uid="{26D94C28-531D-4AEC-90EA-6BC7EDA3DA29}"/>
    <cellStyle name="Comma 4 4 3 3 2 5" xfId="28712" xr:uid="{C74328C9-F70D-40C4-9A76-370B7B45AFF3}"/>
    <cellStyle name="Comma 4 4 3 3 3" xfId="5454" xr:uid="{00000000-0005-0000-0000-0000030A0000}"/>
    <cellStyle name="Comma 4 4 3 3 3 2" xfId="13904" xr:uid="{1AB4EC24-17D4-4598-B3A2-DDEE1FACC6EB}"/>
    <cellStyle name="Comma 4 4 3 3 3 3" xfId="22344" xr:uid="{50A79EA5-9BED-49A9-9232-9FE378058405}"/>
    <cellStyle name="Comma 4 4 3 3 3 4" xfId="30784" xr:uid="{C0E87121-12A5-4C43-875D-90954528CBAD}"/>
    <cellStyle name="Comma 4 4 3 3 4" xfId="9686" xr:uid="{6C982EB1-159C-4315-AE85-90325B8C97F1}"/>
    <cellStyle name="Comma 4 4 3 3 5" xfId="18127" xr:uid="{CC6A6080-9A02-42FE-A319-3CFBACAA8F99}"/>
    <cellStyle name="Comma 4 4 3 3 6" xfId="26567" xr:uid="{D5A36FE2-6FF6-4239-A38D-EB31753F0F91}"/>
    <cellStyle name="Comma 4 4 3 4" xfId="1560" xr:uid="{00000000-0005-0000-0000-0000040A0000}"/>
    <cellStyle name="Comma 4 4 3 4 2" xfId="3790" xr:uid="{00000000-0005-0000-0000-0000050A0000}"/>
    <cellStyle name="Comma 4 4 3 4 2 2" xfId="8012" xr:uid="{00000000-0005-0000-0000-0000060A0000}"/>
    <cellStyle name="Comma 4 4 3 4 2 2 2" xfId="16462" xr:uid="{9760797C-8772-4369-977E-752BE8425F0D}"/>
    <cellStyle name="Comma 4 4 3 4 2 2 3" xfId="24902" xr:uid="{127067E9-2CCF-4BF4-A21D-07A57182BD35}"/>
    <cellStyle name="Comma 4 4 3 4 2 2 4" xfId="33342" xr:uid="{56723325-4310-49B9-B392-F770925D6E68}"/>
    <cellStyle name="Comma 4 4 3 4 2 3" xfId="12244" xr:uid="{4976DB0C-72F4-4A67-B51E-1B4256B9BE48}"/>
    <cellStyle name="Comma 4 4 3 4 2 4" xfId="20685" xr:uid="{00F83760-4D3B-4840-B51B-16A05343A140}"/>
    <cellStyle name="Comma 4 4 3 4 2 5" xfId="29125" xr:uid="{579E4AFE-AE42-417E-A2D2-500ECCCAD999}"/>
    <cellStyle name="Comma 4 4 3 4 3" xfId="5867" xr:uid="{00000000-0005-0000-0000-0000070A0000}"/>
    <cellStyle name="Comma 4 4 3 4 3 2" xfId="14317" xr:uid="{EEEE28BF-BE64-4ABA-899E-512CE133AD9C}"/>
    <cellStyle name="Comma 4 4 3 4 3 3" xfId="22757" xr:uid="{19133F23-8A5E-4E7B-9487-6F9A66F7D7F2}"/>
    <cellStyle name="Comma 4 4 3 4 3 4" xfId="31197" xr:uid="{16C9B6DE-7CE3-4676-AE13-9B35572B9CA3}"/>
    <cellStyle name="Comma 4 4 3 4 4" xfId="10099" xr:uid="{A6BFE4E5-479C-428B-9987-AE79FC62B459}"/>
    <cellStyle name="Comma 4 4 3 4 5" xfId="18540" xr:uid="{37F54572-1AEC-4565-9445-67FC396B96F4}"/>
    <cellStyle name="Comma 4 4 3 4 6" xfId="26980" xr:uid="{F1E377B0-DB8B-4F8C-8EED-56948E789C6C}"/>
    <cellStyle name="Comma 4 4 3 5" xfId="1974" xr:uid="{00000000-0005-0000-0000-0000080A0000}"/>
    <cellStyle name="Comma 4 4 3 5 2" xfId="4203" xr:uid="{00000000-0005-0000-0000-0000090A0000}"/>
    <cellStyle name="Comma 4 4 3 5 2 2" xfId="8425" xr:uid="{00000000-0005-0000-0000-00000A0A0000}"/>
    <cellStyle name="Comma 4 4 3 5 2 2 2" xfId="16875" xr:uid="{7E8339D0-4123-43FE-9CD3-4E930DB7425F}"/>
    <cellStyle name="Comma 4 4 3 5 2 2 3" xfId="25315" xr:uid="{2EA78B43-8B50-49B1-96D4-6969B2AA2C05}"/>
    <cellStyle name="Comma 4 4 3 5 2 2 4" xfId="33755" xr:uid="{BB77215E-7306-4053-AB57-BC1EAE54F007}"/>
    <cellStyle name="Comma 4 4 3 5 2 3" xfId="12657" xr:uid="{CA045031-DBAD-4011-84CB-FE956EC659FA}"/>
    <cellStyle name="Comma 4 4 3 5 2 4" xfId="21098" xr:uid="{64673F9B-7073-48FD-8908-E797F98320A8}"/>
    <cellStyle name="Comma 4 4 3 5 2 5" xfId="29538" xr:uid="{94F84622-ECA0-46CB-AD37-7FD0E2EFB526}"/>
    <cellStyle name="Comma 4 4 3 5 3" xfId="6280" xr:uid="{00000000-0005-0000-0000-00000B0A0000}"/>
    <cellStyle name="Comma 4 4 3 5 3 2" xfId="14730" xr:uid="{85F81143-94C0-4B38-94D3-0998A8F9A199}"/>
    <cellStyle name="Comma 4 4 3 5 3 3" xfId="23170" xr:uid="{AAB3FE9C-137D-49F4-8AE3-718721BCC532}"/>
    <cellStyle name="Comma 4 4 3 5 3 4" xfId="31610" xr:uid="{6CC89164-5EB7-41BF-81C3-67DFE4A83F01}"/>
    <cellStyle name="Comma 4 4 3 5 4" xfId="10512" xr:uid="{4050E009-C7EF-49EB-8827-854A4BA164B1}"/>
    <cellStyle name="Comma 4 4 3 5 5" xfId="18953" xr:uid="{F5CFE2EF-F831-462B-8CA1-E1DFF87D6F33}"/>
    <cellStyle name="Comma 4 4 3 5 6" xfId="27393" xr:uid="{6A9C81D6-D6D2-4B38-BFDC-2C2BE7CECD69}"/>
    <cellStyle name="Comma 4 4 3 6" xfId="2409" xr:uid="{00000000-0005-0000-0000-00000C0A0000}"/>
    <cellStyle name="Comma 4 4 3 6 2" xfId="6693" xr:uid="{00000000-0005-0000-0000-00000D0A0000}"/>
    <cellStyle name="Comma 4 4 3 6 2 2" xfId="15143" xr:uid="{C044535E-B630-4F1E-9403-316D7C0A2220}"/>
    <cellStyle name="Comma 4 4 3 6 2 3" xfId="23583" xr:uid="{A4F0689B-10C5-4D1B-9466-2BCF88973AA5}"/>
    <cellStyle name="Comma 4 4 3 6 2 4" xfId="32023" xr:uid="{503B7015-8466-4D99-A7B4-44329D8C3DA2}"/>
    <cellStyle name="Comma 4 4 3 6 3" xfId="10925" xr:uid="{9B8AC010-13F3-4836-95D5-FDF89E337621}"/>
    <cellStyle name="Comma 4 4 3 6 4" xfId="19366" xr:uid="{8EC1B325-BA66-4D14-99FE-89B3D38AAE7E}"/>
    <cellStyle name="Comma 4 4 3 6 5" xfId="27806" xr:uid="{CEC47DA9-F456-41E9-9476-279B60088FF0}"/>
    <cellStyle name="Comma 4 4 3 7" xfId="2705" xr:uid="{00000000-0005-0000-0000-00000E0A0000}"/>
    <cellStyle name="Comma 4 4 3 8" xfId="2787" xr:uid="{00000000-0005-0000-0000-00000F0A0000}"/>
    <cellStyle name="Comma 4 4 3 8 2" xfId="7010" xr:uid="{00000000-0005-0000-0000-0000100A0000}"/>
    <cellStyle name="Comma 4 4 3 8 2 2" xfId="15460" xr:uid="{2B4EAFE4-04D8-435C-9BB6-FB46E3247BE4}"/>
    <cellStyle name="Comma 4 4 3 8 2 3" xfId="23900" xr:uid="{7DBFCBCC-5082-4A3F-8052-FEB337EAE51C}"/>
    <cellStyle name="Comma 4 4 3 8 2 4" xfId="32340" xr:uid="{0F287AD6-E658-404B-A43D-4C89D7DEA468}"/>
    <cellStyle name="Comma 4 4 3 8 3" xfId="11242" xr:uid="{186A3231-9E68-4CA1-AFC3-C58010B2DA8E}"/>
    <cellStyle name="Comma 4 4 3 8 4" xfId="19683" xr:uid="{9FE7D19B-DF6F-4BC5-BD7D-81E42A3D8A9D}"/>
    <cellStyle name="Comma 4 4 3 8 5" xfId="28123" xr:uid="{24C9263B-E50C-479D-94DB-DDBFC5D186D9}"/>
    <cellStyle name="Comma 4 4 3 9" xfId="4627" xr:uid="{00000000-0005-0000-0000-0000110A0000}"/>
    <cellStyle name="Comma 4 4 3 9 2" xfId="13077" xr:uid="{9F1D80E6-816E-493C-9098-47E738003247}"/>
    <cellStyle name="Comma 4 4 3 9 3" xfId="21517" xr:uid="{5B5B92EB-33B6-412F-B25B-0882971D77BF}"/>
    <cellStyle name="Comma 4 4 3 9 4" xfId="29957" xr:uid="{FE87AE29-924B-4305-9BCE-A791989F83A9}"/>
    <cellStyle name="Comma 4 4 4" xfId="690" xr:uid="{00000000-0005-0000-0000-0000120A0000}"/>
    <cellStyle name="Comma 4 4 4 2" xfId="2961" xr:uid="{00000000-0005-0000-0000-0000130A0000}"/>
    <cellStyle name="Comma 4 4 4 2 2" xfId="7183" xr:uid="{00000000-0005-0000-0000-0000140A0000}"/>
    <cellStyle name="Comma 4 4 4 2 2 2" xfId="15633" xr:uid="{6B646AAD-39BF-45CE-9D5A-817F1A130573}"/>
    <cellStyle name="Comma 4 4 4 2 2 3" xfId="24073" xr:uid="{658DFF2C-50F6-4B31-819A-463730E1B0CC}"/>
    <cellStyle name="Comma 4 4 4 2 2 4" xfId="32513" xr:uid="{6CF4227F-F139-4126-A567-F9FBC8657BCC}"/>
    <cellStyle name="Comma 4 4 4 2 3" xfId="11415" xr:uid="{F722971F-1964-4C04-8FFD-ACC88790DB44}"/>
    <cellStyle name="Comma 4 4 4 2 4" xfId="19856" xr:uid="{7B49AFAC-A645-4F47-B7C7-E78B5ECAC619}"/>
    <cellStyle name="Comma 4 4 4 2 5" xfId="28296" xr:uid="{13C42AA2-2C4D-4C84-A5E9-702DA75172E2}"/>
    <cellStyle name="Comma 4 4 4 3" xfId="5038" xr:uid="{00000000-0005-0000-0000-0000150A0000}"/>
    <cellStyle name="Comma 4 4 4 3 2" xfId="13488" xr:uid="{D4177418-85BA-48D1-A5B8-3969CE12E07E}"/>
    <cellStyle name="Comma 4 4 4 3 3" xfId="21928" xr:uid="{8EC39090-8478-4AEA-BCBE-4928A16CB1F4}"/>
    <cellStyle name="Comma 4 4 4 3 4" xfId="30368" xr:uid="{C0D4650A-CF59-4D2B-8978-7C13759CA3AD}"/>
    <cellStyle name="Comma 4 4 4 4" xfId="9270" xr:uid="{C945C25F-4F00-4CD9-AFC5-841D8781B4BD}"/>
    <cellStyle name="Comma 4 4 4 5" xfId="17711" xr:uid="{B0309A5D-00A6-4052-8709-7BAAE1B7DEF2}"/>
    <cellStyle name="Comma 4 4 4 6" xfId="26151" xr:uid="{CE747B88-023F-4C76-93AF-D7898B1C7E36}"/>
    <cellStyle name="Comma 4 4 5" xfId="1143" xr:uid="{00000000-0005-0000-0000-0000160A0000}"/>
    <cellStyle name="Comma 4 4 5 2" xfId="3374" xr:uid="{00000000-0005-0000-0000-0000170A0000}"/>
    <cellStyle name="Comma 4 4 5 2 2" xfId="7596" xr:uid="{00000000-0005-0000-0000-0000180A0000}"/>
    <cellStyle name="Comma 4 4 5 2 2 2" xfId="16046" xr:uid="{5FBFC862-3302-46CD-B17E-9058C3576819}"/>
    <cellStyle name="Comma 4 4 5 2 2 3" xfId="24486" xr:uid="{6648E7B6-60F2-4FC5-A5E3-5AC4A8D6F3D0}"/>
    <cellStyle name="Comma 4 4 5 2 2 4" xfId="32926" xr:uid="{46453726-A55A-4E55-9E7F-CC10E2C89D51}"/>
    <cellStyle name="Comma 4 4 5 2 3" xfId="11828" xr:uid="{1B41CC30-94DB-45EE-BE7A-BF0773167F20}"/>
    <cellStyle name="Comma 4 4 5 2 4" xfId="20269" xr:uid="{A6218086-1C83-4049-995F-1B481B5BA18C}"/>
    <cellStyle name="Comma 4 4 5 2 5" xfId="28709" xr:uid="{3BDDB9FD-4CDB-45E3-9E40-3E86CFEFEBFE}"/>
    <cellStyle name="Comma 4 4 5 3" xfId="5451" xr:uid="{00000000-0005-0000-0000-0000190A0000}"/>
    <cellStyle name="Comma 4 4 5 3 2" xfId="13901" xr:uid="{A58584E8-3BD6-4693-B5D9-4516EBDD2A80}"/>
    <cellStyle name="Comma 4 4 5 3 3" xfId="22341" xr:uid="{50041C28-6CDD-48DC-B25A-1D88AA1DEE76}"/>
    <cellStyle name="Comma 4 4 5 3 4" xfId="30781" xr:uid="{0085E0B7-1564-4581-A41F-AD02DA69A1F2}"/>
    <cellStyle name="Comma 4 4 5 4" xfId="9683" xr:uid="{46420270-65A4-42B0-B099-4071BADA7450}"/>
    <cellStyle name="Comma 4 4 5 5" xfId="18124" xr:uid="{7CD604DB-46C7-401C-834D-AE3857FDED3C}"/>
    <cellStyle name="Comma 4 4 5 6" xfId="26564" xr:uid="{C1E86440-D0E4-4258-82EA-715D4132CCDC}"/>
    <cellStyle name="Comma 4 4 6" xfId="1557" xr:uid="{00000000-0005-0000-0000-00001A0A0000}"/>
    <cellStyle name="Comma 4 4 6 2" xfId="3787" xr:uid="{00000000-0005-0000-0000-00001B0A0000}"/>
    <cellStyle name="Comma 4 4 6 2 2" xfId="8009" xr:uid="{00000000-0005-0000-0000-00001C0A0000}"/>
    <cellStyle name="Comma 4 4 6 2 2 2" xfId="16459" xr:uid="{68CB6CCD-80EA-4C17-8603-6ABB9FBA5504}"/>
    <cellStyle name="Comma 4 4 6 2 2 3" xfId="24899" xr:uid="{8BCB159D-91CB-494C-9FB4-EDC630E16A31}"/>
    <cellStyle name="Comma 4 4 6 2 2 4" xfId="33339" xr:uid="{76C52780-A89A-4AB6-91E6-BDDA7622679F}"/>
    <cellStyle name="Comma 4 4 6 2 3" xfId="12241" xr:uid="{5B887733-384E-4E9D-BE76-11047277E17A}"/>
    <cellStyle name="Comma 4 4 6 2 4" xfId="20682" xr:uid="{07F7D999-1CAC-47FA-BA70-ABE4CAEFE0C7}"/>
    <cellStyle name="Comma 4 4 6 2 5" xfId="29122" xr:uid="{09F1CC02-0E3B-4014-B654-C26F0B5F35B3}"/>
    <cellStyle name="Comma 4 4 6 3" xfId="5864" xr:uid="{00000000-0005-0000-0000-00001D0A0000}"/>
    <cellStyle name="Comma 4 4 6 3 2" xfId="14314" xr:uid="{20240959-E425-4873-AFD2-8CD38E3D8AF8}"/>
    <cellStyle name="Comma 4 4 6 3 3" xfId="22754" xr:uid="{EACCAEE5-44CC-4654-ADD7-9E3DE9DC4CB7}"/>
    <cellStyle name="Comma 4 4 6 3 4" xfId="31194" xr:uid="{74E93CE4-2644-4DB4-8EE2-6A2E6DC5E71F}"/>
    <cellStyle name="Comma 4 4 6 4" xfId="10096" xr:uid="{F70B5C8E-BAE3-4B63-8DBA-497C18E7FEF8}"/>
    <cellStyle name="Comma 4 4 6 5" xfId="18537" xr:uid="{1EC9339C-680C-4BC0-826D-7491A0542A01}"/>
    <cellStyle name="Comma 4 4 6 6" xfId="26977" xr:uid="{4DD2EEB1-7759-486A-8E4C-CB4868F850DD}"/>
    <cellStyle name="Comma 4 4 7" xfId="1971" xr:uid="{00000000-0005-0000-0000-00001E0A0000}"/>
    <cellStyle name="Comma 4 4 7 2" xfId="4200" xr:uid="{00000000-0005-0000-0000-00001F0A0000}"/>
    <cellStyle name="Comma 4 4 7 2 2" xfId="8422" xr:uid="{00000000-0005-0000-0000-0000200A0000}"/>
    <cellStyle name="Comma 4 4 7 2 2 2" xfId="16872" xr:uid="{6987FF6A-CF34-4B3E-837C-A83FEF2B599B}"/>
    <cellStyle name="Comma 4 4 7 2 2 3" xfId="25312" xr:uid="{D0F61AD2-2C41-4D11-83F1-2E0942D9E3B5}"/>
    <cellStyle name="Comma 4 4 7 2 2 4" xfId="33752" xr:uid="{634033AD-D69F-4A1A-86A8-AA9E3D12E46E}"/>
    <cellStyle name="Comma 4 4 7 2 3" xfId="12654" xr:uid="{46BD47E8-2573-4B32-A4B2-25D3645D1943}"/>
    <cellStyle name="Comma 4 4 7 2 4" xfId="21095" xr:uid="{2C88BC25-CF02-434F-97A7-D5E23BF037BC}"/>
    <cellStyle name="Comma 4 4 7 2 5" xfId="29535" xr:uid="{313609C2-38ED-4AC2-919F-812243C42943}"/>
    <cellStyle name="Comma 4 4 7 3" xfId="6277" xr:uid="{00000000-0005-0000-0000-0000210A0000}"/>
    <cellStyle name="Comma 4 4 7 3 2" xfId="14727" xr:uid="{2D0BC368-1AB8-483D-9F0A-BD26061AEA4E}"/>
    <cellStyle name="Comma 4 4 7 3 3" xfId="23167" xr:uid="{BFA7BC74-069D-4F4F-BE8D-2BBD27C0F3F6}"/>
    <cellStyle name="Comma 4 4 7 3 4" xfId="31607" xr:uid="{D894E9A3-0ECA-48C6-81C9-7CE50C837BFD}"/>
    <cellStyle name="Comma 4 4 7 4" xfId="10509" xr:uid="{29E48025-1338-4005-9EFC-E9F3277C27A9}"/>
    <cellStyle name="Comma 4 4 7 5" xfId="18950" xr:uid="{70ED3FB5-9D3B-44F5-AEE6-2E1F3B0DDF7D}"/>
    <cellStyle name="Comma 4 4 7 6" xfId="27390" xr:uid="{6928DB03-3079-4DCA-A2C0-EA4EE112645C}"/>
    <cellStyle name="Comma 4 4 8" xfId="2406" xr:uid="{00000000-0005-0000-0000-0000220A0000}"/>
    <cellStyle name="Comma 4 4 8 2" xfId="6690" xr:uid="{00000000-0005-0000-0000-0000230A0000}"/>
    <cellStyle name="Comma 4 4 8 2 2" xfId="15140" xr:uid="{D868F2D6-878F-4598-B3E6-CA2655FA76A9}"/>
    <cellStyle name="Comma 4 4 8 2 3" xfId="23580" xr:uid="{34EAF5B2-2040-4450-9CF7-9147286A4E15}"/>
    <cellStyle name="Comma 4 4 8 2 4" xfId="32020" xr:uid="{13EEBF70-E558-4AD9-B22D-A994610B578C}"/>
    <cellStyle name="Comma 4 4 8 3" xfId="10922" xr:uid="{5A87826A-1586-4B17-8F83-73F12AA1995F}"/>
    <cellStyle name="Comma 4 4 8 4" xfId="19363" xr:uid="{3B5D2B2C-ADEB-4205-8D1B-87E1107789F9}"/>
    <cellStyle name="Comma 4 4 8 5" xfId="27803" xr:uid="{E53B188F-D7DD-429C-A2AD-5A3EE69959FE}"/>
    <cellStyle name="Comma 4 4 9" xfId="2702" xr:uid="{00000000-0005-0000-0000-0000240A0000}"/>
    <cellStyle name="Comma 4 5" xfId="157" xr:uid="{00000000-0005-0000-0000-0000250A0000}"/>
    <cellStyle name="Comma 4 5 10" xfId="4628" xr:uid="{00000000-0005-0000-0000-0000260A0000}"/>
    <cellStyle name="Comma 4 5 10 2" xfId="13078" xr:uid="{E0064611-B434-4D5A-9D13-7E17D0094C8E}"/>
    <cellStyle name="Comma 4 5 10 3" xfId="21518" xr:uid="{EFFA830D-41A7-497D-B1EA-32D56E2CE5F2}"/>
    <cellStyle name="Comma 4 5 10 4" xfId="29958" xr:uid="{06A57025-76AE-4971-BC87-B56DDE79FD4A}"/>
    <cellStyle name="Comma 4 5 11" xfId="8860" xr:uid="{734ECE98-645F-4AB4-8E49-037A6251AD9F}"/>
    <cellStyle name="Comma 4 5 12" xfId="17301" xr:uid="{8781993E-CD9A-4703-927E-1030E1366960}"/>
    <cellStyle name="Comma 4 5 13" xfId="25741" xr:uid="{0F12F364-E01A-48CE-B8E3-58B166DE96B3}"/>
    <cellStyle name="Comma 4 5 2" xfId="158" xr:uid="{00000000-0005-0000-0000-0000270A0000}"/>
    <cellStyle name="Comma 4 5 2 10" xfId="8861" xr:uid="{C58E3EF9-2B8A-4719-B358-0637DDDCE0C9}"/>
    <cellStyle name="Comma 4 5 2 11" xfId="17302" xr:uid="{3366738F-E627-4C1E-9B93-A4B70BCF83DB}"/>
    <cellStyle name="Comma 4 5 2 12" xfId="25742" xr:uid="{2F630A9C-B360-4D2C-844B-22BF8E5ECFCE}"/>
    <cellStyle name="Comma 4 5 2 2" xfId="695" xr:uid="{00000000-0005-0000-0000-0000280A0000}"/>
    <cellStyle name="Comma 4 5 2 2 2" xfId="2966" xr:uid="{00000000-0005-0000-0000-0000290A0000}"/>
    <cellStyle name="Comma 4 5 2 2 2 2" xfId="7188" xr:uid="{00000000-0005-0000-0000-00002A0A0000}"/>
    <cellStyle name="Comma 4 5 2 2 2 2 2" xfId="15638" xr:uid="{20C96360-3323-4729-A61E-3199C511A6AC}"/>
    <cellStyle name="Comma 4 5 2 2 2 2 3" xfId="24078" xr:uid="{8D7D3000-35A7-4ECC-866A-9A641745F99C}"/>
    <cellStyle name="Comma 4 5 2 2 2 2 4" xfId="32518" xr:uid="{1936FCDD-7906-4E3D-9C1E-E9BAE2C27967}"/>
    <cellStyle name="Comma 4 5 2 2 2 3" xfId="11420" xr:uid="{D7DD692F-3494-40CD-8C01-A09C16D777F0}"/>
    <cellStyle name="Comma 4 5 2 2 2 4" xfId="19861" xr:uid="{13487C6D-C576-4A05-A5E3-A5907A104E53}"/>
    <cellStyle name="Comma 4 5 2 2 2 5" xfId="28301" xr:uid="{DDBF3F9C-0AA5-4B9E-9A18-357DE04BD42B}"/>
    <cellStyle name="Comma 4 5 2 2 3" xfId="5043" xr:uid="{00000000-0005-0000-0000-00002B0A0000}"/>
    <cellStyle name="Comma 4 5 2 2 3 2" xfId="13493" xr:uid="{BFAEF99D-F3D7-4551-9A83-704A64283732}"/>
    <cellStyle name="Comma 4 5 2 2 3 3" xfId="21933" xr:uid="{84CE4A1A-0FB5-4BC5-9CE9-77B2B7E064A8}"/>
    <cellStyle name="Comma 4 5 2 2 3 4" xfId="30373" xr:uid="{FC918D03-0BF7-4711-AB67-E942D7927D83}"/>
    <cellStyle name="Comma 4 5 2 2 4" xfId="9275" xr:uid="{CE90116C-A58D-485C-9858-DFA27BE8BD46}"/>
    <cellStyle name="Comma 4 5 2 2 5" xfId="17716" xr:uid="{A77C0370-EC8A-428A-9B02-F40DF3C74D58}"/>
    <cellStyle name="Comma 4 5 2 2 6" xfId="26156" xr:uid="{EDB9E81F-160C-4820-A1B7-99D776A4290B}"/>
    <cellStyle name="Comma 4 5 2 3" xfId="1148" xr:uid="{00000000-0005-0000-0000-00002C0A0000}"/>
    <cellStyle name="Comma 4 5 2 3 2" xfId="3379" xr:uid="{00000000-0005-0000-0000-00002D0A0000}"/>
    <cellStyle name="Comma 4 5 2 3 2 2" xfId="7601" xr:uid="{00000000-0005-0000-0000-00002E0A0000}"/>
    <cellStyle name="Comma 4 5 2 3 2 2 2" xfId="16051" xr:uid="{5F6DA44B-D766-4A1D-B1F0-CE68517B627B}"/>
    <cellStyle name="Comma 4 5 2 3 2 2 3" xfId="24491" xr:uid="{9D0C80E6-ABCE-4043-BBD9-63441FF319B0}"/>
    <cellStyle name="Comma 4 5 2 3 2 2 4" xfId="32931" xr:uid="{210C8172-C7F7-4ADE-8F68-A09186C00885}"/>
    <cellStyle name="Comma 4 5 2 3 2 3" xfId="11833" xr:uid="{D95F0D30-0482-48C8-B2FF-5A8DE61BE479}"/>
    <cellStyle name="Comma 4 5 2 3 2 4" xfId="20274" xr:uid="{7AEADF29-612F-4E72-B9C5-C7E6A16854A5}"/>
    <cellStyle name="Comma 4 5 2 3 2 5" xfId="28714" xr:uid="{F194E9F5-0D15-4930-B5DC-7EF10661A102}"/>
    <cellStyle name="Comma 4 5 2 3 3" xfId="5456" xr:uid="{00000000-0005-0000-0000-00002F0A0000}"/>
    <cellStyle name="Comma 4 5 2 3 3 2" xfId="13906" xr:uid="{83B61148-7EFF-42FF-A719-540692410A5B}"/>
    <cellStyle name="Comma 4 5 2 3 3 3" xfId="22346" xr:uid="{F5A4E0E7-7A26-466B-96FD-3B5AE269FD01}"/>
    <cellStyle name="Comma 4 5 2 3 3 4" xfId="30786" xr:uid="{2D103087-C815-4312-8BB6-CC734ABB0991}"/>
    <cellStyle name="Comma 4 5 2 3 4" xfId="9688" xr:uid="{37164626-0F2A-494A-ABB2-97547EF9D98B}"/>
    <cellStyle name="Comma 4 5 2 3 5" xfId="18129" xr:uid="{CDE97152-3AC1-4C9C-B23B-C114D750AEE4}"/>
    <cellStyle name="Comma 4 5 2 3 6" xfId="26569" xr:uid="{4DCF66E0-B477-4070-8D89-449A0B0B975B}"/>
    <cellStyle name="Comma 4 5 2 4" xfId="1562" xr:uid="{00000000-0005-0000-0000-0000300A0000}"/>
    <cellStyle name="Comma 4 5 2 4 2" xfId="3792" xr:uid="{00000000-0005-0000-0000-0000310A0000}"/>
    <cellStyle name="Comma 4 5 2 4 2 2" xfId="8014" xr:uid="{00000000-0005-0000-0000-0000320A0000}"/>
    <cellStyle name="Comma 4 5 2 4 2 2 2" xfId="16464" xr:uid="{8FED921E-BF14-48A5-89FB-D03F116D7B6B}"/>
    <cellStyle name="Comma 4 5 2 4 2 2 3" xfId="24904" xr:uid="{4479C099-10D2-40A2-9AE9-C343500582FE}"/>
    <cellStyle name="Comma 4 5 2 4 2 2 4" xfId="33344" xr:uid="{3FEB3B37-31B2-47F5-BB6E-30FD0444256A}"/>
    <cellStyle name="Comma 4 5 2 4 2 3" xfId="12246" xr:uid="{82A52060-7978-428F-9351-4E747EE2D468}"/>
    <cellStyle name="Comma 4 5 2 4 2 4" xfId="20687" xr:uid="{849F3623-9CAC-488B-B369-13454CC9F814}"/>
    <cellStyle name="Comma 4 5 2 4 2 5" xfId="29127" xr:uid="{489AA26D-F10A-43B8-B645-2BC0F01FF81E}"/>
    <cellStyle name="Comma 4 5 2 4 3" xfId="5869" xr:uid="{00000000-0005-0000-0000-0000330A0000}"/>
    <cellStyle name="Comma 4 5 2 4 3 2" xfId="14319" xr:uid="{F6556A66-FA26-4700-80BC-38237D15B365}"/>
    <cellStyle name="Comma 4 5 2 4 3 3" xfId="22759" xr:uid="{B05864AF-7775-46A0-9E38-53620E8B8467}"/>
    <cellStyle name="Comma 4 5 2 4 3 4" xfId="31199" xr:uid="{71A43B5F-FBF9-46CA-B970-9D57318E8670}"/>
    <cellStyle name="Comma 4 5 2 4 4" xfId="10101" xr:uid="{C0CD2797-440D-4EE5-ACF9-9D5FFB6C1371}"/>
    <cellStyle name="Comma 4 5 2 4 5" xfId="18542" xr:uid="{491C497B-E7AE-4B7C-8C68-AEDBB47818C4}"/>
    <cellStyle name="Comma 4 5 2 4 6" xfId="26982" xr:uid="{4883E7D6-6E6F-4E31-A726-463C3F8EFF00}"/>
    <cellStyle name="Comma 4 5 2 5" xfId="1976" xr:uid="{00000000-0005-0000-0000-0000340A0000}"/>
    <cellStyle name="Comma 4 5 2 5 2" xfId="4205" xr:uid="{00000000-0005-0000-0000-0000350A0000}"/>
    <cellStyle name="Comma 4 5 2 5 2 2" xfId="8427" xr:uid="{00000000-0005-0000-0000-0000360A0000}"/>
    <cellStyle name="Comma 4 5 2 5 2 2 2" xfId="16877" xr:uid="{DDBC4720-AC24-4F2D-824A-0C17C47F6CC8}"/>
    <cellStyle name="Comma 4 5 2 5 2 2 3" xfId="25317" xr:uid="{A55073C9-F821-4402-9366-86B19BFB80E6}"/>
    <cellStyle name="Comma 4 5 2 5 2 2 4" xfId="33757" xr:uid="{98C15A59-4915-455A-8B4A-49641973FC34}"/>
    <cellStyle name="Comma 4 5 2 5 2 3" xfId="12659" xr:uid="{5C7F6FB3-6B9F-4CBA-A05A-A0A76DE59B3A}"/>
    <cellStyle name="Comma 4 5 2 5 2 4" xfId="21100" xr:uid="{9B33EF28-7209-434C-88FF-AE2F25BE9907}"/>
    <cellStyle name="Comma 4 5 2 5 2 5" xfId="29540" xr:uid="{430024C8-64F1-46AC-888A-72FBC852AE3A}"/>
    <cellStyle name="Comma 4 5 2 5 3" xfId="6282" xr:uid="{00000000-0005-0000-0000-0000370A0000}"/>
    <cellStyle name="Comma 4 5 2 5 3 2" xfId="14732" xr:uid="{55E22DEF-41EE-440F-AD41-BE6282E8EFBD}"/>
    <cellStyle name="Comma 4 5 2 5 3 3" xfId="23172" xr:uid="{ADE9AE32-3F99-43EA-9A92-C6FFA936C4BE}"/>
    <cellStyle name="Comma 4 5 2 5 3 4" xfId="31612" xr:uid="{25EB2728-705B-4D01-B6B8-86E10E3A3342}"/>
    <cellStyle name="Comma 4 5 2 5 4" xfId="10514" xr:uid="{B7D388F4-C871-456B-9158-70FC421FC76D}"/>
    <cellStyle name="Comma 4 5 2 5 5" xfId="18955" xr:uid="{9E41A663-A1FE-4E2D-9095-1490781E3CA4}"/>
    <cellStyle name="Comma 4 5 2 5 6" xfId="27395" xr:uid="{FA2436CA-CC26-4423-8FC3-B6B848AEC5A4}"/>
    <cellStyle name="Comma 4 5 2 6" xfId="2411" xr:uid="{00000000-0005-0000-0000-0000380A0000}"/>
    <cellStyle name="Comma 4 5 2 6 2" xfId="6695" xr:uid="{00000000-0005-0000-0000-0000390A0000}"/>
    <cellStyle name="Comma 4 5 2 6 2 2" xfId="15145" xr:uid="{A9FEAF04-A742-437F-8107-718314627B16}"/>
    <cellStyle name="Comma 4 5 2 6 2 3" xfId="23585" xr:uid="{0C6689F2-5F11-44B5-B88B-00E8EB25A634}"/>
    <cellStyle name="Comma 4 5 2 6 2 4" xfId="32025" xr:uid="{94A3EB2C-63E3-4DB5-82DB-02850FD5D6FF}"/>
    <cellStyle name="Comma 4 5 2 6 3" xfId="10927" xr:uid="{E2A2D832-B347-4E8E-BF38-D664573E14C1}"/>
    <cellStyle name="Comma 4 5 2 6 4" xfId="19368" xr:uid="{B308A7F3-78CA-41AE-BD0F-7E2CC9CBCA44}"/>
    <cellStyle name="Comma 4 5 2 6 5" xfId="27808" xr:uid="{A134CDDB-E3A0-4E59-B0B7-7BF011A28C3F}"/>
    <cellStyle name="Comma 4 5 2 7" xfId="2707" xr:uid="{00000000-0005-0000-0000-00003A0A0000}"/>
    <cellStyle name="Comma 4 5 2 8" xfId="2789" xr:uid="{00000000-0005-0000-0000-00003B0A0000}"/>
    <cellStyle name="Comma 4 5 2 8 2" xfId="7012" xr:uid="{00000000-0005-0000-0000-00003C0A0000}"/>
    <cellStyle name="Comma 4 5 2 8 2 2" xfId="15462" xr:uid="{00EA692B-FDAE-457C-8D80-1A30D63C8D48}"/>
    <cellStyle name="Comma 4 5 2 8 2 3" xfId="23902" xr:uid="{F81B07F9-E4FC-4C85-B336-DB52D31D46E3}"/>
    <cellStyle name="Comma 4 5 2 8 2 4" xfId="32342" xr:uid="{67FE267C-35B6-40F8-A4CF-895DC27D939B}"/>
    <cellStyle name="Comma 4 5 2 8 3" xfId="11244" xr:uid="{2C3F6558-528F-4B85-986F-5547884ADAE6}"/>
    <cellStyle name="Comma 4 5 2 8 4" xfId="19685" xr:uid="{A8A88903-C4BB-435E-9429-E92467FC081B}"/>
    <cellStyle name="Comma 4 5 2 8 5" xfId="28125" xr:uid="{2D890EF7-BD50-442A-A85F-AD7E9BCA1612}"/>
    <cellStyle name="Comma 4 5 2 9" xfId="4629" xr:uid="{00000000-0005-0000-0000-00003D0A0000}"/>
    <cellStyle name="Comma 4 5 2 9 2" xfId="13079" xr:uid="{554A318F-C9E9-414B-B01B-3167C5571518}"/>
    <cellStyle name="Comma 4 5 2 9 3" xfId="21519" xr:uid="{A2004BF4-6ABA-46D5-878A-37B4498F2D9B}"/>
    <cellStyle name="Comma 4 5 2 9 4" xfId="29959" xr:uid="{369E6465-5FFA-4DCF-8864-8A215C119599}"/>
    <cellStyle name="Comma 4 5 3" xfId="694" xr:uid="{00000000-0005-0000-0000-00003E0A0000}"/>
    <cellStyle name="Comma 4 5 3 2" xfId="2965" xr:uid="{00000000-0005-0000-0000-00003F0A0000}"/>
    <cellStyle name="Comma 4 5 3 2 2" xfId="7187" xr:uid="{00000000-0005-0000-0000-0000400A0000}"/>
    <cellStyle name="Comma 4 5 3 2 2 2" xfId="15637" xr:uid="{362C4645-9ACD-4726-848E-9EA35E7415CE}"/>
    <cellStyle name="Comma 4 5 3 2 2 3" xfId="24077" xr:uid="{EEAB4387-AC1C-483F-B31F-247EF9002565}"/>
    <cellStyle name="Comma 4 5 3 2 2 4" xfId="32517" xr:uid="{0846D8C6-8F5F-43BA-BFC5-021769FAAF94}"/>
    <cellStyle name="Comma 4 5 3 2 3" xfId="11419" xr:uid="{9DD08B60-9B79-479D-A5D5-455784947564}"/>
    <cellStyle name="Comma 4 5 3 2 4" xfId="19860" xr:uid="{68A8AEEA-1889-47E7-BF86-4E8468D89EE6}"/>
    <cellStyle name="Comma 4 5 3 2 5" xfId="28300" xr:uid="{29B90CBC-61D4-417E-93C3-429A0D11B062}"/>
    <cellStyle name="Comma 4 5 3 3" xfId="5042" xr:uid="{00000000-0005-0000-0000-0000410A0000}"/>
    <cellStyle name="Comma 4 5 3 3 2" xfId="13492" xr:uid="{4AEFF6BB-0316-4A0E-A941-36E4AB499044}"/>
    <cellStyle name="Comma 4 5 3 3 3" xfId="21932" xr:uid="{BEEBF274-C4CF-4A73-808D-D66B0C4C4FA7}"/>
    <cellStyle name="Comma 4 5 3 3 4" xfId="30372" xr:uid="{54AB638E-5EB9-4A2B-9556-13EABC23DF33}"/>
    <cellStyle name="Comma 4 5 3 4" xfId="9274" xr:uid="{5836A2AB-2441-499B-9022-97664CE9D041}"/>
    <cellStyle name="Comma 4 5 3 5" xfId="17715" xr:uid="{34E18698-CF6F-41A0-9A4E-033C4EC95502}"/>
    <cellStyle name="Comma 4 5 3 6" xfId="26155" xr:uid="{508AA375-CD24-487B-9133-3503F1C341F6}"/>
    <cellStyle name="Comma 4 5 4" xfId="1147" xr:uid="{00000000-0005-0000-0000-0000420A0000}"/>
    <cellStyle name="Comma 4 5 4 2" xfId="3378" xr:uid="{00000000-0005-0000-0000-0000430A0000}"/>
    <cellStyle name="Comma 4 5 4 2 2" xfId="7600" xr:uid="{00000000-0005-0000-0000-0000440A0000}"/>
    <cellStyle name="Comma 4 5 4 2 2 2" xfId="16050" xr:uid="{2390CE45-DBBD-45F2-A43D-48A9FDF9DA17}"/>
    <cellStyle name="Comma 4 5 4 2 2 3" xfId="24490" xr:uid="{F40EBE5B-12F8-4EDE-B8E4-C7E2914833CC}"/>
    <cellStyle name="Comma 4 5 4 2 2 4" xfId="32930" xr:uid="{51F26D42-29BA-4361-A811-B19EEDE11775}"/>
    <cellStyle name="Comma 4 5 4 2 3" xfId="11832" xr:uid="{32127374-9420-4CAC-A19D-6896C1978A1F}"/>
    <cellStyle name="Comma 4 5 4 2 4" xfId="20273" xr:uid="{22B47B13-D55E-43A3-B84F-9113B63E48EC}"/>
    <cellStyle name="Comma 4 5 4 2 5" xfId="28713" xr:uid="{524CE883-80D7-4FB2-8678-6A2B0E4378E2}"/>
    <cellStyle name="Comma 4 5 4 3" xfId="5455" xr:uid="{00000000-0005-0000-0000-0000450A0000}"/>
    <cellStyle name="Comma 4 5 4 3 2" xfId="13905" xr:uid="{8E282A24-1B3C-464F-B6FD-6E81D0C63028}"/>
    <cellStyle name="Comma 4 5 4 3 3" xfId="22345" xr:uid="{1E117C3C-B99E-4AC8-B026-98AF72498A56}"/>
    <cellStyle name="Comma 4 5 4 3 4" xfId="30785" xr:uid="{31B94484-4BC9-40CE-8D4F-E09CC41B4ECE}"/>
    <cellStyle name="Comma 4 5 4 4" xfId="9687" xr:uid="{294ED3B7-35C5-4AF5-8222-8337C024D6A5}"/>
    <cellStyle name="Comma 4 5 4 5" xfId="18128" xr:uid="{EBDEFC61-D94D-49D3-8C1F-1000C10826D3}"/>
    <cellStyle name="Comma 4 5 4 6" xfId="26568" xr:uid="{ED55B0B8-7A1B-4A1C-9BF4-A05F4B281C35}"/>
    <cellStyle name="Comma 4 5 5" xfId="1561" xr:uid="{00000000-0005-0000-0000-0000460A0000}"/>
    <cellStyle name="Comma 4 5 5 2" xfId="3791" xr:uid="{00000000-0005-0000-0000-0000470A0000}"/>
    <cellStyle name="Comma 4 5 5 2 2" xfId="8013" xr:uid="{00000000-0005-0000-0000-0000480A0000}"/>
    <cellStyle name="Comma 4 5 5 2 2 2" xfId="16463" xr:uid="{693BD077-A8CB-4A84-8BFE-296539B7500E}"/>
    <cellStyle name="Comma 4 5 5 2 2 3" xfId="24903" xr:uid="{1A5AC598-8F9A-4425-B82E-648B2F4AD1AD}"/>
    <cellStyle name="Comma 4 5 5 2 2 4" xfId="33343" xr:uid="{4E0B3197-8EAA-4C75-B819-B334EC094C02}"/>
    <cellStyle name="Comma 4 5 5 2 3" xfId="12245" xr:uid="{C9D65117-A38A-4CB9-9CC6-DA65007DEECE}"/>
    <cellStyle name="Comma 4 5 5 2 4" xfId="20686" xr:uid="{47E2C2D6-9183-40CA-AF10-5F695A49DEC5}"/>
    <cellStyle name="Comma 4 5 5 2 5" xfId="29126" xr:uid="{52DD78AE-BB0F-4184-B8FF-7CEB49EEC26B}"/>
    <cellStyle name="Comma 4 5 5 3" xfId="5868" xr:uid="{00000000-0005-0000-0000-0000490A0000}"/>
    <cellStyle name="Comma 4 5 5 3 2" xfId="14318" xr:uid="{19645518-EDF9-44B8-82F2-AA70CE000B12}"/>
    <cellStyle name="Comma 4 5 5 3 3" xfId="22758" xr:uid="{4667AF18-1FE0-418B-A0B3-FEAEE73F44CF}"/>
    <cellStyle name="Comma 4 5 5 3 4" xfId="31198" xr:uid="{689CF264-897F-4FE5-93B9-11C97E35CEDB}"/>
    <cellStyle name="Comma 4 5 5 4" xfId="10100" xr:uid="{28BCD22E-D206-4465-A65F-DDE438E60027}"/>
    <cellStyle name="Comma 4 5 5 5" xfId="18541" xr:uid="{0218943B-3572-4112-B53D-3E88346DC2EF}"/>
    <cellStyle name="Comma 4 5 5 6" xfId="26981" xr:uid="{970EF7B0-F412-4C7F-A35C-EF62F79A16A5}"/>
    <cellStyle name="Comma 4 5 6" xfId="1975" xr:uid="{00000000-0005-0000-0000-00004A0A0000}"/>
    <cellStyle name="Comma 4 5 6 2" xfId="4204" xr:uid="{00000000-0005-0000-0000-00004B0A0000}"/>
    <cellStyle name="Comma 4 5 6 2 2" xfId="8426" xr:uid="{00000000-0005-0000-0000-00004C0A0000}"/>
    <cellStyle name="Comma 4 5 6 2 2 2" xfId="16876" xr:uid="{C2BA6945-EE86-4FF9-9ABE-16B0479DE2C7}"/>
    <cellStyle name="Comma 4 5 6 2 2 3" xfId="25316" xr:uid="{42208ED8-1FBF-4C8C-8085-C18FECAEF08C}"/>
    <cellStyle name="Comma 4 5 6 2 2 4" xfId="33756" xr:uid="{02157748-B16C-4517-BC8E-EEEF5FB35838}"/>
    <cellStyle name="Comma 4 5 6 2 3" xfId="12658" xr:uid="{79FDDF74-7B67-4420-84C6-30929F2327CD}"/>
    <cellStyle name="Comma 4 5 6 2 4" xfId="21099" xr:uid="{0EAB1C28-E00B-417C-A4C5-621E4E9FE7DE}"/>
    <cellStyle name="Comma 4 5 6 2 5" xfId="29539" xr:uid="{9C092748-2992-4FE7-8C13-0132188C3C37}"/>
    <cellStyle name="Comma 4 5 6 3" xfId="6281" xr:uid="{00000000-0005-0000-0000-00004D0A0000}"/>
    <cellStyle name="Comma 4 5 6 3 2" xfId="14731" xr:uid="{7F5C38E3-2CBA-4BFB-8CD0-BCA21D382342}"/>
    <cellStyle name="Comma 4 5 6 3 3" xfId="23171" xr:uid="{14C98AAB-6E10-43C1-8561-968A7A9E9325}"/>
    <cellStyle name="Comma 4 5 6 3 4" xfId="31611" xr:uid="{48A92EFF-1422-49F3-BAB1-E4A19B83F40D}"/>
    <cellStyle name="Comma 4 5 6 4" xfId="10513" xr:uid="{BC884FC5-8C77-49BA-AF10-843BB41091DB}"/>
    <cellStyle name="Comma 4 5 6 5" xfId="18954" xr:uid="{10392E07-31C4-47CE-815A-C79D4B857F14}"/>
    <cellStyle name="Comma 4 5 6 6" xfId="27394" xr:uid="{9EB0D27C-6554-4075-B174-FFC0C93E27F4}"/>
    <cellStyle name="Comma 4 5 7" xfId="2410" xr:uid="{00000000-0005-0000-0000-00004E0A0000}"/>
    <cellStyle name="Comma 4 5 7 2" xfId="6694" xr:uid="{00000000-0005-0000-0000-00004F0A0000}"/>
    <cellStyle name="Comma 4 5 7 2 2" xfId="15144" xr:uid="{ED90BFB4-E5A5-4180-8E03-8953950CB06F}"/>
    <cellStyle name="Comma 4 5 7 2 3" xfId="23584" xr:uid="{C110551D-A51A-4361-B700-C33E235419AF}"/>
    <cellStyle name="Comma 4 5 7 2 4" xfId="32024" xr:uid="{9D383D63-570D-44E3-9D0F-7EC1817FA3CB}"/>
    <cellStyle name="Comma 4 5 7 3" xfId="10926" xr:uid="{26C05137-2E46-4C9B-969E-0900657A4FDB}"/>
    <cellStyle name="Comma 4 5 7 4" xfId="19367" xr:uid="{D4582720-27A4-4CFA-BA6F-0F69E33A0487}"/>
    <cellStyle name="Comma 4 5 7 5" xfId="27807" xr:uid="{A97AC1F4-9CB6-44F1-B2A5-96F115D80375}"/>
    <cellStyle name="Comma 4 5 8" xfId="2706" xr:uid="{00000000-0005-0000-0000-0000500A0000}"/>
    <cellStyle name="Comma 4 5 9" xfId="2788" xr:uid="{00000000-0005-0000-0000-0000510A0000}"/>
    <cellStyle name="Comma 4 5 9 2" xfId="7011" xr:uid="{00000000-0005-0000-0000-0000520A0000}"/>
    <cellStyle name="Comma 4 5 9 2 2" xfId="15461" xr:uid="{2CA3F05B-7CCF-4EB2-81EF-08026F463479}"/>
    <cellStyle name="Comma 4 5 9 2 3" xfId="23901" xr:uid="{A545BD4C-7B72-4B9F-B311-C83CECF50B6D}"/>
    <cellStyle name="Comma 4 5 9 2 4" xfId="32341" xr:uid="{2F775A50-3ABB-4180-89E3-1D2B5AEECE1B}"/>
    <cellStyle name="Comma 4 5 9 3" xfId="11243" xr:uid="{B5FD75D0-E299-4344-9C82-6EC74635CE70}"/>
    <cellStyle name="Comma 4 5 9 4" xfId="19684" xr:uid="{6291C4F9-CAFD-464F-96FE-52F6ACCE8B8A}"/>
    <cellStyle name="Comma 4 5 9 5" xfId="28124" xr:uid="{D7241752-DDBE-4C96-9A99-80ACBEAD99F3}"/>
    <cellStyle name="Comma 4 6" xfId="159" xr:uid="{00000000-0005-0000-0000-0000530A0000}"/>
    <cellStyle name="Comma 4 6 10" xfId="8862" xr:uid="{62411EB4-1275-46BD-A52B-16E954BA8157}"/>
    <cellStyle name="Comma 4 6 11" xfId="17303" xr:uid="{3FE9ED71-A91A-488B-B13F-D5CF9C2FD887}"/>
    <cellStyle name="Comma 4 6 12" xfId="25743" xr:uid="{EE12CCD2-6EC3-431B-AB16-E85E445C07D7}"/>
    <cellStyle name="Comma 4 6 2" xfId="696" xr:uid="{00000000-0005-0000-0000-0000540A0000}"/>
    <cellStyle name="Comma 4 6 2 2" xfId="2967" xr:uid="{00000000-0005-0000-0000-0000550A0000}"/>
    <cellStyle name="Comma 4 6 2 2 2" xfId="7189" xr:uid="{00000000-0005-0000-0000-0000560A0000}"/>
    <cellStyle name="Comma 4 6 2 2 2 2" xfId="15639" xr:uid="{94757417-AEE7-489D-8F89-C5F7DDB403FA}"/>
    <cellStyle name="Comma 4 6 2 2 2 3" xfId="24079" xr:uid="{E8FCA4E9-13D0-4422-94F5-8355D8F3F656}"/>
    <cellStyle name="Comma 4 6 2 2 2 4" xfId="32519" xr:uid="{14B99C7D-B350-46CC-A32D-D69AB7414FA1}"/>
    <cellStyle name="Comma 4 6 2 2 3" xfId="11421" xr:uid="{5CDE2004-F273-4DFF-AD94-474C9001A35F}"/>
    <cellStyle name="Comma 4 6 2 2 4" xfId="19862" xr:uid="{A3B3B94B-23D2-4D4E-BCBE-4AB183EFEFA8}"/>
    <cellStyle name="Comma 4 6 2 2 5" xfId="28302" xr:uid="{1B6D389A-64A9-4435-B014-0692962CC5FC}"/>
    <cellStyle name="Comma 4 6 2 3" xfId="5044" xr:uid="{00000000-0005-0000-0000-0000570A0000}"/>
    <cellStyle name="Comma 4 6 2 3 2" xfId="13494" xr:uid="{3D78E4D1-BEFA-46CE-911D-59ACC730221B}"/>
    <cellStyle name="Comma 4 6 2 3 3" xfId="21934" xr:uid="{827E8CDD-68A4-4670-8722-164700B41BEF}"/>
    <cellStyle name="Comma 4 6 2 3 4" xfId="30374" xr:uid="{F6E0549E-ECF4-4F5E-811D-587CF809CE50}"/>
    <cellStyle name="Comma 4 6 2 4" xfId="9276" xr:uid="{ED0B0D4B-6798-4305-8C1C-937862F2EDD0}"/>
    <cellStyle name="Comma 4 6 2 5" xfId="17717" xr:uid="{6B9BDD75-1730-4887-9BE3-470986A3812E}"/>
    <cellStyle name="Comma 4 6 2 6" xfId="26157" xr:uid="{6AB739CE-8C93-4671-95F7-B25AEA3CFD7F}"/>
    <cellStyle name="Comma 4 6 3" xfId="1149" xr:uid="{00000000-0005-0000-0000-0000580A0000}"/>
    <cellStyle name="Comma 4 6 3 2" xfId="3380" xr:uid="{00000000-0005-0000-0000-0000590A0000}"/>
    <cellStyle name="Comma 4 6 3 2 2" xfId="7602" xr:uid="{00000000-0005-0000-0000-00005A0A0000}"/>
    <cellStyle name="Comma 4 6 3 2 2 2" xfId="16052" xr:uid="{6CBCE0BE-FD83-4AC3-857B-8F029075E863}"/>
    <cellStyle name="Comma 4 6 3 2 2 3" xfId="24492" xr:uid="{11E909E4-47FA-491E-B80D-0706B4EE9B28}"/>
    <cellStyle name="Comma 4 6 3 2 2 4" xfId="32932" xr:uid="{703A4DB8-9183-4B47-85EA-76F41DDEB458}"/>
    <cellStyle name="Comma 4 6 3 2 3" xfId="11834" xr:uid="{E5BD5249-92D3-43D1-AEAA-E3F979A952A2}"/>
    <cellStyle name="Comma 4 6 3 2 4" xfId="20275" xr:uid="{A3F01E91-B79E-4959-BAE7-E94E36CBAECC}"/>
    <cellStyle name="Comma 4 6 3 2 5" xfId="28715" xr:uid="{17E6B85C-D341-40B1-9113-54D3B42FBCC7}"/>
    <cellStyle name="Comma 4 6 3 3" xfId="5457" xr:uid="{00000000-0005-0000-0000-00005B0A0000}"/>
    <cellStyle name="Comma 4 6 3 3 2" xfId="13907" xr:uid="{50980167-21EC-41E1-90C8-5B539439D06E}"/>
    <cellStyle name="Comma 4 6 3 3 3" xfId="22347" xr:uid="{35B03BDC-111A-4127-8BC4-28ECA40EF049}"/>
    <cellStyle name="Comma 4 6 3 3 4" xfId="30787" xr:uid="{B8C6CA4F-8170-4985-B7C7-825545FC4D8E}"/>
    <cellStyle name="Comma 4 6 3 4" xfId="9689" xr:uid="{418A103B-DEC2-4D7C-AF10-07DA8E02B087}"/>
    <cellStyle name="Comma 4 6 3 5" xfId="18130" xr:uid="{75091DBF-62C7-466D-829B-8411CE8F112A}"/>
    <cellStyle name="Comma 4 6 3 6" xfId="26570" xr:uid="{29E4E0FD-6139-456A-A0C9-770FB8433732}"/>
    <cellStyle name="Comma 4 6 4" xfId="1563" xr:uid="{00000000-0005-0000-0000-00005C0A0000}"/>
    <cellStyle name="Comma 4 6 4 2" xfId="3793" xr:uid="{00000000-0005-0000-0000-00005D0A0000}"/>
    <cellStyle name="Comma 4 6 4 2 2" xfId="8015" xr:uid="{00000000-0005-0000-0000-00005E0A0000}"/>
    <cellStyle name="Comma 4 6 4 2 2 2" xfId="16465" xr:uid="{9DADC622-822B-4D9E-BB70-EBD6D3C93A05}"/>
    <cellStyle name="Comma 4 6 4 2 2 3" xfId="24905" xr:uid="{3E8E4E46-CC86-4075-B7B5-6BF553FCF3E7}"/>
    <cellStyle name="Comma 4 6 4 2 2 4" xfId="33345" xr:uid="{89B5314B-7F71-46B2-8C1A-780B3536F4AE}"/>
    <cellStyle name="Comma 4 6 4 2 3" xfId="12247" xr:uid="{9A0E155E-072C-4C17-BCBA-C81F34224CEE}"/>
    <cellStyle name="Comma 4 6 4 2 4" xfId="20688" xr:uid="{7086D4EF-CA9F-4BB1-936D-75DFEFF14217}"/>
    <cellStyle name="Comma 4 6 4 2 5" xfId="29128" xr:uid="{8719CED9-47A1-4986-93A0-80E52EDF5E6D}"/>
    <cellStyle name="Comma 4 6 4 3" xfId="5870" xr:uid="{00000000-0005-0000-0000-00005F0A0000}"/>
    <cellStyle name="Comma 4 6 4 3 2" xfId="14320" xr:uid="{1CA406C8-77A5-4961-9322-03D7DD9F564C}"/>
    <cellStyle name="Comma 4 6 4 3 3" xfId="22760" xr:uid="{53C20339-9234-4217-BABA-44D22C3FA17F}"/>
    <cellStyle name="Comma 4 6 4 3 4" xfId="31200" xr:uid="{9E167B9B-C359-4003-BB0B-2ABFC8556E29}"/>
    <cellStyle name="Comma 4 6 4 4" xfId="10102" xr:uid="{6A2F50A9-56AC-4322-A4B2-9F078ED174A0}"/>
    <cellStyle name="Comma 4 6 4 5" xfId="18543" xr:uid="{3D1889E7-AEB6-445E-B8BB-49AC8C8819C1}"/>
    <cellStyle name="Comma 4 6 4 6" xfId="26983" xr:uid="{FB00E6B6-DE42-4CDB-9D62-38BE2BD8269F}"/>
    <cellStyle name="Comma 4 6 5" xfId="1977" xr:uid="{00000000-0005-0000-0000-0000600A0000}"/>
    <cellStyle name="Comma 4 6 5 2" xfId="4206" xr:uid="{00000000-0005-0000-0000-0000610A0000}"/>
    <cellStyle name="Comma 4 6 5 2 2" xfId="8428" xr:uid="{00000000-0005-0000-0000-0000620A0000}"/>
    <cellStyle name="Comma 4 6 5 2 2 2" xfId="16878" xr:uid="{4569B3B1-B5D4-4672-BC2C-8B5A7C844B31}"/>
    <cellStyle name="Comma 4 6 5 2 2 3" xfId="25318" xr:uid="{EA1456CD-712E-4FCB-9AEA-F06F1687765B}"/>
    <cellStyle name="Comma 4 6 5 2 2 4" xfId="33758" xr:uid="{1EEDAB6B-5550-4373-A857-8B1E625B2250}"/>
    <cellStyle name="Comma 4 6 5 2 3" xfId="12660" xr:uid="{CE361B42-D518-4403-82D0-63AD51495ABA}"/>
    <cellStyle name="Comma 4 6 5 2 4" xfId="21101" xr:uid="{F2EBFB45-396D-465A-AC75-0DBAD10096AC}"/>
    <cellStyle name="Comma 4 6 5 2 5" xfId="29541" xr:uid="{AC82B5E1-E0EA-4136-93B3-BB238DBB6285}"/>
    <cellStyle name="Comma 4 6 5 3" xfId="6283" xr:uid="{00000000-0005-0000-0000-0000630A0000}"/>
    <cellStyle name="Comma 4 6 5 3 2" xfId="14733" xr:uid="{D3399FDF-A6EE-49FA-829E-4C908E35D887}"/>
    <cellStyle name="Comma 4 6 5 3 3" xfId="23173" xr:uid="{0B33CD88-1165-4618-88A8-72C48FF39438}"/>
    <cellStyle name="Comma 4 6 5 3 4" xfId="31613" xr:uid="{9B553480-573D-440C-8998-D233B91B6448}"/>
    <cellStyle name="Comma 4 6 5 4" xfId="10515" xr:uid="{86C0F639-0CD9-4EE8-A678-8B9FC725BFA8}"/>
    <cellStyle name="Comma 4 6 5 5" xfId="18956" xr:uid="{050C76AD-1EED-4F01-A90F-0E4AD9570107}"/>
    <cellStyle name="Comma 4 6 5 6" xfId="27396" xr:uid="{66424CE1-D737-40FF-A154-0BAAAD7FD2CC}"/>
    <cellStyle name="Comma 4 6 6" xfId="2412" xr:uid="{00000000-0005-0000-0000-0000640A0000}"/>
    <cellStyle name="Comma 4 6 6 2" xfId="6696" xr:uid="{00000000-0005-0000-0000-0000650A0000}"/>
    <cellStyle name="Comma 4 6 6 2 2" xfId="15146" xr:uid="{0EBD2498-9419-4583-8DF7-68536B6E3E35}"/>
    <cellStyle name="Comma 4 6 6 2 3" xfId="23586" xr:uid="{E642CD1E-E253-4A58-BA65-022560DF5263}"/>
    <cellStyle name="Comma 4 6 6 2 4" xfId="32026" xr:uid="{C8496866-3A36-4C14-9F74-432ADF11C8BD}"/>
    <cellStyle name="Comma 4 6 6 3" xfId="10928" xr:uid="{E4789FD6-C658-40C2-9808-8D70BE2A2D2E}"/>
    <cellStyle name="Comma 4 6 6 4" xfId="19369" xr:uid="{592671B4-DC5D-4180-8676-DD45DBC26A4E}"/>
    <cellStyle name="Comma 4 6 6 5" xfId="27809" xr:uid="{E9FECBBB-2F9D-4E88-9C65-C9CD847A6420}"/>
    <cellStyle name="Comma 4 6 7" xfId="2708" xr:uid="{00000000-0005-0000-0000-0000660A0000}"/>
    <cellStyle name="Comma 4 6 8" xfId="2790" xr:uid="{00000000-0005-0000-0000-0000670A0000}"/>
    <cellStyle name="Comma 4 6 8 2" xfId="7013" xr:uid="{00000000-0005-0000-0000-0000680A0000}"/>
    <cellStyle name="Comma 4 6 8 2 2" xfId="15463" xr:uid="{DC260B09-D058-4BCB-8010-7BB70CB2E7DB}"/>
    <cellStyle name="Comma 4 6 8 2 3" xfId="23903" xr:uid="{88A6B980-5E03-417A-B139-95E631A52B50}"/>
    <cellStyle name="Comma 4 6 8 2 4" xfId="32343" xr:uid="{B2CB976A-5244-4CA3-AAC7-8B836C1F8D0B}"/>
    <cellStyle name="Comma 4 6 8 3" xfId="11245" xr:uid="{AFFCD945-38C7-4296-B146-D16AD43B63B5}"/>
    <cellStyle name="Comma 4 6 8 4" xfId="19686" xr:uid="{F09CD771-04A2-4422-96DD-CF9F42630C2B}"/>
    <cellStyle name="Comma 4 6 8 5" xfId="28126" xr:uid="{E26D4CD1-6DD5-41BE-86CE-6D85E11A0349}"/>
    <cellStyle name="Comma 4 6 9" xfId="4630" xr:uid="{00000000-0005-0000-0000-0000690A0000}"/>
    <cellStyle name="Comma 4 6 9 2" xfId="13080" xr:uid="{F9813FB5-35BE-4622-973B-C08A92CC80C9}"/>
    <cellStyle name="Comma 4 6 9 3" xfId="21520" xr:uid="{B07B1AC3-A4CF-4917-9D89-F836F94F4E23}"/>
    <cellStyle name="Comma 4 6 9 4" xfId="29960" xr:uid="{60088316-0848-4269-B1F4-026826EA2B19}"/>
    <cellStyle name="Comma 4 7" xfId="160" xr:uid="{00000000-0005-0000-0000-00006A0A0000}"/>
    <cellStyle name="Comma 4 7 10" xfId="8863" xr:uid="{BBD58BED-5230-4C33-B84B-6A4A6FEF9A22}"/>
    <cellStyle name="Comma 4 7 11" xfId="17304" xr:uid="{6012E69C-0C66-47BA-9701-AB43B7CAB99B}"/>
    <cellStyle name="Comma 4 7 12" xfId="25744" xr:uid="{06A05440-38F4-4E3B-873D-9DBDE07999AA}"/>
    <cellStyle name="Comma 4 7 2" xfId="697" xr:uid="{00000000-0005-0000-0000-00006B0A0000}"/>
    <cellStyle name="Comma 4 7 2 2" xfId="2968" xr:uid="{00000000-0005-0000-0000-00006C0A0000}"/>
    <cellStyle name="Comma 4 7 2 2 2" xfId="7190" xr:uid="{00000000-0005-0000-0000-00006D0A0000}"/>
    <cellStyle name="Comma 4 7 2 2 2 2" xfId="15640" xr:uid="{B96B1FBD-6D76-40A7-8BDE-044FD1A4B64A}"/>
    <cellStyle name="Comma 4 7 2 2 2 3" xfId="24080" xr:uid="{31610D5C-ECB7-4D63-8E25-2A8408323DF3}"/>
    <cellStyle name="Comma 4 7 2 2 2 4" xfId="32520" xr:uid="{365A4963-8141-48F4-B076-4813A03A7724}"/>
    <cellStyle name="Comma 4 7 2 2 3" xfId="11422" xr:uid="{35ADA48F-16BC-449C-B7F2-63A6EB1442F5}"/>
    <cellStyle name="Comma 4 7 2 2 4" xfId="19863" xr:uid="{03FF81F2-C537-419E-8F4F-D5E394C6E4EA}"/>
    <cellStyle name="Comma 4 7 2 2 5" xfId="28303" xr:uid="{9D68665A-ED4E-43DE-8000-60CB0D018255}"/>
    <cellStyle name="Comma 4 7 2 3" xfId="5045" xr:uid="{00000000-0005-0000-0000-00006E0A0000}"/>
    <cellStyle name="Comma 4 7 2 3 2" xfId="13495" xr:uid="{AF085094-DF19-45CD-9A69-14F8172FA965}"/>
    <cellStyle name="Comma 4 7 2 3 3" xfId="21935" xr:uid="{7D28796E-8626-436C-B527-6F0B00795953}"/>
    <cellStyle name="Comma 4 7 2 3 4" xfId="30375" xr:uid="{20D1DF93-F866-4E90-A874-F3D51F51F1AC}"/>
    <cellStyle name="Comma 4 7 2 4" xfId="9277" xr:uid="{3CFCAF83-BA0D-460C-8E06-B2425E9564E2}"/>
    <cellStyle name="Comma 4 7 2 5" xfId="17718" xr:uid="{AEDD4538-D3EB-4790-BE92-77DA0D700121}"/>
    <cellStyle name="Comma 4 7 2 6" xfId="26158" xr:uid="{3662A8FA-73FA-4E7F-B189-158FB4C77972}"/>
    <cellStyle name="Comma 4 7 3" xfId="1150" xr:uid="{00000000-0005-0000-0000-00006F0A0000}"/>
    <cellStyle name="Comma 4 7 3 2" xfId="3381" xr:uid="{00000000-0005-0000-0000-0000700A0000}"/>
    <cellStyle name="Comma 4 7 3 2 2" xfId="7603" xr:uid="{00000000-0005-0000-0000-0000710A0000}"/>
    <cellStyle name="Comma 4 7 3 2 2 2" xfId="16053" xr:uid="{6AEEA531-6919-46C0-8B48-781018652750}"/>
    <cellStyle name="Comma 4 7 3 2 2 3" xfId="24493" xr:uid="{B645D4E7-601F-4E7E-98A4-A5BF8E9CD3D5}"/>
    <cellStyle name="Comma 4 7 3 2 2 4" xfId="32933" xr:uid="{7C9A0661-34BB-44D3-9191-E507922C6010}"/>
    <cellStyle name="Comma 4 7 3 2 3" xfId="11835" xr:uid="{98CA5D96-D56C-4632-B213-049BCC69DCA3}"/>
    <cellStyle name="Comma 4 7 3 2 4" xfId="20276" xr:uid="{EC5A6A72-6E8D-4B7B-A77F-F065027F75BF}"/>
    <cellStyle name="Comma 4 7 3 2 5" xfId="28716" xr:uid="{9B65D0AA-4F33-49AA-A2D2-BC5E5EB0A398}"/>
    <cellStyle name="Comma 4 7 3 3" xfId="5458" xr:uid="{00000000-0005-0000-0000-0000720A0000}"/>
    <cellStyle name="Comma 4 7 3 3 2" xfId="13908" xr:uid="{43EEEF8D-2479-4CEB-BE47-B5FA8B0608BD}"/>
    <cellStyle name="Comma 4 7 3 3 3" xfId="22348" xr:uid="{6A6DFDB9-7257-4CCD-9319-215617231B26}"/>
    <cellStyle name="Comma 4 7 3 3 4" xfId="30788" xr:uid="{27E3B6C7-FD48-404B-945B-556D8503DD7A}"/>
    <cellStyle name="Comma 4 7 3 4" xfId="9690" xr:uid="{DDE8B045-BD07-4E17-BC2E-38F9CAB2984B}"/>
    <cellStyle name="Comma 4 7 3 5" xfId="18131" xr:uid="{F6A44064-0DC5-477C-B2E8-B0142EA32BFA}"/>
    <cellStyle name="Comma 4 7 3 6" xfId="26571" xr:uid="{904D1D96-20CD-4B9F-86AA-4C5639977EE3}"/>
    <cellStyle name="Comma 4 7 4" xfId="1564" xr:uid="{00000000-0005-0000-0000-0000730A0000}"/>
    <cellStyle name="Comma 4 7 4 2" xfId="3794" xr:uid="{00000000-0005-0000-0000-0000740A0000}"/>
    <cellStyle name="Comma 4 7 4 2 2" xfId="8016" xr:uid="{00000000-0005-0000-0000-0000750A0000}"/>
    <cellStyle name="Comma 4 7 4 2 2 2" xfId="16466" xr:uid="{A854085D-646E-4876-A589-D8294731EB2A}"/>
    <cellStyle name="Comma 4 7 4 2 2 3" xfId="24906" xr:uid="{FE4E03B3-52F0-4863-BC40-E154BE0392A4}"/>
    <cellStyle name="Comma 4 7 4 2 2 4" xfId="33346" xr:uid="{7BE0ACC7-2F4A-40DD-B16F-4CA21AFD9802}"/>
    <cellStyle name="Comma 4 7 4 2 3" xfId="12248" xr:uid="{5590469F-F5D1-4A4C-835C-0A274982DD95}"/>
    <cellStyle name="Comma 4 7 4 2 4" xfId="20689" xr:uid="{C11297A3-7DF3-4A23-93F0-DFF8195DB5F9}"/>
    <cellStyle name="Comma 4 7 4 2 5" xfId="29129" xr:uid="{C80E7C43-3F42-48FB-B3CE-33BC91E7E3DB}"/>
    <cellStyle name="Comma 4 7 4 3" xfId="5871" xr:uid="{00000000-0005-0000-0000-0000760A0000}"/>
    <cellStyle name="Comma 4 7 4 3 2" xfId="14321" xr:uid="{AC598938-075B-4EE9-9B9E-83E3DBEBAB53}"/>
    <cellStyle name="Comma 4 7 4 3 3" xfId="22761" xr:uid="{3BC22282-22FE-4AFD-892C-5E43D08CCBC5}"/>
    <cellStyle name="Comma 4 7 4 3 4" xfId="31201" xr:uid="{A1D9A475-96BC-4638-91A2-740DA5849AD7}"/>
    <cellStyle name="Comma 4 7 4 4" xfId="10103" xr:uid="{6C67BFF3-396C-4BDF-A3DC-A7ECB7FE7FEC}"/>
    <cellStyle name="Comma 4 7 4 5" xfId="18544" xr:uid="{C6473AD2-04CF-4A35-8494-F19490EBF42D}"/>
    <cellStyle name="Comma 4 7 4 6" xfId="26984" xr:uid="{E21E43AB-3634-4BF0-A3A5-059701B31799}"/>
    <cellStyle name="Comma 4 7 5" xfId="1978" xr:uid="{00000000-0005-0000-0000-0000770A0000}"/>
    <cellStyle name="Comma 4 7 5 2" xfId="4207" xr:uid="{00000000-0005-0000-0000-0000780A0000}"/>
    <cellStyle name="Comma 4 7 5 2 2" xfId="8429" xr:uid="{00000000-0005-0000-0000-0000790A0000}"/>
    <cellStyle name="Comma 4 7 5 2 2 2" xfId="16879" xr:uid="{2B0E12A5-603E-49B5-B71D-BA23A90A2C10}"/>
    <cellStyle name="Comma 4 7 5 2 2 3" xfId="25319" xr:uid="{889F8624-A157-4784-84F8-0C0CC19D9B01}"/>
    <cellStyle name="Comma 4 7 5 2 2 4" xfId="33759" xr:uid="{E2FC22C0-BF6F-4F59-8646-E29D8871E246}"/>
    <cellStyle name="Comma 4 7 5 2 3" xfId="12661" xr:uid="{38EF3B60-07ED-4ADF-A29E-E6B93D81292D}"/>
    <cellStyle name="Comma 4 7 5 2 4" xfId="21102" xr:uid="{9B7DBE6E-5DBA-4F89-BE95-53E0987C0065}"/>
    <cellStyle name="Comma 4 7 5 2 5" xfId="29542" xr:uid="{089C64D2-9E30-4601-8A57-63B9B940B8AB}"/>
    <cellStyle name="Comma 4 7 5 3" xfId="6284" xr:uid="{00000000-0005-0000-0000-00007A0A0000}"/>
    <cellStyle name="Comma 4 7 5 3 2" xfId="14734" xr:uid="{1C77F0C4-2868-4D8D-B7CF-61F234E7C99D}"/>
    <cellStyle name="Comma 4 7 5 3 3" xfId="23174" xr:uid="{BC19A391-FBE6-441D-AC96-5E4C93B5236E}"/>
    <cellStyle name="Comma 4 7 5 3 4" xfId="31614" xr:uid="{BD07DEB1-6BBE-4FE7-ACAE-316E04A8BAFB}"/>
    <cellStyle name="Comma 4 7 5 4" xfId="10516" xr:uid="{95166E05-571B-4676-9F5C-7CCEA06CC301}"/>
    <cellStyle name="Comma 4 7 5 5" xfId="18957" xr:uid="{784BC989-3711-4D32-97CD-65BFD238595C}"/>
    <cellStyle name="Comma 4 7 5 6" xfId="27397" xr:uid="{544D187F-7AAD-4F1C-A51D-4A1FEB2B4E64}"/>
    <cellStyle name="Comma 4 7 6" xfId="2413" xr:uid="{00000000-0005-0000-0000-00007B0A0000}"/>
    <cellStyle name="Comma 4 7 6 2" xfId="6697" xr:uid="{00000000-0005-0000-0000-00007C0A0000}"/>
    <cellStyle name="Comma 4 7 6 2 2" xfId="15147" xr:uid="{160F8392-4643-4393-816D-3BE51AD44A65}"/>
    <cellStyle name="Comma 4 7 6 2 3" xfId="23587" xr:uid="{2327C9FC-C119-431B-BE44-D3CF760969A1}"/>
    <cellStyle name="Comma 4 7 6 2 4" xfId="32027" xr:uid="{13FB37A8-811B-4D07-B5EE-A84B3609044D}"/>
    <cellStyle name="Comma 4 7 6 3" xfId="10929" xr:uid="{F4A34CC5-6E0A-4847-A217-99634A614019}"/>
    <cellStyle name="Comma 4 7 6 4" xfId="19370" xr:uid="{0E914396-4D4E-4CAD-A470-A5664FECF237}"/>
    <cellStyle name="Comma 4 7 6 5" xfId="27810" xr:uid="{F2F7102A-4198-4014-A3D3-AAB572733100}"/>
    <cellStyle name="Comma 4 7 7" xfId="2709" xr:uid="{00000000-0005-0000-0000-00007D0A0000}"/>
    <cellStyle name="Comma 4 7 8" xfId="2791" xr:uid="{00000000-0005-0000-0000-00007E0A0000}"/>
    <cellStyle name="Comma 4 7 8 2" xfId="7014" xr:uid="{00000000-0005-0000-0000-00007F0A0000}"/>
    <cellStyle name="Comma 4 7 8 2 2" xfId="15464" xr:uid="{7087AE32-A90C-4508-88DB-98C444B2AAF3}"/>
    <cellStyle name="Comma 4 7 8 2 3" xfId="23904" xr:uid="{280C4498-DB27-4A4E-B265-E3CBFFA3787A}"/>
    <cellStyle name="Comma 4 7 8 2 4" xfId="32344" xr:uid="{C4384FA7-6B7B-4DC0-9956-39B0F21DEC5B}"/>
    <cellStyle name="Comma 4 7 8 3" xfId="11246" xr:uid="{9EB104F2-6340-477D-ADD2-A0A076EC0307}"/>
    <cellStyle name="Comma 4 7 8 4" xfId="19687" xr:uid="{BFCD3C9B-D2FE-4F11-A286-9FC3B658301E}"/>
    <cellStyle name="Comma 4 7 8 5" xfId="28127" xr:uid="{B85AFC5A-FC80-4F7E-841D-DF9D534C046F}"/>
    <cellStyle name="Comma 4 7 9" xfId="4631" xr:uid="{00000000-0005-0000-0000-0000800A0000}"/>
    <cellStyle name="Comma 4 7 9 2" xfId="13081" xr:uid="{A1D26BA4-727F-43EF-B15E-75D92F422145}"/>
    <cellStyle name="Comma 4 7 9 3" xfId="21521" xr:uid="{9FADCE30-D51B-45B9-91DE-63E3E9595153}"/>
    <cellStyle name="Comma 4 7 9 4" xfId="29961" xr:uid="{CAEBBB7D-69C8-433B-A4DC-31419B578323}"/>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omma 7 2" xfId="12949" xr:uid="{E83A3332-278E-4CE0-B185-83D344E44F80}"/>
    <cellStyle name="Comma 7 3" xfId="21389" xr:uid="{A978D220-3D8F-41C1-BFC1-1137F5AA087B}"/>
    <cellStyle name="Comma 7 4" xfId="29829" xr:uid="{F0DA17C6-9B57-4C1C-BBB5-14B4BF3DC51E}"/>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2 2" xfId="17166" xr:uid="{B3C17D40-8C8C-4D1D-A683-EBD37990C0B6}"/>
    <cellStyle name="Currency 14 2 3" xfId="25606" xr:uid="{7C437AF2-8EF9-4581-A5A1-E3E987414F96}"/>
    <cellStyle name="Currency 14 2 4" xfId="34046" xr:uid="{35B401CC-A5C6-4841-A844-B6722F00E6A7}"/>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14 3 2 2 3" xfId="17175" xr:uid="{7CA84007-F52D-4AEA-B94C-E84439D37427}"/>
    <cellStyle name="Currency 14 3 2 2 4" xfId="25615" xr:uid="{BD09B160-E7B6-4125-AB9A-56B962122CE0}"/>
    <cellStyle name="Currency 14 3 2 2 5" xfId="34055" xr:uid="{8A9785BE-CCBC-4252-AE38-EADF7297DDEB}"/>
    <cellStyle name="Currency 14 3 2 3" xfId="17172" xr:uid="{80EC8D04-FC67-454B-9F17-A273356C4335}"/>
    <cellStyle name="Currency 14 3 2 4" xfId="25612" xr:uid="{A628BD04-A3EB-41C6-A1E9-E3E2080D62EF}"/>
    <cellStyle name="Currency 14 3 2 5" xfId="34052" xr:uid="{E081DA20-E6BC-4E53-A148-A0B6068A2B94}"/>
    <cellStyle name="Currency 14 3 3" xfId="17169" xr:uid="{057A8848-F3FE-4925-B297-F3E603C5CE6A}"/>
    <cellStyle name="Currency 14 3 4" xfId="25609" xr:uid="{AE6933BA-3D9A-4614-8B8B-D205CEF6235A}"/>
    <cellStyle name="Currency 14 3 5" xfId="34049" xr:uid="{EADE7A71-656E-4C9A-9B43-FD8FF2E414DD}"/>
    <cellStyle name="Currency 14 4" xfId="12952" xr:uid="{01C9BFED-37F0-4F3D-A478-DB7AE31F5917}"/>
    <cellStyle name="Currency 14 5" xfId="21392" xr:uid="{2FF233C8-6F0C-4142-9258-169090123783}"/>
    <cellStyle name="Currency 14 6" xfId="29832" xr:uid="{7BDD7A3F-1BF1-4051-A2D4-4868625E0416}"/>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0 2 2" xfId="15465" xr:uid="{ECE54901-40C4-4132-8F0C-0A7FDAA4630E}"/>
    <cellStyle name="Currency 3 2 2 10 2 3" xfId="23905" xr:uid="{39E40703-BCCB-42A0-8F42-38BB00B0B476}"/>
    <cellStyle name="Currency 3 2 2 10 2 4" xfId="32345" xr:uid="{CA9E0508-B75A-4DB6-99E3-066B4B37F160}"/>
    <cellStyle name="Currency 3 2 2 10 3" xfId="11247" xr:uid="{0D3CC8E1-FDA7-4B33-B04D-84D2D638D81A}"/>
    <cellStyle name="Currency 3 2 2 10 4" xfId="19688" xr:uid="{7CFC494E-4ECF-4FE8-B4E6-DB1103D6EAE5}"/>
    <cellStyle name="Currency 3 2 2 10 5" xfId="28128" xr:uid="{4E178CD0-6713-4A49-AAD2-2C2F558F50B9}"/>
    <cellStyle name="Currency 3 2 2 11" xfId="4632" xr:uid="{00000000-0005-0000-0000-0000A50A0000}"/>
    <cellStyle name="Currency 3 2 2 11 2" xfId="13082" xr:uid="{F2EE9F96-0D3B-440C-801E-AECDBD9118DD}"/>
    <cellStyle name="Currency 3 2 2 11 3" xfId="21522" xr:uid="{C670D091-14B5-4E17-8130-7A04F6BEF395}"/>
    <cellStyle name="Currency 3 2 2 11 4" xfId="29962" xr:uid="{030BBBD3-A374-4207-96CB-9BCC0A0D4BFA}"/>
    <cellStyle name="Currency 3 2 2 12" xfId="8864" xr:uid="{E384F4DA-EF79-494A-8B99-BF3FA625A59A}"/>
    <cellStyle name="Currency 3 2 2 13" xfId="17305" xr:uid="{6FE814D4-B5B4-4444-912F-A1EF5629A5A2}"/>
    <cellStyle name="Currency 3 2 2 14" xfId="25745" xr:uid="{002A1061-53F3-4329-9808-4A3D140C20DF}"/>
    <cellStyle name="Currency 3 2 2 2" xfId="179" xr:uid="{00000000-0005-0000-0000-0000A60A0000}"/>
    <cellStyle name="Currency 3 2 2 2 10" xfId="4633" xr:uid="{00000000-0005-0000-0000-0000A70A0000}"/>
    <cellStyle name="Currency 3 2 2 2 10 2" xfId="13083" xr:uid="{93F0075D-54AC-4184-8CB5-DAD89B8FDD7E}"/>
    <cellStyle name="Currency 3 2 2 2 10 3" xfId="21523" xr:uid="{064D25DE-CD49-4205-BFDA-1066FCB44390}"/>
    <cellStyle name="Currency 3 2 2 2 10 4" xfId="29963" xr:uid="{7D949A80-F3B9-4FFB-B51E-2481559C7CE6}"/>
    <cellStyle name="Currency 3 2 2 2 11" xfId="8865" xr:uid="{61FE5E07-68ED-4871-8A9F-A56EADBB5617}"/>
    <cellStyle name="Currency 3 2 2 2 12" xfId="17306" xr:uid="{75D7BF87-5C2D-4AFA-9B9B-37598258F1F8}"/>
    <cellStyle name="Currency 3 2 2 2 13" xfId="25746" xr:uid="{C6FCB2F2-1F29-4A78-B37C-3F350BB56A43}"/>
    <cellStyle name="Currency 3 2 2 2 2" xfId="180" xr:uid="{00000000-0005-0000-0000-0000A80A0000}"/>
    <cellStyle name="Currency 3 2 2 2 2 10" xfId="8866" xr:uid="{A6731812-A7E7-46EC-9EA2-B0626F02461B}"/>
    <cellStyle name="Currency 3 2 2 2 2 11" xfId="17307" xr:uid="{97FC59C9-668E-40F7-9EFB-5721742586C2}"/>
    <cellStyle name="Currency 3 2 2 2 2 12" xfId="25747" xr:uid="{14AB139E-E442-4606-92CA-E4BD7682974C}"/>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2 2 2" xfId="15643" xr:uid="{0FA8F646-8F4D-4F65-8F63-4C0679823A4E}"/>
    <cellStyle name="Currency 3 2 2 2 2 2 2 2 3" xfId="24083" xr:uid="{32D7CE92-D12B-4B98-896B-B3905710BD78}"/>
    <cellStyle name="Currency 3 2 2 2 2 2 2 2 4" xfId="32523" xr:uid="{3C6378A2-E48D-421D-8969-1F08DBC47281}"/>
    <cellStyle name="Currency 3 2 2 2 2 2 2 3" xfId="11425" xr:uid="{43CF7577-87B2-49F4-9923-AA1F1179066B}"/>
    <cellStyle name="Currency 3 2 2 2 2 2 2 4" xfId="19866" xr:uid="{592D5D4E-6FA8-4E31-8DA7-58897DAC615C}"/>
    <cellStyle name="Currency 3 2 2 2 2 2 2 5" xfId="28306" xr:uid="{C5596ECA-350B-47EC-91A9-9F0579F5F4C1}"/>
    <cellStyle name="Currency 3 2 2 2 2 2 3" xfId="5048" xr:uid="{00000000-0005-0000-0000-0000AC0A0000}"/>
    <cellStyle name="Currency 3 2 2 2 2 2 3 2" xfId="13498" xr:uid="{846C5BA6-DE49-450B-B06F-2A826C3365FA}"/>
    <cellStyle name="Currency 3 2 2 2 2 2 3 3" xfId="21938" xr:uid="{2E702BA6-A1CD-423D-BEFE-39F89D6B7291}"/>
    <cellStyle name="Currency 3 2 2 2 2 2 3 4" xfId="30378" xr:uid="{73DB54B7-0E67-48C3-9425-51271CC20532}"/>
    <cellStyle name="Currency 3 2 2 2 2 2 4" xfId="9280" xr:uid="{91E25D84-DB54-4CF4-B182-5776BCE5BC3D}"/>
    <cellStyle name="Currency 3 2 2 2 2 2 5" xfId="17721" xr:uid="{F62FF7A3-AFB4-4065-9311-E0EE894C8DAD}"/>
    <cellStyle name="Currency 3 2 2 2 2 2 6" xfId="26161" xr:uid="{EF527954-4695-4353-90F5-CF75DE21490B}"/>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2 2 2" xfId="16056" xr:uid="{EB574B7F-3BB8-422F-BBEC-0B4FBD0D2D7B}"/>
    <cellStyle name="Currency 3 2 2 2 2 3 2 2 3" xfId="24496" xr:uid="{6776CA4B-3158-4FE2-BDD1-58CC30E1B46A}"/>
    <cellStyle name="Currency 3 2 2 2 2 3 2 2 4" xfId="32936" xr:uid="{3546E9C3-6B3D-4258-B20A-487531F0BF62}"/>
    <cellStyle name="Currency 3 2 2 2 2 3 2 3" xfId="11838" xr:uid="{0CF7AD02-7D0C-429B-944F-234AF912EA7B}"/>
    <cellStyle name="Currency 3 2 2 2 2 3 2 4" xfId="20279" xr:uid="{4E76E94C-7A9D-4DBB-A955-CBE860215344}"/>
    <cellStyle name="Currency 3 2 2 2 2 3 2 5" xfId="28719" xr:uid="{875055CF-9451-4D33-9DDD-1C5B4A54CAB6}"/>
    <cellStyle name="Currency 3 2 2 2 2 3 3" xfId="5461" xr:uid="{00000000-0005-0000-0000-0000B00A0000}"/>
    <cellStyle name="Currency 3 2 2 2 2 3 3 2" xfId="13911" xr:uid="{3E11C208-E540-49CC-A79D-05F22A726D7D}"/>
    <cellStyle name="Currency 3 2 2 2 2 3 3 3" xfId="22351" xr:uid="{D1FDDC45-BC75-4342-8F86-C19F45F68CEE}"/>
    <cellStyle name="Currency 3 2 2 2 2 3 3 4" xfId="30791" xr:uid="{F3E76ED4-022E-4A75-BD0A-58945F5C7FE9}"/>
    <cellStyle name="Currency 3 2 2 2 2 3 4" xfId="9693" xr:uid="{8C1EB812-2989-4B2D-B8F3-7BA6377B9BF0}"/>
    <cellStyle name="Currency 3 2 2 2 2 3 5" xfId="18134" xr:uid="{B7449B9B-20AB-4ACD-913E-6F7CB48916C9}"/>
    <cellStyle name="Currency 3 2 2 2 2 3 6" xfId="26574" xr:uid="{41FFC680-F87A-4B85-B93B-88E8673DEC55}"/>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2 2 2" xfId="16469" xr:uid="{6D06F31E-9DCD-4CAD-80E5-142691169CE9}"/>
    <cellStyle name="Currency 3 2 2 2 2 4 2 2 3" xfId="24909" xr:uid="{2BD693CB-3539-4ECF-A71D-F3C35FBCB399}"/>
    <cellStyle name="Currency 3 2 2 2 2 4 2 2 4" xfId="33349" xr:uid="{FD099AAA-7FE2-44B7-89F7-57DA8D52E592}"/>
    <cellStyle name="Currency 3 2 2 2 2 4 2 3" xfId="12251" xr:uid="{D0FD3FF8-419E-4A33-9A45-CADE146A906C}"/>
    <cellStyle name="Currency 3 2 2 2 2 4 2 4" xfId="20692" xr:uid="{B25F35BB-7CA8-47BC-8AF4-9FE4F0C3AC97}"/>
    <cellStyle name="Currency 3 2 2 2 2 4 2 5" xfId="29132" xr:uid="{24372383-AFE2-49AC-8549-7837973FC45D}"/>
    <cellStyle name="Currency 3 2 2 2 2 4 3" xfId="5874" xr:uid="{00000000-0005-0000-0000-0000B40A0000}"/>
    <cellStyle name="Currency 3 2 2 2 2 4 3 2" xfId="14324" xr:uid="{5797243B-42FB-43FA-ADCC-0A89F88601F6}"/>
    <cellStyle name="Currency 3 2 2 2 2 4 3 3" xfId="22764" xr:uid="{CD1B6604-B23E-47AD-8181-C05D6AF4BB75}"/>
    <cellStyle name="Currency 3 2 2 2 2 4 3 4" xfId="31204" xr:uid="{21E746A5-9DD5-4422-8530-A2081C670F5C}"/>
    <cellStyle name="Currency 3 2 2 2 2 4 4" xfId="10106" xr:uid="{1838AA35-F3F6-493B-B757-A9AEDA386FCF}"/>
    <cellStyle name="Currency 3 2 2 2 2 4 5" xfId="18547" xr:uid="{FCEBB85F-0F61-4C96-B4FF-8814A1C6D926}"/>
    <cellStyle name="Currency 3 2 2 2 2 4 6" xfId="26987" xr:uid="{C742A5A4-2723-45EE-B361-6FF4C4F32B4A}"/>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2 2 2" xfId="16882" xr:uid="{746F081E-96FF-435B-8B0A-A8FDE76E7DF1}"/>
    <cellStyle name="Currency 3 2 2 2 2 5 2 2 3" xfId="25322" xr:uid="{8411025D-4E83-4924-9031-7A774EF0AD6A}"/>
    <cellStyle name="Currency 3 2 2 2 2 5 2 2 4" xfId="33762" xr:uid="{D0DDB659-4A3E-410A-B44E-328A7A406579}"/>
    <cellStyle name="Currency 3 2 2 2 2 5 2 3" xfId="12664" xr:uid="{A06119F7-33AC-4F85-BA6E-78305C2EF6C1}"/>
    <cellStyle name="Currency 3 2 2 2 2 5 2 4" xfId="21105" xr:uid="{931C74A0-784A-44A5-BEBA-CD4830B97046}"/>
    <cellStyle name="Currency 3 2 2 2 2 5 2 5" xfId="29545" xr:uid="{D2E67D83-0E0F-4502-ABE1-AFAE889091EF}"/>
    <cellStyle name="Currency 3 2 2 2 2 5 3" xfId="6287" xr:uid="{00000000-0005-0000-0000-0000B80A0000}"/>
    <cellStyle name="Currency 3 2 2 2 2 5 3 2" xfId="14737" xr:uid="{B493B481-18BE-47A5-A749-CEACE28FFB1B}"/>
    <cellStyle name="Currency 3 2 2 2 2 5 3 3" xfId="23177" xr:uid="{945D2630-1A6A-4807-8469-67B4BDC7AA4D}"/>
    <cellStyle name="Currency 3 2 2 2 2 5 3 4" xfId="31617" xr:uid="{C2C758B8-470B-4798-B0BD-B1FE02AAE9A8}"/>
    <cellStyle name="Currency 3 2 2 2 2 5 4" xfId="10519" xr:uid="{7475442C-09D0-4954-A2D9-B2891CA7DA07}"/>
    <cellStyle name="Currency 3 2 2 2 2 5 5" xfId="18960" xr:uid="{54DEEEC4-33A7-4D8A-BE26-8FE2BB307874}"/>
    <cellStyle name="Currency 3 2 2 2 2 5 6" xfId="27400" xr:uid="{62012CD6-9826-4B4D-9E4E-49C24D009327}"/>
    <cellStyle name="Currency 3 2 2 2 2 6" xfId="2416" xr:uid="{00000000-0005-0000-0000-0000B90A0000}"/>
    <cellStyle name="Currency 3 2 2 2 2 6 2" xfId="6700" xr:uid="{00000000-0005-0000-0000-0000BA0A0000}"/>
    <cellStyle name="Currency 3 2 2 2 2 6 2 2" xfId="15150" xr:uid="{5620447E-9A23-421A-9215-A94DDD1972D6}"/>
    <cellStyle name="Currency 3 2 2 2 2 6 2 3" xfId="23590" xr:uid="{0BF08272-ACEF-427C-A67D-06557C8EF125}"/>
    <cellStyle name="Currency 3 2 2 2 2 6 2 4" xfId="32030" xr:uid="{A43DC837-AC77-468E-9E8C-04D188542F7F}"/>
    <cellStyle name="Currency 3 2 2 2 2 6 3" xfId="10932" xr:uid="{9F22D0E4-8FFB-4E37-97A0-1D7A15010854}"/>
    <cellStyle name="Currency 3 2 2 2 2 6 4" xfId="19373" xr:uid="{7781B5D1-37CC-4AA5-BF85-8779AA659F21}"/>
    <cellStyle name="Currency 3 2 2 2 2 6 5" xfId="27813" xr:uid="{5ED0F39D-699F-4CE0-AEC3-DD18F76E2C1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8 2 2" xfId="15467" xr:uid="{882CB90E-FE5E-4D33-BA71-8E98C754139E}"/>
    <cellStyle name="Currency 3 2 2 2 2 8 2 3" xfId="23907" xr:uid="{FA6703B1-5AF2-49B0-B751-4EF5C432AD4E}"/>
    <cellStyle name="Currency 3 2 2 2 2 8 2 4" xfId="32347" xr:uid="{A8026CF6-2638-411C-9698-96C37C89D1F7}"/>
    <cellStyle name="Currency 3 2 2 2 2 8 3" xfId="11249" xr:uid="{622828BA-DCD3-438F-B920-A7794D2ED555}"/>
    <cellStyle name="Currency 3 2 2 2 2 8 4" xfId="19690" xr:uid="{B7F5672E-07D2-41F0-BB2E-28A7CB139DBB}"/>
    <cellStyle name="Currency 3 2 2 2 2 8 5" xfId="28130" xr:uid="{55843293-FF95-41A5-A3AE-E2C27E0833ED}"/>
    <cellStyle name="Currency 3 2 2 2 2 9" xfId="4634" xr:uid="{00000000-0005-0000-0000-0000BE0A0000}"/>
    <cellStyle name="Currency 3 2 2 2 2 9 2" xfId="13084" xr:uid="{51CE00F6-4532-4F65-B40E-3C8F71CE0DCC}"/>
    <cellStyle name="Currency 3 2 2 2 2 9 3" xfId="21524" xr:uid="{72993D7F-7084-4A65-8DE6-673DD1BA9F85}"/>
    <cellStyle name="Currency 3 2 2 2 2 9 4" xfId="29964" xr:uid="{FF1CA5F4-766D-4B06-B11C-96D87C027D47}"/>
    <cellStyle name="Currency 3 2 2 2 3" xfId="709" xr:uid="{00000000-0005-0000-0000-0000BF0A0000}"/>
    <cellStyle name="Currency 3 2 2 2 3 2" xfId="2970" xr:uid="{00000000-0005-0000-0000-0000C00A0000}"/>
    <cellStyle name="Currency 3 2 2 2 3 2 2" xfId="7192" xr:uid="{00000000-0005-0000-0000-0000C10A0000}"/>
    <cellStyle name="Currency 3 2 2 2 3 2 2 2" xfId="15642" xr:uid="{58A671C3-B861-4E8B-9517-D8249FE7B545}"/>
    <cellStyle name="Currency 3 2 2 2 3 2 2 3" xfId="24082" xr:uid="{73AECFAB-C4E9-444F-97E3-611ED64D8DE0}"/>
    <cellStyle name="Currency 3 2 2 2 3 2 2 4" xfId="32522" xr:uid="{725EC9CF-F141-48B3-A817-1971F5D28661}"/>
    <cellStyle name="Currency 3 2 2 2 3 2 3" xfId="11424" xr:uid="{4DCE3825-B629-46E0-ABEF-B940D5B9436C}"/>
    <cellStyle name="Currency 3 2 2 2 3 2 4" xfId="19865" xr:uid="{7B817DDB-C133-46AB-B508-49BB4FC6C88E}"/>
    <cellStyle name="Currency 3 2 2 2 3 2 5" xfId="28305" xr:uid="{2CE38BC1-9657-49D6-8360-830901FC19B3}"/>
    <cellStyle name="Currency 3 2 2 2 3 3" xfId="5047" xr:uid="{00000000-0005-0000-0000-0000C20A0000}"/>
    <cellStyle name="Currency 3 2 2 2 3 3 2" xfId="13497" xr:uid="{5A631F09-6CB4-4400-BA1F-811034B07059}"/>
    <cellStyle name="Currency 3 2 2 2 3 3 3" xfId="21937" xr:uid="{E775043F-1FAB-4596-8E56-924B54F2D501}"/>
    <cellStyle name="Currency 3 2 2 2 3 3 4" xfId="30377" xr:uid="{2F5A47A4-530C-4C0F-92D3-A723A6DFAFC0}"/>
    <cellStyle name="Currency 3 2 2 2 3 4" xfId="9279" xr:uid="{B743CB9C-EC97-466C-9399-0D229ABB9561}"/>
    <cellStyle name="Currency 3 2 2 2 3 5" xfId="17720" xr:uid="{30C05475-6B56-42D8-92A5-30FF38EAE6B9}"/>
    <cellStyle name="Currency 3 2 2 2 3 6" xfId="26160" xr:uid="{8F59140F-7179-435C-99B5-255B0F1B77CE}"/>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2 2 2" xfId="16055" xr:uid="{3F98239C-5CC5-44E8-8349-9C8FDD76443D}"/>
    <cellStyle name="Currency 3 2 2 2 4 2 2 3" xfId="24495" xr:uid="{81334FB4-015A-47A1-B27F-7759CC50C940}"/>
    <cellStyle name="Currency 3 2 2 2 4 2 2 4" xfId="32935" xr:uid="{45E988D6-D1E1-403C-8A28-06AC6E6DEBC9}"/>
    <cellStyle name="Currency 3 2 2 2 4 2 3" xfId="11837" xr:uid="{2F6E4E44-95C1-4213-98BB-E570D490D37C}"/>
    <cellStyle name="Currency 3 2 2 2 4 2 4" xfId="20278" xr:uid="{15EC5B2D-192D-4E1F-86BF-052A7FC3CE18}"/>
    <cellStyle name="Currency 3 2 2 2 4 2 5" xfId="28718" xr:uid="{AA255B61-B0BF-4D65-9347-4A61AC6FAF1A}"/>
    <cellStyle name="Currency 3 2 2 2 4 3" xfId="5460" xr:uid="{00000000-0005-0000-0000-0000C60A0000}"/>
    <cellStyle name="Currency 3 2 2 2 4 3 2" xfId="13910" xr:uid="{B304D6E6-6785-4A5C-B99F-0B48226641D9}"/>
    <cellStyle name="Currency 3 2 2 2 4 3 3" xfId="22350" xr:uid="{E3B65783-A4DD-4F2F-B533-41E22E5B1CF6}"/>
    <cellStyle name="Currency 3 2 2 2 4 3 4" xfId="30790" xr:uid="{637F756C-6AD9-49F1-9EB2-4CD9668179BB}"/>
    <cellStyle name="Currency 3 2 2 2 4 4" xfId="9692" xr:uid="{9DF59EDD-A0CD-48B8-B5B1-6006C1697FAE}"/>
    <cellStyle name="Currency 3 2 2 2 4 5" xfId="18133" xr:uid="{586E04E6-FAEA-4E6A-925B-8F3C6E80AEA6}"/>
    <cellStyle name="Currency 3 2 2 2 4 6" xfId="26573" xr:uid="{77CEAD4B-F87C-41CE-92B2-20889E527CB5}"/>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2 2 2" xfId="16468" xr:uid="{EE9C00CD-6F77-4EB6-8448-6174C491C0EC}"/>
    <cellStyle name="Currency 3 2 2 2 5 2 2 3" xfId="24908" xr:uid="{9E8A9FBF-1E73-4232-BD8F-B42D0A825187}"/>
    <cellStyle name="Currency 3 2 2 2 5 2 2 4" xfId="33348" xr:uid="{8704D4B7-04F0-45E9-AA0C-015100AE293C}"/>
    <cellStyle name="Currency 3 2 2 2 5 2 3" xfId="12250" xr:uid="{1E28A5F0-D352-4567-BDF6-BD397A07B2AB}"/>
    <cellStyle name="Currency 3 2 2 2 5 2 4" xfId="20691" xr:uid="{E72535F6-68E6-4E0E-8592-1C41C12FB9A1}"/>
    <cellStyle name="Currency 3 2 2 2 5 2 5" xfId="29131" xr:uid="{49BB89F3-6D23-49BF-868D-B1A6D551CBD1}"/>
    <cellStyle name="Currency 3 2 2 2 5 3" xfId="5873" xr:uid="{00000000-0005-0000-0000-0000CA0A0000}"/>
    <cellStyle name="Currency 3 2 2 2 5 3 2" xfId="14323" xr:uid="{781A5F3C-DEE1-4782-84B1-DF672D5CCAA5}"/>
    <cellStyle name="Currency 3 2 2 2 5 3 3" xfId="22763" xr:uid="{C5D63DF4-A77A-444B-B386-30D76B404623}"/>
    <cellStyle name="Currency 3 2 2 2 5 3 4" xfId="31203" xr:uid="{B921DC3E-576B-4321-ABC3-4C2B99081E72}"/>
    <cellStyle name="Currency 3 2 2 2 5 4" xfId="10105" xr:uid="{F15ADDE2-1213-4BBB-A376-286CF67FF946}"/>
    <cellStyle name="Currency 3 2 2 2 5 5" xfId="18546" xr:uid="{39583061-BF49-49A8-96B2-449218632A3B}"/>
    <cellStyle name="Currency 3 2 2 2 5 6" xfId="26986" xr:uid="{780582D5-7643-4B1E-BD34-5AEA42B4C6E2}"/>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2 2 2" xfId="16881" xr:uid="{CA86BB70-BA48-48E0-9419-8AEFC4B7E26D}"/>
    <cellStyle name="Currency 3 2 2 2 6 2 2 3" xfId="25321" xr:uid="{E8D1F0A7-A179-4DA4-9CB6-7713881FAF71}"/>
    <cellStyle name="Currency 3 2 2 2 6 2 2 4" xfId="33761" xr:uid="{8224D043-EBA6-4AC2-A485-963E7A6C63CB}"/>
    <cellStyle name="Currency 3 2 2 2 6 2 3" xfId="12663" xr:uid="{C40D520F-D38A-45AA-B976-8D7AB1ABBA72}"/>
    <cellStyle name="Currency 3 2 2 2 6 2 4" xfId="21104" xr:uid="{C1C39737-9817-4A8F-86BC-AAEEDA639479}"/>
    <cellStyle name="Currency 3 2 2 2 6 2 5" xfId="29544" xr:uid="{6CF76AEE-494A-460D-8DF6-4FACA0899721}"/>
    <cellStyle name="Currency 3 2 2 2 6 3" xfId="6286" xr:uid="{00000000-0005-0000-0000-0000CE0A0000}"/>
    <cellStyle name="Currency 3 2 2 2 6 3 2" xfId="14736" xr:uid="{9702D288-6892-4882-8AAC-46830816056A}"/>
    <cellStyle name="Currency 3 2 2 2 6 3 3" xfId="23176" xr:uid="{CB8CE437-AF7C-43E1-879B-08C83124ACDD}"/>
    <cellStyle name="Currency 3 2 2 2 6 3 4" xfId="31616" xr:uid="{FD929642-1D64-41D1-9133-9D20333E60F8}"/>
    <cellStyle name="Currency 3 2 2 2 6 4" xfId="10518" xr:uid="{EFE18B83-111A-43BB-9973-5A3263D3F6B0}"/>
    <cellStyle name="Currency 3 2 2 2 6 5" xfId="18959" xr:uid="{2345367F-5FAF-4555-97D2-94F5228D930B}"/>
    <cellStyle name="Currency 3 2 2 2 6 6" xfId="27399" xr:uid="{5C4D37F3-2B71-4851-8853-A5A375022E91}"/>
    <cellStyle name="Currency 3 2 2 2 7" xfId="2415" xr:uid="{00000000-0005-0000-0000-0000CF0A0000}"/>
    <cellStyle name="Currency 3 2 2 2 7 2" xfId="6699" xr:uid="{00000000-0005-0000-0000-0000D00A0000}"/>
    <cellStyle name="Currency 3 2 2 2 7 2 2" xfId="15149" xr:uid="{77D99B38-EB08-4648-9FC0-683BCE5A18AB}"/>
    <cellStyle name="Currency 3 2 2 2 7 2 3" xfId="23589" xr:uid="{D8D5A146-6855-490E-AD1C-AF229BE03DF4}"/>
    <cellStyle name="Currency 3 2 2 2 7 2 4" xfId="32029" xr:uid="{9774F7D7-81EA-445B-9D4C-810D1A3D0D14}"/>
    <cellStyle name="Currency 3 2 2 2 7 3" xfId="10931" xr:uid="{0A7FA9D9-B367-4D1D-8C3F-31DB334138A9}"/>
    <cellStyle name="Currency 3 2 2 2 7 4" xfId="19372" xr:uid="{C00AE39C-9267-46AA-A774-CFAE2C50137E}"/>
    <cellStyle name="Currency 3 2 2 2 7 5" xfId="27812" xr:uid="{CD2DA7C0-6402-4830-AC34-2A445EE23B78}"/>
    <cellStyle name="Currency 3 2 2 2 8" xfId="2712" xr:uid="{00000000-0005-0000-0000-0000D10A0000}"/>
    <cellStyle name="Currency 3 2 2 2 9" xfId="2793" xr:uid="{00000000-0005-0000-0000-0000D20A0000}"/>
    <cellStyle name="Currency 3 2 2 2 9 2" xfId="7016" xr:uid="{00000000-0005-0000-0000-0000D30A0000}"/>
    <cellStyle name="Currency 3 2 2 2 9 2 2" xfId="15466" xr:uid="{2F248196-1306-4994-97C8-3B5DA7B0692E}"/>
    <cellStyle name="Currency 3 2 2 2 9 2 3" xfId="23906" xr:uid="{3FC9A783-E514-480A-A6FD-CFA913945027}"/>
    <cellStyle name="Currency 3 2 2 2 9 2 4" xfId="32346" xr:uid="{2AEACEDC-CD5C-40EE-AF56-873E4D0C47DF}"/>
    <cellStyle name="Currency 3 2 2 2 9 3" xfId="11248" xr:uid="{EF8F51E3-A273-44A0-8AEA-FF4C3496EABF}"/>
    <cellStyle name="Currency 3 2 2 2 9 4" xfId="19689" xr:uid="{8187DE0F-BD07-4D0A-ACED-65AD520E0E09}"/>
    <cellStyle name="Currency 3 2 2 2 9 5" xfId="28129" xr:uid="{24C8BCC3-DB8B-40F6-B4D8-0A957383E240}"/>
    <cellStyle name="Currency 3 2 2 3" xfId="181" xr:uid="{00000000-0005-0000-0000-0000D40A0000}"/>
    <cellStyle name="Currency 3 2 2 3 10" xfId="8867" xr:uid="{7126719D-8F9F-4D3A-8110-E534C4CB4E74}"/>
    <cellStyle name="Currency 3 2 2 3 11" xfId="17308" xr:uid="{430A7053-0DBA-411A-A4D8-D3427346DF6F}"/>
    <cellStyle name="Currency 3 2 2 3 12" xfId="25748" xr:uid="{C72110C2-14FF-40A4-AE3B-E36EFFA9DDED}"/>
    <cellStyle name="Currency 3 2 2 3 2" xfId="711" xr:uid="{00000000-0005-0000-0000-0000D50A0000}"/>
    <cellStyle name="Currency 3 2 2 3 2 2" xfId="2972" xr:uid="{00000000-0005-0000-0000-0000D60A0000}"/>
    <cellStyle name="Currency 3 2 2 3 2 2 2" xfId="7194" xr:uid="{00000000-0005-0000-0000-0000D70A0000}"/>
    <cellStyle name="Currency 3 2 2 3 2 2 2 2" xfId="15644" xr:uid="{29217316-962E-46A8-8D48-C94DF7F45B5C}"/>
    <cellStyle name="Currency 3 2 2 3 2 2 2 3" xfId="24084" xr:uid="{4EA8B775-14BB-4536-8FE6-7DAAE51EB2CE}"/>
    <cellStyle name="Currency 3 2 2 3 2 2 2 4" xfId="32524" xr:uid="{E25524DB-EEDB-491C-889B-FE8D98D9E951}"/>
    <cellStyle name="Currency 3 2 2 3 2 2 3" xfId="11426" xr:uid="{96F18909-68E3-4CE3-9D25-EAA61D1565C8}"/>
    <cellStyle name="Currency 3 2 2 3 2 2 4" xfId="19867" xr:uid="{14467639-4E3B-43C2-9F12-FBA53304AC39}"/>
    <cellStyle name="Currency 3 2 2 3 2 2 5" xfId="28307" xr:uid="{DDE1D2C9-651E-425E-BE5B-1C6B3E7C7E8D}"/>
    <cellStyle name="Currency 3 2 2 3 2 3" xfId="5049" xr:uid="{00000000-0005-0000-0000-0000D80A0000}"/>
    <cellStyle name="Currency 3 2 2 3 2 3 2" xfId="13499" xr:uid="{9FC83D48-CD67-498B-8059-7BB4318C2256}"/>
    <cellStyle name="Currency 3 2 2 3 2 3 3" xfId="21939" xr:uid="{E9480A76-5D1F-40FB-ADA6-872BBC30DC18}"/>
    <cellStyle name="Currency 3 2 2 3 2 3 4" xfId="30379" xr:uid="{A6E3CF80-5490-481E-B743-5AED037EF81A}"/>
    <cellStyle name="Currency 3 2 2 3 2 4" xfId="9281" xr:uid="{0AAF834D-2A24-40E4-B668-8434C6106865}"/>
    <cellStyle name="Currency 3 2 2 3 2 5" xfId="17722" xr:uid="{6F7E0521-FD87-49A4-A454-AEFBE7164E99}"/>
    <cellStyle name="Currency 3 2 2 3 2 6" xfId="26162" xr:uid="{282333F0-6572-4659-8B47-C6D6920C72B3}"/>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2 2 2" xfId="16057" xr:uid="{3F750A49-B3C3-417E-943F-12F85AAF6E12}"/>
    <cellStyle name="Currency 3 2 2 3 3 2 2 3" xfId="24497" xr:uid="{F2B39920-FBEF-4E77-98BF-C5BAD16E26E5}"/>
    <cellStyle name="Currency 3 2 2 3 3 2 2 4" xfId="32937" xr:uid="{C1B29AAE-3BB1-460C-A789-21C1F51DFF9C}"/>
    <cellStyle name="Currency 3 2 2 3 3 2 3" xfId="11839" xr:uid="{DA03BFC7-B61D-45C0-9E71-6BCEA0D0F9B3}"/>
    <cellStyle name="Currency 3 2 2 3 3 2 4" xfId="20280" xr:uid="{86EC4745-AAA7-489F-A914-70F1A68493B5}"/>
    <cellStyle name="Currency 3 2 2 3 3 2 5" xfId="28720" xr:uid="{FBCB67A4-4053-47C3-B4BA-DBC212ABF1D9}"/>
    <cellStyle name="Currency 3 2 2 3 3 3" xfId="5462" xr:uid="{00000000-0005-0000-0000-0000DC0A0000}"/>
    <cellStyle name="Currency 3 2 2 3 3 3 2" xfId="13912" xr:uid="{9FFFC153-51D8-484E-B1E8-8430C47D58D4}"/>
    <cellStyle name="Currency 3 2 2 3 3 3 3" xfId="22352" xr:uid="{61839554-EF90-46F6-ACFB-2B85243E96E1}"/>
    <cellStyle name="Currency 3 2 2 3 3 3 4" xfId="30792" xr:uid="{1E9C0676-0800-4393-98B3-1E7AB792D496}"/>
    <cellStyle name="Currency 3 2 2 3 3 4" xfId="9694" xr:uid="{BF7F12B8-9B4E-4EEA-B3D7-A512F5DEDCC2}"/>
    <cellStyle name="Currency 3 2 2 3 3 5" xfId="18135" xr:uid="{D1BD9D05-6DBC-403C-AC19-3E69B100DBE5}"/>
    <cellStyle name="Currency 3 2 2 3 3 6" xfId="26575" xr:uid="{D4FD6A48-62A1-489C-8CED-12E2E86F3E0F}"/>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2 2 2" xfId="16470" xr:uid="{4A18632D-9F9D-4C37-93DB-19D27C492E8C}"/>
    <cellStyle name="Currency 3 2 2 3 4 2 2 3" xfId="24910" xr:uid="{786F4AE5-0F63-45FB-81E2-93F84EE6EB4C}"/>
    <cellStyle name="Currency 3 2 2 3 4 2 2 4" xfId="33350" xr:uid="{A0B4BACC-557E-454E-8DF9-0CEB0A473D73}"/>
    <cellStyle name="Currency 3 2 2 3 4 2 3" xfId="12252" xr:uid="{197ACB64-225F-42CC-9A48-390B23D46B08}"/>
    <cellStyle name="Currency 3 2 2 3 4 2 4" xfId="20693" xr:uid="{05293552-6471-4EEF-B7BF-22F5BDA1D3F6}"/>
    <cellStyle name="Currency 3 2 2 3 4 2 5" xfId="29133" xr:uid="{17A97B6A-D1D3-4244-AFD5-A9A87D66B6D3}"/>
    <cellStyle name="Currency 3 2 2 3 4 3" xfId="5875" xr:uid="{00000000-0005-0000-0000-0000E00A0000}"/>
    <cellStyle name="Currency 3 2 2 3 4 3 2" xfId="14325" xr:uid="{DFB7A4C5-B48E-4714-AE8E-66EB9F5694BA}"/>
    <cellStyle name="Currency 3 2 2 3 4 3 3" xfId="22765" xr:uid="{F8F8DA2A-2E0C-4218-B822-B2BC05D03D9B}"/>
    <cellStyle name="Currency 3 2 2 3 4 3 4" xfId="31205" xr:uid="{A59596BF-8B85-4CB8-BCC0-9530B194B522}"/>
    <cellStyle name="Currency 3 2 2 3 4 4" xfId="10107" xr:uid="{D431FCFB-7E6C-40D3-AF01-51F2D6AA06E3}"/>
    <cellStyle name="Currency 3 2 2 3 4 5" xfId="18548" xr:uid="{A3924B05-335E-4849-BDE8-C18FEEA65553}"/>
    <cellStyle name="Currency 3 2 2 3 4 6" xfId="26988" xr:uid="{D2F954BB-463F-4396-9738-8ABB8993DB98}"/>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2 2 2" xfId="16883" xr:uid="{B7448E3C-F9CE-407E-A00F-1D69F0EB2E5A}"/>
    <cellStyle name="Currency 3 2 2 3 5 2 2 3" xfId="25323" xr:uid="{0536F8DD-A8FF-49E2-85DC-25E80FBE19DE}"/>
    <cellStyle name="Currency 3 2 2 3 5 2 2 4" xfId="33763" xr:uid="{0432F6E4-AB82-430C-AE96-2012D64B7DCB}"/>
    <cellStyle name="Currency 3 2 2 3 5 2 3" xfId="12665" xr:uid="{70B620D8-37D7-4AC2-8120-C05487B5321C}"/>
    <cellStyle name="Currency 3 2 2 3 5 2 4" xfId="21106" xr:uid="{98BE25C7-0E2E-49B4-BBD6-833FB3476892}"/>
    <cellStyle name="Currency 3 2 2 3 5 2 5" xfId="29546" xr:uid="{F7EE8389-25B5-4C1A-9CC7-442D4689679C}"/>
    <cellStyle name="Currency 3 2 2 3 5 3" xfId="6288" xr:uid="{00000000-0005-0000-0000-0000E40A0000}"/>
    <cellStyle name="Currency 3 2 2 3 5 3 2" xfId="14738" xr:uid="{4FD12AA1-2572-4D72-9136-FE819F0949EF}"/>
    <cellStyle name="Currency 3 2 2 3 5 3 3" xfId="23178" xr:uid="{F2D4D392-8557-4F50-B651-4DAD0120952F}"/>
    <cellStyle name="Currency 3 2 2 3 5 3 4" xfId="31618" xr:uid="{BAB9091E-8A8E-40A1-AFC7-7F9ABB0349F0}"/>
    <cellStyle name="Currency 3 2 2 3 5 4" xfId="10520" xr:uid="{F8E7BF04-D80B-4BD4-8124-3470DA5B2EDE}"/>
    <cellStyle name="Currency 3 2 2 3 5 5" xfId="18961" xr:uid="{29EDA55B-DFD4-435B-9FB1-C5865221067F}"/>
    <cellStyle name="Currency 3 2 2 3 5 6" xfId="27401" xr:uid="{E8BD4034-0D2A-4B2B-ACFD-8E7F4073B62B}"/>
    <cellStyle name="Currency 3 2 2 3 6" xfId="2417" xr:uid="{00000000-0005-0000-0000-0000E50A0000}"/>
    <cellStyle name="Currency 3 2 2 3 6 2" xfId="6701" xr:uid="{00000000-0005-0000-0000-0000E60A0000}"/>
    <cellStyle name="Currency 3 2 2 3 6 2 2" xfId="15151" xr:uid="{FE15107C-669C-4AF4-A893-03F1E013B674}"/>
    <cellStyle name="Currency 3 2 2 3 6 2 3" xfId="23591" xr:uid="{A13C37F4-AF2B-4D68-8C38-8018EBBA65BC}"/>
    <cellStyle name="Currency 3 2 2 3 6 2 4" xfId="32031" xr:uid="{6211E572-EFE4-4DED-AA53-AF3A4617CFDC}"/>
    <cellStyle name="Currency 3 2 2 3 6 3" xfId="10933" xr:uid="{3D8201DF-E05F-46B1-B12F-279BB2CD7601}"/>
    <cellStyle name="Currency 3 2 2 3 6 4" xfId="19374" xr:uid="{125B3091-5019-4A86-A6C7-BFDB33BE7D87}"/>
    <cellStyle name="Currency 3 2 2 3 6 5" xfId="27814" xr:uid="{4A244E01-707E-40EB-82EB-89707B394600}"/>
    <cellStyle name="Currency 3 2 2 3 7" xfId="2714" xr:uid="{00000000-0005-0000-0000-0000E70A0000}"/>
    <cellStyle name="Currency 3 2 2 3 8" xfId="2795" xr:uid="{00000000-0005-0000-0000-0000E80A0000}"/>
    <cellStyle name="Currency 3 2 2 3 8 2" xfId="7018" xr:uid="{00000000-0005-0000-0000-0000E90A0000}"/>
    <cellStyle name="Currency 3 2 2 3 8 2 2" xfId="15468" xr:uid="{915C9392-37A9-469F-868E-DD43E882388C}"/>
    <cellStyle name="Currency 3 2 2 3 8 2 3" xfId="23908" xr:uid="{B2F2B39D-022B-403A-A242-7790259E4A88}"/>
    <cellStyle name="Currency 3 2 2 3 8 2 4" xfId="32348" xr:uid="{F9DE16EA-4C68-45D1-AAB7-37001D67B22C}"/>
    <cellStyle name="Currency 3 2 2 3 8 3" xfId="11250" xr:uid="{F4B8B35A-1E8F-464B-B47B-1068DDC4CB0E}"/>
    <cellStyle name="Currency 3 2 2 3 8 4" xfId="19691" xr:uid="{5C447FEC-A573-4E5B-8128-82C17F775E43}"/>
    <cellStyle name="Currency 3 2 2 3 8 5" xfId="28131" xr:uid="{7B411EC7-86B7-425C-8F78-4C6C981240EB}"/>
    <cellStyle name="Currency 3 2 2 3 9" xfId="4635" xr:uid="{00000000-0005-0000-0000-0000EA0A0000}"/>
    <cellStyle name="Currency 3 2 2 3 9 2" xfId="13085" xr:uid="{A2195397-6F6E-49F3-8BF9-2A83044B3C0E}"/>
    <cellStyle name="Currency 3 2 2 3 9 3" xfId="21525" xr:uid="{00F2DCC8-2AD5-4372-BF47-37052A8F59C6}"/>
    <cellStyle name="Currency 3 2 2 3 9 4" xfId="29965" xr:uid="{E43B94F6-4D21-442E-8B99-58FC91376918}"/>
    <cellStyle name="Currency 3 2 2 4" xfId="708" xr:uid="{00000000-0005-0000-0000-0000EB0A0000}"/>
    <cellStyle name="Currency 3 2 2 4 2" xfId="2969" xr:uid="{00000000-0005-0000-0000-0000EC0A0000}"/>
    <cellStyle name="Currency 3 2 2 4 2 2" xfId="7191" xr:uid="{00000000-0005-0000-0000-0000ED0A0000}"/>
    <cellStyle name="Currency 3 2 2 4 2 2 2" xfId="15641" xr:uid="{90C6E3D1-2ECE-4678-B778-0C916F457983}"/>
    <cellStyle name="Currency 3 2 2 4 2 2 3" xfId="24081" xr:uid="{35A0A092-E280-45EA-9A56-762B0799D09C}"/>
    <cellStyle name="Currency 3 2 2 4 2 2 4" xfId="32521" xr:uid="{209F2B99-BE71-45B9-9578-5A96CC90AE3A}"/>
    <cellStyle name="Currency 3 2 2 4 2 3" xfId="11423" xr:uid="{2302A542-EAF3-47ED-B8EF-C5BC7B8337DB}"/>
    <cellStyle name="Currency 3 2 2 4 2 4" xfId="19864" xr:uid="{7824A851-D5B4-43CB-AA1F-D7A7E9236194}"/>
    <cellStyle name="Currency 3 2 2 4 2 5" xfId="28304" xr:uid="{3FA17633-7D32-45B5-B94B-A91C6EB49CA8}"/>
    <cellStyle name="Currency 3 2 2 4 3" xfId="5046" xr:uid="{00000000-0005-0000-0000-0000EE0A0000}"/>
    <cellStyle name="Currency 3 2 2 4 3 2" xfId="13496" xr:uid="{8ECF2D29-4FA2-4902-9834-9BAC2474AF63}"/>
    <cellStyle name="Currency 3 2 2 4 3 3" xfId="21936" xr:uid="{04DD7E41-75F4-493F-9E14-A28A13A677E6}"/>
    <cellStyle name="Currency 3 2 2 4 3 4" xfId="30376" xr:uid="{87E88C5A-BD59-4819-A7FE-A76756EB27D0}"/>
    <cellStyle name="Currency 3 2 2 4 4" xfId="9278" xr:uid="{F684C7BF-6BAF-4BBC-8F9F-FFE5347CD68E}"/>
    <cellStyle name="Currency 3 2 2 4 5" xfId="17719" xr:uid="{DC0FF7D5-F343-4D57-99F1-363F4150F9B3}"/>
    <cellStyle name="Currency 3 2 2 4 6" xfId="26159" xr:uid="{05FFF52C-52EF-4A66-98CF-C14C3E777EC9}"/>
    <cellStyle name="Currency 3 2 2 5" xfId="1151" xr:uid="{00000000-0005-0000-0000-0000EF0A0000}"/>
    <cellStyle name="Currency 3 2 2 5 2" xfId="3382" xr:uid="{00000000-0005-0000-0000-0000F00A0000}"/>
    <cellStyle name="Currency 3 2 2 5 2 2" xfId="7604" xr:uid="{00000000-0005-0000-0000-0000F10A0000}"/>
    <cellStyle name="Currency 3 2 2 5 2 2 2" xfId="16054" xr:uid="{B606CF79-C6CB-4780-A475-A7AFF28E38A3}"/>
    <cellStyle name="Currency 3 2 2 5 2 2 3" xfId="24494" xr:uid="{ECCC88AD-AF95-4621-BBA8-027343FAE769}"/>
    <cellStyle name="Currency 3 2 2 5 2 2 4" xfId="32934" xr:uid="{8371616A-DD6D-49CE-ADAE-08D9C877E77B}"/>
    <cellStyle name="Currency 3 2 2 5 2 3" xfId="11836" xr:uid="{FB18027B-3F6C-40FC-9FE0-32027A21B072}"/>
    <cellStyle name="Currency 3 2 2 5 2 4" xfId="20277" xr:uid="{BD8EA08F-58BB-40A9-A42E-39E6D309B30B}"/>
    <cellStyle name="Currency 3 2 2 5 2 5" xfId="28717" xr:uid="{21442DF1-7443-4209-84C6-7FE4644C49C4}"/>
    <cellStyle name="Currency 3 2 2 5 3" xfId="5459" xr:uid="{00000000-0005-0000-0000-0000F20A0000}"/>
    <cellStyle name="Currency 3 2 2 5 3 2" xfId="13909" xr:uid="{E77773FD-99C9-4690-8F71-941B45A48783}"/>
    <cellStyle name="Currency 3 2 2 5 3 3" xfId="22349" xr:uid="{898C2CFB-6D86-4FCA-909F-4415EF3355E7}"/>
    <cellStyle name="Currency 3 2 2 5 3 4" xfId="30789" xr:uid="{5EFC70A4-9514-4256-99C6-39DA558E387A}"/>
    <cellStyle name="Currency 3 2 2 5 4" xfId="9691" xr:uid="{B01E34FF-6F6A-4116-B982-2633569F2DC9}"/>
    <cellStyle name="Currency 3 2 2 5 5" xfId="18132" xr:uid="{8BDC6AA3-4015-4CF7-949C-48AF6AEF196B}"/>
    <cellStyle name="Currency 3 2 2 5 6" xfId="26572" xr:uid="{14DF3DCB-17E1-4BEA-B444-FB458ACC713B}"/>
    <cellStyle name="Currency 3 2 2 6" xfId="1565" xr:uid="{00000000-0005-0000-0000-0000F30A0000}"/>
    <cellStyle name="Currency 3 2 2 6 2" xfId="3795" xr:uid="{00000000-0005-0000-0000-0000F40A0000}"/>
    <cellStyle name="Currency 3 2 2 6 2 2" xfId="8017" xr:uid="{00000000-0005-0000-0000-0000F50A0000}"/>
    <cellStyle name="Currency 3 2 2 6 2 2 2" xfId="16467" xr:uid="{5C17E941-07EE-44BD-A12A-A226CE0B1556}"/>
    <cellStyle name="Currency 3 2 2 6 2 2 3" xfId="24907" xr:uid="{804244DC-A9C2-4F1C-AF32-E36F274477DD}"/>
    <cellStyle name="Currency 3 2 2 6 2 2 4" xfId="33347" xr:uid="{1E2EE725-6737-4B03-8CA8-21003A37C5F9}"/>
    <cellStyle name="Currency 3 2 2 6 2 3" xfId="12249" xr:uid="{D4FC8FC8-6FF4-4DB5-B19D-D93CC72782D1}"/>
    <cellStyle name="Currency 3 2 2 6 2 4" xfId="20690" xr:uid="{D23FAD2C-94BF-4578-86B4-925231B2C4CA}"/>
    <cellStyle name="Currency 3 2 2 6 2 5" xfId="29130" xr:uid="{000F327E-3DE5-4574-873C-79D1FF3BAE7B}"/>
    <cellStyle name="Currency 3 2 2 6 3" xfId="5872" xr:uid="{00000000-0005-0000-0000-0000F60A0000}"/>
    <cellStyle name="Currency 3 2 2 6 3 2" xfId="14322" xr:uid="{F27C2374-293F-405C-A9CD-CD3DEF4E4C72}"/>
    <cellStyle name="Currency 3 2 2 6 3 3" xfId="22762" xr:uid="{DCD99191-2F7D-4EFC-9E13-33358D926C3D}"/>
    <cellStyle name="Currency 3 2 2 6 3 4" xfId="31202" xr:uid="{D57073DB-700D-4619-9BDD-5741F698C64C}"/>
    <cellStyle name="Currency 3 2 2 6 4" xfId="10104" xr:uid="{1BB458CD-381D-4225-B9EF-1ED58C6375A7}"/>
    <cellStyle name="Currency 3 2 2 6 5" xfId="18545" xr:uid="{E7B11847-935D-4E19-B546-F4559C783984}"/>
    <cellStyle name="Currency 3 2 2 6 6" xfId="26985" xr:uid="{94EA6E77-710B-4C5B-BC3C-C5BAFF32B720}"/>
    <cellStyle name="Currency 3 2 2 7" xfId="1979" xr:uid="{00000000-0005-0000-0000-0000F70A0000}"/>
    <cellStyle name="Currency 3 2 2 7 2" xfId="4208" xr:uid="{00000000-0005-0000-0000-0000F80A0000}"/>
    <cellStyle name="Currency 3 2 2 7 2 2" xfId="8430" xr:uid="{00000000-0005-0000-0000-0000F90A0000}"/>
    <cellStyle name="Currency 3 2 2 7 2 2 2" xfId="16880" xr:uid="{27DBF843-11B4-4760-B55B-5BEC6BF0D638}"/>
    <cellStyle name="Currency 3 2 2 7 2 2 3" xfId="25320" xr:uid="{034EDECF-98E5-4159-A955-B8EB33F271B4}"/>
    <cellStyle name="Currency 3 2 2 7 2 2 4" xfId="33760" xr:uid="{B6447567-61FA-4D0D-B225-10E890D4621C}"/>
    <cellStyle name="Currency 3 2 2 7 2 3" xfId="12662" xr:uid="{6373E512-21A1-48EA-AC03-DE01CFC9385A}"/>
    <cellStyle name="Currency 3 2 2 7 2 4" xfId="21103" xr:uid="{5059F5C0-8F56-48CE-978C-1E9AE5FB0C5D}"/>
    <cellStyle name="Currency 3 2 2 7 2 5" xfId="29543" xr:uid="{B616D9D2-283C-477A-BA76-7075BEA96E99}"/>
    <cellStyle name="Currency 3 2 2 7 3" xfId="6285" xr:uid="{00000000-0005-0000-0000-0000FA0A0000}"/>
    <cellStyle name="Currency 3 2 2 7 3 2" xfId="14735" xr:uid="{1A2C9970-55F8-4D25-BE55-B9D8A6CD32ED}"/>
    <cellStyle name="Currency 3 2 2 7 3 3" xfId="23175" xr:uid="{9F14EA38-12B9-4B97-884F-0E5615F150B3}"/>
    <cellStyle name="Currency 3 2 2 7 3 4" xfId="31615" xr:uid="{CA38D0B3-F2D5-4E73-96AB-4E5BB0C1620D}"/>
    <cellStyle name="Currency 3 2 2 7 4" xfId="10517" xr:uid="{E6B7F08E-39AD-4991-BD64-390652814461}"/>
    <cellStyle name="Currency 3 2 2 7 5" xfId="18958" xr:uid="{3A0F7C92-B82A-42A7-985E-52F98F98F819}"/>
    <cellStyle name="Currency 3 2 2 7 6" xfId="27398" xr:uid="{E10455B6-67BA-4348-917C-0C729C809C66}"/>
    <cellStyle name="Currency 3 2 2 8" xfId="2414" xr:uid="{00000000-0005-0000-0000-0000FB0A0000}"/>
    <cellStyle name="Currency 3 2 2 8 2" xfId="6698" xr:uid="{00000000-0005-0000-0000-0000FC0A0000}"/>
    <cellStyle name="Currency 3 2 2 8 2 2" xfId="15148" xr:uid="{E7B7B5F0-A246-4C61-A670-FBF8D955FEAC}"/>
    <cellStyle name="Currency 3 2 2 8 2 3" xfId="23588" xr:uid="{2FDF537D-AF4E-4EFC-844C-18BA2714DDCF}"/>
    <cellStyle name="Currency 3 2 2 8 2 4" xfId="32028" xr:uid="{7EA976EC-F414-478F-92B8-38C07BB03E75}"/>
    <cellStyle name="Currency 3 2 2 8 3" xfId="10930" xr:uid="{D3FD7F78-0650-4D0C-9BE0-178E6A58272E}"/>
    <cellStyle name="Currency 3 2 2 8 4" xfId="19371" xr:uid="{55209154-1BC1-4792-AACE-A1EE91C6E650}"/>
    <cellStyle name="Currency 3 2 2 8 5" xfId="27811" xr:uid="{CE62AC8C-838E-421F-B44E-AC9F141301A1}"/>
    <cellStyle name="Currency 3 2 2 9" xfId="2711" xr:uid="{00000000-0005-0000-0000-0000FD0A0000}"/>
    <cellStyle name="Currency 3 2 3" xfId="182" xr:uid="{00000000-0005-0000-0000-0000FE0A0000}"/>
    <cellStyle name="Currency 3 2 3 10" xfId="4636" xr:uid="{00000000-0005-0000-0000-0000FF0A0000}"/>
    <cellStyle name="Currency 3 2 3 10 2" xfId="13086" xr:uid="{788604ED-9B9B-4A09-814E-377D976A3D53}"/>
    <cellStyle name="Currency 3 2 3 10 3" xfId="21526" xr:uid="{29000F7A-E0F0-4E17-943F-706DE81E6FB2}"/>
    <cellStyle name="Currency 3 2 3 10 4" xfId="29966" xr:uid="{B1D4F2F9-9C9D-4F3E-84E6-25B2F98E96DB}"/>
    <cellStyle name="Currency 3 2 3 11" xfId="8868" xr:uid="{77922597-68AF-40C6-B766-549C1E4403DC}"/>
    <cellStyle name="Currency 3 2 3 12" xfId="17309" xr:uid="{33E4F5E2-B330-4F94-8233-500C28624D80}"/>
    <cellStyle name="Currency 3 2 3 13" xfId="25749" xr:uid="{7A927E70-56B8-443A-ABC1-93BF59385C7C}"/>
    <cellStyle name="Currency 3 2 3 2" xfId="183" xr:uid="{00000000-0005-0000-0000-0000000B0000}"/>
    <cellStyle name="Currency 3 2 3 2 10" xfId="8869" xr:uid="{98E3D533-8199-4C21-B061-27926BDFB1B7}"/>
    <cellStyle name="Currency 3 2 3 2 11" xfId="17310" xr:uid="{F54A22E2-60B2-43D7-A94B-A863998FFBC2}"/>
    <cellStyle name="Currency 3 2 3 2 12" xfId="25750" xr:uid="{75CD84E3-385C-45EC-9150-2EDC3DA42B43}"/>
    <cellStyle name="Currency 3 2 3 2 2" xfId="713" xr:uid="{00000000-0005-0000-0000-0000010B0000}"/>
    <cellStyle name="Currency 3 2 3 2 2 2" xfId="2974" xr:uid="{00000000-0005-0000-0000-0000020B0000}"/>
    <cellStyle name="Currency 3 2 3 2 2 2 2" xfId="7196" xr:uid="{00000000-0005-0000-0000-0000030B0000}"/>
    <cellStyle name="Currency 3 2 3 2 2 2 2 2" xfId="15646" xr:uid="{7FD7AAEA-E90C-4A49-8D4D-44D89EDC744F}"/>
    <cellStyle name="Currency 3 2 3 2 2 2 2 3" xfId="24086" xr:uid="{835FE1BE-6243-41AC-8B14-8BE3EFDFE080}"/>
    <cellStyle name="Currency 3 2 3 2 2 2 2 4" xfId="32526" xr:uid="{66D90A91-3AD4-45C6-8474-58B7F9749BCD}"/>
    <cellStyle name="Currency 3 2 3 2 2 2 3" xfId="11428" xr:uid="{66B160B7-7563-424C-97AE-F0AE3FD29A18}"/>
    <cellStyle name="Currency 3 2 3 2 2 2 4" xfId="19869" xr:uid="{26CEFBE6-B4AD-4E88-AB70-7108F323BD28}"/>
    <cellStyle name="Currency 3 2 3 2 2 2 5" xfId="28309" xr:uid="{049ACBF6-6F65-4C4B-A66E-7EE33A809F56}"/>
    <cellStyle name="Currency 3 2 3 2 2 3" xfId="5051" xr:uid="{00000000-0005-0000-0000-0000040B0000}"/>
    <cellStyle name="Currency 3 2 3 2 2 3 2" xfId="13501" xr:uid="{2175B781-209A-4EEA-AFC8-B4DFC4DFB0F3}"/>
    <cellStyle name="Currency 3 2 3 2 2 3 3" xfId="21941" xr:uid="{41B01379-BF7E-4374-9A5F-A24E41AC7F2E}"/>
    <cellStyle name="Currency 3 2 3 2 2 3 4" xfId="30381" xr:uid="{682125D8-C85E-41CF-AEC9-03E2419EAA04}"/>
    <cellStyle name="Currency 3 2 3 2 2 4" xfId="9283" xr:uid="{4B7FB963-5A89-49C7-960B-8D729C6D0AFE}"/>
    <cellStyle name="Currency 3 2 3 2 2 5" xfId="17724" xr:uid="{F60A418D-8C66-4F67-94BA-3D369805D58A}"/>
    <cellStyle name="Currency 3 2 3 2 2 6" xfId="26164" xr:uid="{1314158D-6156-4DDB-ADC0-D97848A935FE}"/>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2 2 2" xfId="16059" xr:uid="{09AEBD19-BE03-4B2C-BC4A-6A2640503FBF}"/>
    <cellStyle name="Currency 3 2 3 2 3 2 2 3" xfId="24499" xr:uid="{AB670ACD-1CF2-4A9F-AC5D-15812C211732}"/>
    <cellStyle name="Currency 3 2 3 2 3 2 2 4" xfId="32939" xr:uid="{73BAFF5F-0C27-499F-8699-F2FD05961729}"/>
    <cellStyle name="Currency 3 2 3 2 3 2 3" xfId="11841" xr:uid="{26EED859-4629-407C-B35D-F2567E9A7ECD}"/>
    <cellStyle name="Currency 3 2 3 2 3 2 4" xfId="20282" xr:uid="{D452F9E1-E20E-476D-9B26-812F4D84DA0B}"/>
    <cellStyle name="Currency 3 2 3 2 3 2 5" xfId="28722" xr:uid="{0196A1DA-8826-454C-B71C-4CDCE8941E2F}"/>
    <cellStyle name="Currency 3 2 3 2 3 3" xfId="5464" xr:uid="{00000000-0005-0000-0000-0000080B0000}"/>
    <cellStyle name="Currency 3 2 3 2 3 3 2" xfId="13914" xr:uid="{41F1CE61-60DE-4E64-A473-BF6D2710A2D2}"/>
    <cellStyle name="Currency 3 2 3 2 3 3 3" xfId="22354" xr:uid="{9892E81B-601F-4639-872D-2D79AF2B7177}"/>
    <cellStyle name="Currency 3 2 3 2 3 3 4" xfId="30794" xr:uid="{3B3E6272-06D1-4A4D-9793-F829C40780C0}"/>
    <cellStyle name="Currency 3 2 3 2 3 4" xfId="9696" xr:uid="{CBA4B25E-9686-4F61-BE20-E49448CA4654}"/>
    <cellStyle name="Currency 3 2 3 2 3 5" xfId="18137" xr:uid="{C59F6110-D05D-4178-A801-8E416031160D}"/>
    <cellStyle name="Currency 3 2 3 2 3 6" xfId="26577" xr:uid="{45A21C2F-ABD4-4017-8925-5125534FF74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2 2 2" xfId="16472" xr:uid="{6ECA2C38-9557-40A3-8CD2-A2794FBDDD46}"/>
    <cellStyle name="Currency 3 2 3 2 4 2 2 3" xfId="24912" xr:uid="{9FF6A586-74B6-4D92-AC7C-4C6A9BE1F06D}"/>
    <cellStyle name="Currency 3 2 3 2 4 2 2 4" xfId="33352" xr:uid="{B7A01E6F-24B1-4030-91AD-C2E8CC48E943}"/>
    <cellStyle name="Currency 3 2 3 2 4 2 3" xfId="12254" xr:uid="{A1D24BAA-0B97-402F-B40F-02562A18C353}"/>
    <cellStyle name="Currency 3 2 3 2 4 2 4" xfId="20695" xr:uid="{C770930B-C18E-4987-A9E6-FA43A281E14B}"/>
    <cellStyle name="Currency 3 2 3 2 4 2 5" xfId="29135" xr:uid="{64E8FB88-A04B-4C05-8247-D43AB83B7A68}"/>
    <cellStyle name="Currency 3 2 3 2 4 3" xfId="5877" xr:uid="{00000000-0005-0000-0000-00000C0B0000}"/>
    <cellStyle name="Currency 3 2 3 2 4 3 2" xfId="14327" xr:uid="{31C04232-C57D-48B7-A6DA-0DB2AD320D73}"/>
    <cellStyle name="Currency 3 2 3 2 4 3 3" xfId="22767" xr:uid="{F6F7E6F6-26C5-4F0A-AE39-B0D6CBB76368}"/>
    <cellStyle name="Currency 3 2 3 2 4 3 4" xfId="31207" xr:uid="{E5007501-A563-490A-8960-209D5BB2CAE4}"/>
    <cellStyle name="Currency 3 2 3 2 4 4" xfId="10109" xr:uid="{801C280C-050F-4CCC-9031-489837768465}"/>
    <cellStyle name="Currency 3 2 3 2 4 5" xfId="18550" xr:uid="{56965D50-817E-4754-A8AB-7241E3439A84}"/>
    <cellStyle name="Currency 3 2 3 2 4 6" xfId="26990" xr:uid="{41504043-C86E-47A9-957B-3CA7E2B2097F}"/>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2 2 2" xfId="16885" xr:uid="{15DCEFFE-80D0-4060-8A53-D0D31AE475C2}"/>
    <cellStyle name="Currency 3 2 3 2 5 2 2 3" xfId="25325" xr:uid="{57ECA34C-F4AC-43E4-BBE2-2A300E05BD9A}"/>
    <cellStyle name="Currency 3 2 3 2 5 2 2 4" xfId="33765" xr:uid="{DCE97737-54A4-4FA1-B6D1-5C8B2288A2A3}"/>
    <cellStyle name="Currency 3 2 3 2 5 2 3" xfId="12667" xr:uid="{7B607786-ABA1-440A-880D-F7C951BE6BA5}"/>
    <cellStyle name="Currency 3 2 3 2 5 2 4" xfId="21108" xr:uid="{8828B6FE-F600-42C1-9CB0-55FDCC31CF61}"/>
    <cellStyle name="Currency 3 2 3 2 5 2 5" xfId="29548" xr:uid="{F2BDDF5E-7212-4368-B385-54A000DFF2EA}"/>
    <cellStyle name="Currency 3 2 3 2 5 3" xfId="6290" xr:uid="{00000000-0005-0000-0000-0000100B0000}"/>
    <cellStyle name="Currency 3 2 3 2 5 3 2" xfId="14740" xr:uid="{DBC5CB70-6879-4018-9A8A-E549A073CA5A}"/>
    <cellStyle name="Currency 3 2 3 2 5 3 3" xfId="23180" xr:uid="{24217469-0E0D-4D04-8D45-C6E9E7D0E96F}"/>
    <cellStyle name="Currency 3 2 3 2 5 3 4" xfId="31620" xr:uid="{8A41D1C9-3FD1-482C-A8DE-FAEFD97D6AD6}"/>
    <cellStyle name="Currency 3 2 3 2 5 4" xfId="10522" xr:uid="{041CF84A-2CA7-47B1-AA58-1A9564445595}"/>
    <cellStyle name="Currency 3 2 3 2 5 5" xfId="18963" xr:uid="{EFEE18E1-79F5-4168-B583-696C245736A3}"/>
    <cellStyle name="Currency 3 2 3 2 5 6" xfId="27403" xr:uid="{A21A4C82-6398-4F13-AAE2-7B28574D08A1}"/>
    <cellStyle name="Currency 3 2 3 2 6" xfId="2419" xr:uid="{00000000-0005-0000-0000-0000110B0000}"/>
    <cellStyle name="Currency 3 2 3 2 6 2" xfId="6703" xr:uid="{00000000-0005-0000-0000-0000120B0000}"/>
    <cellStyle name="Currency 3 2 3 2 6 2 2" xfId="15153" xr:uid="{E89D7007-ACF9-4FB6-BF9D-172E451CB7FB}"/>
    <cellStyle name="Currency 3 2 3 2 6 2 3" xfId="23593" xr:uid="{D57098C6-5B04-4FCB-8A92-06796DBE19C3}"/>
    <cellStyle name="Currency 3 2 3 2 6 2 4" xfId="32033" xr:uid="{8A214E06-192C-46BE-9DF1-03BF358150AE}"/>
    <cellStyle name="Currency 3 2 3 2 6 3" xfId="10935" xr:uid="{9D239720-19E0-4B02-9ECE-111830FF534A}"/>
    <cellStyle name="Currency 3 2 3 2 6 4" xfId="19376" xr:uid="{4D21D561-AB36-4AD1-8263-5EB698536DF1}"/>
    <cellStyle name="Currency 3 2 3 2 6 5" xfId="27816" xr:uid="{074074DF-28DD-49C9-9264-37C2A27EEFDE}"/>
    <cellStyle name="Currency 3 2 3 2 7" xfId="2716" xr:uid="{00000000-0005-0000-0000-0000130B0000}"/>
    <cellStyle name="Currency 3 2 3 2 8" xfId="2797" xr:uid="{00000000-0005-0000-0000-0000140B0000}"/>
    <cellStyle name="Currency 3 2 3 2 8 2" xfId="7020" xr:uid="{00000000-0005-0000-0000-0000150B0000}"/>
    <cellStyle name="Currency 3 2 3 2 8 2 2" xfId="15470" xr:uid="{BADC02EC-04D3-4E4F-B6D5-DDA4A84CFA9A}"/>
    <cellStyle name="Currency 3 2 3 2 8 2 3" xfId="23910" xr:uid="{F57A6B38-697C-47BB-B0AA-C2A76C4349AA}"/>
    <cellStyle name="Currency 3 2 3 2 8 2 4" xfId="32350" xr:uid="{8001D1A4-1255-44BE-89BB-3AA23409BE55}"/>
    <cellStyle name="Currency 3 2 3 2 8 3" xfId="11252" xr:uid="{5ABF68FD-04F7-4FF1-AD82-7F007CB327EE}"/>
    <cellStyle name="Currency 3 2 3 2 8 4" xfId="19693" xr:uid="{B5AFDF46-D997-44C7-8889-C6A16D1B4056}"/>
    <cellStyle name="Currency 3 2 3 2 8 5" xfId="28133" xr:uid="{C77605C8-CF15-4620-BBF7-83A235FE2567}"/>
    <cellStyle name="Currency 3 2 3 2 9" xfId="4637" xr:uid="{00000000-0005-0000-0000-0000160B0000}"/>
    <cellStyle name="Currency 3 2 3 2 9 2" xfId="13087" xr:uid="{D84D0B0D-DBDB-41F3-9CB4-6D100051F1A8}"/>
    <cellStyle name="Currency 3 2 3 2 9 3" xfId="21527" xr:uid="{62A01741-7544-446A-96DA-D1C16F0CE623}"/>
    <cellStyle name="Currency 3 2 3 2 9 4" xfId="29967" xr:uid="{9EBD7403-9E95-40C7-8B40-912E294873E8}"/>
    <cellStyle name="Currency 3 2 3 3" xfId="712" xr:uid="{00000000-0005-0000-0000-0000170B0000}"/>
    <cellStyle name="Currency 3 2 3 3 2" xfId="2973" xr:uid="{00000000-0005-0000-0000-0000180B0000}"/>
    <cellStyle name="Currency 3 2 3 3 2 2" xfId="7195" xr:uid="{00000000-0005-0000-0000-0000190B0000}"/>
    <cellStyle name="Currency 3 2 3 3 2 2 2" xfId="15645" xr:uid="{611211FE-9503-464A-B787-4A996CF5F693}"/>
    <cellStyle name="Currency 3 2 3 3 2 2 3" xfId="24085" xr:uid="{226410C4-EA42-428E-BBC3-3948CB06F565}"/>
    <cellStyle name="Currency 3 2 3 3 2 2 4" xfId="32525" xr:uid="{C9702A83-BA92-4131-8FAF-FCD8DD145A8F}"/>
    <cellStyle name="Currency 3 2 3 3 2 3" xfId="11427" xr:uid="{AFC1F6C5-3C9D-48F2-A6B8-996B3E5EC669}"/>
    <cellStyle name="Currency 3 2 3 3 2 4" xfId="19868" xr:uid="{E120FB07-3460-456F-84D3-3D7DC8CB2729}"/>
    <cellStyle name="Currency 3 2 3 3 2 5" xfId="28308" xr:uid="{1A5A8FA8-4DBA-4652-9762-51AEA3341AF2}"/>
    <cellStyle name="Currency 3 2 3 3 3" xfId="5050" xr:uid="{00000000-0005-0000-0000-00001A0B0000}"/>
    <cellStyle name="Currency 3 2 3 3 3 2" xfId="13500" xr:uid="{13AFEF98-66A3-4555-AA64-825CA4F3072D}"/>
    <cellStyle name="Currency 3 2 3 3 3 3" xfId="21940" xr:uid="{356E2D44-7D66-468F-8AA4-E9E307E1A024}"/>
    <cellStyle name="Currency 3 2 3 3 3 4" xfId="30380" xr:uid="{F0F27F8D-E88D-44E5-8C4E-5847C6BA8938}"/>
    <cellStyle name="Currency 3 2 3 3 4" xfId="9282" xr:uid="{1F6C2950-FFD7-4C7E-AC4E-EF6379BF529D}"/>
    <cellStyle name="Currency 3 2 3 3 5" xfId="17723" xr:uid="{E9E09C43-10E2-4FA1-BD25-0D81FE6AAD13}"/>
    <cellStyle name="Currency 3 2 3 3 6" xfId="26163" xr:uid="{88348C3A-48BA-4BF8-BE88-56770FA7AAE9}"/>
    <cellStyle name="Currency 3 2 3 4" xfId="1155" xr:uid="{00000000-0005-0000-0000-00001B0B0000}"/>
    <cellStyle name="Currency 3 2 3 4 2" xfId="3386" xr:uid="{00000000-0005-0000-0000-00001C0B0000}"/>
    <cellStyle name="Currency 3 2 3 4 2 2" xfId="7608" xr:uid="{00000000-0005-0000-0000-00001D0B0000}"/>
    <cellStyle name="Currency 3 2 3 4 2 2 2" xfId="16058" xr:uid="{964F4B90-F0B9-440F-B0F4-9934F3094208}"/>
    <cellStyle name="Currency 3 2 3 4 2 2 3" xfId="24498" xr:uid="{0079F96B-FE17-477C-B001-F0374D64A654}"/>
    <cellStyle name="Currency 3 2 3 4 2 2 4" xfId="32938" xr:uid="{4547712E-0209-4DE8-B469-8B5BA896515F}"/>
    <cellStyle name="Currency 3 2 3 4 2 3" xfId="11840" xr:uid="{7282C43E-1176-40EF-BBCF-0B20F06BF1DE}"/>
    <cellStyle name="Currency 3 2 3 4 2 4" xfId="20281" xr:uid="{93622155-736E-4659-A9BF-6B6EC6ACFFAA}"/>
    <cellStyle name="Currency 3 2 3 4 2 5" xfId="28721" xr:uid="{24F448CA-824A-407F-AAFB-B473CB740FA5}"/>
    <cellStyle name="Currency 3 2 3 4 3" xfId="5463" xr:uid="{00000000-0005-0000-0000-00001E0B0000}"/>
    <cellStyle name="Currency 3 2 3 4 3 2" xfId="13913" xr:uid="{7F66BB9B-EBD3-4F59-9751-C2A924FE542B}"/>
    <cellStyle name="Currency 3 2 3 4 3 3" xfId="22353" xr:uid="{BCAF44B7-C414-4F1A-8A1C-2140F5D8B546}"/>
    <cellStyle name="Currency 3 2 3 4 3 4" xfId="30793" xr:uid="{23A1964D-8265-4823-B70F-E4C8A30361CB}"/>
    <cellStyle name="Currency 3 2 3 4 4" xfId="9695" xr:uid="{EA769951-8648-4F0D-9F9B-B48F5843AC54}"/>
    <cellStyle name="Currency 3 2 3 4 5" xfId="18136" xr:uid="{EC377F86-A800-4B9E-90C6-D56A7FF3103C}"/>
    <cellStyle name="Currency 3 2 3 4 6" xfId="26576" xr:uid="{CF71887B-D556-41E0-BBD0-98AE77281A84}"/>
    <cellStyle name="Currency 3 2 3 5" xfId="1569" xr:uid="{00000000-0005-0000-0000-00001F0B0000}"/>
    <cellStyle name="Currency 3 2 3 5 2" xfId="3799" xr:uid="{00000000-0005-0000-0000-0000200B0000}"/>
    <cellStyle name="Currency 3 2 3 5 2 2" xfId="8021" xr:uid="{00000000-0005-0000-0000-0000210B0000}"/>
    <cellStyle name="Currency 3 2 3 5 2 2 2" xfId="16471" xr:uid="{7DBDCEA1-D334-4086-88D0-7E6D727586B5}"/>
    <cellStyle name="Currency 3 2 3 5 2 2 3" xfId="24911" xr:uid="{214FB0FD-E9AA-434F-83C4-D4DB2A270378}"/>
    <cellStyle name="Currency 3 2 3 5 2 2 4" xfId="33351" xr:uid="{F55C96EF-DA7B-4A3B-A580-CCDA370A309F}"/>
    <cellStyle name="Currency 3 2 3 5 2 3" xfId="12253" xr:uid="{41D8120A-EB38-4E2D-8792-CB98A7796087}"/>
    <cellStyle name="Currency 3 2 3 5 2 4" xfId="20694" xr:uid="{253D3964-B54D-42BD-A21F-259C292CB6A9}"/>
    <cellStyle name="Currency 3 2 3 5 2 5" xfId="29134" xr:uid="{04C8E45F-7BB7-434A-A4C6-FCDBE3D2F588}"/>
    <cellStyle name="Currency 3 2 3 5 3" xfId="5876" xr:uid="{00000000-0005-0000-0000-0000220B0000}"/>
    <cellStyle name="Currency 3 2 3 5 3 2" xfId="14326" xr:uid="{3E14232A-8E61-4435-9ECF-855E89D57716}"/>
    <cellStyle name="Currency 3 2 3 5 3 3" xfId="22766" xr:uid="{FFD072E8-F09B-44D8-9375-F195442DBB7B}"/>
    <cellStyle name="Currency 3 2 3 5 3 4" xfId="31206" xr:uid="{00CA433B-E4CA-43F1-9A64-935D034B5337}"/>
    <cellStyle name="Currency 3 2 3 5 4" xfId="10108" xr:uid="{9B421C29-4DE0-48A2-B576-E00D5D5F2FF1}"/>
    <cellStyle name="Currency 3 2 3 5 5" xfId="18549" xr:uid="{AFE1899D-BA7D-46F2-A8E9-7F17246464AE}"/>
    <cellStyle name="Currency 3 2 3 5 6" xfId="26989" xr:uid="{ECDA6C15-B1C9-450A-BF1D-76B4A1EC58F1}"/>
    <cellStyle name="Currency 3 2 3 6" xfId="1983" xr:uid="{00000000-0005-0000-0000-0000230B0000}"/>
    <cellStyle name="Currency 3 2 3 6 2" xfId="4212" xr:uid="{00000000-0005-0000-0000-0000240B0000}"/>
    <cellStyle name="Currency 3 2 3 6 2 2" xfId="8434" xr:uid="{00000000-0005-0000-0000-0000250B0000}"/>
    <cellStyle name="Currency 3 2 3 6 2 2 2" xfId="16884" xr:uid="{E04DCE48-5B9B-4C43-A15E-4BF4AAA9CDD7}"/>
    <cellStyle name="Currency 3 2 3 6 2 2 3" xfId="25324" xr:uid="{C2642442-3E07-4AED-849E-FCE5CF2DD07B}"/>
    <cellStyle name="Currency 3 2 3 6 2 2 4" xfId="33764" xr:uid="{3F924E11-3B1C-4F7A-A966-FE7170CABEFD}"/>
    <cellStyle name="Currency 3 2 3 6 2 3" xfId="12666" xr:uid="{5DFFCD29-B75E-4E49-925A-4A273D6A9893}"/>
    <cellStyle name="Currency 3 2 3 6 2 4" xfId="21107" xr:uid="{757CA0D5-FD75-42B0-AECF-AF9670552218}"/>
    <cellStyle name="Currency 3 2 3 6 2 5" xfId="29547" xr:uid="{1D7E9BC3-F0C0-484C-9DEA-E5A1E7EF77F9}"/>
    <cellStyle name="Currency 3 2 3 6 3" xfId="6289" xr:uid="{00000000-0005-0000-0000-0000260B0000}"/>
    <cellStyle name="Currency 3 2 3 6 3 2" xfId="14739" xr:uid="{028FC9EE-8C9B-48CA-8B0D-5BD247542979}"/>
    <cellStyle name="Currency 3 2 3 6 3 3" xfId="23179" xr:uid="{049CB43B-AB70-4D63-B081-42E8D444BF14}"/>
    <cellStyle name="Currency 3 2 3 6 3 4" xfId="31619" xr:uid="{A16CB236-F422-4D4A-81F4-0A539FE1E3FB}"/>
    <cellStyle name="Currency 3 2 3 6 4" xfId="10521" xr:uid="{E4E01890-DC9E-49F6-83ED-F70B6D1A2C0B}"/>
    <cellStyle name="Currency 3 2 3 6 5" xfId="18962" xr:uid="{D28F2B2F-9E97-4662-9C23-609C676CD876}"/>
    <cellStyle name="Currency 3 2 3 6 6" xfId="27402" xr:uid="{2F435118-DAF6-4F7D-A65E-1B5D7B3EC577}"/>
    <cellStyle name="Currency 3 2 3 7" xfId="2418" xr:uid="{00000000-0005-0000-0000-0000270B0000}"/>
    <cellStyle name="Currency 3 2 3 7 2" xfId="6702" xr:uid="{00000000-0005-0000-0000-0000280B0000}"/>
    <cellStyle name="Currency 3 2 3 7 2 2" xfId="15152" xr:uid="{13767FB4-7A45-4110-AFBB-FA4664B0A860}"/>
    <cellStyle name="Currency 3 2 3 7 2 3" xfId="23592" xr:uid="{ECC8C5AE-E17C-45DE-95B9-0BD41A897D23}"/>
    <cellStyle name="Currency 3 2 3 7 2 4" xfId="32032" xr:uid="{B3250C29-6385-4CCC-9437-8DBCD1B1264D}"/>
    <cellStyle name="Currency 3 2 3 7 3" xfId="10934" xr:uid="{4BDBC072-F188-4283-88B5-D54780F69BA9}"/>
    <cellStyle name="Currency 3 2 3 7 4" xfId="19375" xr:uid="{4D45A6AC-50D4-4770-B606-5877ECE04844}"/>
    <cellStyle name="Currency 3 2 3 7 5" xfId="27815" xr:uid="{5B33D6C8-37E1-497E-8DFC-EB5B85EF063F}"/>
    <cellStyle name="Currency 3 2 3 8" xfId="2715" xr:uid="{00000000-0005-0000-0000-0000290B0000}"/>
    <cellStyle name="Currency 3 2 3 9" xfId="2796" xr:uid="{00000000-0005-0000-0000-00002A0B0000}"/>
    <cellStyle name="Currency 3 2 3 9 2" xfId="7019" xr:uid="{00000000-0005-0000-0000-00002B0B0000}"/>
    <cellStyle name="Currency 3 2 3 9 2 2" xfId="15469" xr:uid="{9941D6C9-2213-4C22-A85A-F01D29C7E217}"/>
    <cellStyle name="Currency 3 2 3 9 2 3" xfId="23909" xr:uid="{549DC755-6F45-4EEC-BE4A-3042AC34B80A}"/>
    <cellStyle name="Currency 3 2 3 9 2 4" xfId="32349" xr:uid="{DEF4D301-76C5-4490-8B5B-558BE8516933}"/>
    <cellStyle name="Currency 3 2 3 9 3" xfId="11251" xr:uid="{19481AAC-8C66-4C4D-BF2C-7EC7F1C0E7DB}"/>
    <cellStyle name="Currency 3 2 3 9 4" xfId="19692" xr:uid="{328BBC27-B29F-4C51-A37A-E08D95ACC5A6}"/>
    <cellStyle name="Currency 3 2 3 9 5" xfId="28132" xr:uid="{4D74C0CD-36FD-43F2-B408-3733FF11CCD5}"/>
    <cellStyle name="Currency 3 2 4" xfId="184" xr:uid="{00000000-0005-0000-0000-00002C0B0000}"/>
    <cellStyle name="Currency 3 2 4 10" xfId="8870" xr:uid="{30D8038A-05DF-4234-A6E2-6C8E93B5EFF5}"/>
    <cellStyle name="Currency 3 2 4 11" xfId="17311" xr:uid="{52BABD8F-6F2E-475B-BE3F-7554B3B8C9DE}"/>
    <cellStyle name="Currency 3 2 4 12" xfId="25751" xr:uid="{84F338ED-1041-43C9-ADEF-21DCAC51AB29}"/>
    <cellStyle name="Currency 3 2 4 2" xfId="714" xr:uid="{00000000-0005-0000-0000-00002D0B0000}"/>
    <cellStyle name="Currency 3 2 4 2 2" xfId="2975" xr:uid="{00000000-0005-0000-0000-00002E0B0000}"/>
    <cellStyle name="Currency 3 2 4 2 2 2" xfId="7197" xr:uid="{00000000-0005-0000-0000-00002F0B0000}"/>
    <cellStyle name="Currency 3 2 4 2 2 2 2" xfId="15647" xr:uid="{18CA3376-6E70-42B7-9E71-A183B19CA19D}"/>
    <cellStyle name="Currency 3 2 4 2 2 2 3" xfId="24087" xr:uid="{40168C16-538A-4409-B489-5D361740623C}"/>
    <cellStyle name="Currency 3 2 4 2 2 2 4" xfId="32527" xr:uid="{FB697222-AE8E-4396-A81D-91E13F2905F8}"/>
    <cellStyle name="Currency 3 2 4 2 2 3" xfId="11429" xr:uid="{10B1D2DC-78EF-405F-A8AD-95C17FA734F3}"/>
    <cellStyle name="Currency 3 2 4 2 2 4" xfId="19870" xr:uid="{759FE370-61E3-4845-9B33-B3908526BEB2}"/>
    <cellStyle name="Currency 3 2 4 2 2 5" xfId="28310" xr:uid="{EBF90069-14D5-4336-9E2B-C864E2FE7788}"/>
    <cellStyle name="Currency 3 2 4 2 3" xfId="5052" xr:uid="{00000000-0005-0000-0000-0000300B0000}"/>
    <cellStyle name="Currency 3 2 4 2 3 2" xfId="13502" xr:uid="{1EA2C580-5AF6-4C0A-8626-A5F77E6EE97F}"/>
    <cellStyle name="Currency 3 2 4 2 3 3" xfId="21942" xr:uid="{B2BC9D31-64B2-4A44-BE2A-564B527BCFDC}"/>
    <cellStyle name="Currency 3 2 4 2 3 4" xfId="30382" xr:uid="{BA4A7F00-FA00-48FA-A9BD-550085760086}"/>
    <cellStyle name="Currency 3 2 4 2 4" xfId="9284" xr:uid="{8E47036C-2B79-41D9-8BD1-90E67108AC3C}"/>
    <cellStyle name="Currency 3 2 4 2 5" xfId="17725" xr:uid="{BA96B5DE-3CCF-4A26-B94B-88B1F739CA23}"/>
    <cellStyle name="Currency 3 2 4 2 6" xfId="26165" xr:uid="{BA9F95D3-9B9B-4BAE-A1BD-1F31618E941E}"/>
    <cellStyle name="Currency 3 2 4 3" xfId="1157" xr:uid="{00000000-0005-0000-0000-0000310B0000}"/>
    <cellStyle name="Currency 3 2 4 3 2" xfId="3388" xr:uid="{00000000-0005-0000-0000-0000320B0000}"/>
    <cellStyle name="Currency 3 2 4 3 2 2" xfId="7610" xr:uid="{00000000-0005-0000-0000-0000330B0000}"/>
    <cellStyle name="Currency 3 2 4 3 2 2 2" xfId="16060" xr:uid="{9FA20A54-A57B-4987-A84D-4C0489C808E5}"/>
    <cellStyle name="Currency 3 2 4 3 2 2 3" xfId="24500" xr:uid="{AFAC12CA-6A55-4A24-969F-FB793ECD67DE}"/>
    <cellStyle name="Currency 3 2 4 3 2 2 4" xfId="32940" xr:uid="{040192F0-7E9B-4F29-BCF7-F1A0A41EBE39}"/>
    <cellStyle name="Currency 3 2 4 3 2 3" xfId="11842" xr:uid="{84B65766-7DC6-488C-9E6F-F6AD123973FB}"/>
    <cellStyle name="Currency 3 2 4 3 2 4" xfId="20283" xr:uid="{BAB6EE27-6072-4364-B7AF-08C9772D0174}"/>
    <cellStyle name="Currency 3 2 4 3 2 5" xfId="28723" xr:uid="{A6293A41-16D0-4E38-9606-3FB1EFDEEAD6}"/>
    <cellStyle name="Currency 3 2 4 3 3" xfId="5465" xr:uid="{00000000-0005-0000-0000-0000340B0000}"/>
    <cellStyle name="Currency 3 2 4 3 3 2" xfId="13915" xr:uid="{E780F5EE-6FC8-4B78-BE82-F776C0DD9256}"/>
    <cellStyle name="Currency 3 2 4 3 3 3" xfId="22355" xr:uid="{154730B1-F762-4DEA-BDCE-DF4010616C3F}"/>
    <cellStyle name="Currency 3 2 4 3 3 4" xfId="30795" xr:uid="{FB88EB29-37D8-4725-9188-F04719693909}"/>
    <cellStyle name="Currency 3 2 4 3 4" xfId="9697" xr:uid="{2F3CCC56-952C-4831-A48F-991B083AD507}"/>
    <cellStyle name="Currency 3 2 4 3 5" xfId="18138" xr:uid="{3539000D-A366-4B70-AE8E-842D17C07D2F}"/>
    <cellStyle name="Currency 3 2 4 3 6" xfId="26578" xr:uid="{9BCC9C60-BEE9-4157-B14C-61499FEAA2FB}"/>
    <cellStyle name="Currency 3 2 4 4" xfId="1571" xr:uid="{00000000-0005-0000-0000-0000350B0000}"/>
    <cellStyle name="Currency 3 2 4 4 2" xfId="3801" xr:uid="{00000000-0005-0000-0000-0000360B0000}"/>
    <cellStyle name="Currency 3 2 4 4 2 2" xfId="8023" xr:uid="{00000000-0005-0000-0000-0000370B0000}"/>
    <cellStyle name="Currency 3 2 4 4 2 2 2" xfId="16473" xr:uid="{93634F27-D0A8-4E11-8261-BD3A62A855C5}"/>
    <cellStyle name="Currency 3 2 4 4 2 2 3" xfId="24913" xr:uid="{145DCB54-6B8B-4B5B-BEE5-DD436D5C5C76}"/>
    <cellStyle name="Currency 3 2 4 4 2 2 4" xfId="33353" xr:uid="{45D2AB27-8C92-4EB7-BB2A-1CE0665A7E3C}"/>
    <cellStyle name="Currency 3 2 4 4 2 3" xfId="12255" xr:uid="{A754B3F2-97FD-4089-A5BD-7077CFCBAA16}"/>
    <cellStyle name="Currency 3 2 4 4 2 4" xfId="20696" xr:uid="{CFE4F8F4-DBA3-4E00-9053-B760FA7252B6}"/>
    <cellStyle name="Currency 3 2 4 4 2 5" xfId="29136" xr:uid="{9A64E501-F4B1-4C92-8F26-C07D77C43DFB}"/>
    <cellStyle name="Currency 3 2 4 4 3" xfId="5878" xr:uid="{00000000-0005-0000-0000-0000380B0000}"/>
    <cellStyle name="Currency 3 2 4 4 3 2" xfId="14328" xr:uid="{ECB39CBF-E9EA-4C9D-BFDE-872BFE575B23}"/>
    <cellStyle name="Currency 3 2 4 4 3 3" xfId="22768" xr:uid="{C6170B07-81C1-40EE-8B71-9CBCB0D5ED29}"/>
    <cellStyle name="Currency 3 2 4 4 3 4" xfId="31208" xr:uid="{A077C6BF-E6AA-4C46-BE76-CA87CF972AF7}"/>
    <cellStyle name="Currency 3 2 4 4 4" xfId="10110" xr:uid="{CEEB7DB8-0F0F-463C-9AB6-5750BDDF2442}"/>
    <cellStyle name="Currency 3 2 4 4 5" xfId="18551" xr:uid="{F3770EEB-F69C-4112-BA68-496442EF04E7}"/>
    <cellStyle name="Currency 3 2 4 4 6" xfId="26991" xr:uid="{7E6EFFFA-B477-4336-822D-08BD4D70ABEF}"/>
    <cellStyle name="Currency 3 2 4 5" xfId="1985" xr:uid="{00000000-0005-0000-0000-0000390B0000}"/>
    <cellStyle name="Currency 3 2 4 5 2" xfId="4214" xr:uid="{00000000-0005-0000-0000-00003A0B0000}"/>
    <cellStyle name="Currency 3 2 4 5 2 2" xfId="8436" xr:uid="{00000000-0005-0000-0000-00003B0B0000}"/>
    <cellStyle name="Currency 3 2 4 5 2 2 2" xfId="16886" xr:uid="{D4F70053-2FEA-47C1-9020-6241740C4EEC}"/>
    <cellStyle name="Currency 3 2 4 5 2 2 3" xfId="25326" xr:uid="{1E72CA49-3607-4123-A0CC-08019D5AD13D}"/>
    <cellStyle name="Currency 3 2 4 5 2 2 4" xfId="33766" xr:uid="{CD9BE5D1-ADD3-4027-9417-33C9CBFB351B}"/>
    <cellStyle name="Currency 3 2 4 5 2 3" xfId="12668" xr:uid="{9E3C32AC-ADBC-48DB-9BB0-62655197C812}"/>
    <cellStyle name="Currency 3 2 4 5 2 4" xfId="21109" xr:uid="{A3EDE88A-D4B1-47C3-AC20-121F0F00911C}"/>
    <cellStyle name="Currency 3 2 4 5 2 5" xfId="29549" xr:uid="{682B56F0-B308-43A4-94D0-D04142B13C7D}"/>
    <cellStyle name="Currency 3 2 4 5 3" xfId="6291" xr:uid="{00000000-0005-0000-0000-00003C0B0000}"/>
    <cellStyle name="Currency 3 2 4 5 3 2" xfId="14741" xr:uid="{FED2D68D-60BF-4064-ADD2-FD94C741FDA3}"/>
    <cellStyle name="Currency 3 2 4 5 3 3" xfId="23181" xr:uid="{3B44ED00-10DC-413D-A301-3FD2DD8888D6}"/>
    <cellStyle name="Currency 3 2 4 5 3 4" xfId="31621" xr:uid="{E3D880C9-ED08-4B95-8E48-68609BA8D3C5}"/>
    <cellStyle name="Currency 3 2 4 5 4" xfId="10523" xr:uid="{39FE2E1C-48E3-4A94-8F7B-E7E9082457E8}"/>
    <cellStyle name="Currency 3 2 4 5 5" xfId="18964" xr:uid="{AE84CADD-CE5E-4A0A-B5FF-A13A485C2FDC}"/>
    <cellStyle name="Currency 3 2 4 5 6" xfId="27404" xr:uid="{AB42B0C8-84C8-4767-9980-83FE2CF33FE8}"/>
    <cellStyle name="Currency 3 2 4 6" xfId="2420" xr:uid="{00000000-0005-0000-0000-00003D0B0000}"/>
    <cellStyle name="Currency 3 2 4 6 2" xfId="6704" xr:uid="{00000000-0005-0000-0000-00003E0B0000}"/>
    <cellStyle name="Currency 3 2 4 6 2 2" xfId="15154" xr:uid="{A0D31247-1F14-460E-AA83-45DC436CC7E6}"/>
    <cellStyle name="Currency 3 2 4 6 2 3" xfId="23594" xr:uid="{1A26FA4F-F377-4B51-B274-92015A57B7EB}"/>
    <cellStyle name="Currency 3 2 4 6 2 4" xfId="32034" xr:uid="{4707CA85-03F5-45D5-920B-0B8B69813F73}"/>
    <cellStyle name="Currency 3 2 4 6 3" xfId="10936" xr:uid="{677A7B05-58C6-4BC4-B4F1-88D4259E0BFE}"/>
    <cellStyle name="Currency 3 2 4 6 4" xfId="19377" xr:uid="{AFEDB158-5EDC-4E2A-9E11-73CE43AE1ADF}"/>
    <cellStyle name="Currency 3 2 4 6 5" xfId="27817" xr:uid="{28542D3E-9981-482C-8765-FCD9971B50CB}"/>
    <cellStyle name="Currency 3 2 4 7" xfId="2717" xr:uid="{00000000-0005-0000-0000-00003F0B0000}"/>
    <cellStyle name="Currency 3 2 4 8" xfId="2798" xr:uid="{00000000-0005-0000-0000-0000400B0000}"/>
    <cellStyle name="Currency 3 2 4 8 2" xfId="7021" xr:uid="{00000000-0005-0000-0000-0000410B0000}"/>
    <cellStyle name="Currency 3 2 4 8 2 2" xfId="15471" xr:uid="{628868C0-8071-47C2-AFBE-D86D1A8BD47D}"/>
    <cellStyle name="Currency 3 2 4 8 2 3" xfId="23911" xr:uid="{83EDE6D6-F3A5-4C43-AB71-A64717423ADC}"/>
    <cellStyle name="Currency 3 2 4 8 2 4" xfId="32351" xr:uid="{DC27F8C8-BEEB-464F-80C1-0179D3782EA8}"/>
    <cellStyle name="Currency 3 2 4 8 3" xfId="11253" xr:uid="{88DDF19B-D8AA-41BD-ABCF-BAE73289D554}"/>
    <cellStyle name="Currency 3 2 4 8 4" xfId="19694" xr:uid="{97EB58CF-BBEC-43CD-A98F-8EAC5C28A4F5}"/>
    <cellStyle name="Currency 3 2 4 8 5" xfId="28134" xr:uid="{A3A43EC2-2EEE-4CC8-9B37-49B0F2FA57FE}"/>
    <cellStyle name="Currency 3 2 4 9" xfId="4638" xr:uid="{00000000-0005-0000-0000-0000420B0000}"/>
    <cellStyle name="Currency 3 2 4 9 2" xfId="13088" xr:uid="{1E0C9A24-0B2F-4755-8E90-3CAD53D7C7CA}"/>
    <cellStyle name="Currency 3 2 4 9 3" xfId="21528" xr:uid="{2EF5A655-2873-421C-99E1-6ED688BFA134}"/>
    <cellStyle name="Currency 3 2 4 9 4" xfId="29968" xr:uid="{3D8E471E-380E-4835-BE47-615825728AD8}"/>
    <cellStyle name="Currency 3 2 5" xfId="185" xr:uid="{00000000-0005-0000-0000-0000430B0000}"/>
    <cellStyle name="Currency 3 2 5 10" xfId="8871" xr:uid="{C3C2F19A-C185-4359-A4B2-339055242C08}"/>
    <cellStyle name="Currency 3 2 5 11" xfId="17312" xr:uid="{65B27C1E-72D7-4838-8072-3A90B58EC77A}"/>
    <cellStyle name="Currency 3 2 5 12" xfId="25752" xr:uid="{21880FD1-7D0C-44DD-9DA7-1A46FA9FE4B2}"/>
    <cellStyle name="Currency 3 2 5 2" xfId="715" xr:uid="{00000000-0005-0000-0000-0000440B0000}"/>
    <cellStyle name="Currency 3 2 5 2 2" xfId="2976" xr:uid="{00000000-0005-0000-0000-0000450B0000}"/>
    <cellStyle name="Currency 3 2 5 2 2 2" xfId="7198" xr:uid="{00000000-0005-0000-0000-0000460B0000}"/>
    <cellStyle name="Currency 3 2 5 2 2 2 2" xfId="15648" xr:uid="{CAA1DD37-0B14-41B1-8028-27983577EA00}"/>
    <cellStyle name="Currency 3 2 5 2 2 2 3" xfId="24088" xr:uid="{D4B1F6D4-366B-4996-A8C6-7ED74A49E6A6}"/>
    <cellStyle name="Currency 3 2 5 2 2 2 4" xfId="32528" xr:uid="{415EFBE5-791D-4774-A2C4-E7BF48818323}"/>
    <cellStyle name="Currency 3 2 5 2 2 3" xfId="11430" xr:uid="{6662EB23-006A-4F27-993A-E472F67DA0C5}"/>
    <cellStyle name="Currency 3 2 5 2 2 4" xfId="19871" xr:uid="{B0F533C5-331F-4F38-A744-8E2E30615AF6}"/>
    <cellStyle name="Currency 3 2 5 2 2 5" xfId="28311" xr:uid="{D8684263-0898-4550-A0FA-CABB2707FBA4}"/>
    <cellStyle name="Currency 3 2 5 2 3" xfId="5053" xr:uid="{00000000-0005-0000-0000-0000470B0000}"/>
    <cellStyle name="Currency 3 2 5 2 3 2" xfId="13503" xr:uid="{4DD96CB6-E678-4AFD-A443-293C4BBA5757}"/>
    <cellStyle name="Currency 3 2 5 2 3 3" xfId="21943" xr:uid="{E8439EC7-31C9-4928-BCC2-9B92C575B903}"/>
    <cellStyle name="Currency 3 2 5 2 3 4" xfId="30383" xr:uid="{89B06AAB-5A15-4A0F-B85E-5E1396CBA048}"/>
    <cellStyle name="Currency 3 2 5 2 4" xfId="9285" xr:uid="{240D2D35-DFAA-4140-B89B-CD651557A922}"/>
    <cellStyle name="Currency 3 2 5 2 5" xfId="17726" xr:uid="{F69B1157-A9DE-49BF-B95D-27CFFD7AA31F}"/>
    <cellStyle name="Currency 3 2 5 2 6" xfId="26166" xr:uid="{9D1AD42B-C35E-47AA-BCD8-58123FDFF220}"/>
    <cellStyle name="Currency 3 2 5 3" xfId="1158" xr:uid="{00000000-0005-0000-0000-0000480B0000}"/>
    <cellStyle name="Currency 3 2 5 3 2" xfId="3389" xr:uid="{00000000-0005-0000-0000-0000490B0000}"/>
    <cellStyle name="Currency 3 2 5 3 2 2" xfId="7611" xr:uid="{00000000-0005-0000-0000-00004A0B0000}"/>
    <cellStyle name="Currency 3 2 5 3 2 2 2" xfId="16061" xr:uid="{B0C14696-7E4E-42AA-AFE5-D4F0802FA5FD}"/>
    <cellStyle name="Currency 3 2 5 3 2 2 3" xfId="24501" xr:uid="{83AA7F09-32A6-4A73-AE0F-6E54270FE4CF}"/>
    <cellStyle name="Currency 3 2 5 3 2 2 4" xfId="32941" xr:uid="{372BE8FC-3222-417F-AF4E-65864878A575}"/>
    <cellStyle name="Currency 3 2 5 3 2 3" xfId="11843" xr:uid="{0DC76A0E-5AA5-4BF3-814E-2F05E372829E}"/>
    <cellStyle name="Currency 3 2 5 3 2 4" xfId="20284" xr:uid="{49306F92-8753-4077-9CFC-959A596D38F4}"/>
    <cellStyle name="Currency 3 2 5 3 2 5" xfId="28724" xr:uid="{E507B6FF-4862-4E90-83BB-64D72C564FF9}"/>
    <cellStyle name="Currency 3 2 5 3 3" xfId="5466" xr:uid="{00000000-0005-0000-0000-00004B0B0000}"/>
    <cellStyle name="Currency 3 2 5 3 3 2" xfId="13916" xr:uid="{9DCD7A88-399C-4C6F-B041-FB4BB3F2DA7B}"/>
    <cellStyle name="Currency 3 2 5 3 3 3" xfId="22356" xr:uid="{5A3D7CC3-34A4-4807-9180-EB1A26C1D0B1}"/>
    <cellStyle name="Currency 3 2 5 3 3 4" xfId="30796" xr:uid="{9782EADF-8999-48F5-9BBF-6C5FFB60C6D0}"/>
    <cellStyle name="Currency 3 2 5 3 4" xfId="9698" xr:uid="{E30711EE-05C2-4983-A459-F9856993A179}"/>
    <cellStyle name="Currency 3 2 5 3 5" xfId="18139" xr:uid="{DDE22C14-0151-42CF-A075-46F4D6EB08D8}"/>
    <cellStyle name="Currency 3 2 5 3 6" xfId="26579" xr:uid="{69CEC5C5-18E6-46E6-AD21-69546C012E8B}"/>
    <cellStyle name="Currency 3 2 5 4" xfId="1572" xr:uid="{00000000-0005-0000-0000-00004C0B0000}"/>
    <cellStyle name="Currency 3 2 5 4 2" xfId="3802" xr:uid="{00000000-0005-0000-0000-00004D0B0000}"/>
    <cellStyle name="Currency 3 2 5 4 2 2" xfId="8024" xr:uid="{00000000-0005-0000-0000-00004E0B0000}"/>
    <cellStyle name="Currency 3 2 5 4 2 2 2" xfId="16474" xr:uid="{0CCEB587-1EEF-427A-8C9F-7A46101C70BF}"/>
    <cellStyle name="Currency 3 2 5 4 2 2 3" xfId="24914" xr:uid="{CF2DFD6B-9733-429E-9485-2724D20039C8}"/>
    <cellStyle name="Currency 3 2 5 4 2 2 4" xfId="33354" xr:uid="{0701310D-F8B4-45F3-8097-E9D63A6785CF}"/>
    <cellStyle name="Currency 3 2 5 4 2 3" xfId="12256" xr:uid="{82AC1093-0E11-49AF-BD75-6DFEF1F1563D}"/>
    <cellStyle name="Currency 3 2 5 4 2 4" xfId="20697" xr:uid="{9A6BA4E4-4298-4C45-A8B4-54CB54775CC2}"/>
    <cellStyle name="Currency 3 2 5 4 2 5" xfId="29137" xr:uid="{D9DAB8C8-453B-4D60-8E84-38689C158A45}"/>
    <cellStyle name="Currency 3 2 5 4 3" xfId="5879" xr:uid="{00000000-0005-0000-0000-00004F0B0000}"/>
    <cellStyle name="Currency 3 2 5 4 3 2" xfId="14329" xr:uid="{CE3E7405-E564-4A58-87E4-3CE444437333}"/>
    <cellStyle name="Currency 3 2 5 4 3 3" xfId="22769" xr:uid="{4118C08E-DC20-4810-9B23-9BAB82F38CCE}"/>
    <cellStyle name="Currency 3 2 5 4 3 4" xfId="31209" xr:uid="{314E860E-0D58-475F-87A2-0B85291DF1AA}"/>
    <cellStyle name="Currency 3 2 5 4 4" xfId="10111" xr:uid="{43896BED-E641-4413-B41F-7DC8CDC9E428}"/>
    <cellStyle name="Currency 3 2 5 4 5" xfId="18552" xr:uid="{A42F3089-5104-457B-9771-F47D0CC85C36}"/>
    <cellStyle name="Currency 3 2 5 4 6" xfId="26992" xr:uid="{A13D3276-AAE3-462C-AFCD-045A1FDE7760}"/>
    <cellStyle name="Currency 3 2 5 5" xfId="1986" xr:uid="{00000000-0005-0000-0000-0000500B0000}"/>
    <cellStyle name="Currency 3 2 5 5 2" xfId="4215" xr:uid="{00000000-0005-0000-0000-0000510B0000}"/>
    <cellStyle name="Currency 3 2 5 5 2 2" xfId="8437" xr:uid="{00000000-0005-0000-0000-0000520B0000}"/>
    <cellStyle name="Currency 3 2 5 5 2 2 2" xfId="16887" xr:uid="{33EFE733-85D9-4B76-837C-345B6F485D2C}"/>
    <cellStyle name="Currency 3 2 5 5 2 2 3" xfId="25327" xr:uid="{CAE7ABA4-CF3D-4CF2-8502-9C48FC9AE927}"/>
    <cellStyle name="Currency 3 2 5 5 2 2 4" xfId="33767" xr:uid="{8AAE8CEA-EBBE-4CBD-8B6B-39B12E9C8231}"/>
    <cellStyle name="Currency 3 2 5 5 2 3" xfId="12669" xr:uid="{1D7FCCD4-7096-4F3E-BAC6-377970F102E3}"/>
    <cellStyle name="Currency 3 2 5 5 2 4" xfId="21110" xr:uid="{DACB5268-9C4A-415D-AA17-F7F1BD20E40D}"/>
    <cellStyle name="Currency 3 2 5 5 2 5" xfId="29550" xr:uid="{57619435-CAF9-4F91-A969-8EEA38FF3FCE}"/>
    <cellStyle name="Currency 3 2 5 5 3" xfId="6292" xr:uid="{00000000-0005-0000-0000-0000530B0000}"/>
    <cellStyle name="Currency 3 2 5 5 3 2" xfId="14742" xr:uid="{B497462A-EF50-4440-BB3B-158CA8F1C227}"/>
    <cellStyle name="Currency 3 2 5 5 3 3" xfId="23182" xr:uid="{EA4EF776-A181-47FE-BC51-4E5246189E0E}"/>
    <cellStyle name="Currency 3 2 5 5 3 4" xfId="31622" xr:uid="{0957462D-44AF-4D47-BB1A-1A8A2D5A5539}"/>
    <cellStyle name="Currency 3 2 5 5 4" xfId="10524" xr:uid="{67F17E11-2406-4377-8606-3B133937810D}"/>
    <cellStyle name="Currency 3 2 5 5 5" xfId="18965" xr:uid="{34C806F2-7068-499C-A178-EC0BBA28F43C}"/>
    <cellStyle name="Currency 3 2 5 5 6" xfId="27405" xr:uid="{6FC223CC-DB7A-4046-BF5F-84BC7E473AB8}"/>
    <cellStyle name="Currency 3 2 5 6" xfId="2421" xr:uid="{00000000-0005-0000-0000-0000540B0000}"/>
    <cellStyle name="Currency 3 2 5 6 2" xfId="6705" xr:uid="{00000000-0005-0000-0000-0000550B0000}"/>
    <cellStyle name="Currency 3 2 5 6 2 2" xfId="15155" xr:uid="{8E1CD5CE-1328-4570-8DE1-F6FD64E8563D}"/>
    <cellStyle name="Currency 3 2 5 6 2 3" xfId="23595" xr:uid="{A1CB57A1-F241-4C8F-BFDB-00E2EDB59594}"/>
    <cellStyle name="Currency 3 2 5 6 2 4" xfId="32035" xr:uid="{5294E2EE-A8BE-4FDD-ABA5-A5A925268AAA}"/>
    <cellStyle name="Currency 3 2 5 6 3" xfId="10937" xr:uid="{15F72976-9D7C-474D-89B8-3C811509C903}"/>
    <cellStyle name="Currency 3 2 5 6 4" xfId="19378" xr:uid="{7DCFFCD3-3298-4C5D-AA7A-BC109492CF2F}"/>
    <cellStyle name="Currency 3 2 5 6 5" xfId="27818" xr:uid="{D15C2226-874F-47CC-B11D-0F271047CD9F}"/>
    <cellStyle name="Currency 3 2 5 7" xfId="2718" xr:uid="{00000000-0005-0000-0000-0000560B0000}"/>
    <cellStyle name="Currency 3 2 5 8" xfId="2799" xr:uid="{00000000-0005-0000-0000-0000570B0000}"/>
    <cellStyle name="Currency 3 2 5 8 2" xfId="7022" xr:uid="{00000000-0005-0000-0000-0000580B0000}"/>
    <cellStyle name="Currency 3 2 5 8 2 2" xfId="15472" xr:uid="{E4467A27-4356-42DA-ACFF-E6F1FAC5FA88}"/>
    <cellStyle name="Currency 3 2 5 8 2 3" xfId="23912" xr:uid="{2EC1874B-3CD7-42C9-893C-35109E8F9072}"/>
    <cellStyle name="Currency 3 2 5 8 2 4" xfId="32352" xr:uid="{24902FA1-CF4F-42C9-BDF7-B6BF12B944E5}"/>
    <cellStyle name="Currency 3 2 5 8 3" xfId="11254" xr:uid="{55DE192A-B6A0-4BA8-84C9-176D0FC91417}"/>
    <cellStyle name="Currency 3 2 5 8 4" xfId="19695" xr:uid="{6915AB3F-0A5C-415C-8A71-D468E5CAD2AB}"/>
    <cellStyle name="Currency 3 2 5 8 5" xfId="28135" xr:uid="{8161ECBE-CBC1-406B-9357-30F8AC5C0C3C}"/>
    <cellStyle name="Currency 3 2 5 9" xfId="4639" xr:uid="{00000000-0005-0000-0000-0000590B0000}"/>
    <cellStyle name="Currency 3 2 5 9 2" xfId="13089" xr:uid="{ED516A56-F623-4F4B-855F-D28900F8273F}"/>
    <cellStyle name="Currency 3 2 5 9 3" xfId="21529" xr:uid="{A3A748F5-D9CC-4914-960C-CF06A164E342}"/>
    <cellStyle name="Currency 3 2 5 9 4" xfId="29969" xr:uid="{0624E9CF-E579-4E42-8CB2-EC31993432E9}"/>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0 2 2" xfId="15473" xr:uid="{0C4EEB6B-0C26-4DEB-B669-E8D6D8C5D032}"/>
    <cellStyle name="Currency 5 2 2 2 10 2 3" xfId="23913" xr:uid="{5D8007B4-F025-442F-991F-D7449D232DE2}"/>
    <cellStyle name="Currency 5 2 2 2 10 2 4" xfId="32353" xr:uid="{82791008-A04C-42DB-B2A6-B932A338946E}"/>
    <cellStyle name="Currency 5 2 2 2 10 3" xfId="11255" xr:uid="{9318F2A7-4383-4AEB-B946-3F21F4A381E5}"/>
    <cellStyle name="Currency 5 2 2 2 10 4" xfId="19696" xr:uid="{9FAE1966-87AE-446F-A5A5-EBA19F86DCEF}"/>
    <cellStyle name="Currency 5 2 2 2 10 5" xfId="28136" xr:uid="{EFC4B872-0701-4A9A-B198-FB97F438F98F}"/>
    <cellStyle name="Currency 5 2 2 2 11" xfId="4640" xr:uid="{00000000-0005-0000-0000-00006C0B0000}"/>
    <cellStyle name="Currency 5 2 2 2 11 2" xfId="13090" xr:uid="{38F0299A-401B-4798-8A1E-08A62407C0D7}"/>
    <cellStyle name="Currency 5 2 2 2 11 3" xfId="21530" xr:uid="{9D8FB3DF-88A6-4A3A-AFB7-65B1FE67A849}"/>
    <cellStyle name="Currency 5 2 2 2 11 4" xfId="29970" xr:uid="{33A71833-98BD-48B9-AD75-6F43E4BD486F}"/>
    <cellStyle name="Currency 5 2 2 2 12" xfId="8872" xr:uid="{F778ABCA-A25B-4969-9A64-66B921DDCB54}"/>
    <cellStyle name="Currency 5 2 2 2 13" xfId="17313" xr:uid="{C1CBE8B6-02D0-4365-8A27-A1B29132C2A6}"/>
    <cellStyle name="Currency 5 2 2 2 14" xfId="25753" xr:uid="{D80FFFBB-BE29-426D-BF0C-858B91A0653C}"/>
    <cellStyle name="Currency 5 2 2 2 2" xfId="197" xr:uid="{00000000-0005-0000-0000-00006D0B0000}"/>
    <cellStyle name="Currency 5 2 2 2 2 10" xfId="4641" xr:uid="{00000000-0005-0000-0000-00006E0B0000}"/>
    <cellStyle name="Currency 5 2 2 2 2 10 2" xfId="13091" xr:uid="{B0F693A1-68D0-47DD-A5FB-7EBB26F9742E}"/>
    <cellStyle name="Currency 5 2 2 2 2 10 3" xfId="21531" xr:uid="{154625DE-94D2-46F4-ADAB-9AFB235A789F}"/>
    <cellStyle name="Currency 5 2 2 2 2 10 4" xfId="29971" xr:uid="{DA106DCA-F750-403D-8922-8FFD06A084BD}"/>
    <cellStyle name="Currency 5 2 2 2 2 11" xfId="8873" xr:uid="{DF3B9A35-D633-406E-9D25-5AE1AEF4BA6E}"/>
    <cellStyle name="Currency 5 2 2 2 2 12" xfId="17314" xr:uid="{FC785E7F-FF46-466C-A013-5700E495BCAE}"/>
    <cellStyle name="Currency 5 2 2 2 2 13" xfId="25754" xr:uid="{807804C0-F27D-420D-AAA5-7705CF5E4D23}"/>
    <cellStyle name="Currency 5 2 2 2 2 2" xfId="198" xr:uid="{00000000-0005-0000-0000-00006F0B0000}"/>
    <cellStyle name="Currency 5 2 2 2 2 2 10" xfId="8874" xr:uid="{1E5F81FC-4728-4F4C-A88A-BBC79120B35F}"/>
    <cellStyle name="Currency 5 2 2 2 2 2 11" xfId="17315" xr:uid="{1336D225-6914-4217-A57D-FCF190A0C992}"/>
    <cellStyle name="Currency 5 2 2 2 2 2 12" xfId="25755" xr:uid="{379CDD9E-4BBA-4B2B-9586-30D67D056736}"/>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2 2 2" xfId="15651" xr:uid="{D122894B-3C0A-4A5A-8988-137DEFB23BAD}"/>
    <cellStyle name="Currency 5 2 2 2 2 2 2 2 2 3" xfId="24091" xr:uid="{0DFFDCCF-2D90-4493-BEF6-F99AD673F967}"/>
    <cellStyle name="Currency 5 2 2 2 2 2 2 2 2 4" xfId="32531" xr:uid="{5B82A612-E3BF-46D3-987E-ABBD2A6B06E0}"/>
    <cellStyle name="Currency 5 2 2 2 2 2 2 2 3" xfId="11433" xr:uid="{B30EB2BD-FC8F-4B6E-862B-10B89A2FF7B1}"/>
    <cellStyle name="Currency 5 2 2 2 2 2 2 2 4" xfId="19874" xr:uid="{19B238CD-E280-46BB-BD18-7486C55B811B}"/>
    <cellStyle name="Currency 5 2 2 2 2 2 2 2 5" xfId="28314" xr:uid="{B85D111E-C37F-49BF-A6FB-D6C862BF6FE6}"/>
    <cellStyle name="Currency 5 2 2 2 2 2 2 3" xfId="5056" xr:uid="{00000000-0005-0000-0000-0000730B0000}"/>
    <cellStyle name="Currency 5 2 2 2 2 2 2 3 2" xfId="13506" xr:uid="{FAA6357B-751E-44AC-BDAA-47546090A45E}"/>
    <cellStyle name="Currency 5 2 2 2 2 2 2 3 3" xfId="21946" xr:uid="{2D31B3C4-28FA-4944-94E3-13E17E6BCE0F}"/>
    <cellStyle name="Currency 5 2 2 2 2 2 2 3 4" xfId="30386" xr:uid="{05E61042-8A41-4E62-B5E5-E58603B3126C}"/>
    <cellStyle name="Currency 5 2 2 2 2 2 2 4" xfId="9288" xr:uid="{D7BAB272-5ED1-48F9-BE3A-27253961A155}"/>
    <cellStyle name="Currency 5 2 2 2 2 2 2 5" xfId="17729" xr:uid="{74A32552-9262-48DC-9207-E9E65FE083AB}"/>
    <cellStyle name="Currency 5 2 2 2 2 2 2 6" xfId="26169" xr:uid="{22F6FE72-E6C4-4607-92F6-BF4DA5376B4D}"/>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2 2 2" xfId="16064" xr:uid="{614C892A-A9CC-441C-ADD3-77BCD0C11AE2}"/>
    <cellStyle name="Currency 5 2 2 2 2 2 3 2 2 3" xfId="24504" xr:uid="{81FB68CA-E931-44D6-8D59-88247C000E2C}"/>
    <cellStyle name="Currency 5 2 2 2 2 2 3 2 2 4" xfId="32944" xr:uid="{82DD63BC-D105-4A59-9BD0-93C2D9867E6F}"/>
    <cellStyle name="Currency 5 2 2 2 2 2 3 2 3" xfId="11846" xr:uid="{7A0E5DF7-29D4-4783-9E1C-A43797B051FE}"/>
    <cellStyle name="Currency 5 2 2 2 2 2 3 2 4" xfId="20287" xr:uid="{F6C40368-1D33-4BDD-91B8-F1BC0EB9129C}"/>
    <cellStyle name="Currency 5 2 2 2 2 2 3 2 5" xfId="28727" xr:uid="{C548C311-45CB-4D86-8BE7-1803B3EA9D0D}"/>
    <cellStyle name="Currency 5 2 2 2 2 2 3 3" xfId="5469" xr:uid="{00000000-0005-0000-0000-0000770B0000}"/>
    <cellStyle name="Currency 5 2 2 2 2 2 3 3 2" xfId="13919" xr:uid="{8E3E2596-B96D-4D60-A28E-3C218DE37A10}"/>
    <cellStyle name="Currency 5 2 2 2 2 2 3 3 3" xfId="22359" xr:uid="{DE661878-A98C-49C0-B5F5-9EAD804A44D0}"/>
    <cellStyle name="Currency 5 2 2 2 2 2 3 3 4" xfId="30799" xr:uid="{D303C9B7-77B7-40B0-8F53-A5C07F75FDA4}"/>
    <cellStyle name="Currency 5 2 2 2 2 2 3 4" xfId="9701" xr:uid="{23D97530-F1DD-4806-AF9B-B3150F4323E0}"/>
    <cellStyle name="Currency 5 2 2 2 2 2 3 5" xfId="18142" xr:uid="{34D37E0D-0F0E-47F9-B65C-E2C408FA45F6}"/>
    <cellStyle name="Currency 5 2 2 2 2 2 3 6" xfId="26582" xr:uid="{1452A7BA-BA59-4612-8409-2E02A17B9959}"/>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2 2 2" xfId="16477" xr:uid="{4247E1A2-B972-4AC0-A99B-8778FF45F111}"/>
    <cellStyle name="Currency 5 2 2 2 2 2 4 2 2 3" xfId="24917" xr:uid="{AF7B6707-38D1-48B4-B54B-34677995CF13}"/>
    <cellStyle name="Currency 5 2 2 2 2 2 4 2 2 4" xfId="33357" xr:uid="{8130C684-D479-4B94-A739-D3DA4F419841}"/>
    <cellStyle name="Currency 5 2 2 2 2 2 4 2 3" xfId="12259" xr:uid="{C908CC8D-3B12-4FFA-905F-7C444D65C6F3}"/>
    <cellStyle name="Currency 5 2 2 2 2 2 4 2 4" xfId="20700" xr:uid="{F3C9497E-793A-4F78-B703-22F6ABA6D7BD}"/>
    <cellStyle name="Currency 5 2 2 2 2 2 4 2 5" xfId="29140" xr:uid="{8B0F228F-3C63-422E-872A-BE78370E9B56}"/>
    <cellStyle name="Currency 5 2 2 2 2 2 4 3" xfId="5882" xr:uid="{00000000-0005-0000-0000-00007B0B0000}"/>
    <cellStyle name="Currency 5 2 2 2 2 2 4 3 2" xfId="14332" xr:uid="{3A26A8B0-DFF0-408D-96A0-2631A506D6BE}"/>
    <cellStyle name="Currency 5 2 2 2 2 2 4 3 3" xfId="22772" xr:uid="{47320C68-A18D-4A86-9E33-A794C33EE41F}"/>
    <cellStyle name="Currency 5 2 2 2 2 2 4 3 4" xfId="31212" xr:uid="{5ECA29CB-DBD0-48B2-878C-F5CB95C48F49}"/>
    <cellStyle name="Currency 5 2 2 2 2 2 4 4" xfId="10114" xr:uid="{FF86A01B-5556-45EF-B68E-A2AFF4AE9E1A}"/>
    <cellStyle name="Currency 5 2 2 2 2 2 4 5" xfId="18555" xr:uid="{D6AB3C71-2296-46AE-BF8F-B83D76AC3834}"/>
    <cellStyle name="Currency 5 2 2 2 2 2 4 6" xfId="26995" xr:uid="{6784C544-E0AB-434D-B74C-18367624222F}"/>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2 2 2" xfId="16890" xr:uid="{70ABB77D-5570-4430-86CB-9F0914086277}"/>
    <cellStyle name="Currency 5 2 2 2 2 2 5 2 2 3" xfId="25330" xr:uid="{EA8E2B30-0DF1-4333-B1AA-76D424BC3B26}"/>
    <cellStyle name="Currency 5 2 2 2 2 2 5 2 2 4" xfId="33770" xr:uid="{A64BE7B0-FA8B-48E7-8AB1-CF270325331A}"/>
    <cellStyle name="Currency 5 2 2 2 2 2 5 2 3" xfId="12672" xr:uid="{3D979B1E-6FFF-4CAF-8E7A-A6A93F63F193}"/>
    <cellStyle name="Currency 5 2 2 2 2 2 5 2 4" xfId="21113" xr:uid="{ED125DA1-42B0-4058-87F2-E9706E7BE679}"/>
    <cellStyle name="Currency 5 2 2 2 2 2 5 2 5" xfId="29553" xr:uid="{76F2E21A-1A88-46A4-9339-94583CF32FBB}"/>
    <cellStyle name="Currency 5 2 2 2 2 2 5 3" xfId="6295" xr:uid="{00000000-0005-0000-0000-00007F0B0000}"/>
    <cellStyle name="Currency 5 2 2 2 2 2 5 3 2" xfId="14745" xr:uid="{308980E5-5847-411E-8895-04F7DC74E26E}"/>
    <cellStyle name="Currency 5 2 2 2 2 2 5 3 3" xfId="23185" xr:uid="{895FB7FC-4ABF-40C0-87BC-7CAF7DFDE7DC}"/>
    <cellStyle name="Currency 5 2 2 2 2 2 5 3 4" xfId="31625" xr:uid="{77E54C77-9640-4946-9CC6-564566F0D44C}"/>
    <cellStyle name="Currency 5 2 2 2 2 2 5 4" xfId="10527" xr:uid="{87AB5C97-04B4-4B31-859A-AE40E808E441}"/>
    <cellStyle name="Currency 5 2 2 2 2 2 5 5" xfId="18968" xr:uid="{66838704-F8E7-457A-9722-9A1EAABDD102}"/>
    <cellStyle name="Currency 5 2 2 2 2 2 5 6" xfId="27408" xr:uid="{DBE68FBD-BC0D-495F-B6B9-C57782C4019C}"/>
    <cellStyle name="Currency 5 2 2 2 2 2 6" xfId="2424" xr:uid="{00000000-0005-0000-0000-0000800B0000}"/>
    <cellStyle name="Currency 5 2 2 2 2 2 6 2" xfId="6708" xr:uid="{00000000-0005-0000-0000-0000810B0000}"/>
    <cellStyle name="Currency 5 2 2 2 2 2 6 2 2" xfId="15158" xr:uid="{6E235A15-70CB-45EA-8C28-D5814EA7E1A3}"/>
    <cellStyle name="Currency 5 2 2 2 2 2 6 2 3" xfId="23598" xr:uid="{60841E06-48EA-47E7-994F-550022ED722F}"/>
    <cellStyle name="Currency 5 2 2 2 2 2 6 2 4" xfId="32038" xr:uid="{5CBFF565-EF6D-44FA-9A65-D0105E06B4FB}"/>
    <cellStyle name="Currency 5 2 2 2 2 2 6 3" xfId="10940" xr:uid="{70F41D0B-4150-4F45-A1D3-2DA2D60B9E52}"/>
    <cellStyle name="Currency 5 2 2 2 2 2 6 4" xfId="19381" xr:uid="{CD59A040-B931-4341-BC94-EF3DB08D813B}"/>
    <cellStyle name="Currency 5 2 2 2 2 2 6 5" xfId="27821" xr:uid="{00377D12-ADF2-40B0-870C-8CEC050FF9A9}"/>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8 2 2" xfId="15475" xr:uid="{40F64CEC-A20C-41C8-A150-0153B44FEC46}"/>
    <cellStyle name="Currency 5 2 2 2 2 2 8 2 3" xfId="23915" xr:uid="{4D5EB544-75EB-4389-9958-D87F01486BCF}"/>
    <cellStyle name="Currency 5 2 2 2 2 2 8 2 4" xfId="32355" xr:uid="{E4E0BA17-FB08-4083-AE7B-8A40FA12EACA}"/>
    <cellStyle name="Currency 5 2 2 2 2 2 8 3" xfId="11257" xr:uid="{5617B0C5-3D19-4FCD-800E-AA5A20F35007}"/>
    <cellStyle name="Currency 5 2 2 2 2 2 8 4" xfId="19698" xr:uid="{8EA43124-B877-46FC-A852-8CBAE2F0DB97}"/>
    <cellStyle name="Currency 5 2 2 2 2 2 8 5" xfId="28138" xr:uid="{A8861DC7-B903-4543-9C5B-65D0DE61F4AB}"/>
    <cellStyle name="Currency 5 2 2 2 2 2 9" xfId="4642" xr:uid="{00000000-0005-0000-0000-0000850B0000}"/>
    <cellStyle name="Currency 5 2 2 2 2 2 9 2" xfId="13092" xr:uid="{E51B7ADC-7D4A-4931-AAB5-BCBABCBFEE08}"/>
    <cellStyle name="Currency 5 2 2 2 2 2 9 3" xfId="21532" xr:uid="{81D2F3E0-44CC-4D1A-859F-25EAEF760444}"/>
    <cellStyle name="Currency 5 2 2 2 2 2 9 4" xfId="29972" xr:uid="{7F27A6AD-F9C1-4F6B-B931-80B0B58573BE}"/>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2 2 2" xfId="15650" xr:uid="{F26C690E-F445-497D-9A23-B07FD3C43A0C}"/>
    <cellStyle name="Currency 5 2 2 2 2 3 2 2 3" xfId="24090" xr:uid="{960A1A07-BF82-4E43-9B3F-47293F320EB9}"/>
    <cellStyle name="Currency 5 2 2 2 2 3 2 2 4" xfId="32530" xr:uid="{D8D23175-FAAB-4AC2-BF97-AEDD8D3F2DCD}"/>
    <cellStyle name="Currency 5 2 2 2 2 3 2 3" xfId="11432" xr:uid="{D88D355D-A5B1-4B2D-9C78-966823B08392}"/>
    <cellStyle name="Currency 5 2 2 2 2 3 2 4" xfId="19873" xr:uid="{9D3BBEFD-BDD0-4400-A006-FEA4FF26EDFE}"/>
    <cellStyle name="Currency 5 2 2 2 2 3 2 5" xfId="28313" xr:uid="{D9E07BF2-4A82-4439-92F9-5E008A708E69}"/>
    <cellStyle name="Currency 5 2 2 2 2 3 3" xfId="5055" xr:uid="{00000000-0005-0000-0000-0000890B0000}"/>
    <cellStyle name="Currency 5 2 2 2 2 3 3 2" xfId="13505" xr:uid="{68C1F80F-6628-454D-A90A-1819988F5D12}"/>
    <cellStyle name="Currency 5 2 2 2 2 3 3 3" xfId="21945" xr:uid="{7D687A55-1D60-47FE-A8F4-103F7FCDB82E}"/>
    <cellStyle name="Currency 5 2 2 2 2 3 3 4" xfId="30385" xr:uid="{991ADC86-96D6-4F4A-943E-A1ACD899311B}"/>
    <cellStyle name="Currency 5 2 2 2 2 3 4" xfId="9287" xr:uid="{4C983D41-527C-4406-912D-E3AEFC299940}"/>
    <cellStyle name="Currency 5 2 2 2 2 3 5" xfId="17728" xr:uid="{F54DA021-60B2-4548-B9CA-B29146A4544D}"/>
    <cellStyle name="Currency 5 2 2 2 2 3 6" xfId="26168" xr:uid="{70891269-B882-4A55-963C-692C2E705891}"/>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2 2 2" xfId="16063" xr:uid="{962DD9B5-0910-4C1D-9FE8-7B8E1DC94BAF}"/>
    <cellStyle name="Currency 5 2 2 2 2 4 2 2 3" xfId="24503" xr:uid="{E1954C9A-106B-4843-9E68-B2479171D718}"/>
    <cellStyle name="Currency 5 2 2 2 2 4 2 2 4" xfId="32943" xr:uid="{B28C1978-395C-4533-BF60-0CA6E977145F}"/>
    <cellStyle name="Currency 5 2 2 2 2 4 2 3" xfId="11845" xr:uid="{662AAE3E-1414-4266-91FB-83FFF35FC483}"/>
    <cellStyle name="Currency 5 2 2 2 2 4 2 4" xfId="20286" xr:uid="{9737B617-E42E-4701-85E3-7C7D8FFD64E7}"/>
    <cellStyle name="Currency 5 2 2 2 2 4 2 5" xfId="28726" xr:uid="{3893153B-B139-4594-920E-B5B0F19E89D2}"/>
    <cellStyle name="Currency 5 2 2 2 2 4 3" xfId="5468" xr:uid="{00000000-0005-0000-0000-00008D0B0000}"/>
    <cellStyle name="Currency 5 2 2 2 2 4 3 2" xfId="13918" xr:uid="{E1E4E021-CEDE-44F7-9DF6-908BA3D114D0}"/>
    <cellStyle name="Currency 5 2 2 2 2 4 3 3" xfId="22358" xr:uid="{0ED58BDC-A17E-437E-9673-FF73D6F7715B}"/>
    <cellStyle name="Currency 5 2 2 2 2 4 3 4" xfId="30798" xr:uid="{60AB88A8-3907-45E3-A591-CDADB732FB12}"/>
    <cellStyle name="Currency 5 2 2 2 2 4 4" xfId="9700" xr:uid="{AB7F6FB8-9089-445F-80C1-C640516E2EB9}"/>
    <cellStyle name="Currency 5 2 2 2 2 4 5" xfId="18141" xr:uid="{CCFFDB28-5448-47E9-86BF-0D7E0E5A9C44}"/>
    <cellStyle name="Currency 5 2 2 2 2 4 6" xfId="26581" xr:uid="{AD43E85E-22E9-4232-8DE8-26DED34A7C2F}"/>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2 2 2" xfId="16476" xr:uid="{93316B1B-E167-45B8-B66B-21D336730864}"/>
    <cellStyle name="Currency 5 2 2 2 2 5 2 2 3" xfId="24916" xr:uid="{A7C62FC3-9E15-4F1F-B5D7-8180E339F4AB}"/>
    <cellStyle name="Currency 5 2 2 2 2 5 2 2 4" xfId="33356" xr:uid="{43F5D3F5-F41F-4268-B344-B6C7B88E091E}"/>
    <cellStyle name="Currency 5 2 2 2 2 5 2 3" xfId="12258" xr:uid="{74B7B813-86D4-4089-9DD8-C59529AAEAEC}"/>
    <cellStyle name="Currency 5 2 2 2 2 5 2 4" xfId="20699" xr:uid="{5695C7ED-D954-472A-A42C-2F88D360C344}"/>
    <cellStyle name="Currency 5 2 2 2 2 5 2 5" xfId="29139" xr:uid="{2B676CB3-1F31-4E6F-B0F5-330CD03723C1}"/>
    <cellStyle name="Currency 5 2 2 2 2 5 3" xfId="5881" xr:uid="{00000000-0005-0000-0000-0000910B0000}"/>
    <cellStyle name="Currency 5 2 2 2 2 5 3 2" xfId="14331" xr:uid="{50CB0A33-1B91-4791-BF7A-4F85FC8662D2}"/>
    <cellStyle name="Currency 5 2 2 2 2 5 3 3" xfId="22771" xr:uid="{47A46A00-6B95-4831-BBD4-81939EE07928}"/>
    <cellStyle name="Currency 5 2 2 2 2 5 3 4" xfId="31211" xr:uid="{EA28EA8C-A1CB-4952-AC87-C1E9A309D5CC}"/>
    <cellStyle name="Currency 5 2 2 2 2 5 4" xfId="10113" xr:uid="{70EDEC2C-9A72-41D6-AAF6-B6C5802CD46D}"/>
    <cellStyle name="Currency 5 2 2 2 2 5 5" xfId="18554" xr:uid="{7FE9104A-A3FB-404F-9ED0-0BFBCC5064F0}"/>
    <cellStyle name="Currency 5 2 2 2 2 5 6" xfId="26994" xr:uid="{80457DAA-8EB5-4290-95F5-8780B2A7A617}"/>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2 2 2" xfId="16889" xr:uid="{46203F41-E914-4FE9-9C2E-5C625CACDA2F}"/>
    <cellStyle name="Currency 5 2 2 2 2 6 2 2 3" xfId="25329" xr:uid="{0F8B0742-7AAD-46CF-B402-A5DEE1595E41}"/>
    <cellStyle name="Currency 5 2 2 2 2 6 2 2 4" xfId="33769" xr:uid="{4995CBBA-91DB-4B8F-B16B-12259349AEBA}"/>
    <cellStyle name="Currency 5 2 2 2 2 6 2 3" xfId="12671" xr:uid="{279A0F6C-974B-4FA2-B883-87A82B022D0A}"/>
    <cellStyle name="Currency 5 2 2 2 2 6 2 4" xfId="21112" xr:uid="{4CB1849D-CD6F-473B-B95F-864F5E157A36}"/>
    <cellStyle name="Currency 5 2 2 2 2 6 2 5" xfId="29552" xr:uid="{906E9750-0AB6-43B5-B3A6-17235A505654}"/>
    <cellStyle name="Currency 5 2 2 2 2 6 3" xfId="6294" xr:uid="{00000000-0005-0000-0000-0000950B0000}"/>
    <cellStyle name="Currency 5 2 2 2 2 6 3 2" xfId="14744" xr:uid="{DAE9B117-3053-48BF-88DD-F43B0C487044}"/>
    <cellStyle name="Currency 5 2 2 2 2 6 3 3" xfId="23184" xr:uid="{55952EF4-CAED-4EDF-A80D-8DE34A60EC8F}"/>
    <cellStyle name="Currency 5 2 2 2 2 6 3 4" xfId="31624" xr:uid="{FB326528-862A-4765-AA75-BD91E2105131}"/>
    <cellStyle name="Currency 5 2 2 2 2 6 4" xfId="10526" xr:uid="{92AD998B-9F92-47A6-B4D5-62C5A74EC807}"/>
    <cellStyle name="Currency 5 2 2 2 2 6 5" xfId="18967" xr:uid="{91DEBEE5-0CD5-4D8D-ABDB-BB8420D4ABB9}"/>
    <cellStyle name="Currency 5 2 2 2 2 6 6" xfId="27407" xr:uid="{0974A0FF-3EFB-4C72-84C5-54BF9B0BC346}"/>
    <cellStyle name="Currency 5 2 2 2 2 7" xfId="2423" xr:uid="{00000000-0005-0000-0000-0000960B0000}"/>
    <cellStyle name="Currency 5 2 2 2 2 7 2" xfId="6707" xr:uid="{00000000-0005-0000-0000-0000970B0000}"/>
    <cellStyle name="Currency 5 2 2 2 2 7 2 2" xfId="15157" xr:uid="{FEDF7284-4C5C-4D7C-B9BF-A95A12079476}"/>
    <cellStyle name="Currency 5 2 2 2 2 7 2 3" xfId="23597" xr:uid="{BA8C2ACA-D3DD-40B3-A51C-CD21CC58EE06}"/>
    <cellStyle name="Currency 5 2 2 2 2 7 2 4" xfId="32037" xr:uid="{1FE081F2-D71C-4695-B784-0C25B50D4ADE}"/>
    <cellStyle name="Currency 5 2 2 2 2 7 3" xfId="10939" xr:uid="{34E23E74-4035-42C2-9032-5EA447E30A1A}"/>
    <cellStyle name="Currency 5 2 2 2 2 7 4" xfId="19380" xr:uid="{DB30AA27-D7F1-4439-AC96-C25BFD80914F}"/>
    <cellStyle name="Currency 5 2 2 2 2 7 5" xfId="27820" xr:uid="{80CB208A-2E99-4C4E-BED7-68077524A339}"/>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2 9 2 2" xfId="15474" xr:uid="{2C467D7C-09F7-4F8B-90BB-6ACD50D57F0F}"/>
    <cellStyle name="Currency 5 2 2 2 2 9 2 3" xfId="23914" xr:uid="{DF414ADB-214D-4525-9E63-FAFB19BC1C59}"/>
    <cellStyle name="Currency 5 2 2 2 2 9 2 4" xfId="32354" xr:uid="{68E5F39A-DF68-493B-9223-79505565D186}"/>
    <cellStyle name="Currency 5 2 2 2 2 9 3" xfId="11256" xr:uid="{AD3391A5-0BA1-40BA-994F-6D8D6C0B934D}"/>
    <cellStyle name="Currency 5 2 2 2 2 9 4" xfId="19697" xr:uid="{C70C32F9-F3F8-41C4-BCC8-7E5D45428C8D}"/>
    <cellStyle name="Currency 5 2 2 2 2 9 5" xfId="28137" xr:uid="{0C74759D-040B-47E1-9ACF-690F6F364FE9}"/>
    <cellStyle name="Currency 5 2 2 2 3" xfId="199" xr:uid="{00000000-0005-0000-0000-00009B0B0000}"/>
    <cellStyle name="Currency 5 2 2 2 3 10" xfId="8875" xr:uid="{82A3D926-86C7-4047-B740-74CFD837E9B5}"/>
    <cellStyle name="Currency 5 2 2 2 3 11" xfId="17316" xr:uid="{1EAC69AB-603D-4D9B-AC25-108D64FCA05A}"/>
    <cellStyle name="Currency 5 2 2 2 3 12" xfId="25756" xr:uid="{61205F71-8B00-4ABA-9DEF-38C9296B3DC0}"/>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2 2 2" xfId="15652" xr:uid="{E13FCC80-695C-4D80-B96C-985B1EED840F}"/>
    <cellStyle name="Currency 5 2 2 2 3 2 2 2 3" xfId="24092" xr:uid="{238B31FE-EE32-4A60-93D3-E69DBD689A40}"/>
    <cellStyle name="Currency 5 2 2 2 3 2 2 2 4" xfId="32532" xr:uid="{917A4596-BAEA-441C-BB63-6FE262A85C10}"/>
    <cellStyle name="Currency 5 2 2 2 3 2 2 3" xfId="11434" xr:uid="{227C13CB-CE90-4619-86F6-46C41B6714E4}"/>
    <cellStyle name="Currency 5 2 2 2 3 2 2 4" xfId="19875" xr:uid="{1693506A-FC2C-4636-81E3-70A29B2B7266}"/>
    <cellStyle name="Currency 5 2 2 2 3 2 2 5" xfId="28315" xr:uid="{6696CC17-442D-4832-A5EF-0964FE423335}"/>
    <cellStyle name="Currency 5 2 2 2 3 2 3" xfId="5057" xr:uid="{00000000-0005-0000-0000-00009F0B0000}"/>
    <cellStyle name="Currency 5 2 2 2 3 2 3 2" xfId="13507" xr:uid="{B05C0E8C-D8CC-4300-A3CE-2243E5F88A8B}"/>
    <cellStyle name="Currency 5 2 2 2 3 2 3 3" xfId="21947" xr:uid="{2980A1A3-AD26-4814-AA8C-D01826B7899E}"/>
    <cellStyle name="Currency 5 2 2 2 3 2 3 4" xfId="30387" xr:uid="{652CC4BA-B4C1-4141-87C6-AD24B48FA5CD}"/>
    <cellStyle name="Currency 5 2 2 2 3 2 4" xfId="9289" xr:uid="{A40BC2A1-3113-4B3E-93AD-8394B24624F7}"/>
    <cellStyle name="Currency 5 2 2 2 3 2 5" xfId="17730" xr:uid="{118CD32B-E399-42A0-B1BB-0D3B97EFBB68}"/>
    <cellStyle name="Currency 5 2 2 2 3 2 6" xfId="26170" xr:uid="{9DE9A0C3-1455-4CD3-AD7E-D131A14914DB}"/>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2 2 2" xfId="16065" xr:uid="{D6FB9C22-8E63-4D97-80FD-916F02C0754E}"/>
    <cellStyle name="Currency 5 2 2 2 3 3 2 2 3" xfId="24505" xr:uid="{DD6C4C40-A9BC-4CCB-90C9-19E560880A9D}"/>
    <cellStyle name="Currency 5 2 2 2 3 3 2 2 4" xfId="32945" xr:uid="{2625FD2A-7A86-4737-87C5-C36913642B85}"/>
    <cellStyle name="Currency 5 2 2 2 3 3 2 3" xfId="11847" xr:uid="{6B4E66B8-7DBA-4EEE-825B-911D760E832E}"/>
    <cellStyle name="Currency 5 2 2 2 3 3 2 4" xfId="20288" xr:uid="{DB177D65-7B62-42D3-A3A7-23A4A67668E0}"/>
    <cellStyle name="Currency 5 2 2 2 3 3 2 5" xfId="28728" xr:uid="{846035D4-3EAD-4D94-9871-93A5CD49331A}"/>
    <cellStyle name="Currency 5 2 2 2 3 3 3" xfId="5470" xr:uid="{00000000-0005-0000-0000-0000A30B0000}"/>
    <cellStyle name="Currency 5 2 2 2 3 3 3 2" xfId="13920" xr:uid="{76B2CF27-BC27-49EB-B430-62CE013ECC71}"/>
    <cellStyle name="Currency 5 2 2 2 3 3 3 3" xfId="22360" xr:uid="{56014379-A42B-4B29-9A9A-444C50EF0B40}"/>
    <cellStyle name="Currency 5 2 2 2 3 3 3 4" xfId="30800" xr:uid="{0B374D3C-113D-4322-A29F-FE8072FBB917}"/>
    <cellStyle name="Currency 5 2 2 2 3 3 4" xfId="9702" xr:uid="{5D244894-E4CB-4902-9073-B0C3932E5CD8}"/>
    <cellStyle name="Currency 5 2 2 2 3 3 5" xfId="18143" xr:uid="{73C2C536-6859-4B23-9763-538E62035379}"/>
    <cellStyle name="Currency 5 2 2 2 3 3 6" xfId="26583" xr:uid="{05D79B03-4075-4463-AB66-24FB21CB8412}"/>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2 2 2" xfId="16478" xr:uid="{22C1A56A-D18B-48B7-BDF7-8A60635DD50A}"/>
    <cellStyle name="Currency 5 2 2 2 3 4 2 2 3" xfId="24918" xr:uid="{36371F9E-19F9-419E-A4E5-49DC9B18994B}"/>
    <cellStyle name="Currency 5 2 2 2 3 4 2 2 4" xfId="33358" xr:uid="{6C685F5C-34D9-45C9-BA83-5A3092D1BE35}"/>
    <cellStyle name="Currency 5 2 2 2 3 4 2 3" xfId="12260" xr:uid="{3531F632-66FB-464B-824D-A5A12834AEDB}"/>
    <cellStyle name="Currency 5 2 2 2 3 4 2 4" xfId="20701" xr:uid="{5B831167-4847-403C-A6D2-52DEAEB1B64A}"/>
    <cellStyle name="Currency 5 2 2 2 3 4 2 5" xfId="29141" xr:uid="{111B1297-AE57-4254-98B7-8BCEC6115DE7}"/>
    <cellStyle name="Currency 5 2 2 2 3 4 3" xfId="5883" xr:uid="{00000000-0005-0000-0000-0000A70B0000}"/>
    <cellStyle name="Currency 5 2 2 2 3 4 3 2" xfId="14333" xr:uid="{56ED2B46-49AC-4AC5-A341-814FA3028743}"/>
    <cellStyle name="Currency 5 2 2 2 3 4 3 3" xfId="22773" xr:uid="{66F8A2DB-7271-42E5-9BDE-9B0FB38A6080}"/>
    <cellStyle name="Currency 5 2 2 2 3 4 3 4" xfId="31213" xr:uid="{26DBBF37-C0F8-4D56-8F2D-C4CF5F726862}"/>
    <cellStyle name="Currency 5 2 2 2 3 4 4" xfId="10115" xr:uid="{601AE7CD-F291-43CC-93CB-E98F6A630EBA}"/>
    <cellStyle name="Currency 5 2 2 2 3 4 5" xfId="18556" xr:uid="{41F40A16-6EEC-4556-9291-C8C74ECCA3B4}"/>
    <cellStyle name="Currency 5 2 2 2 3 4 6" xfId="26996" xr:uid="{AE90F7AD-1031-4529-9C5F-E4E37FC2A0D2}"/>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2 2 2" xfId="16891" xr:uid="{0EA4F7D7-4B52-4FFF-B21D-07CA239A6773}"/>
    <cellStyle name="Currency 5 2 2 2 3 5 2 2 3" xfId="25331" xr:uid="{CB72AFAF-C084-4A7E-8AF2-EA42C48DEBE4}"/>
    <cellStyle name="Currency 5 2 2 2 3 5 2 2 4" xfId="33771" xr:uid="{03A5CCAF-7050-4B0F-88CA-2A2A97490B24}"/>
    <cellStyle name="Currency 5 2 2 2 3 5 2 3" xfId="12673" xr:uid="{229B502E-AAD4-4E5C-AB37-92679008D27F}"/>
    <cellStyle name="Currency 5 2 2 2 3 5 2 4" xfId="21114" xr:uid="{90D66DCC-B4D0-4737-8F24-16E11C2EFB2D}"/>
    <cellStyle name="Currency 5 2 2 2 3 5 2 5" xfId="29554" xr:uid="{5B001BC9-3B42-4205-8152-495C4A154F23}"/>
    <cellStyle name="Currency 5 2 2 2 3 5 3" xfId="6296" xr:uid="{00000000-0005-0000-0000-0000AB0B0000}"/>
    <cellStyle name="Currency 5 2 2 2 3 5 3 2" xfId="14746" xr:uid="{21769DE2-2A25-49F8-B342-FCA580ECFC44}"/>
    <cellStyle name="Currency 5 2 2 2 3 5 3 3" xfId="23186" xr:uid="{08F3C0A8-D836-4797-803A-78D380BA6845}"/>
    <cellStyle name="Currency 5 2 2 2 3 5 3 4" xfId="31626" xr:uid="{305CA636-8369-43AA-AEDA-7200BBC4C9D9}"/>
    <cellStyle name="Currency 5 2 2 2 3 5 4" xfId="10528" xr:uid="{72746C85-C77F-47ED-BF09-669C3980D2D7}"/>
    <cellStyle name="Currency 5 2 2 2 3 5 5" xfId="18969" xr:uid="{1B38D61B-B7D8-44E5-9A1A-590C92800AF2}"/>
    <cellStyle name="Currency 5 2 2 2 3 5 6" xfId="27409" xr:uid="{F46588A7-F20D-4F17-A302-A8AED5939A00}"/>
    <cellStyle name="Currency 5 2 2 2 3 6" xfId="2425" xr:uid="{00000000-0005-0000-0000-0000AC0B0000}"/>
    <cellStyle name="Currency 5 2 2 2 3 6 2" xfId="6709" xr:uid="{00000000-0005-0000-0000-0000AD0B0000}"/>
    <cellStyle name="Currency 5 2 2 2 3 6 2 2" xfId="15159" xr:uid="{4B9132DD-1D41-4AD7-A9BF-79E5CD522E6D}"/>
    <cellStyle name="Currency 5 2 2 2 3 6 2 3" xfId="23599" xr:uid="{625DACCA-A60A-4ECE-840C-746EBBC88339}"/>
    <cellStyle name="Currency 5 2 2 2 3 6 2 4" xfId="32039" xr:uid="{0CB0A139-9B42-4196-9EAD-E3E16E28820D}"/>
    <cellStyle name="Currency 5 2 2 2 3 6 3" xfId="10941" xr:uid="{DAAB53E6-9802-4F7A-96D8-BAE94DC3D20C}"/>
    <cellStyle name="Currency 5 2 2 2 3 6 4" xfId="19382" xr:uid="{79045EA5-4A12-45BE-A448-C7C8DCB34168}"/>
    <cellStyle name="Currency 5 2 2 2 3 6 5" xfId="27822" xr:uid="{A1D6FC26-98A9-41C6-AAB2-C11927682DF5}"/>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8 2 2" xfId="15476" xr:uid="{C626C5C2-6953-4D0A-A047-526C141E4E8A}"/>
    <cellStyle name="Currency 5 2 2 2 3 8 2 3" xfId="23916" xr:uid="{038BF941-551F-4725-9C72-F562F874562C}"/>
    <cellStyle name="Currency 5 2 2 2 3 8 2 4" xfId="32356" xr:uid="{BB8AD96D-DB5B-4D7A-9723-B2D3FDC33793}"/>
    <cellStyle name="Currency 5 2 2 2 3 8 3" xfId="11258" xr:uid="{8C67CA19-3BA5-447C-8E54-9010960498A7}"/>
    <cellStyle name="Currency 5 2 2 2 3 8 4" xfId="19699" xr:uid="{B2AD9485-0367-4F4A-88D6-882DF436F5CC}"/>
    <cellStyle name="Currency 5 2 2 2 3 8 5" xfId="28139" xr:uid="{F58DC653-316F-4BF0-8936-58F78C44CEAA}"/>
    <cellStyle name="Currency 5 2 2 2 3 9" xfId="4643" xr:uid="{00000000-0005-0000-0000-0000B10B0000}"/>
    <cellStyle name="Currency 5 2 2 2 3 9 2" xfId="13093" xr:uid="{D65DF98F-810F-4D55-8BDD-106A30767F2D}"/>
    <cellStyle name="Currency 5 2 2 2 3 9 3" xfId="21533" xr:uid="{BC574434-7942-432A-9B41-3CCEA7B50375}"/>
    <cellStyle name="Currency 5 2 2 2 3 9 4" xfId="29973" xr:uid="{52A0FFD9-A80B-4DA5-8BB5-7CB273324BC3}"/>
    <cellStyle name="Currency 5 2 2 2 4" xfId="723" xr:uid="{00000000-0005-0000-0000-0000B20B0000}"/>
    <cellStyle name="Currency 5 2 2 2 4 2" xfId="2977" xr:uid="{00000000-0005-0000-0000-0000B30B0000}"/>
    <cellStyle name="Currency 5 2 2 2 4 2 2" xfId="7199" xr:uid="{00000000-0005-0000-0000-0000B40B0000}"/>
    <cellStyle name="Currency 5 2 2 2 4 2 2 2" xfId="15649" xr:uid="{A26DECE1-5174-49AB-BCBD-19EACE83AA05}"/>
    <cellStyle name="Currency 5 2 2 2 4 2 2 3" xfId="24089" xr:uid="{53A689B5-666D-44BA-B589-8F69B3E6887E}"/>
    <cellStyle name="Currency 5 2 2 2 4 2 2 4" xfId="32529" xr:uid="{B513A109-2C63-4F83-88A5-807831F3FAB9}"/>
    <cellStyle name="Currency 5 2 2 2 4 2 3" xfId="11431" xr:uid="{7CF07BCA-CB62-42FE-9C04-89A25A977916}"/>
    <cellStyle name="Currency 5 2 2 2 4 2 4" xfId="19872" xr:uid="{BD627E61-A479-4F3C-A9FD-3335C0E617EF}"/>
    <cellStyle name="Currency 5 2 2 2 4 2 5" xfId="28312" xr:uid="{BFF0A227-1117-417F-860F-449714BA7119}"/>
    <cellStyle name="Currency 5 2 2 2 4 3" xfId="5054" xr:uid="{00000000-0005-0000-0000-0000B50B0000}"/>
    <cellStyle name="Currency 5 2 2 2 4 3 2" xfId="13504" xr:uid="{C47C361D-41A6-4DF7-A228-893814FB2B74}"/>
    <cellStyle name="Currency 5 2 2 2 4 3 3" xfId="21944" xr:uid="{7B9FBBB0-DC18-49FB-B43B-4D1571CA2C91}"/>
    <cellStyle name="Currency 5 2 2 2 4 3 4" xfId="30384" xr:uid="{79B751BB-0D5D-4138-8355-08958CD4A9D4}"/>
    <cellStyle name="Currency 5 2 2 2 4 4" xfId="9286" xr:uid="{D5823751-62E2-4C65-B918-6873CE3764CF}"/>
    <cellStyle name="Currency 5 2 2 2 4 5" xfId="17727" xr:uid="{8AC0F26C-FBC9-4164-816A-CBEA2FF93A5F}"/>
    <cellStyle name="Currency 5 2 2 2 4 6" xfId="26167" xr:uid="{4571223D-BB89-4F66-ABC2-677CF6A99D7E}"/>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2 2 2" xfId="16062" xr:uid="{5CBC4700-8D8C-4269-B2AE-9F6F2BECB337}"/>
    <cellStyle name="Currency 5 2 2 2 5 2 2 3" xfId="24502" xr:uid="{8B1BEE64-1287-490C-9A91-1911EB346450}"/>
    <cellStyle name="Currency 5 2 2 2 5 2 2 4" xfId="32942" xr:uid="{91DF8859-0B00-4851-BF22-CF896A28D02D}"/>
    <cellStyle name="Currency 5 2 2 2 5 2 3" xfId="11844" xr:uid="{3904ECFA-DD59-4CA8-9CB3-15E3C86D08C1}"/>
    <cellStyle name="Currency 5 2 2 2 5 2 4" xfId="20285" xr:uid="{279EF00B-D35E-469D-BB82-430AE2929E91}"/>
    <cellStyle name="Currency 5 2 2 2 5 2 5" xfId="28725" xr:uid="{0D78D45F-D08C-4F45-9122-01E8D538A151}"/>
    <cellStyle name="Currency 5 2 2 2 5 3" xfId="5467" xr:uid="{00000000-0005-0000-0000-0000B90B0000}"/>
    <cellStyle name="Currency 5 2 2 2 5 3 2" xfId="13917" xr:uid="{2251C2EC-4A37-4B7F-B047-CCC5246B1DEF}"/>
    <cellStyle name="Currency 5 2 2 2 5 3 3" xfId="22357" xr:uid="{32DE21A6-FF09-48FF-80BA-6EC6C9DDA73E}"/>
    <cellStyle name="Currency 5 2 2 2 5 3 4" xfId="30797" xr:uid="{8ECA90D5-898B-4F7E-8FE8-A5A50621521E}"/>
    <cellStyle name="Currency 5 2 2 2 5 4" xfId="9699" xr:uid="{947B18BD-EF38-4B05-AD42-A167E2DB49D4}"/>
    <cellStyle name="Currency 5 2 2 2 5 5" xfId="18140" xr:uid="{8EA05084-EBD8-4D29-9B41-D795AA594C9A}"/>
    <cellStyle name="Currency 5 2 2 2 5 6" xfId="26580" xr:uid="{8D9AE85F-AFD2-4350-AE8B-B91A876BA347}"/>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2 2 2" xfId="16475" xr:uid="{EE8656E4-2F39-4A15-94B9-8E65CBC59C72}"/>
    <cellStyle name="Currency 5 2 2 2 6 2 2 3" xfId="24915" xr:uid="{ABEC1C5A-55F8-4A7F-B201-18182BD3A1B3}"/>
    <cellStyle name="Currency 5 2 2 2 6 2 2 4" xfId="33355" xr:uid="{32830A88-8891-4AA7-83A9-585A8D724EDE}"/>
    <cellStyle name="Currency 5 2 2 2 6 2 3" xfId="12257" xr:uid="{ADA3439F-16D6-4BB6-B6A6-A8FE73A5E62E}"/>
    <cellStyle name="Currency 5 2 2 2 6 2 4" xfId="20698" xr:uid="{BDD975D8-3E52-4643-A2A1-4EBE4DDC4DE5}"/>
    <cellStyle name="Currency 5 2 2 2 6 2 5" xfId="29138" xr:uid="{88CF45B8-19EE-4DFE-80B1-02C79FC9F8A0}"/>
    <cellStyle name="Currency 5 2 2 2 6 3" xfId="5880" xr:uid="{00000000-0005-0000-0000-0000BD0B0000}"/>
    <cellStyle name="Currency 5 2 2 2 6 3 2" xfId="14330" xr:uid="{8921A79E-8B8D-4A97-B234-3E916A7952E4}"/>
    <cellStyle name="Currency 5 2 2 2 6 3 3" xfId="22770" xr:uid="{E956DD7D-4813-4B8A-A106-E20D48027EE8}"/>
    <cellStyle name="Currency 5 2 2 2 6 3 4" xfId="31210" xr:uid="{297B7D5B-8960-478E-A03A-D882A7D0A8B3}"/>
    <cellStyle name="Currency 5 2 2 2 6 4" xfId="10112" xr:uid="{7B9F08A0-A9E9-42C1-A708-F0FC6606BA9B}"/>
    <cellStyle name="Currency 5 2 2 2 6 5" xfId="18553" xr:uid="{6CE61434-131A-468A-9D1B-A59A3200FD47}"/>
    <cellStyle name="Currency 5 2 2 2 6 6" xfId="26993" xr:uid="{634E6ABC-2B60-431B-810F-6AF631848CAC}"/>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2 2 2" xfId="16888" xr:uid="{124A2C1C-0ECD-4234-8E01-338388C023E9}"/>
    <cellStyle name="Currency 5 2 2 2 7 2 2 3" xfId="25328" xr:uid="{999F4989-8CD2-4839-B0D4-D9B869D823EC}"/>
    <cellStyle name="Currency 5 2 2 2 7 2 2 4" xfId="33768" xr:uid="{52792CD0-812F-48D2-BCFD-241FF4D4D8A3}"/>
    <cellStyle name="Currency 5 2 2 2 7 2 3" xfId="12670" xr:uid="{911FD14D-DC3B-4C43-A3E1-72FF53852E4B}"/>
    <cellStyle name="Currency 5 2 2 2 7 2 4" xfId="21111" xr:uid="{E7A19621-8922-4EF1-A304-2AB1BD9960CD}"/>
    <cellStyle name="Currency 5 2 2 2 7 2 5" xfId="29551" xr:uid="{516BF9C0-32E4-417B-AC4E-D99D31FE1A4E}"/>
    <cellStyle name="Currency 5 2 2 2 7 3" xfId="6293" xr:uid="{00000000-0005-0000-0000-0000C10B0000}"/>
    <cellStyle name="Currency 5 2 2 2 7 3 2" xfId="14743" xr:uid="{413ADE24-578C-4E4B-956A-06CB8C07D25D}"/>
    <cellStyle name="Currency 5 2 2 2 7 3 3" xfId="23183" xr:uid="{74EAE12C-DD85-4802-AED7-3585F0BE1974}"/>
    <cellStyle name="Currency 5 2 2 2 7 3 4" xfId="31623" xr:uid="{8749CD21-6698-44F3-8F09-E88E233DAA61}"/>
    <cellStyle name="Currency 5 2 2 2 7 4" xfId="10525" xr:uid="{82BCFFA7-B1D7-445B-9193-746AD9A1C40D}"/>
    <cellStyle name="Currency 5 2 2 2 7 5" xfId="18966" xr:uid="{BFB2E167-4263-42D0-980B-F32A9D634D94}"/>
    <cellStyle name="Currency 5 2 2 2 7 6" xfId="27406" xr:uid="{EF4FC767-D709-49FC-BE33-E5D7BDBEA953}"/>
    <cellStyle name="Currency 5 2 2 2 8" xfId="2422" xr:uid="{00000000-0005-0000-0000-0000C20B0000}"/>
    <cellStyle name="Currency 5 2 2 2 8 2" xfId="6706" xr:uid="{00000000-0005-0000-0000-0000C30B0000}"/>
    <cellStyle name="Currency 5 2 2 2 8 2 2" xfId="15156" xr:uid="{C8371E2F-098C-4314-AF23-103531FA8BAC}"/>
    <cellStyle name="Currency 5 2 2 2 8 2 3" xfId="23596" xr:uid="{5AAAB287-0D5C-4185-B9CB-D9EA30D4DDE2}"/>
    <cellStyle name="Currency 5 2 2 2 8 2 4" xfId="32036" xr:uid="{AE751211-7612-418D-A84B-E15A053848C0}"/>
    <cellStyle name="Currency 5 2 2 2 8 3" xfId="10938" xr:uid="{277F6DEF-7BDB-4BD5-8634-7A0FE1724D9F}"/>
    <cellStyle name="Currency 5 2 2 2 8 4" xfId="19379" xr:uid="{F2F499AE-1E45-415D-8328-F83A08846D17}"/>
    <cellStyle name="Currency 5 2 2 2 8 5" xfId="27819" xr:uid="{1CFF94ED-6FB7-4CB6-BCFF-EEC371BAECD6}"/>
    <cellStyle name="Currency 5 2 2 2 9" xfId="2719" xr:uid="{00000000-0005-0000-0000-0000C40B0000}"/>
    <cellStyle name="Currency 5 2 2 3" xfId="200" xr:uid="{00000000-0005-0000-0000-0000C50B0000}"/>
    <cellStyle name="Currency 5 2 2 3 10" xfId="4644" xr:uid="{00000000-0005-0000-0000-0000C60B0000}"/>
    <cellStyle name="Currency 5 2 2 3 10 2" xfId="13094" xr:uid="{D681320F-6C3C-49DC-921A-BB00843697F4}"/>
    <cellStyle name="Currency 5 2 2 3 10 3" xfId="21534" xr:uid="{CDF7F482-B94E-4FF0-8A56-30E7746C9FCF}"/>
    <cellStyle name="Currency 5 2 2 3 10 4" xfId="29974" xr:uid="{F8F3E8A9-4CE6-4BB7-A050-48445DCEED71}"/>
    <cellStyle name="Currency 5 2 2 3 11" xfId="8876" xr:uid="{11A94013-E6B4-4EF7-8E4B-E6DD6811C4F7}"/>
    <cellStyle name="Currency 5 2 2 3 12" xfId="17317" xr:uid="{4517F9D6-0909-450C-B857-3CA2F9631C21}"/>
    <cellStyle name="Currency 5 2 2 3 13" xfId="25757" xr:uid="{9553CB66-9E6E-4A87-99CB-0B86E74E7B1A}"/>
    <cellStyle name="Currency 5 2 2 3 2" xfId="201" xr:uid="{00000000-0005-0000-0000-0000C70B0000}"/>
    <cellStyle name="Currency 5 2 2 3 2 10" xfId="8877" xr:uid="{2383B0F7-C99B-4601-9717-DDD39B3116EC}"/>
    <cellStyle name="Currency 5 2 2 3 2 11" xfId="17318" xr:uid="{6EDB4C2D-9F82-4D3D-96A3-F4A740298004}"/>
    <cellStyle name="Currency 5 2 2 3 2 12" xfId="25758" xr:uid="{44ECDD0D-40E6-4838-8D60-EFC0048E528B}"/>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2 2 2" xfId="15654" xr:uid="{48EB1DC5-BA5A-47CB-8DAE-827B54E08B50}"/>
    <cellStyle name="Currency 5 2 2 3 2 2 2 2 3" xfId="24094" xr:uid="{7B0A50AC-4AEB-43D5-8736-F9128944C546}"/>
    <cellStyle name="Currency 5 2 2 3 2 2 2 2 4" xfId="32534" xr:uid="{002A2AC1-A3DD-4E6D-8B4A-011FF22CC900}"/>
    <cellStyle name="Currency 5 2 2 3 2 2 2 3" xfId="11436" xr:uid="{AF86C217-878F-4504-B261-3A7F49A183C9}"/>
    <cellStyle name="Currency 5 2 2 3 2 2 2 4" xfId="19877" xr:uid="{31242448-A3BF-43A0-A1FE-36197DBAF542}"/>
    <cellStyle name="Currency 5 2 2 3 2 2 2 5" xfId="28317" xr:uid="{FCB79AFC-3E58-4496-B7ED-3AA73400E116}"/>
    <cellStyle name="Currency 5 2 2 3 2 2 3" xfId="5059" xr:uid="{00000000-0005-0000-0000-0000CB0B0000}"/>
    <cellStyle name="Currency 5 2 2 3 2 2 3 2" xfId="13509" xr:uid="{EFCFA80B-E41B-47D3-98EE-680B0665B011}"/>
    <cellStyle name="Currency 5 2 2 3 2 2 3 3" xfId="21949" xr:uid="{BC31D4BA-D6D3-46B7-B0A0-7276B858470B}"/>
    <cellStyle name="Currency 5 2 2 3 2 2 3 4" xfId="30389" xr:uid="{673EAA4A-6815-4896-A418-E7124CC47841}"/>
    <cellStyle name="Currency 5 2 2 3 2 2 4" xfId="9291" xr:uid="{287CC56B-1642-4718-9F4A-84AC55CD1A85}"/>
    <cellStyle name="Currency 5 2 2 3 2 2 5" xfId="17732" xr:uid="{A5076D97-264D-4032-8AD8-74268FE1EDF2}"/>
    <cellStyle name="Currency 5 2 2 3 2 2 6" xfId="26172" xr:uid="{4028F242-A5E6-4665-8DFD-F035209F0A39}"/>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2 2 2" xfId="16067" xr:uid="{65CC7125-2132-4F68-B291-C1381C2987E3}"/>
    <cellStyle name="Currency 5 2 2 3 2 3 2 2 3" xfId="24507" xr:uid="{3216D324-D3C2-49A1-A90D-D812A4E1E6B0}"/>
    <cellStyle name="Currency 5 2 2 3 2 3 2 2 4" xfId="32947" xr:uid="{5415076B-27E8-43F3-A4A7-394167B582AC}"/>
    <cellStyle name="Currency 5 2 2 3 2 3 2 3" xfId="11849" xr:uid="{E447EAA0-9D27-47D2-B188-F6C756D749CD}"/>
    <cellStyle name="Currency 5 2 2 3 2 3 2 4" xfId="20290" xr:uid="{A26014A3-E2E5-499A-A9B7-7C047A687B4D}"/>
    <cellStyle name="Currency 5 2 2 3 2 3 2 5" xfId="28730" xr:uid="{5E7450B1-F3EB-44F1-A003-0B2D45B96248}"/>
    <cellStyle name="Currency 5 2 2 3 2 3 3" xfId="5472" xr:uid="{00000000-0005-0000-0000-0000CF0B0000}"/>
    <cellStyle name="Currency 5 2 2 3 2 3 3 2" xfId="13922" xr:uid="{C6E09B3C-3F39-431A-A17E-0085C82142E3}"/>
    <cellStyle name="Currency 5 2 2 3 2 3 3 3" xfId="22362" xr:uid="{6D3FCF3E-ABB1-4178-9539-65E1BF624C66}"/>
    <cellStyle name="Currency 5 2 2 3 2 3 3 4" xfId="30802" xr:uid="{5141E0DB-EBE3-448F-A416-618FF1588003}"/>
    <cellStyle name="Currency 5 2 2 3 2 3 4" xfId="9704" xr:uid="{C4AA372B-EA2B-490D-B92C-A94D9E0EE849}"/>
    <cellStyle name="Currency 5 2 2 3 2 3 5" xfId="18145" xr:uid="{28D6553A-5C55-4DF8-9E0C-6EA1A90D5568}"/>
    <cellStyle name="Currency 5 2 2 3 2 3 6" xfId="26585" xr:uid="{454D36E4-C689-4707-ABA4-EC6543AA04C2}"/>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2 2 2" xfId="16480" xr:uid="{370B3D4A-0CDA-4472-A398-D8B9447474DD}"/>
    <cellStyle name="Currency 5 2 2 3 2 4 2 2 3" xfId="24920" xr:uid="{3704E01A-8E2A-4579-8D06-9B3DF2B5F9E9}"/>
    <cellStyle name="Currency 5 2 2 3 2 4 2 2 4" xfId="33360" xr:uid="{D8ACDFF1-58E3-4FD1-98B8-571D557568E4}"/>
    <cellStyle name="Currency 5 2 2 3 2 4 2 3" xfId="12262" xr:uid="{5F23D7AD-6D38-49D8-BC47-0123DE978280}"/>
    <cellStyle name="Currency 5 2 2 3 2 4 2 4" xfId="20703" xr:uid="{536EC85F-88E6-4364-9C01-32389F5492AD}"/>
    <cellStyle name="Currency 5 2 2 3 2 4 2 5" xfId="29143" xr:uid="{CC8F79C4-1C90-47EC-981E-1A575E7B95BD}"/>
    <cellStyle name="Currency 5 2 2 3 2 4 3" xfId="5885" xr:uid="{00000000-0005-0000-0000-0000D30B0000}"/>
    <cellStyle name="Currency 5 2 2 3 2 4 3 2" xfId="14335" xr:uid="{553DB0A2-793F-48CF-9BCC-3C747864FBB3}"/>
    <cellStyle name="Currency 5 2 2 3 2 4 3 3" xfId="22775" xr:uid="{129988D4-A3EF-4808-86BF-951B406CB7FF}"/>
    <cellStyle name="Currency 5 2 2 3 2 4 3 4" xfId="31215" xr:uid="{5C1ED14E-B3ED-4E2A-9D8D-31E5AE0646D6}"/>
    <cellStyle name="Currency 5 2 2 3 2 4 4" xfId="10117" xr:uid="{005B9135-55D5-474C-93FC-D829AE06A0FD}"/>
    <cellStyle name="Currency 5 2 2 3 2 4 5" xfId="18558" xr:uid="{33215FE0-F78F-459A-8614-B15AB4F0E658}"/>
    <cellStyle name="Currency 5 2 2 3 2 4 6" xfId="26998" xr:uid="{14424083-1503-48DB-B3B2-E666DB579F07}"/>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2 2 2" xfId="16893" xr:uid="{43183F48-5955-4255-991B-C32479ADBB08}"/>
    <cellStyle name="Currency 5 2 2 3 2 5 2 2 3" xfId="25333" xr:uid="{0454DD7C-8B27-4297-8892-C2FCE59E5D1D}"/>
    <cellStyle name="Currency 5 2 2 3 2 5 2 2 4" xfId="33773" xr:uid="{23E875CE-3B00-4589-B328-884670A2938F}"/>
    <cellStyle name="Currency 5 2 2 3 2 5 2 3" xfId="12675" xr:uid="{53376F25-455E-4749-9F2A-D4B42DD73974}"/>
    <cellStyle name="Currency 5 2 2 3 2 5 2 4" xfId="21116" xr:uid="{E5D0DB7C-FFCF-4D58-8A31-0608A393D3D4}"/>
    <cellStyle name="Currency 5 2 2 3 2 5 2 5" xfId="29556" xr:uid="{C6AC569C-C825-449A-80EA-3043193B1C73}"/>
    <cellStyle name="Currency 5 2 2 3 2 5 3" xfId="6298" xr:uid="{00000000-0005-0000-0000-0000D70B0000}"/>
    <cellStyle name="Currency 5 2 2 3 2 5 3 2" xfId="14748" xr:uid="{2F674E3D-5174-432F-A1CC-D4BF6ED767C8}"/>
    <cellStyle name="Currency 5 2 2 3 2 5 3 3" xfId="23188" xr:uid="{2A2222E3-0DE8-40BC-9CB1-4E5ABEC5D519}"/>
    <cellStyle name="Currency 5 2 2 3 2 5 3 4" xfId="31628" xr:uid="{4F7DEBB8-8653-4851-97A3-EA15A07A0926}"/>
    <cellStyle name="Currency 5 2 2 3 2 5 4" xfId="10530" xr:uid="{B00CF1AF-AE34-4AC8-AE97-5359B37629DD}"/>
    <cellStyle name="Currency 5 2 2 3 2 5 5" xfId="18971" xr:uid="{D67F3BB8-710F-4109-93E6-031F6B069089}"/>
    <cellStyle name="Currency 5 2 2 3 2 5 6" xfId="27411" xr:uid="{B0137EB6-CFD6-4F90-9427-8CB7392D8BCD}"/>
    <cellStyle name="Currency 5 2 2 3 2 6" xfId="2427" xr:uid="{00000000-0005-0000-0000-0000D80B0000}"/>
    <cellStyle name="Currency 5 2 2 3 2 6 2" xfId="6711" xr:uid="{00000000-0005-0000-0000-0000D90B0000}"/>
    <cellStyle name="Currency 5 2 2 3 2 6 2 2" xfId="15161" xr:uid="{4568384C-39EE-4CF6-9F1C-C5CD36F74018}"/>
    <cellStyle name="Currency 5 2 2 3 2 6 2 3" xfId="23601" xr:uid="{5185240D-DED5-49CB-A8FA-4281C84D1550}"/>
    <cellStyle name="Currency 5 2 2 3 2 6 2 4" xfId="32041" xr:uid="{3A12C376-DD10-492B-BA52-F7005E4440AF}"/>
    <cellStyle name="Currency 5 2 2 3 2 6 3" xfId="10943" xr:uid="{4B02A05E-DB08-489D-8698-10524DE88DE1}"/>
    <cellStyle name="Currency 5 2 2 3 2 6 4" xfId="19384" xr:uid="{E5D69FC4-FD7C-49D4-AE0B-D88FF05451E8}"/>
    <cellStyle name="Currency 5 2 2 3 2 6 5" xfId="27824" xr:uid="{89F05970-1601-473D-9A0D-59970B80F761}"/>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8 2 2" xfId="15478" xr:uid="{454DBBC9-1477-48FD-939A-613858C78515}"/>
    <cellStyle name="Currency 5 2 2 3 2 8 2 3" xfId="23918" xr:uid="{67CDE4FF-7281-4777-8523-5F80DB9EF8D6}"/>
    <cellStyle name="Currency 5 2 2 3 2 8 2 4" xfId="32358" xr:uid="{20B70E7B-5EF0-43CE-9A6B-8DA6B6BE6E03}"/>
    <cellStyle name="Currency 5 2 2 3 2 8 3" xfId="11260" xr:uid="{99934D97-EE15-4765-A924-8D1B3E31334D}"/>
    <cellStyle name="Currency 5 2 2 3 2 8 4" xfId="19701" xr:uid="{AEBD43C1-7874-42F1-8083-9B4A8E381CB6}"/>
    <cellStyle name="Currency 5 2 2 3 2 8 5" xfId="28141" xr:uid="{4DFBE151-0C80-4734-9F73-3F19575C2983}"/>
    <cellStyle name="Currency 5 2 2 3 2 9" xfId="4645" xr:uid="{00000000-0005-0000-0000-0000DD0B0000}"/>
    <cellStyle name="Currency 5 2 2 3 2 9 2" xfId="13095" xr:uid="{28C064A7-152D-4FEF-BF4F-A604DC1ECA32}"/>
    <cellStyle name="Currency 5 2 2 3 2 9 3" xfId="21535" xr:uid="{262461B0-D3DB-4003-8EAC-643DF49903B0}"/>
    <cellStyle name="Currency 5 2 2 3 2 9 4" xfId="29975" xr:uid="{B66D6CF0-E289-40B5-8A57-60FF6A1B7DBD}"/>
    <cellStyle name="Currency 5 2 2 3 3" xfId="727" xr:uid="{00000000-0005-0000-0000-0000DE0B0000}"/>
    <cellStyle name="Currency 5 2 2 3 3 2" xfId="2981" xr:uid="{00000000-0005-0000-0000-0000DF0B0000}"/>
    <cellStyle name="Currency 5 2 2 3 3 2 2" xfId="7203" xr:uid="{00000000-0005-0000-0000-0000E00B0000}"/>
    <cellStyle name="Currency 5 2 2 3 3 2 2 2" xfId="15653" xr:uid="{7A143757-2F74-4961-A832-58EB0B9A375D}"/>
    <cellStyle name="Currency 5 2 2 3 3 2 2 3" xfId="24093" xr:uid="{88280AF0-98F6-4F77-875F-34587DDBE038}"/>
    <cellStyle name="Currency 5 2 2 3 3 2 2 4" xfId="32533" xr:uid="{1AAD2DFB-6D74-41A2-9089-DB81181C3073}"/>
    <cellStyle name="Currency 5 2 2 3 3 2 3" xfId="11435" xr:uid="{3A4F5FF8-B9A7-4481-B2D2-4468D8C9724D}"/>
    <cellStyle name="Currency 5 2 2 3 3 2 4" xfId="19876" xr:uid="{668D0258-A0B2-4C39-B632-A9EF983F2E72}"/>
    <cellStyle name="Currency 5 2 2 3 3 2 5" xfId="28316" xr:uid="{17CB5F92-E4F1-4C76-A925-75BE749A1CD8}"/>
    <cellStyle name="Currency 5 2 2 3 3 3" xfId="5058" xr:uid="{00000000-0005-0000-0000-0000E10B0000}"/>
    <cellStyle name="Currency 5 2 2 3 3 3 2" xfId="13508" xr:uid="{4899C171-1771-47AD-BBC0-370AF373FC6C}"/>
    <cellStyle name="Currency 5 2 2 3 3 3 3" xfId="21948" xr:uid="{6D0E7909-5E72-4ED7-9C3A-6D7E577E3005}"/>
    <cellStyle name="Currency 5 2 2 3 3 3 4" xfId="30388" xr:uid="{2923D437-245F-4FFA-A06F-41C2255108FA}"/>
    <cellStyle name="Currency 5 2 2 3 3 4" xfId="9290" xr:uid="{EB7B4EEF-F2D2-4E6D-BBA7-A40E86E348B3}"/>
    <cellStyle name="Currency 5 2 2 3 3 5" xfId="17731" xr:uid="{FB3D1C50-5254-4B9D-883F-6F6F042C0CE3}"/>
    <cellStyle name="Currency 5 2 2 3 3 6" xfId="26171" xr:uid="{84BEEC8B-89B6-475E-BE73-04EED359CD55}"/>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2 2 2" xfId="16066" xr:uid="{2C9CCB44-B9DC-44B1-A21B-769B175D3EFD}"/>
    <cellStyle name="Currency 5 2 2 3 4 2 2 3" xfId="24506" xr:uid="{B7EAA8B6-7350-414E-9261-1BE7FC5096CD}"/>
    <cellStyle name="Currency 5 2 2 3 4 2 2 4" xfId="32946" xr:uid="{E431C1C2-100B-48ED-A9CF-52296240925C}"/>
    <cellStyle name="Currency 5 2 2 3 4 2 3" xfId="11848" xr:uid="{2D9FC336-E12A-4B90-A0DB-BE5A415E0EFF}"/>
    <cellStyle name="Currency 5 2 2 3 4 2 4" xfId="20289" xr:uid="{6037CF4D-2592-4BFC-921C-CC650EF64DA3}"/>
    <cellStyle name="Currency 5 2 2 3 4 2 5" xfId="28729" xr:uid="{ECE38129-8A2B-43E5-9F77-862BA126AE42}"/>
    <cellStyle name="Currency 5 2 2 3 4 3" xfId="5471" xr:uid="{00000000-0005-0000-0000-0000E50B0000}"/>
    <cellStyle name="Currency 5 2 2 3 4 3 2" xfId="13921" xr:uid="{C3CE77FE-5CDA-4EFF-BA0F-1AC5C7C18957}"/>
    <cellStyle name="Currency 5 2 2 3 4 3 3" xfId="22361" xr:uid="{52E28A21-287F-4D8C-8C82-C0BC5EED7973}"/>
    <cellStyle name="Currency 5 2 2 3 4 3 4" xfId="30801" xr:uid="{79AB74E8-E25E-494B-BCFB-26F4AB90A33C}"/>
    <cellStyle name="Currency 5 2 2 3 4 4" xfId="9703" xr:uid="{609F5C64-AB5A-4B84-B2A7-7B393ACA80BC}"/>
    <cellStyle name="Currency 5 2 2 3 4 5" xfId="18144" xr:uid="{41AF2B96-05D5-4C0B-80A0-E935D6F5FEC7}"/>
    <cellStyle name="Currency 5 2 2 3 4 6" xfId="26584" xr:uid="{195334EC-7FBA-4A65-A3C1-4D83EEE986C8}"/>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2 2 2" xfId="16479" xr:uid="{B5811C4C-858F-4449-896D-A9309604FF9B}"/>
    <cellStyle name="Currency 5 2 2 3 5 2 2 3" xfId="24919" xr:uid="{B8D806FA-5C88-49AA-A505-7A243AB4FDF9}"/>
    <cellStyle name="Currency 5 2 2 3 5 2 2 4" xfId="33359" xr:uid="{B26F1A74-6669-471B-B526-9E46025BEFEE}"/>
    <cellStyle name="Currency 5 2 2 3 5 2 3" xfId="12261" xr:uid="{22A4A868-A12F-480B-8E85-3A4E567C3373}"/>
    <cellStyle name="Currency 5 2 2 3 5 2 4" xfId="20702" xr:uid="{754001E8-87A4-4A14-87E3-DF691B0F4E24}"/>
    <cellStyle name="Currency 5 2 2 3 5 2 5" xfId="29142" xr:uid="{BC085FB9-100B-44C0-BC19-32B53C385EAF}"/>
    <cellStyle name="Currency 5 2 2 3 5 3" xfId="5884" xr:uid="{00000000-0005-0000-0000-0000E90B0000}"/>
    <cellStyle name="Currency 5 2 2 3 5 3 2" xfId="14334" xr:uid="{32A7825A-CC3D-487D-9574-CB5031D23500}"/>
    <cellStyle name="Currency 5 2 2 3 5 3 3" xfId="22774" xr:uid="{1BABD861-2AD6-4837-93E3-C05E3909EE60}"/>
    <cellStyle name="Currency 5 2 2 3 5 3 4" xfId="31214" xr:uid="{57C6D10D-B3C2-40A1-AC90-53FE002803AB}"/>
    <cellStyle name="Currency 5 2 2 3 5 4" xfId="10116" xr:uid="{1CE4CAA5-22F3-4D21-A077-67E03350BA00}"/>
    <cellStyle name="Currency 5 2 2 3 5 5" xfId="18557" xr:uid="{09B876DF-3E2C-45B8-9FD5-65564C8636BF}"/>
    <cellStyle name="Currency 5 2 2 3 5 6" xfId="26997" xr:uid="{F5AD1944-6CE3-48D6-9504-74722D91A83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2 2 2" xfId="16892" xr:uid="{A102358B-2547-4330-ACAA-D409F034331D}"/>
    <cellStyle name="Currency 5 2 2 3 6 2 2 3" xfId="25332" xr:uid="{B7F4ADE5-A29E-43F2-95C6-46136898A188}"/>
    <cellStyle name="Currency 5 2 2 3 6 2 2 4" xfId="33772" xr:uid="{5F55065C-DD72-4616-BAB9-A409F79B7AE4}"/>
    <cellStyle name="Currency 5 2 2 3 6 2 3" xfId="12674" xr:uid="{55B54DD8-1561-422C-BECF-04132635F486}"/>
    <cellStyle name="Currency 5 2 2 3 6 2 4" xfId="21115" xr:uid="{AD931E71-A3F8-4D1E-BD11-CB0EFA64C9CB}"/>
    <cellStyle name="Currency 5 2 2 3 6 2 5" xfId="29555" xr:uid="{7ECE2759-8480-4A90-9ED1-76CF02E9A43C}"/>
    <cellStyle name="Currency 5 2 2 3 6 3" xfId="6297" xr:uid="{00000000-0005-0000-0000-0000ED0B0000}"/>
    <cellStyle name="Currency 5 2 2 3 6 3 2" xfId="14747" xr:uid="{0066D7B3-4C0C-47A1-8387-D54B306A4029}"/>
    <cellStyle name="Currency 5 2 2 3 6 3 3" xfId="23187" xr:uid="{7443A4A6-8028-409E-AE64-C5381DFA886A}"/>
    <cellStyle name="Currency 5 2 2 3 6 3 4" xfId="31627" xr:uid="{3403C727-EFF6-40C6-8828-CF6F61A01E03}"/>
    <cellStyle name="Currency 5 2 2 3 6 4" xfId="10529" xr:uid="{B73C86FA-7F34-41CF-A680-735350B5AB8F}"/>
    <cellStyle name="Currency 5 2 2 3 6 5" xfId="18970" xr:uid="{D860A2EB-7590-4C8D-83A8-D1E6959B6802}"/>
    <cellStyle name="Currency 5 2 2 3 6 6" xfId="27410" xr:uid="{085C85B1-27C1-49E7-A33E-56E3E88CE78A}"/>
    <cellStyle name="Currency 5 2 2 3 7" xfId="2426" xr:uid="{00000000-0005-0000-0000-0000EE0B0000}"/>
    <cellStyle name="Currency 5 2 2 3 7 2" xfId="6710" xr:uid="{00000000-0005-0000-0000-0000EF0B0000}"/>
    <cellStyle name="Currency 5 2 2 3 7 2 2" xfId="15160" xr:uid="{7D4004D2-431B-4F2D-A388-C813AD5A2284}"/>
    <cellStyle name="Currency 5 2 2 3 7 2 3" xfId="23600" xr:uid="{4A002089-5665-4D2A-AFE3-FD130B95CED6}"/>
    <cellStyle name="Currency 5 2 2 3 7 2 4" xfId="32040" xr:uid="{03F2D8DF-ED1C-4544-A538-C0CBDD5E476A}"/>
    <cellStyle name="Currency 5 2 2 3 7 3" xfId="10942" xr:uid="{70429E07-C4A3-426B-90D8-A8CEE429DE35}"/>
    <cellStyle name="Currency 5 2 2 3 7 4" xfId="19383" xr:uid="{088C6DF3-DCFD-4E6B-A2AF-0C66144B4410}"/>
    <cellStyle name="Currency 5 2 2 3 7 5" xfId="27823" xr:uid="{76C28977-55E0-4F43-A828-D72BFDC36DC4}"/>
    <cellStyle name="Currency 5 2 2 3 8" xfId="2723" xr:uid="{00000000-0005-0000-0000-0000F00B0000}"/>
    <cellStyle name="Currency 5 2 2 3 9" xfId="2804" xr:uid="{00000000-0005-0000-0000-0000F10B0000}"/>
    <cellStyle name="Currency 5 2 2 3 9 2" xfId="7027" xr:uid="{00000000-0005-0000-0000-0000F20B0000}"/>
    <cellStyle name="Currency 5 2 2 3 9 2 2" xfId="15477" xr:uid="{88D4046E-D7B3-4F07-BADF-79C4855935C9}"/>
    <cellStyle name="Currency 5 2 2 3 9 2 3" xfId="23917" xr:uid="{705BFD47-470E-4D87-ACE5-AF910D46DBD4}"/>
    <cellStyle name="Currency 5 2 2 3 9 2 4" xfId="32357" xr:uid="{A65B1364-4DEA-48CD-9801-22FB20A8FE41}"/>
    <cellStyle name="Currency 5 2 2 3 9 3" xfId="11259" xr:uid="{9FB9F6C8-C70C-4948-8B43-49DED0862962}"/>
    <cellStyle name="Currency 5 2 2 3 9 4" xfId="19700" xr:uid="{BF40FF14-7EC9-4D19-A478-98F0E6BCC26F}"/>
    <cellStyle name="Currency 5 2 2 3 9 5" xfId="28140" xr:uid="{F72EB90B-7FC8-4CF5-B7A9-0EC8D18F6E01}"/>
    <cellStyle name="Currency 5 2 2 4" xfId="202" xr:uid="{00000000-0005-0000-0000-0000F30B0000}"/>
    <cellStyle name="Currency 5 2 2 4 10" xfId="8878" xr:uid="{E3D6A992-D8B0-4DCE-9E78-7AEE98CD4C22}"/>
    <cellStyle name="Currency 5 2 2 4 11" xfId="17319" xr:uid="{1C2B5A4D-C8BA-4344-A7BE-D26348F4C699}"/>
    <cellStyle name="Currency 5 2 2 4 12" xfId="25759" xr:uid="{1556C9C9-5627-4423-B396-6A485768784E}"/>
    <cellStyle name="Currency 5 2 2 4 2" xfId="729" xr:uid="{00000000-0005-0000-0000-0000F40B0000}"/>
    <cellStyle name="Currency 5 2 2 4 2 2" xfId="2983" xr:uid="{00000000-0005-0000-0000-0000F50B0000}"/>
    <cellStyle name="Currency 5 2 2 4 2 2 2" xfId="7205" xr:uid="{00000000-0005-0000-0000-0000F60B0000}"/>
    <cellStyle name="Currency 5 2 2 4 2 2 2 2" xfId="15655" xr:uid="{6BC2ABCC-92F4-414D-AE76-7AD59156F199}"/>
    <cellStyle name="Currency 5 2 2 4 2 2 2 3" xfId="24095" xr:uid="{9D0F6CD6-164A-40D9-86D0-5847161DF304}"/>
    <cellStyle name="Currency 5 2 2 4 2 2 2 4" xfId="32535" xr:uid="{9B100C84-F559-435C-B6A3-03AB8EC9B11F}"/>
    <cellStyle name="Currency 5 2 2 4 2 2 3" xfId="11437" xr:uid="{39F3572B-F1ED-4B84-96E9-5B5C763E8AAC}"/>
    <cellStyle name="Currency 5 2 2 4 2 2 4" xfId="19878" xr:uid="{846194E3-8D0C-49C5-ABC5-FCCB6E34305D}"/>
    <cellStyle name="Currency 5 2 2 4 2 2 5" xfId="28318" xr:uid="{A6E686D7-8B89-4459-A687-1C1B8D9A60C8}"/>
    <cellStyle name="Currency 5 2 2 4 2 3" xfId="5060" xr:uid="{00000000-0005-0000-0000-0000F70B0000}"/>
    <cellStyle name="Currency 5 2 2 4 2 3 2" xfId="13510" xr:uid="{4E055251-B8CE-4BF9-A2A3-EE6E93D4132B}"/>
    <cellStyle name="Currency 5 2 2 4 2 3 3" xfId="21950" xr:uid="{2801226F-8E9B-49A8-8608-B97ED61647F6}"/>
    <cellStyle name="Currency 5 2 2 4 2 3 4" xfId="30390" xr:uid="{BD493023-D2CA-42C8-B069-FBA228570F59}"/>
    <cellStyle name="Currency 5 2 2 4 2 4" xfId="9292" xr:uid="{BF27BAD4-7E72-4365-ACEF-03CCF55E36B0}"/>
    <cellStyle name="Currency 5 2 2 4 2 5" xfId="17733" xr:uid="{B38810E5-5413-4D52-8D58-4CAC0D2CAE3A}"/>
    <cellStyle name="Currency 5 2 2 4 2 6" xfId="26173" xr:uid="{432969AE-D387-4718-A479-37DA7C7F6BAC}"/>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2 2 2" xfId="16068" xr:uid="{C748DD4B-4373-4DE4-A279-C6BFA2248A34}"/>
    <cellStyle name="Currency 5 2 2 4 3 2 2 3" xfId="24508" xr:uid="{AB1AF870-C6FB-4E7C-9CBE-278B6C52E40C}"/>
    <cellStyle name="Currency 5 2 2 4 3 2 2 4" xfId="32948" xr:uid="{59E362D9-273A-4754-A09D-F5F2D2DAD23B}"/>
    <cellStyle name="Currency 5 2 2 4 3 2 3" xfId="11850" xr:uid="{1007100B-245E-4A64-99F8-767D2FDA5FA0}"/>
    <cellStyle name="Currency 5 2 2 4 3 2 4" xfId="20291" xr:uid="{3EB5288B-7A9C-4C75-93A4-80B597CA299E}"/>
    <cellStyle name="Currency 5 2 2 4 3 2 5" xfId="28731" xr:uid="{28C04842-CDD6-4005-8132-FD8E1A297E63}"/>
    <cellStyle name="Currency 5 2 2 4 3 3" xfId="5473" xr:uid="{00000000-0005-0000-0000-0000FB0B0000}"/>
    <cellStyle name="Currency 5 2 2 4 3 3 2" xfId="13923" xr:uid="{F00CFF5C-6763-4D49-9A88-D08E0D069B30}"/>
    <cellStyle name="Currency 5 2 2 4 3 3 3" xfId="22363" xr:uid="{B4E5BC83-DC3C-4B6C-8FD3-EA3D57B24C09}"/>
    <cellStyle name="Currency 5 2 2 4 3 3 4" xfId="30803" xr:uid="{BCEA08A8-8459-41FB-80DF-86E93DB81928}"/>
    <cellStyle name="Currency 5 2 2 4 3 4" xfId="9705" xr:uid="{E83F8582-B2DB-47D0-AB6D-D22E54E82A1E}"/>
    <cellStyle name="Currency 5 2 2 4 3 5" xfId="18146" xr:uid="{B6497198-86C6-4E74-8627-4DC5513E1685}"/>
    <cellStyle name="Currency 5 2 2 4 3 6" xfId="26586" xr:uid="{CC1EF6C1-572E-4C3C-9433-2731EF112826}"/>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2 2 2" xfId="16481" xr:uid="{EA8ED1BE-0395-4EEE-8D33-57653BD742ED}"/>
    <cellStyle name="Currency 5 2 2 4 4 2 2 3" xfId="24921" xr:uid="{4D8F92A3-B125-494C-AA9F-097AD306460B}"/>
    <cellStyle name="Currency 5 2 2 4 4 2 2 4" xfId="33361" xr:uid="{A2DF23F9-17AA-4572-BD66-15D5E7271248}"/>
    <cellStyle name="Currency 5 2 2 4 4 2 3" xfId="12263" xr:uid="{F6B636E3-183D-4C1E-97D6-42AE67D2B399}"/>
    <cellStyle name="Currency 5 2 2 4 4 2 4" xfId="20704" xr:uid="{B8048144-E572-4625-AEB4-3153B39550D5}"/>
    <cellStyle name="Currency 5 2 2 4 4 2 5" xfId="29144" xr:uid="{CC3C8240-2EBC-4989-B425-BBCA66461B1C}"/>
    <cellStyle name="Currency 5 2 2 4 4 3" xfId="5886" xr:uid="{00000000-0005-0000-0000-0000FF0B0000}"/>
    <cellStyle name="Currency 5 2 2 4 4 3 2" xfId="14336" xr:uid="{D2E0967E-586F-4693-8993-126A7AE49858}"/>
    <cellStyle name="Currency 5 2 2 4 4 3 3" xfId="22776" xr:uid="{79C86D47-322C-4A15-85BC-36F7B29CC6B9}"/>
    <cellStyle name="Currency 5 2 2 4 4 3 4" xfId="31216" xr:uid="{16676BEB-6892-4C6A-AA79-AFC10A50E272}"/>
    <cellStyle name="Currency 5 2 2 4 4 4" xfId="10118" xr:uid="{F4DB7A42-FF19-41DD-9488-98A93D0B3A4C}"/>
    <cellStyle name="Currency 5 2 2 4 4 5" xfId="18559" xr:uid="{EFA4E288-66CA-4313-AF1D-C84EE11258C9}"/>
    <cellStyle name="Currency 5 2 2 4 4 6" xfId="26999" xr:uid="{84506DAF-39B2-4031-9501-CE269F05E8D3}"/>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2 2 2" xfId="16894" xr:uid="{02A805B1-C02A-40A4-8334-5BABD040D78C}"/>
    <cellStyle name="Currency 5 2 2 4 5 2 2 3" xfId="25334" xr:uid="{27F520CE-2C7A-40EB-922B-4F9276869787}"/>
    <cellStyle name="Currency 5 2 2 4 5 2 2 4" xfId="33774" xr:uid="{9A6CF892-9088-4A32-85C8-A04DFDADEC15}"/>
    <cellStyle name="Currency 5 2 2 4 5 2 3" xfId="12676" xr:uid="{FC936652-9480-4997-9A99-DB0589B38DAA}"/>
    <cellStyle name="Currency 5 2 2 4 5 2 4" xfId="21117" xr:uid="{24AF60C7-8930-4BFF-8328-1A332A823E65}"/>
    <cellStyle name="Currency 5 2 2 4 5 2 5" xfId="29557" xr:uid="{69BE2A18-6A00-4A72-937C-52ECC73AA017}"/>
    <cellStyle name="Currency 5 2 2 4 5 3" xfId="6299" xr:uid="{00000000-0005-0000-0000-0000030C0000}"/>
    <cellStyle name="Currency 5 2 2 4 5 3 2" xfId="14749" xr:uid="{00CAF7DF-EEB5-4F39-AD81-1692E0E2430F}"/>
    <cellStyle name="Currency 5 2 2 4 5 3 3" xfId="23189" xr:uid="{15E02F1B-44E1-4FF2-9123-40E3056A1C8C}"/>
    <cellStyle name="Currency 5 2 2 4 5 3 4" xfId="31629" xr:uid="{DD785E2C-899F-4CF3-9D9F-A8B34A76621F}"/>
    <cellStyle name="Currency 5 2 2 4 5 4" xfId="10531" xr:uid="{C7873AC0-96A4-48C9-89E8-8EF51233082D}"/>
    <cellStyle name="Currency 5 2 2 4 5 5" xfId="18972" xr:uid="{2E943CDD-75AC-4FFA-8697-B662704130E0}"/>
    <cellStyle name="Currency 5 2 2 4 5 6" xfId="27412" xr:uid="{A2C5F770-05B7-49F8-98C6-5141F4F8C8FB}"/>
    <cellStyle name="Currency 5 2 2 4 6" xfId="2428" xr:uid="{00000000-0005-0000-0000-0000040C0000}"/>
    <cellStyle name="Currency 5 2 2 4 6 2" xfId="6712" xr:uid="{00000000-0005-0000-0000-0000050C0000}"/>
    <cellStyle name="Currency 5 2 2 4 6 2 2" xfId="15162" xr:uid="{A1639FD3-1B32-4AE3-BECD-44195414E40C}"/>
    <cellStyle name="Currency 5 2 2 4 6 2 3" xfId="23602" xr:uid="{473610E0-4F8D-4BC3-9359-D370C495D1A1}"/>
    <cellStyle name="Currency 5 2 2 4 6 2 4" xfId="32042" xr:uid="{C0562CDE-2AAE-4A7D-84AD-487ED2A286D6}"/>
    <cellStyle name="Currency 5 2 2 4 6 3" xfId="10944" xr:uid="{647BB294-E253-47FA-842A-01621B0C6964}"/>
    <cellStyle name="Currency 5 2 2 4 6 4" xfId="19385" xr:uid="{16D52AD1-C4F5-4002-BCB3-7E471ADDB7A5}"/>
    <cellStyle name="Currency 5 2 2 4 6 5" xfId="27825" xr:uid="{97FFD31B-BDC4-4654-8CAB-8510A225B532}"/>
    <cellStyle name="Currency 5 2 2 4 7" xfId="2725" xr:uid="{00000000-0005-0000-0000-0000060C0000}"/>
    <cellStyle name="Currency 5 2 2 4 8" xfId="2806" xr:uid="{00000000-0005-0000-0000-0000070C0000}"/>
    <cellStyle name="Currency 5 2 2 4 8 2" xfId="7029" xr:uid="{00000000-0005-0000-0000-0000080C0000}"/>
    <cellStyle name="Currency 5 2 2 4 8 2 2" xfId="15479" xr:uid="{30257537-0E8D-42F2-B725-9729C3E543CB}"/>
    <cellStyle name="Currency 5 2 2 4 8 2 3" xfId="23919" xr:uid="{EFF8A904-117C-4049-8B4A-BCF5A6CFD95D}"/>
    <cellStyle name="Currency 5 2 2 4 8 2 4" xfId="32359" xr:uid="{D3626A06-76A6-4B41-95A8-BB4B96CC5DD1}"/>
    <cellStyle name="Currency 5 2 2 4 8 3" xfId="11261" xr:uid="{493FF5B5-75DA-45B5-BB3F-983EEAC61357}"/>
    <cellStyle name="Currency 5 2 2 4 8 4" xfId="19702" xr:uid="{70665301-826A-465E-85F2-4C327915DD2D}"/>
    <cellStyle name="Currency 5 2 2 4 8 5" xfId="28142" xr:uid="{247E6D22-1AE7-4C64-862C-785A71094647}"/>
    <cellStyle name="Currency 5 2 2 4 9" xfId="4646" xr:uid="{00000000-0005-0000-0000-0000090C0000}"/>
    <cellStyle name="Currency 5 2 2 4 9 2" xfId="13096" xr:uid="{6B8B9B4D-4C29-4CC5-AF61-30140E4866CA}"/>
    <cellStyle name="Currency 5 2 2 4 9 3" xfId="21536" xr:uid="{574C6AAF-F559-4B7B-A36C-0C2CDBF0CDE8}"/>
    <cellStyle name="Currency 5 2 2 4 9 4" xfId="29976" xr:uid="{E9BAA745-8E92-4AC8-9123-B9EB4975D2C3}"/>
    <cellStyle name="Currency 5 2 2 5" xfId="203" xr:uid="{00000000-0005-0000-0000-00000A0C0000}"/>
    <cellStyle name="Currency 5 2 2 5 10" xfId="8879" xr:uid="{8C6FF737-E76B-4541-87BA-C74F5DCE8FD9}"/>
    <cellStyle name="Currency 5 2 2 5 11" xfId="17320" xr:uid="{56F56BC0-CF1A-41D7-83A9-9C6AF7FA3E29}"/>
    <cellStyle name="Currency 5 2 2 5 12" xfId="25760" xr:uid="{C678F668-48A2-4AA7-BB90-E0084D22ABA6}"/>
    <cellStyle name="Currency 5 2 2 5 2" xfId="730" xr:uid="{00000000-0005-0000-0000-00000B0C0000}"/>
    <cellStyle name="Currency 5 2 2 5 2 2" xfId="2984" xr:uid="{00000000-0005-0000-0000-00000C0C0000}"/>
    <cellStyle name="Currency 5 2 2 5 2 2 2" xfId="7206" xr:uid="{00000000-0005-0000-0000-00000D0C0000}"/>
    <cellStyle name="Currency 5 2 2 5 2 2 2 2" xfId="15656" xr:uid="{8AA51722-DECF-440E-803B-51D3CBCB9D51}"/>
    <cellStyle name="Currency 5 2 2 5 2 2 2 3" xfId="24096" xr:uid="{0D5C2B84-7241-41E6-84A9-D1D68B038135}"/>
    <cellStyle name="Currency 5 2 2 5 2 2 2 4" xfId="32536" xr:uid="{2BCFFFE3-C4E4-4FF8-A87D-DB62EF17223B}"/>
    <cellStyle name="Currency 5 2 2 5 2 2 3" xfId="11438" xr:uid="{D5EE4212-8248-40F5-A525-B2907C2D37D0}"/>
    <cellStyle name="Currency 5 2 2 5 2 2 4" xfId="19879" xr:uid="{5146A1DA-0026-49BB-AD11-0344A6E5F205}"/>
    <cellStyle name="Currency 5 2 2 5 2 2 5" xfId="28319" xr:uid="{E29ABB55-5C1E-4F9E-A038-565B66BB7480}"/>
    <cellStyle name="Currency 5 2 2 5 2 3" xfId="5061" xr:uid="{00000000-0005-0000-0000-00000E0C0000}"/>
    <cellStyle name="Currency 5 2 2 5 2 3 2" xfId="13511" xr:uid="{1256CD1D-646D-4313-967F-2224046AAA2F}"/>
    <cellStyle name="Currency 5 2 2 5 2 3 3" xfId="21951" xr:uid="{F6A8CE0A-0FA2-4961-97E4-97A4C4B25263}"/>
    <cellStyle name="Currency 5 2 2 5 2 3 4" xfId="30391" xr:uid="{AB4B154C-ACF1-4F92-9AA2-80AF46EFD3F4}"/>
    <cellStyle name="Currency 5 2 2 5 2 4" xfId="9293" xr:uid="{7818FA1E-10CC-4BBB-8F0C-AB5494CDE6A4}"/>
    <cellStyle name="Currency 5 2 2 5 2 5" xfId="17734" xr:uid="{B8A1B4C2-FE02-4987-9D4C-5DE8F5CD0CB6}"/>
    <cellStyle name="Currency 5 2 2 5 2 6" xfId="26174" xr:uid="{6F2E1EB2-8ECD-4CAD-935E-9400FA848A27}"/>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2 2 2" xfId="16069" xr:uid="{BE6D9ABE-8861-4DBE-B260-FC8726866CE6}"/>
    <cellStyle name="Currency 5 2 2 5 3 2 2 3" xfId="24509" xr:uid="{0BB20A9E-5B19-42C0-88B2-3621805235DF}"/>
    <cellStyle name="Currency 5 2 2 5 3 2 2 4" xfId="32949" xr:uid="{50F18964-E15A-4C83-9D37-90F0E81FEE37}"/>
    <cellStyle name="Currency 5 2 2 5 3 2 3" xfId="11851" xr:uid="{99F10F8B-BD6D-42C5-AA76-C8B06D76C1A0}"/>
    <cellStyle name="Currency 5 2 2 5 3 2 4" xfId="20292" xr:uid="{F987A52F-041D-4039-9B13-5E24235687F0}"/>
    <cellStyle name="Currency 5 2 2 5 3 2 5" xfId="28732" xr:uid="{F4B8F896-22C7-4B46-819F-4952A2B6A383}"/>
    <cellStyle name="Currency 5 2 2 5 3 3" xfId="5474" xr:uid="{00000000-0005-0000-0000-0000120C0000}"/>
    <cellStyle name="Currency 5 2 2 5 3 3 2" xfId="13924" xr:uid="{50AF80C2-E052-4BDD-B8EC-6AE42F43CAA4}"/>
    <cellStyle name="Currency 5 2 2 5 3 3 3" xfId="22364" xr:uid="{1447CADE-8321-4388-A3F2-35164E004F0F}"/>
    <cellStyle name="Currency 5 2 2 5 3 3 4" xfId="30804" xr:uid="{6C7133F9-C4FA-4979-8D33-2959475F5792}"/>
    <cellStyle name="Currency 5 2 2 5 3 4" xfId="9706" xr:uid="{AF0B296B-59E0-4BCD-9899-72B9037F4808}"/>
    <cellStyle name="Currency 5 2 2 5 3 5" xfId="18147" xr:uid="{C070503E-6A12-4815-9103-4D494C86D77A}"/>
    <cellStyle name="Currency 5 2 2 5 3 6" xfId="26587" xr:uid="{513E5D41-9FAF-4F3E-B3A6-02472B4710D5}"/>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2 2 2" xfId="16482" xr:uid="{F848105A-AA45-4B67-A05F-B569758A0222}"/>
    <cellStyle name="Currency 5 2 2 5 4 2 2 3" xfId="24922" xr:uid="{C7E8C9EE-4DDC-4344-9DE5-EA9D6DB9201C}"/>
    <cellStyle name="Currency 5 2 2 5 4 2 2 4" xfId="33362" xr:uid="{CF7A92B2-7650-49C4-9A44-646822E7C53E}"/>
    <cellStyle name="Currency 5 2 2 5 4 2 3" xfId="12264" xr:uid="{1DD3C0F7-7EF9-46E3-AF2A-93702C81ACFC}"/>
    <cellStyle name="Currency 5 2 2 5 4 2 4" xfId="20705" xr:uid="{50B8CD5A-089E-4285-84AC-3C9E66AF555B}"/>
    <cellStyle name="Currency 5 2 2 5 4 2 5" xfId="29145" xr:uid="{39CAEAF4-308A-4633-85B0-9FD950E47DAF}"/>
    <cellStyle name="Currency 5 2 2 5 4 3" xfId="5887" xr:uid="{00000000-0005-0000-0000-0000160C0000}"/>
    <cellStyle name="Currency 5 2 2 5 4 3 2" xfId="14337" xr:uid="{B1333D72-E62A-4DDF-8960-9E25D4799DAB}"/>
    <cellStyle name="Currency 5 2 2 5 4 3 3" xfId="22777" xr:uid="{AA748723-36E1-42D8-B34A-7A1B7E1651DD}"/>
    <cellStyle name="Currency 5 2 2 5 4 3 4" xfId="31217" xr:uid="{6D3D7DE4-D2CE-401E-8687-5E8F8B6F1E6A}"/>
    <cellStyle name="Currency 5 2 2 5 4 4" xfId="10119" xr:uid="{34FF968C-9EDD-4041-80B3-37820295580A}"/>
    <cellStyle name="Currency 5 2 2 5 4 5" xfId="18560" xr:uid="{CD8042A6-A685-4C4F-8C00-F6AC1C3ADBF3}"/>
    <cellStyle name="Currency 5 2 2 5 4 6" xfId="27000" xr:uid="{FA2A3B8A-2CE4-4070-9D85-BBED2A98F504}"/>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2 2 2" xfId="16895" xr:uid="{A4085ED9-190A-40D4-ADFA-4DFE3B494680}"/>
    <cellStyle name="Currency 5 2 2 5 5 2 2 3" xfId="25335" xr:uid="{0E41B56D-2695-4F41-9FAD-9F831A710870}"/>
    <cellStyle name="Currency 5 2 2 5 5 2 2 4" xfId="33775" xr:uid="{D5DBB4F6-D9D2-45F0-95FB-80CD82B6100C}"/>
    <cellStyle name="Currency 5 2 2 5 5 2 3" xfId="12677" xr:uid="{16D96130-AFF3-4093-B439-DB4D5308AC18}"/>
    <cellStyle name="Currency 5 2 2 5 5 2 4" xfId="21118" xr:uid="{FA6568F2-B00E-4AB3-A193-933048A3D2DC}"/>
    <cellStyle name="Currency 5 2 2 5 5 2 5" xfId="29558" xr:uid="{732732D4-45B3-42B5-AFD8-50A9E90C64CA}"/>
    <cellStyle name="Currency 5 2 2 5 5 3" xfId="6300" xr:uid="{00000000-0005-0000-0000-00001A0C0000}"/>
    <cellStyle name="Currency 5 2 2 5 5 3 2" xfId="14750" xr:uid="{43D7B982-C8A2-433B-A549-8684C7F15107}"/>
    <cellStyle name="Currency 5 2 2 5 5 3 3" xfId="23190" xr:uid="{2B48252B-9EDE-4153-BD86-362CC0366C31}"/>
    <cellStyle name="Currency 5 2 2 5 5 3 4" xfId="31630" xr:uid="{7BB37D0A-AB89-40CD-ACD0-24C5E7EC1B19}"/>
    <cellStyle name="Currency 5 2 2 5 5 4" xfId="10532" xr:uid="{ACF4A586-4944-41AF-936A-68A7008CC184}"/>
    <cellStyle name="Currency 5 2 2 5 5 5" xfId="18973" xr:uid="{E8AC8038-ED99-4E2E-BEA9-FFD7A479EB1A}"/>
    <cellStyle name="Currency 5 2 2 5 5 6" xfId="27413" xr:uid="{DA78EA87-5CDE-4B64-A7E5-90895BD61653}"/>
    <cellStyle name="Currency 5 2 2 5 6" xfId="2429" xr:uid="{00000000-0005-0000-0000-00001B0C0000}"/>
    <cellStyle name="Currency 5 2 2 5 6 2" xfId="6713" xr:uid="{00000000-0005-0000-0000-00001C0C0000}"/>
    <cellStyle name="Currency 5 2 2 5 6 2 2" xfId="15163" xr:uid="{17703200-5355-4387-BE0F-69DBDDF99CE7}"/>
    <cellStyle name="Currency 5 2 2 5 6 2 3" xfId="23603" xr:uid="{348F30A4-2F54-4250-89B9-F2DD45BAA22B}"/>
    <cellStyle name="Currency 5 2 2 5 6 2 4" xfId="32043" xr:uid="{E76BD195-F3B3-43C7-B648-65DB250EC8CD}"/>
    <cellStyle name="Currency 5 2 2 5 6 3" xfId="10945" xr:uid="{12590100-539E-4DB6-A560-37DB3046D7E6}"/>
    <cellStyle name="Currency 5 2 2 5 6 4" xfId="19386" xr:uid="{0EFF8451-3C49-4FA1-996E-CBA1F776BDB1}"/>
    <cellStyle name="Currency 5 2 2 5 6 5" xfId="27826" xr:uid="{FD867E8A-3237-4218-B50A-3D3C1ED81F92}"/>
    <cellStyle name="Currency 5 2 2 5 7" xfId="2726" xr:uid="{00000000-0005-0000-0000-00001D0C0000}"/>
    <cellStyle name="Currency 5 2 2 5 8" xfId="2807" xr:uid="{00000000-0005-0000-0000-00001E0C0000}"/>
    <cellStyle name="Currency 5 2 2 5 8 2" xfId="7030" xr:uid="{00000000-0005-0000-0000-00001F0C0000}"/>
    <cellStyle name="Currency 5 2 2 5 8 2 2" xfId="15480" xr:uid="{23AC8E93-A651-4899-9224-DA07487A9ACE}"/>
    <cellStyle name="Currency 5 2 2 5 8 2 3" xfId="23920" xr:uid="{E653CCBB-D8C8-4B0F-B6F9-FED7D096DD1C}"/>
    <cellStyle name="Currency 5 2 2 5 8 2 4" xfId="32360" xr:uid="{2AE55BC2-3AC3-439E-9F3B-B1616DFA7CFE}"/>
    <cellStyle name="Currency 5 2 2 5 8 3" xfId="11262" xr:uid="{C82200E0-A05F-400D-B7BA-92CBCB0E7A10}"/>
    <cellStyle name="Currency 5 2 2 5 8 4" xfId="19703" xr:uid="{50B42B90-4B06-4C6A-B1FA-DA69F0BDD9F8}"/>
    <cellStyle name="Currency 5 2 2 5 8 5" xfId="28143" xr:uid="{A1D33C34-919C-41F2-BBDF-0A55832709C5}"/>
    <cellStyle name="Currency 5 2 2 5 9" xfId="4647" xr:uid="{00000000-0005-0000-0000-0000200C0000}"/>
    <cellStyle name="Currency 5 2 2 5 9 2" xfId="13097" xr:uid="{77C0D57E-D3FF-48F3-B845-36C4DCD45AE6}"/>
    <cellStyle name="Currency 5 2 2 5 9 3" xfId="21537" xr:uid="{A2BD819E-2373-4D88-B449-DE63B2E7B980}"/>
    <cellStyle name="Currency 5 2 2 5 9 4" xfId="29977" xr:uid="{0E92F36E-944E-49C3-B213-97BA4D992B38}"/>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10 2" xfId="13098" xr:uid="{B1A876AD-E0B8-455D-8BE3-5A3E1512B10F}"/>
    <cellStyle name="Currency 5 2 4 10 3" xfId="21538" xr:uid="{2EF93C77-A3E3-4283-A531-F1311DC4CE78}"/>
    <cellStyle name="Currency 5 2 4 10 4" xfId="29978" xr:uid="{83583EE2-CE3E-4ACB-B97A-7B30C5E93D15}"/>
    <cellStyle name="Currency 5 2 4 11" xfId="8880" xr:uid="{F2450C99-8412-42E5-B799-F37EDC0D22DC}"/>
    <cellStyle name="Currency 5 2 4 12" xfId="17321" xr:uid="{F266D5D4-F154-4CA1-AF92-AEC402F0068F}"/>
    <cellStyle name="Currency 5 2 4 13" xfId="25761" xr:uid="{D70448D2-2E6D-44F7-92AA-4248897322DD}"/>
    <cellStyle name="Currency 5 2 4 2" xfId="206" xr:uid="{00000000-0005-0000-0000-0000250C0000}"/>
    <cellStyle name="Currency 5 2 4 2 10" xfId="8881" xr:uid="{B9DF4C55-529B-4B52-8EF4-60540A7DA3AB}"/>
    <cellStyle name="Currency 5 2 4 2 11" xfId="17322" xr:uid="{C0680749-D27C-4ABD-A3C4-3B496AB71C7F}"/>
    <cellStyle name="Currency 5 2 4 2 12" xfId="25762" xr:uid="{C2B89836-6E96-44DC-BC3E-DC4EEDE8B6B3}"/>
    <cellStyle name="Currency 5 2 4 2 2" xfId="733" xr:uid="{00000000-0005-0000-0000-0000260C0000}"/>
    <cellStyle name="Currency 5 2 4 2 2 2" xfId="2986" xr:uid="{00000000-0005-0000-0000-0000270C0000}"/>
    <cellStyle name="Currency 5 2 4 2 2 2 2" xfId="7208" xr:uid="{00000000-0005-0000-0000-0000280C0000}"/>
    <cellStyle name="Currency 5 2 4 2 2 2 2 2" xfId="15658" xr:uid="{E498C50A-4D69-413E-A35A-694AFBD30891}"/>
    <cellStyle name="Currency 5 2 4 2 2 2 2 3" xfId="24098" xr:uid="{EEDED420-E9EC-460F-B61B-47CDA6430489}"/>
    <cellStyle name="Currency 5 2 4 2 2 2 2 4" xfId="32538" xr:uid="{B9272CD3-BB83-42FF-8243-0C26F18CA009}"/>
    <cellStyle name="Currency 5 2 4 2 2 2 3" xfId="11440" xr:uid="{1455D980-E4C9-42AB-9558-751D5F2C95DC}"/>
    <cellStyle name="Currency 5 2 4 2 2 2 4" xfId="19881" xr:uid="{4FA1A4F4-F8F8-4D2A-9A73-7BC073C2A43E}"/>
    <cellStyle name="Currency 5 2 4 2 2 2 5" xfId="28321" xr:uid="{1EAFC084-E214-4146-B0DC-DD13D1418E9D}"/>
    <cellStyle name="Currency 5 2 4 2 2 3" xfId="5063" xr:uid="{00000000-0005-0000-0000-0000290C0000}"/>
    <cellStyle name="Currency 5 2 4 2 2 3 2" xfId="13513" xr:uid="{656766AC-6324-4D4C-9435-16FB4948DE8F}"/>
    <cellStyle name="Currency 5 2 4 2 2 3 3" xfId="21953" xr:uid="{F5BEAE14-64AE-4FD8-9EBF-7C4A4AE05228}"/>
    <cellStyle name="Currency 5 2 4 2 2 3 4" xfId="30393" xr:uid="{FBFFDEEB-BC2E-4BAB-8761-E912980160ED}"/>
    <cellStyle name="Currency 5 2 4 2 2 4" xfId="9295" xr:uid="{BC0AD002-83F4-4FDF-9A59-9619AFA0CDF0}"/>
    <cellStyle name="Currency 5 2 4 2 2 5" xfId="17736" xr:uid="{D1D15A67-F1DB-42A0-9372-656D9D11ABA3}"/>
    <cellStyle name="Currency 5 2 4 2 2 6" xfId="26176" xr:uid="{ADC4C830-0C17-4CCB-A1FC-59CFCA0396BF}"/>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2 2 2" xfId="16071" xr:uid="{674413E5-A7E0-4787-A32B-0FC2BB0F30FF}"/>
    <cellStyle name="Currency 5 2 4 2 3 2 2 3" xfId="24511" xr:uid="{CB9C285B-79B3-4EE8-A27B-EC3AF1296627}"/>
    <cellStyle name="Currency 5 2 4 2 3 2 2 4" xfId="32951" xr:uid="{392FEA43-2EFF-4AA7-B426-3BCE9A44891B}"/>
    <cellStyle name="Currency 5 2 4 2 3 2 3" xfId="11853" xr:uid="{D87DBFD4-090E-4F63-8A03-2D64316DF099}"/>
    <cellStyle name="Currency 5 2 4 2 3 2 4" xfId="20294" xr:uid="{4A26BAEE-331E-4A6C-94C9-DC889553B648}"/>
    <cellStyle name="Currency 5 2 4 2 3 2 5" xfId="28734" xr:uid="{515D951E-E1C5-46F0-AA98-4EC78E417297}"/>
    <cellStyle name="Currency 5 2 4 2 3 3" xfId="5476" xr:uid="{00000000-0005-0000-0000-00002D0C0000}"/>
    <cellStyle name="Currency 5 2 4 2 3 3 2" xfId="13926" xr:uid="{ECAC7E60-D326-44BA-8565-E24BDA6F9980}"/>
    <cellStyle name="Currency 5 2 4 2 3 3 3" xfId="22366" xr:uid="{4F083ABB-0FA7-4C3A-B5F2-38A0C3B7B035}"/>
    <cellStyle name="Currency 5 2 4 2 3 3 4" xfId="30806" xr:uid="{D229569B-A087-45C8-BC59-170ABD6AB825}"/>
    <cellStyle name="Currency 5 2 4 2 3 4" xfId="9708" xr:uid="{0A6D0229-87F6-4570-A238-AA7905CFDE65}"/>
    <cellStyle name="Currency 5 2 4 2 3 5" xfId="18149" xr:uid="{A9BFCF9C-05AA-4724-8805-5F16A44EAAF2}"/>
    <cellStyle name="Currency 5 2 4 2 3 6" xfId="26589" xr:uid="{B79D1095-45C9-47D1-B6CF-8EA198CE92A4}"/>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2 2 2" xfId="16484" xr:uid="{32903D1E-6294-40A9-88E6-D0599401254D}"/>
    <cellStyle name="Currency 5 2 4 2 4 2 2 3" xfId="24924" xr:uid="{FCF04B0B-F1A6-4037-8EC9-BF7B5088F616}"/>
    <cellStyle name="Currency 5 2 4 2 4 2 2 4" xfId="33364" xr:uid="{B60298F1-07AE-4A4E-B178-FED093C4A577}"/>
    <cellStyle name="Currency 5 2 4 2 4 2 3" xfId="12266" xr:uid="{119B021C-D155-467A-8F45-E4BC25E5F47D}"/>
    <cellStyle name="Currency 5 2 4 2 4 2 4" xfId="20707" xr:uid="{6C963418-94FF-4AD1-BFB7-E8167E977502}"/>
    <cellStyle name="Currency 5 2 4 2 4 2 5" xfId="29147" xr:uid="{A2CB7299-C218-4307-B2C7-EB861EB3B19D}"/>
    <cellStyle name="Currency 5 2 4 2 4 3" xfId="5889" xr:uid="{00000000-0005-0000-0000-0000310C0000}"/>
    <cellStyle name="Currency 5 2 4 2 4 3 2" xfId="14339" xr:uid="{69FD8605-DEA5-4334-83FD-5520F418508D}"/>
    <cellStyle name="Currency 5 2 4 2 4 3 3" xfId="22779" xr:uid="{7741E411-C4A7-4587-9070-0DB35D7AA2D5}"/>
    <cellStyle name="Currency 5 2 4 2 4 3 4" xfId="31219" xr:uid="{66D88437-C9DB-4B90-9257-9E3877C531E1}"/>
    <cellStyle name="Currency 5 2 4 2 4 4" xfId="10121" xr:uid="{F5401B2D-33A9-4223-90E0-1522431F6957}"/>
    <cellStyle name="Currency 5 2 4 2 4 5" xfId="18562" xr:uid="{FD4D342B-A1FB-4E45-ACF2-B7FCECA816D5}"/>
    <cellStyle name="Currency 5 2 4 2 4 6" xfId="27002" xr:uid="{DA99C2B6-5A9C-45C2-8309-9AA155345206}"/>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2 2 2" xfId="16897" xr:uid="{74A1A7FF-155B-4467-8FC9-C295EDF43F3D}"/>
    <cellStyle name="Currency 5 2 4 2 5 2 2 3" xfId="25337" xr:uid="{44B9235D-DAB1-46BE-84E6-F54CAF883B33}"/>
    <cellStyle name="Currency 5 2 4 2 5 2 2 4" xfId="33777" xr:uid="{7E62C346-9D79-41E0-AC48-D2771C3BCFE2}"/>
    <cellStyle name="Currency 5 2 4 2 5 2 3" xfId="12679" xr:uid="{7E06701A-F795-41DE-B2F9-2F511951A5EA}"/>
    <cellStyle name="Currency 5 2 4 2 5 2 4" xfId="21120" xr:uid="{CF1032E6-8E90-4BA2-88AE-48B22D2BAF8E}"/>
    <cellStyle name="Currency 5 2 4 2 5 2 5" xfId="29560" xr:uid="{3F951DB3-59E0-475B-A767-96AED0FD61A5}"/>
    <cellStyle name="Currency 5 2 4 2 5 3" xfId="6302" xr:uid="{00000000-0005-0000-0000-0000350C0000}"/>
    <cellStyle name="Currency 5 2 4 2 5 3 2" xfId="14752" xr:uid="{9D1D60DC-B034-49DD-9A10-B68CC06162AC}"/>
    <cellStyle name="Currency 5 2 4 2 5 3 3" xfId="23192" xr:uid="{64BE7FEF-82C2-4339-A1B9-9F48115C387B}"/>
    <cellStyle name="Currency 5 2 4 2 5 3 4" xfId="31632" xr:uid="{ADA101C5-4AED-4944-BF3C-B6CE6C7D3176}"/>
    <cellStyle name="Currency 5 2 4 2 5 4" xfId="10534" xr:uid="{FE3CEC66-DB81-453E-ABB0-2D253AAA70EF}"/>
    <cellStyle name="Currency 5 2 4 2 5 5" xfId="18975" xr:uid="{91D87CD1-1C04-40AE-A404-13698F6DA978}"/>
    <cellStyle name="Currency 5 2 4 2 5 6" xfId="27415" xr:uid="{001F12C0-1A3F-49C5-82C5-A87BA2F88495}"/>
    <cellStyle name="Currency 5 2 4 2 6" xfId="2431" xr:uid="{00000000-0005-0000-0000-0000360C0000}"/>
    <cellStyle name="Currency 5 2 4 2 6 2" xfId="6715" xr:uid="{00000000-0005-0000-0000-0000370C0000}"/>
    <cellStyle name="Currency 5 2 4 2 6 2 2" xfId="15165" xr:uid="{48BEAAE0-17AD-4EB6-88C1-88784B238396}"/>
    <cellStyle name="Currency 5 2 4 2 6 2 3" xfId="23605" xr:uid="{51BAA85E-21FC-447C-A885-DB25959E6B0C}"/>
    <cellStyle name="Currency 5 2 4 2 6 2 4" xfId="32045" xr:uid="{4FFCD273-5B8E-4484-AAA4-89AABA025D06}"/>
    <cellStyle name="Currency 5 2 4 2 6 3" xfId="10947" xr:uid="{1CD8D4B3-2D70-42F2-91F9-E4856FF6F1E7}"/>
    <cellStyle name="Currency 5 2 4 2 6 4" xfId="19388" xr:uid="{1CA1088F-47D7-439E-8BA0-FA7ED17D295F}"/>
    <cellStyle name="Currency 5 2 4 2 6 5" xfId="27828" xr:uid="{3EDF5537-4EF6-4E6C-8A51-110A4C320254}"/>
    <cellStyle name="Currency 5 2 4 2 7" xfId="2728" xr:uid="{00000000-0005-0000-0000-0000380C0000}"/>
    <cellStyle name="Currency 5 2 4 2 8" xfId="2809" xr:uid="{00000000-0005-0000-0000-0000390C0000}"/>
    <cellStyle name="Currency 5 2 4 2 8 2" xfId="7032" xr:uid="{00000000-0005-0000-0000-00003A0C0000}"/>
    <cellStyle name="Currency 5 2 4 2 8 2 2" xfId="15482" xr:uid="{BB295876-0517-4D6B-A4ED-EE25181C76FC}"/>
    <cellStyle name="Currency 5 2 4 2 8 2 3" xfId="23922" xr:uid="{BEEA15C5-49DA-45CA-BFA3-D0B857E3284F}"/>
    <cellStyle name="Currency 5 2 4 2 8 2 4" xfId="32362" xr:uid="{86D394B2-95E8-4228-8F59-378348AC4F13}"/>
    <cellStyle name="Currency 5 2 4 2 8 3" xfId="11264" xr:uid="{36D91B07-7803-4D9D-98C9-6C745126B629}"/>
    <cellStyle name="Currency 5 2 4 2 8 4" xfId="19705" xr:uid="{4D7B3249-BFD8-4E9D-A5C9-5E59DB1374D4}"/>
    <cellStyle name="Currency 5 2 4 2 8 5" xfId="28145" xr:uid="{AE875E2D-A9E0-4143-9371-C3EA6910EAAA}"/>
    <cellStyle name="Currency 5 2 4 2 9" xfId="4649" xr:uid="{00000000-0005-0000-0000-00003B0C0000}"/>
    <cellStyle name="Currency 5 2 4 2 9 2" xfId="13099" xr:uid="{90FAB8DC-40D0-4B9E-B7F7-B426C1FF30FA}"/>
    <cellStyle name="Currency 5 2 4 2 9 3" xfId="21539" xr:uid="{ED688C87-4005-432C-B5DF-14F73882F8CE}"/>
    <cellStyle name="Currency 5 2 4 2 9 4" xfId="29979" xr:uid="{01D65395-9E55-46A1-B10F-90E2B051870A}"/>
    <cellStyle name="Currency 5 2 4 3" xfId="732" xr:uid="{00000000-0005-0000-0000-00003C0C0000}"/>
    <cellStyle name="Currency 5 2 4 3 2" xfId="2985" xr:uid="{00000000-0005-0000-0000-00003D0C0000}"/>
    <cellStyle name="Currency 5 2 4 3 2 2" xfId="7207" xr:uid="{00000000-0005-0000-0000-00003E0C0000}"/>
    <cellStyle name="Currency 5 2 4 3 2 2 2" xfId="15657" xr:uid="{E01130B5-C422-4EFC-9285-8BA8795B71C3}"/>
    <cellStyle name="Currency 5 2 4 3 2 2 3" xfId="24097" xr:uid="{AC2E913B-46DA-49E6-A16C-CEE9F165AF23}"/>
    <cellStyle name="Currency 5 2 4 3 2 2 4" xfId="32537" xr:uid="{2A18319D-9655-46DA-AC89-94FE6CA363E6}"/>
    <cellStyle name="Currency 5 2 4 3 2 3" xfId="11439" xr:uid="{DEFD9F16-76A0-4922-9B6E-8E932CCCBC3A}"/>
    <cellStyle name="Currency 5 2 4 3 2 4" xfId="19880" xr:uid="{773A83A4-5705-4DF9-B935-B70B8E021D79}"/>
    <cellStyle name="Currency 5 2 4 3 2 5" xfId="28320" xr:uid="{97B1536D-21E4-4849-8363-1BF5E2CB582F}"/>
    <cellStyle name="Currency 5 2 4 3 3" xfId="5062" xr:uid="{00000000-0005-0000-0000-00003F0C0000}"/>
    <cellStyle name="Currency 5 2 4 3 3 2" xfId="13512" xr:uid="{558E7FC0-E60B-4D46-A480-EDA969D24B40}"/>
    <cellStyle name="Currency 5 2 4 3 3 3" xfId="21952" xr:uid="{68AB2AB3-25C9-436B-99BB-B16389DFBDCD}"/>
    <cellStyle name="Currency 5 2 4 3 3 4" xfId="30392" xr:uid="{211E207A-62A2-4A78-9C73-9CE9CD3463B8}"/>
    <cellStyle name="Currency 5 2 4 3 4" xfId="9294" xr:uid="{57AA8736-A78D-4A43-8D3E-7513EE4DBEAB}"/>
    <cellStyle name="Currency 5 2 4 3 5" xfId="17735" xr:uid="{C50CDC82-B862-4C7B-8C44-4F8785D75FFE}"/>
    <cellStyle name="Currency 5 2 4 3 6" xfId="26175" xr:uid="{2D8D1FCD-89E7-463E-AF4B-6272AB8A37A0}"/>
    <cellStyle name="Currency 5 2 4 4" xfId="1167" xr:uid="{00000000-0005-0000-0000-0000400C0000}"/>
    <cellStyle name="Currency 5 2 4 4 2" xfId="3398" xr:uid="{00000000-0005-0000-0000-0000410C0000}"/>
    <cellStyle name="Currency 5 2 4 4 2 2" xfId="7620" xr:uid="{00000000-0005-0000-0000-0000420C0000}"/>
    <cellStyle name="Currency 5 2 4 4 2 2 2" xfId="16070" xr:uid="{22CCF3E1-1C28-44B2-8276-93E2407408F2}"/>
    <cellStyle name="Currency 5 2 4 4 2 2 3" xfId="24510" xr:uid="{62FB5B83-5EFD-4C1D-B612-F4A397369844}"/>
    <cellStyle name="Currency 5 2 4 4 2 2 4" xfId="32950" xr:uid="{114561F2-93C3-4C86-8331-D20A1C175BA8}"/>
    <cellStyle name="Currency 5 2 4 4 2 3" xfId="11852" xr:uid="{172D4430-D9D3-4807-8B6E-FCC5A7D3792A}"/>
    <cellStyle name="Currency 5 2 4 4 2 4" xfId="20293" xr:uid="{D47BFF5D-C022-4B5E-832E-558106F46BC2}"/>
    <cellStyle name="Currency 5 2 4 4 2 5" xfId="28733" xr:uid="{795EBEEC-640F-42B4-B3F6-57DF4D493FB2}"/>
    <cellStyle name="Currency 5 2 4 4 3" xfId="5475" xr:uid="{00000000-0005-0000-0000-0000430C0000}"/>
    <cellStyle name="Currency 5 2 4 4 3 2" xfId="13925" xr:uid="{4BBBF570-2A46-4A6B-B350-978912C2CAD4}"/>
    <cellStyle name="Currency 5 2 4 4 3 3" xfId="22365" xr:uid="{0EF549CC-7E19-466E-9D9B-01CA25E950EC}"/>
    <cellStyle name="Currency 5 2 4 4 3 4" xfId="30805" xr:uid="{07B9F4D2-46F6-4D12-9462-A20CE9EEBBB4}"/>
    <cellStyle name="Currency 5 2 4 4 4" xfId="9707" xr:uid="{34F4A39E-982D-40CA-88E4-B99E0474EE39}"/>
    <cellStyle name="Currency 5 2 4 4 5" xfId="18148" xr:uid="{AE3A06E0-885B-4738-81CF-F01D6BCAD650}"/>
    <cellStyle name="Currency 5 2 4 4 6" xfId="26588" xr:uid="{62D15EB1-9636-4B24-B5EE-353CBF4A9FE7}"/>
    <cellStyle name="Currency 5 2 4 5" xfId="1581" xr:uid="{00000000-0005-0000-0000-0000440C0000}"/>
    <cellStyle name="Currency 5 2 4 5 2" xfId="3811" xr:uid="{00000000-0005-0000-0000-0000450C0000}"/>
    <cellStyle name="Currency 5 2 4 5 2 2" xfId="8033" xr:uid="{00000000-0005-0000-0000-0000460C0000}"/>
    <cellStyle name="Currency 5 2 4 5 2 2 2" xfId="16483" xr:uid="{B6EAF540-E668-4E31-BAA5-55F3075D9128}"/>
    <cellStyle name="Currency 5 2 4 5 2 2 3" xfId="24923" xr:uid="{B3ED4A97-6407-4B10-9D16-B31921411D51}"/>
    <cellStyle name="Currency 5 2 4 5 2 2 4" xfId="33363" xr:uid="{51DDEFD7-801C-4C34-BFF2-148DDB474568}"/>
    <cellStyle name="Currency 5 2 4 5 2 3" xfId="12265" xr:uid="{A10E5EE8-EE5F-4355-B5A4-7DDC741FAC0E}"/>
    <cellStyle name="Currency 5 2 4 5 2 4" xfId="20706" xr:uid="{68B532CD-9335-4C82-A376-91BB86233E3C}"/>
    <cellStyle name="Currency 5 2 4 5 2 5" xfId="29146" xr:uid="{CEC958F0-0B59-4CE1-89EE-851021720DFA}"/>
    <cellStyle name="Currency 5 2 4 5 3" xfId="5888" xr:uid="{00000000-0005-0000-0000-0000470C0000}"/>
    <cellStyle name="Currency 5 2 4 5 3 2" xfId="14338" xr:uid="{24F32216-2CBD-4A7A-884E-F24BC9BEE310}"/>
    <cellStyle name="Currency 5 2 4 5 3 3" xfId="22778" xr:uid="{555BCC0C-CFE5-43B8-B6B1-93200959746E}"/>
    <cellStyle name="Currency 5 2 4 5 3 4" xfId="31218" xr:uid="{F78C4669-058B-48A0-8C36-3A7C3C325890}"/>
    <cellStyle name="Currency 5 2 4 5 4" xfId="10120" xr:uid="{0619B8BB-4A5F-4EA6-A85F-9038F1E8E97A}"/>
    <cellStyle name="Currency 5 2 4 5 5" xfId="18561" xr:uid="{8377563C-36F4-46A6-9464-87D40B298329}"/>
    <cellStyle name="Currency 5 2 4 5 6" xfId="27001" xr:uid="{8F665B87-2E3D-478A-8C67-B8D4E0E8C807}"/>
    <cellStyle name="Currency 5 2 4 6" xfId="1995" xr:uid="{00000000-0005-0000-0000-0000480C0000}"/>
    <cellStyle name="Currency 5 2 4 6 2" xfId="4224" xr:uid="{00000000-0005-0000-0000-0000490C0000}"/>
    <cellStyle name="Currency 5 2 4 6 2 2" xfId="8446" xr:uid="{00000000-0005-0000-0000-00004A0C0000}"/>
    <cellStyle name="Currency 5 2 4 6 2 2 2" xfId="16896" xr:uid="{65EE6E3D-5FB6-4816-9033-30FB623EA957}"/>
    <cellStyle name="Currency 5 2 4 6 2 2 3" xfId="25336" xr:uid="{84065D83-D3BF-4F13-A619-4CF4BB69D00E}"/>
    <cellStyle name="Currency 5 2 4 6 2 2 4" xfId="33776" xr:uid="{7B0CDEF8-15F5-47C3-9CD7-B0E110852153}"/>
    <cellStyle name="Currency 5 2 4 6 2 3" xfId="12678" xr:uid="{7605E0AB-5E86-4A0D-B45E-310C459202DD}"/>
    <cellStyle name="Currency 5 2 4 6 2 4" xfId="21119" xr:uid="{ECF066C1-139D-4662-BE35-94C4363D516A}"/>
    <cellStyle name="Currency 5 2 4 6 2 5" xfId="29559" xr:uid="{045679DF-D074-4143-9314-38E7963432E4}"/>
    <cellStyle name="Currency 5 2 4 6 3" xfId="6301" xr:uid="{00000000-0005-0000-0000-00004B0C0000}"/>
    <cellStyle name="Currency 5 2 4 6 3 2" xfId="14751" xr:uid="{2556F38D-2A7A-4E12-B4A4-93931903C86D}"/>
    <cellStyle name="Currency 5 2 4 6 3 3" xfId="23191" xr:uid="{1FF984C8-8580-4913-A7C6-A2965948AC64}"/>
    <cellStyle name="Currency 5 2 4 6 3 4" xfId="31631" xr:uid="{4822ACB6-F251-457A-84C2-C4BA5DDBB670}"/>
    <cellStyle name="Currency 5 2 4 6 4" xfId="10533" xr:uid="{AB011D56-1677-4A39-98E2-3AA96280BBC0}"/>
    <cellStyle name="Currency 5 2 4 6 5" xfId="18974" xr:uid="{DFCBA7F2-6D18-4475-A54F-75CBFA6D2B42}"/>
    <cellStyle name="Currency 5 2 4 6 6" xfId="27414" xr:uid="{14FB567E-44A5-43BF-9232-7BC8831513C4}"/>
    <cellStyle name="Currency 5 2 4 7" xfId="2430" xr:uid="{00000000-0005-0000-0000-00004C0C0000}"/>
    <cellStyle name="Currency 5 2 4 7 2" xfId="6714" xr:uid="{00000000-0005-0000-0000-00004D0C0000}"/>
    <cellStyle name="Currency 5 2 4 7 2 2" xfId="15164" xr:uid="{03D0F8B2-30B1-4F11-8FB0-A30752AD0FF9}"/>
    <cellStyle name="Currency 5 2 4 7 2 3" xfId="23604" xr:uid="{CBF64EE7-D935-4CBB-BB79-49A2FC70F1BE}"/>
    <cellStyle name="Currency 5 2 4 7 2 4" xfId="32044" xr:uid="{572F665F-27F5-451B-891D-A8293497CE59}"/>
    <cellStyle name="Currency 5 2 4 7 3" xfId="10946" xr:uid="{194B913B-2D28-46B8-92A3-A655D3EBA2EA}"/>
    <cellStyle name="Currency 5 2 4 7 4" xfId="19387" xr:uid="{2B508514-23ED-4BEE-A6F2-7E98BD9FADDA}"/>
    <cellStyle name="Currency 5 2 4 7 5" xfId="27827" xr:uid="{D9A65EF7-A454-4B13-8588-C8CCB207381A}"/>
    <cellStyle name="Currency 5 2 4 8" xfId="2727" xr:uid="{00000000-0005-0000-0000-00004E0C0000}"/>
    <cellStyle name="Currency 5 2 4 9" xfId="2808" xr:uid="{00000000-0005-0000-0000-00004F0C0000}"/>
    <cellStyle name="Currency 5 2 4 9 2" xfId="7031" xr:uid="{00000000-0005-0000-0000-0000500C0000}"/>
    <cellStyle name="Currency 5 2 4 9 2 2" xfId="15481" xr:uid="{133359DC-D690-41AF-8377-18C1DABF7552}"/>
    <cellStyle name="Currency 5 2 4 9 2 3" xfId="23921" xr:uid="{6F4AB853-D6A9-42A2-A566-4E0BACE89153}"/>
    <cellStyle name="Currency 5 2 4 9 2 4" xfId="32361" xr:uid="{DCC83467-8F30-4C7B-9226-64BD81591A6D}"/>
    <cellStyle name="Currency 5 2 4 9 3" xfId="11263" xr:uid="{2BCFC8D2-E8FD-4062-BE59-21FFE9CE9D28}"/>
    <cellStyle name="Currency 5 2 4 9 4" xfId="19704" xr:uid="{05B1EABE-B915-4F07-8A45-F121ABCE5674}"/>
    <cellStyle name="Currency 5 2 4 9 5" xfId="28144" xr:uid="{FF1CA7B6-7F84-4B7E-A0B7-2CF9EC80D018}"/>
    <cellStyle name="Currency 5 2 5" xfId="207" xr:uid="{00000000-0005-0000-0000-0000510C0000}"/>
    <cellStyle name="Currency 5 2 5 10" xfId="8882" xr:uid="{4DCE5B14-7E9D-4D6F-9774-86BF6230F7E7}"/>
    <cellStyle name="Currency 5 2 5 11" xfId="17323" xr:uid="{ACE2220B-7E07-4C0C-8601-78109CA7FDD1}"/>
    <cellStyle name="Currency 5 2 5 12" xfId="25763" xr:uid="{013B9395-ACE3-4CF0-AD00-20C662262B0E}"/>
    <cellStyle name="Currency 5 2 5 2" xfId="734" xr:uid="{00000000-0005-0000-0000-0000520C0000}"/>
    <cellStyle name="Currency 5 2 5 2 2" xfId="2987" xr:uid="{00000000-0005-0000-0000-0000530C0000}"/>
    <cellStyle name="Currency 5 2 5 2 2 2" xfId="7209" xr:uid="{00000000-0005-0000-0000-0000540C0000}"/>
    <cellStyle name="Currency 5 2 5 2 2 2 2" xfId="15659" xr:uid="{772F3570-7101-4A8E-9C71-350B2B10FB75}"/>
    <cellStyle name="Currency 5 2 5 2 2 2 3" xfId="24099" xr:uid="{453BA0A5-4DA8-4CD1-9D90-866B3F86D373}"/>
    <cellStyle name="Currency 5 2 5 2 2 2 4" xfId="32539" xr:uid="{1522C7A8-927C-4AE8-8EB5-341BC093E0C2}"/>
    <cellStyle name="Currency 5 2 5 2 2 3" xfId="11441" xr:uid="{16153146-93EC-445E-A80E-03C8B417C9E7}"/>
    <cellStyle name="Currency 5 2 5 2 2 4" xfId="19882" xr:uid="{054D8AFA-698B-445A-B59C-3DBE9F1CAB65}"/>
    <cellStyle name="Currency 5 2 5 2 2 5" xfId="28322" xr:uid="{1FFEE05A-9325-4FF6-95A9-FB89FC52EDC6}"/>
    <cellStyle name="Currency 5 2 5 2 3" xfId="5064" xr:uid="{00000000-0005-0000-0000-0000550C0000}"/>
    <cellStyle name="Currency 5 2 5 2 3 2" xfId="13514" xr:uid="{3E3263A6-12FC-48FF-A8F5-35A801AB3AEE}"/>
    <cellStyle name="Currency 5 2 5 2 3 3" xfId="21954" xr:uid="{359F7B2D-8B99-4AEB-9257-2BF622E3D3E2}"/>
    <cellStyle name="Currency 5 2 5 2 3 4" xfId="30394" xr:uid="{7BFB22C8-6A05-4D80-B52F-3EFD4E17919D}"/>
    <cellStyle name="Currency 5 2 5 2 4" xfId="9296" xr:uid="{E12945B4-228D-4F7A-AEBB-A594E070787F}"/>
    <cellStyle name="Currency 5 2 5 2 5" xfId="17737" xr:uid="{4A54250F-7F4C-4CEC-A3C8-E8F748DACCF0}"/>
    <cellStyle name="Currency 5 2 5 2 6" xfId="26177" xr:uid="{5CD5CCAC-4F84-4BCD-9D2D-468590D3A12F}"/>
    <cellStyle name="Currency 5 2 5 3" xfId="1169" xr:uid="{00000000-0005-0000-0000-0000560C0000}"/>
    <cellStyle name="Currency 5 2 5 3 2" xfId="3400" xr:uid="{00000000-0005-0000-0000-0000570C0000}"/>
    <cellStyle name="Currency 5 2 5 3 2 2" xfId="7622" xr:uid="{00000000-0005-0000-0000-0000580C0000}"/>
    <cellStyle name="Currency 5 2 5 3 2 2 2" xfId="16072" xr:uid="{CFE4F36E-7F0D-4F52-8354-B0B70868AB1B}"/>
    <cellStyle name="Currency 5 2 5 3 2 2 3" xfId="24512" xr:uid="{6C74D3B9-951E-42D5-8278-E0D7DD631CBD}"/>
    <cellStyle name="Currency 5 2 5 3 2 2 4" xfId="32952" xr:uid="{6B105721-375A-42A6-973E-309F84FB4FD4}"/>
    <cellStyle name="Currency 5 2 5 3 2 3" xfId="11854" xr:uid="{55B79638-7EAB-454E-8405-62E939E40226}"/>
    <cellStyle name="Currency 5 2 5 3 2 4" xfId="20295" xr:uid="{41B147CD-C6CA-4DE7-8E58-CA95460AEC69}"/>
    <cellStyle name="Currency 5 2 5 3 2 5" xfId="28735" xr:uid="{2AE58DBE-CAB4-4A74-8C6B-7F5213E515BF}"/>
    <cellStyle name="Currency 5 2 5 3 3" xfId="5477" xr:uid="{00000000-0005-0000-0000-0000590C0000}"/>
    <cellStyle name="Currency 5 2 5 3 3 2" xfId="13927" xr:uid="{4F10859F-1704-4EB5-A9C0-3FDB8AC9FFF0}"/>
    <cellStyle name="Currency 5 2 5 3 3 3" xfId="22367" xr:uid="{55E1A542-4B75-48FB-A82E-0F6ED40ABCA6}"/>
    <cellStyle name="Currency 5 2 5 3 3 4" xfId="30807" xr:uid="{2C43FD79-16D9-46E5-A66A-AB50FC92A7A4}"/>
    <cellStyle name="Currency 5 2 5 3 4" xfId="9709" xr:uid="{2334519C-C8A2-48D2-9806-35E8423CF732}"/>
    <cellStyle name="Currency 5 2 5 3 5" xfId="18150" xr:uid="{DC7DB9EC-4E51-4009-9E58-0EC5F9FD4E46}"/>
    <cellStyle name="Currency 5 2 5 3 6" xfId="26590" xr:uid="{3C02966A-EE16-4F22-8CDF-0B2E7BB2CB4E}"/>
    <cellStyle name="Currency 5 2 5 4" xfId="1583" xr:uid="{00000000-0005-0000-0000-00005A0C0000}"/>
    <cellStyle name="Currency 5 2 5 4 2" xfId="3813" xr:uid="{00000000-0005-0000-0000-00005B0C0000}"/>
    <cellStyle name="Currency 5 2 5 4 2 2" xfId="8035" xr:uid="{00000000-0005-0000-0000-00005C0C0000}"/>
    <cellStyle name="Currency 5 2 5 4 2 2 2" xfId="16485" xr:uid="{FD6BF488-C638-4352-83CE-810D1D5937FB}"/>
    <cellStyle name="Currency 5 2 5 4 2 2 3" xfId="24925" xr:uid="{BD719492-219C-4A80-97C6-A125E4798A89}"/>
    <cellStyle name="Currency 5 2 5 4 2 2 4" xfId="33365" xr:uid="{FAAAD02F-FBDD-45AF-B7B4-A90B4BA45E1B}"/>
    <cellStyle name="Currency 5 2 5 4 2 3" xfId="12267" xr:uid="{1E52A177-7A9D-4E88-8607-D34FAFE10FB3}"/>
    <cellStyle name="Currency 5 2 5 4 2 4" xfId="20708" xr:uid="{82868C54-E003-4E63-827E-EFB025857F73}"/>
    <cellStyle name="Currency 5 2 5 4 2 5" xfId="29148" xr:uid="{89924AA0-87E9-4B7D-B331-DEDFB3B8586A}"/>
    <cellStyle name="Currency 5 2 5 4 3" xfId="5890" xr:uid="{00000000-0005-0000-0000-00005D0C0000}"/>
    <cellStyle name="Currency 5 2 5 4 3 2" xfId="14340" xr:uid="{D37EFE59-1F61-4EBD-9F22-56BD267E56F3}"/>
    <cellStyle name="Currency 5 2 5 4 3 3" xfId="22780" xr:uid="{CF697027-2657-40D7-948E-BE5234089313}"/>
    <cellStyle name="Currency 5 2 5 4 3 4" xfId="31220" xr:uid="{A5D66B55-A2F8-4956-9E0E-E1500D233355}"/>
    <cellStyle name="Currency 5 2 5 4 4" xfId="10122" xr:uid="{B0832AE7-1E46-4BCA-926D-0A297A272165}"/>
    <cellStyle name="Currency 5 2 5 4 5" xfId="18563" xr:uid="{0068C7B2-7CC5-459E-AAE0-82D2E3E2C62D}"/>
    <cellStyle name="Currency 5 2 5 4 6" xfId="27003" xr:uid="{AB0E6446-7C22-4186-9B30-75C8534673E6}"/>
    <cellStyle name="Currency 5 2 5 5" xfId="1997" xr:uid="{00000000-0005-0000-0000-00005E0C0000}"/>
    <cellStyle name="Currency 5 2 5 5 2" xfId="4226" xr:uid="{00000000-0005-0000-0000-00005F0C0000}"/>
    <cellStyle name="Currency 5 2 5 5 2 2" xfId="8448" xr:uid="{00000000-0005-0000-0000-0000600C0000}"/>
    <cellStyle name="Currency 5 2 5 5 2 2 2" xfId="16898" xr:uid="{ADCC194E-0124-4F58-AF01-4441B5B5CFF1}"/>
    <cellStyle name="Currency 5 2 5 5 2 2 3" xfId="25338" xr:uid="{A8FD398D-BF4A-49A0-9975-5CF75BDE2725}"/>
    <cellStyle name="Currency 5 2 5 5 2 2 4" xfId="33778" xr:uid="{2F027480-058F-4ABB-BFC0-251A2A0B907B}"/>
    <cellStyle name="Currency 5 2 5 5 2 3" xfId="12680" xr:uid="{EE3718B1-35F0-4A6A-9786-6CAEFF68F8EE}"/>
    <cellStyle name="Currency 5 2 5 5 2 4" xfId="21121" xr:uid="{6779F873-2F44-44E8-B0D7-2C8D83864E8F}"/>
    <cellStyle name="Currency 5 2 5 5 2 5" xfId="29561" xr:uid="{764C7C48-ED99-4D08-8C1C-43F0FDECEA77}"/>
    <cellStyle name="Currency 5 2 5 5 3" xfId="6303" xr:uid="{00000000-0005-0000-0000-0000610C0000}"/>
    <cellStyle name="Currency 5 2 5 5 3 2" xfId="14753" xr:uid="{69208B1A-B40B-4870-8C8C-5082A2A97FD2}"/>
    <cellStyle name="Currency 5 2 5 5 3 3" xfId="23193" xr:uid="{BEFF50C4-22B5-4295-A0F9-49BF9B78F150}"/>
    <cellStyle name="Currency 5 2 5 5 3 4" xfId="31633" xr:uid="{86AB663E-2F3E-454A-9C14-56D5ABFF06DE}"/>
    <cellStyle name="Currency 5 2 5 5 4" xfId="10535" xr:uid="{63F72887-9573-48A2-8263-19DBAB1B72F5}"/>
    <cellStyle name="Currency 5 2 5 5 5" xfId="18976" xr:uid="{30A30E63-F2BF-486B-B981-8720FE6C4DA1}"/>
    <cellStyle name="Currency 5 2 5 5 6" xfId="27416" xr:uid="{9D885BB4-73F8-4B28-BC75-AB6818A5C46B}"/>
    <cellStyle name="Currency 5 2 5 6" xfId="2432" xr:uid="{00000000-0005-0000-0000-0000620C0000}"/>
    <cellStyle name="Currency 5 2 5 6 2" xfId="6716" xr:uid="{00000000-0005-0000-0000-0000630C0000}"/>
    <cellStyle name="Currency 5 2 5 6 2 2" xfId="15166" xr:uid="{2186FB32-2395-47A4-900D-15777B30781D}"/>
    <cellStyle name="Currency 5 2 5 6 2 3" xfId="23606" xr:uid="{B2D60B28-2FCB-4F29-8078-63BFD1AD3F35}"/>
    <cellStyle name="Currency 5 2 5 6 2 4" xfId="32046" xr:uid="{D7E62FC9-FC22-4C84-BAC8-2908B400F74D}"/>
    <cellStyle name="Currency 5 2 5 6 3" xfId="10948" xr:uid="{726122AB-394B-4A3B-A7BF-EC18A39D4756}"/>
    <cellStyle name="Currency 5 2 5 6 4" xfId="19389" xr:uid="{3C707F17-13DB-4BCF-92E6-05F140B07948}"/>
    <cellStyle name="Currency 5 2 5 6 5" xfId="27829" xr:uid="{74BFF20E-E2A9-4244-958F-8961DEEBB51D}"/>
    <cellStyle name="Currency 5 2 5 7" xfId="2729" xr:uid="{00000000-0005-0000-0000-0000640C0000}"/>
    <cellStyle name="Currency 5 2 5 8" xfId="2810" xr:uid="{00000000-0005-0000-0000-0000650C0000}"/>
    <cellStyle name="Currency 5 2 5 8 2" xfId="7033" xr:uid="{00000000-0005-0000-0000-0000660C0000}"/>
    <cellStyle name="Currency 5 2 5 8 2 2" xfId="15483" xr:uid="{A80BDDA3-E66D-43E7-90A8-4A867FC32283}"/>
    <cellStyle name="Currency 5 2 5 8 2 3" xfId="23923" xr:uid="{2746BB0A-8D21-44FD-93FE-30EDF1D80F43}"/>
    <cellStyle name="Currency 5 2 5 8 2 4" xfId="32363" xr:uid="{A791816F-3A59-4786-9AAF-ED5D6AFA7DB7}"/>
    <cellStyle name="Currency 5 2 5 8 3" xfId="11265" xr:uid="{365256BA-A9DD-458E-81DF-2C8C7236065D}"/>
    <cellStyle name="Currency 5 2 5 8 4" xfId="19706" xr:uid="{8FA95F3E-C056-48C9-B557-9B0317A31AA2}"/>
    <cellStyle name="Currency 5 2 5 8 5" xfId="28146" xr:uid="{F39A3B4B-1887-4192-B249-06A7FF41C218}"/>
    <cellStyle name="Currency 5 2 5 9" xfId="4650" xr:uid="{00000000-0005-0000-0000-0000670C0000}"/>
    <cellStyle name="Currency 5 2 5 9 2" xfId="13100" xr:uid="{CAD55D68-EC38-4745-BAD6-F1035B2F4EE9}"/>
    <cellStyle name="Currency 5 2 5 9 3" xfId="21540" xr:uid="{6C1DF0EC-0D35-464D-8F7D-3057B9756484}"/>
    <cellStyle name="Currency 5 2 5 9 4" xfId="29980" xr:uid="{12CEF812-74D5-4DED-A3B7-436BED63C2EA}"/>
    <cellStyle name="Currency 5 2 6" xfId="208" xr:uid="{00000000-0005-0000-0000-0000680C0000}"/>
    <cellStyle name="Currency 5 2 6 10" xfId="8883" xr:uid="{410EE0B1-9EF8-46DD-BECF-583110A03C67}"/>
    <cellStyle name="Currency 5 2 6 11" xfId="17324" xr:uid="{56F9729C-805F-48DB-BC2D-00106856DE19}"/>
    <cellStyle name="Currency 5 2 6 12" xfId="25764" xr:uid="{F9AB2D3F-6A51-4B3F-AB66-0EB850577C81}"/>
    <cellStyle name="Currency 5 2 6 2" xfId="735" xr:uid="{00000000-0005-0000-0000-0000690C0000}"/>
    <cellStyle name="Currency 5 2 6 2 2" xfId="2988" xr:uid="{00000000-0005-0000-0000-00006A0C0000}"/>
    <cellStyle name="Currency 5 2 6 2 2 2" xfId="7210" xr:uid="{00000000-0005-0000-0000-00006B0C0000}"/>
    <cellStyle name="Currency 5 2 6 2 2 2 2" xfId="15660" xr:uid="{E37B4EE4-F96D-4E17-AA9B-15C6AAF9FCA3}"/>
    <cellStyle name="Currency 5 2 6 2 2 2 3" xfId="24100" xr:uid="{EC22F5D4-56D3-42AA-BE06-19817157B1E9}"/>
    <cellStyle name="Currency 5 2 6 2 2 2 4" xfId="32540" xr:uid="{40B375D7-6C12-40B4-953F-76495B5632F1}"/>
    <cellStyle name="Currency 5 2 6 2 2 3" xfId="11442" xr:uid="{66E68407-B8A6-4F67-ADD9-D53ACF74F5E6}"/>
    <cellStyle name="Currency 5 2 6 2 2 4" xfId="19883" xr:uid="{CB42BAFB-500F-4502-8E04-4DD5C08709C4}"/>
    <cellStyle name="Currency 5 2 6 2 2 5" xfId="28323" xr:uid="{34387739-D8CD-46C1-AC47-98E15FB5EDAB}"/>
    <cellStyle name="Currency 5 2 6 2 3" xfId="5065" xr:uid="{00000000-0005-0000-0000-00006C0C0000}"/>
    <cellStyle name="Currency 5 2 6 2 3 2" xfId="13515" xr:uid="{CCF7E025-63B1-48DE-9CD4-B8CD5346AA4C}"/>
    <cellStyle name="Currency 5 2 6 2 3 3" xfId="21955" xr:uid="{293C6886-2E34-4D64-B3E2-A248D9BE4E2D}"/>
    <cellStyle name="Currency 5 2 6 2 3 4" xfId="30395" xr:uid="{585006DA-94AA-4356-9562-C7B571F8B06B}"/>
    <cellStyle name="Currency 5 2 6 2 4" xfId="9297" xr:uid="{B5C627D6-CC67-424B-8A0E-693BC6B0DDF3}"/>
    <cellStyle name="Currency 5 2 6 2 5" xfId="17738" xr:uid="{EA3FF302-AA86-4E07-8794-2350DF3A84D9}"/>
    <cellStyle name="Currency 5 2 6 2 6" xfId="26178" xr:uid="{15836DC8-0C01-4F4B-A28E-F909B0B8DD4F}"/>
    <cellStyle name="Currency 5 2 6 3" xfId="1170" xr:uid="{00000000-0005-0000-0000-00006D0C0000}"/>
    <cellStyle name="Currency 5 2 6 3 2" xfId="3401" xr:uid="{00000000-0005-0000-0000-00006E0C0000}"/>
    <cellStyle name="Currency 5 2 6 3 2 2" xfId="7623" xr:uid="{00000000-0005-0000-0000-00006F0C0000}"/>
    <cellStyle name="Currency 5 2 6 3 2 2 2" xfId="16073" xr:uid="{A38ABC19-803A-45B9-B782-C5526F541555}"/>
    <cellStyle name="Currency 5 2 6 3 2 2 3" xfId="24513" xr:uid="{925B66B9-1B23-4638-B01B-4767FE09B51F}"/>
    <cellStyle name="Currency 5 2 6 3 2 2 4" xfId="32953" xr:uid="{17CAA631-9E2B-46C3-B5A0-B1C8C28739A5}"/>
    <cellStyle name="Currency 5 2 6 3 2 3" xfId="11855" xr:uid="{481FA4D1-5025-4A7D-B469-A020028B3E42}"/>
    <cellStyle name="Currency 5 2 6 3 2 4" xfId="20296" xr:uid="{71C6103E-62E5-4DCD-862C-A25E139B11C8}"/>
    <cellStyle name="Currency 5 2 6 3 2 5" xfId="28736" xr:uid="{E9541B50-EC74-4C0E-AD72-B98F15043B6C}"/>
    <cellStyle name="Currency 5 2 6 3 3" xfId="5478" xr:uid="{00000000-0005-0000-0000-0000700C0000}"/>
    <cellStyle name="Currency 5 2 6 3 3 2" xfId="13928" xr:uid="{62D8AB6D-5078-486C-A400-0BE2BB8E6487}"/>
    <cellStyle name="Currency 5 2 6 3 3 3" xfId="22368" xr:uid="{F8CA0DDB-E68F-449E-89AA-D6CA69FBBA99}"/>
    <cellStyle name="Currency 5 2 6 3 3 4" xfId="30808" xr:uid="{3E2D6290-9169-477E-9941-C2CCB1FB4B58}"/>
    <cellStyle name="Currency 5 2 6 3 4" xfId="9710" xr:uid="{5CA2DD3D-D9D0-47B0-BAF2-41EC2C05CB02}"/>
    <cellStyle name="Currency 5 2 6 3 5" xfId="18151" xr:uid="{AC829C7A-C8B9-4D49-AC03-FC2EC19595C2}"/>
    <cellStyle name="Currency 5 2 6 3 6" xfId="26591" xr:uid="{9C294BF4-5B5C-4D43-8498-9A5CB5764B23}"/>
    <cellStyle name="Currency 5 2 6 4" xfId="1584" xr:uid="{00000000-0005-0000-0000-0000710C0000}"/>
    <cellStyle name="Currency 5 2 6 4 2" xfId="3814" xr:uid="{00000000-0005-0000-0000-0000720C0000}"/>
    <cellStyle name="Currency 5 2 6 4 2 2" xfId="8036" xr:uid="{00000000-0005-0000-0000-0000730C0000}"/>
    <cellStyle name="Currency 5 2 6 4 2 2 2" xfId="16486" xr:uid="{34B695A0-F4A1-4DC5-9770-DF4C4C580565}"/>
    <cellStyle name="Currency 5 2 6 4 2 2 3" xfId="24926" xr:uid="{2C0BAAD8-1009-4A5A-9A5F-D8B6DDA21A78}"/>
    <cellStyle name="Currency 5 2 6 4 2 2 4" xfId="33366" xr:uid="{D365872F-9931-4BEC-8F01-851FD478C4A6}"/>
    <cellStyle name="Currency 5 2 6 4 2 3" xfId="12268" xr:uid="{495077BC-504A-4883-8E58-F74BC4AA8B97}"/>
    <cellStyle name="Currency 5 2 6 4 2 4" xfId="20709" xr:uid="{DBE58B95-FAF3-44F4-B279-C7DE5F79CC4C}"/>
    <cellStyle name="Currency 5 2 6 4 2 5" xfId="29149" xr:uid="{DBA8C392-2F86-4AA0-98D1-25F2E82EF400}"/>
    <cellStyle name="Currency 5 2 6 4 3" xfId="5891" xr:uid="{00000000-0005-0000-0000-0000740C0000}"/>
    <cellStyle name="Currency 5 2 6 4 3 2" xfId="14341" xr:uid="{1A08B685-39CE-4744-9C15-60F580AA37ED}"/>
    <cellStyle name="Currency 5 2 6 4 3 3" xfId="22781" xr:uid="{E4CAF368-ADA3-4E31-B1CF-4DF37005F8CF}"/>
    <cellStyle name="Currency 5 2 6 4 3 4" xfId="31221" xr:uid="{5D0BF6B5-8104-4B02-9908-845538133934}"/>
    <cellStyle name="Currency 5 2 6 4 4" xfId="10123" xr:uid="{8B2D10D5-0532-45EF-B5EE-16CEA938BB90}"/>
    <cellStyle name="Currency 5 2 6 4 5" xfId="18564" xr:uid="{07C7B628-F4E7-4AB7-816C-5CC5D103D2AA}"/>
    <cellStyle name="Currency 5 2 6 4 6" xfId="27004" xr:uid="{2477F67A-75B3-4EED-96FC-9839C48DBB9C}"/>
    <cellStyle name="Currency 5 2 6 5" xfId="1998" xr:uid="{00000000-0005-0000-0000-0000750C0000}"/>
    <cellStyle name="Currency 5 2 6 5 2" xfId="4227" xr:uid="{00000000-0005-0000-0000-0000760C0000}"/>
    <cellStyle name="Currency 5 2 6 5 2 2" xfId="8449" xr:uid="{00000000-0005-0000-0000-0000770C0000}"/>
    <cellStyle name="Currency 5 2 6 5 2 2 2" xfId="16899" xr:uid="{421CC3FB-0102-471A-B8F7-64962C3EFBF8}"/>
    <cellStyle name="Currency 5 2 6 5 2 2 3" xfId="25339" xr:uid="{DDF0CC1A-7459-45AA-92A1-92937DFAF979}"/>
    <cellStyle name="Currency 5 2 6 5 2 2 4" xfId="33779" xr:uid="{35AA1764-2142-4CA8-BF3C-17E2D8D0C189}"/>
    <cellStyle name="Currency 5 2 6 5 2 3" xfId="12681" xr:uid="{D885E43B-C6DA-4CC9-8AB4-051A30C35D51}"/>
    <cellStyle name="Currency 5 2 6 5 2 4" xfId="21122" xr:uid="{3F533416-7BD1-4795-ACF1-2F202D60EF91}"/>
    <cellStyle name="Currency 5 2 6 5 2 5" xfId="29562" xr:uid="{08BCEE41-28FD-4788-823A-6CB000EA3349}"/>
    <cellStyle name="Currency 5 2 6 5 3" xfId="6304" xr:uid="{00000000-0005-0000-0000-0000780C0000}"/>
    <cellStyle name="Currency 5 2 6 5 3 2" xfId="14754" xr:uid="{AC7B214F-4A9E-47B8-B8FE-90FC5C595142}"/>
    <cellStyle name="Currency 5 2 6 5 3 3" xfId="23194" xr:uid="{DFB03792-5F2E-4055-ACEA-C8F89EC57601}"/>
    <cellStyle name="Currency 5 2 6 5 3 4" xfId="31634" xr:uid="{48BEE5BA-34BB-4E53-A8DD-6BC4766C78AF}"/>
    <cellStyle name="Currency 5 2 6 5 4" xfId="10536" xr:uid="{8721788B-6492-4C5D-A87E-54D71E6FF435}"/>
    <cellStyle name="Currency 5 2 6 5 5" xfId="18977" xr:uid="{AD64CB61-0C12-47CD-B8AA-4CDC116B15D6}"/>
    <cellStyle name="Currency 5 2 6 5 6" xfId="27417" xr:uid="{27EE6B1B-33DD-49E4-877F-C9C825CA8FC1}"/>
    <cellStyle name="Currency 5 2 6 6" xfId="2433" xr:uid="{00000000-0005-0000-0000-0000790C0000}"/>
    <cellStyle name="Currency 5 2 6 6 2" xfId="6717" xr:uid="{00000000-0005-0000-0000-00007A0C0000}"/>
    <cellStyle name="Currency 5 2 6 6 2 2" xfId="15167" xr:uid="{984499A4-81D8-43EA-8302-6ECF94EA58DD}"/>
    <cellStyle name="Currency 5 2 6 6 2 3" xfId="23607" xr:uid="{874601B4-9D32-4671-8D17-6D1779B9D143}"/>
    <cellStyle name="Currency 5 2 6 6 2 4" xfId="32047" xr:uid="{2209D604-84B1-4AEA-A8C7-119363179DA4}"/>
    <cellStyle name="Currency 5 2 6 6 3" xfId="10949" xr:uid="{B79C9FD4-1C51-4A2A-8F85-49D5F4E06F4C}"/>
    <cellStyle name="Currency 5 2 6 6 4" xfId="19390" xr:uid="{86E053BB-E73F-4CF6-B270-5D87F9FD33BE}"/>
    <cellStyle name="Currency 5 2 6 6 5" xfId="27830" xr:uid="{0848E01E-7137-453D-86D1-9F1E879D6BC7}"/>
    <cellStyle name="Currency 5 2 6 7" xfId="2730" xr:uid="{00000000-0005-0000-0000-00007B0C0000}"/>
    <cellStyle name="Currency 5 2 6 8" xfId="2811" xr:uid="{00000000-0005-0000-0000-00007C0C0000}"/>
    <cellStyle name="Currency 5 2 6 8 2" xfId="7034" xr:uid="{00000000-0005-0000-0000-00007D0C0000}"/>
    <cellStyle name="Currency 5 2 6 8 2 2" xfId="15484" xr:uid="{842CCD04-5C13-4D70-A9DF-ED42FE77BC96}"/>
    <cellStyle name="Currency 5 2 6 8 2 3" xfId="23924" xr:uid="{E95D1BED-8449-4D55-9E60-B4687D8FB8D4}"/>
    <cellStyle name="Currency 5 2 6 8 2 4" xfId="32364" xr:uid="{643BF62A-81CE-4DAB-A452-CD3E53E64FB3}"/>
    <cellStyle name="Currency 5 2 6 8 3" xfId="11266" xr:uid="{1A4ADCE5-D130-4591-BA3E-13E99794715A}"/>
    <cellStyle name="Currency 5 2 6 8 4" xfId="19707" xr:uid="{B99D28F1-8C0F-4194-B194-B5C893ED321F}"/>
    <cellStyle name="Currency 5 2 6 8 5" xfId="28147" xr:uid="{7D29100B-074F-4312-B2E2-AFAE1BC3C5F3}"/>
    <cellStyle name="Currency 5 2 6 9" xfId="4651" xr:uid="{00000000-0005-0000-0000-00007E0C0000}"/>
    <cellStyle name="Currency 5 2 6 9 2" xfId="13101" xr:uid="{A8387CD4-86E4-4B84-B3BB-BDAB8D5F5728}"/>
    <cellStyle name="Currency 5 2 6 9 3" xfId="21541" xr:uid="{F3C79653-F571-40FF-BC10-2B29389A0CA6}"/>
    <cellStyle name="Currency 5 2 6 9 4" xfId="29981" xr:uid="{B12590BC-3AF2-48AD-9AE6-53114319760D}"/>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0 2 2" xfId="15485" xr:uid="{7214EB29-81CF-4294-973A-99424710FE84}"/>
    <cellStyle name="Currency 5 3 2 10 2 3" xfId="23925" xr:uid="{3985A9DE-B1F1-443C-9F90-F8C778A15B94}"/>
    <cellStyle name="Currency 5 3 2 10 2 4" xfId="32365" xr:uid="{1E936A04-B31B-40C6-9FC7-BCA770ED241B}"/>
    <cellStyle name="Currency 5 3 2 10 3" xfId="11267" xr:uid="{2DA7B692-F487-476E-A21A-4A6505ADC203}"/>
    <cellStyle name="Currency 5 3 2 10 4" xfId="19708" xr:uid="{26A15F70-CC53-449E-B1A4-3F6AF3675D4D}"/>
    <cellStyle name="Currency 5 3 2 10 5" xfId="28148" xr:uid="{89A6EC1B-7137-4F9D-872D-A9A89C90B309}"/>
    <cellStyle name="Currency 5 3 2 11" xfId="4652" xr:uid="{00000000-0005-0000-0000-0000840C0000}"/>
    <cellStyle name="Currency 5 3 2 11 2" xfId="13102" xr:uid="{147D1E7D-2E89-499C-8EDC-2F1DBC8E8D60}"/>
    <cellStyle name="Currency 5 3 2 11 3" xfId="21542" xr:uid="{AB4A2A19-7300-450B-A81C-19167AE31B1C}"/>
    <cellStyle name="Currency 5 3 2 11 4" xfId="29982" xr:uid="{A6622E09-1608-4EE7-A744-341F7AD211F6}"/>
    <cellStyle name="Currency 5 3 2 12" xfId="8884" xr:uid="{1C13E215-3654-4BDB-82E3-34595D5A5B7A}"/>
    <cellStyle name="Currency 5 3 2 13" xfId="17325" xr:uid="{593A9A33-9DF2-4ED8-B36F-E2D0B4068282}"/>
    <cellStyle name="Currency 5 3 2 14" xfId="25765" xr:uid="{B9EECD84-54DC-4102-AF80-BE5E8983F059}"/>
    <cellStyle name="Currency 5 3 2 2" xfId="211" xr:uid="{00000000-0005-0000-0000-0000850C0000}"/>
    <cellStyle name="Currency 5 3 2 2 10" xfId="4653" xr:uid="{00000000-0005-0000-0000-0000860C0000}"/>
    <cellStyle name="Currency 5 3 2 2 10 2" xfId="13103" xr:uid="{75F71B34-C986-4FCE-BF4D-EE2759899066}"/>
    <cellStyle name="Currency 5 3 2 2 10 3" xfId="21543" xr:uid="{46CEBFDC-59E9-431D-A6E8-6172B0D72820}"/>
    <cellStyle name="Currency 5 3 2 2 10 4" xfId="29983" xr:uid="{62FBBE89-DBFC-4AA0-9494-1A3995A92594}"/>
    <cellStyle name="Currency 5 3 2 2 11" xfId="8885" xr:uid="{1F4123CE-1830-4CCB-A285-2CAA254E664E}"/>
    <cellStyle name="Currency 5 3 2 2 12" xfId="17326" xr:uid="{BB804D81-3E20-4BAE-925C-184519F0023C}"/>
    <cellStyle name="Currency 5 3 2 2 13" xfId="25766" xr:uid="{AA5950BD-6159-46E1-AE9A-EEB6D1AC18B8}"/>
    <cellStyle name="Currency 5 3 2 2 2" xfId="212" xr:uid="{00000000-0005-0000-0000-0000870C0000}"/>
    <cellStyle name="Currency 5 3 2 2 2 10" xfId="8886" xr:uid="{44D11AAF-7AF6-40B1-BD22-C39C5E0F1BA6}"/>
    <cellStyle name="Currency 5 3 2 2 2 11" xfId="17327" xr:uid="{4B4913E9-2DF8-4611-AD0E-04B600DEC61E}"/>
    <cellStyle name="Currency 5 3 2 2 2 12" xfId="25767" xr:uid="{7CB07891-9F4F-42BE-9DCF-FC1ABA855D2A}"/>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2 2 2" xfId="15663" xr:uid="{82720950-4738-4FEE-945F-CB82B82E8FF0}"/>
    <cellStyle name="Currency 5 3 2 2 2 2 2 2 3" xfId="24103" xr:uid="{B995C05D-2304-4F36-8107-BE81F9573801}"/>
    <cellStyle name="Currency 5 3 2 2 2 2 2 2 4" xfId="32543" xr:uid="{1C059E85-04B3-484D-9AC6-99780ED040FA}"/>
    <cellStyle name="Currency 5 3 2 2 2 2 2 3" xfId="11445" xr:uid="{1334076D-1EBC-4FEA-BB58-016590672ADA}"/>
    <cellStyle name="Currency 5 3 2 2 2 2 2 4" xfId="19886" xr:uid="{A4BC86F3-6C1A-4294-A9FB-0FEA46C560DF}"/>
    <cellStyle name="Currency 5 3 2 2 2 2 2 5" xfId="28326" xr:uid="{34719C5D-1C21-40A9-AEE2-69AF5F4BB684}"/>
    <cellStyle name="Currency 5 3 2 2 2 2 3" xfId="5068" xr:uid="{00000000-0005-0000-0000-00008B0C0000}"/>
    <cellStyle name="Currency 5 3 2 2 2 2 3 2" xfId="13518" xr:uid="{C1C780F0-31F6-4240-B153-5E9989FEC6BF}"/>
    <cellStyle name="Currency 5 3 2 2 2 2 3 3" xfId="21958" xr:uid="{31A479A9-E4FA-4901-9560-CBF0685838D8}"/>
    <cellStyle name="Currency 5 3 2 2 2 2 3 4" xfId="30398" xr:uid="{42F0FBA5-2D43-48A3-8641-26ACB60A1306}"/>
    <cellStyle name="Currency 5 3 2 2 2 2 4" xfId="9300" xr:uid="{8768B1D5-079B-413F-96B6-D52377F2B89F}"/>
    <cellStyle name="Currency 5 3 2 2 2 2 5" xfId="17741" xr:uid="{432616CE-066D-49F6-824A-3B6876D17FBA}"/>
    <cellStyle name="Currency 5 3 2 2 2 2 6" xfId="26181" xr:uid="{9277EAF3-CBF3-4FFB-9B58-C63628CC42F6}"/>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2 2 2" xfId="16076" xr:uid="{DC2DC0E5-D36C-483F-B05D-7256F1E281A9}"/>
    <cellStyle name="Currency 5 3 2 2 2 3 2 2 3" xfId="24516" xr:uid="{9FEF1C6A-312A-40F2-BCBE-0AF9C2153771}"/>
    <cellStyle name="Currency 5 3 2 2 2 3 2 2 4" xfId="32956" xr:uid="{7C299D50-C6EC-4C8E-B173-9D7D49AFF624}"/>
    <cellStyle name="Currency 5 3 2 2 2 3 2 3" xfId="11858" xr:uid="{97BEA6E7-5348-4C49-8426-15B314477C10}"/>
    <cellStyle name="Currency 5 3 2 2 2 3 2 4" xfId="20299" xr:uid="{62DCEEB8-3CD3-4C98-B4BF-B3DF5A49979A}"/>
    <cellStyle name="Currency 5 3 2 2 2 3 2 5" xfId="28739" xr:uid="{E0B841EF-89E5-4C9D-82A3-67031556A5CB}"/>
    <cellStyle name="Currency 5 3 2 2 2 3 3" xfId="5481" xr:uid="{00000000-0005-0000-0000-00008F0C0000}"/>
    <cellStyle name="Currency 5 3 2 2 2 3 3 2" xfId="13931" xr:uid="{D74F1E79-B773-48A0-850C-5AD686D4C1C5}"/>
    <cellStyle name="Currency 5 3 2 2 2 3 3 3" xfId="22371" xr:uid="{853705F6-8B72-400C-973D-0904E9245607}"/>
    <cellStyle name="Currency 5 3 2 2 2 3 3 4" xfId="30811" xr:uid="{833DC79A-7781-4228-A501-A21282EACDAC}"/>
    <cellStyle name="Currency 5 3 2 2 2 3 4" xfId="9713" xr:uid="{EF592931-3C00-478D-8181-14F9A5A6ED8E}"/>
    <cellStyle name="Currency 5 3 2 2 2 3 5" xfId="18154" xr:uid="{56A574B5-89FB-4CE5-B933-F42F7D741E6D}"/>
    <cellStyle name="Currency 5 3 2 2 2 3 6" xfId="26594" xr:uid="{351868FC-F6B3-48F9-87D1-4E60142617A8}"/>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2 2 2" xfId="16489" xr:uid="{9CD25B02-6C3F-4839-8DAE-DCA0E6A8AC3E}"/>
    <cellStyle name="Currency 5 3 2 2 2 4 2 2 3" xfId="24929" xr:uid="{120A89CA-9B79-4B9F-A2DC-0B4141049B08}"/>
    <cellStyle name="Currency 5 3 2 2 2 4 2 2 4" xfId="33369" xr:uid="{65C96B44-3C82-4F12-9721-9ACBAEBA1B7D}"/>
    <cellStyle name="Currency 5 3 2 2 2 4 2 3" xfId="12271" xr:uid="{D923671A-E606-4DDB-9967-E0C3A09ECA89}"/>
    <cellStyle name="Currency 5 3 2 2 2 4 2 4" xfId="20712" xr:uid="{816A2770-1FDE-4DB3-B1ED-FBA66298666B}"/>
    <cellStyle name="Currency 5 3 2 2 2 4 2 5" xfId="29152" xr:uid="{A09CC30C-6FD6-48C6-89A9-0392CADA54D1}"/>
    <cellStyle name="Currency 5 3 2 2 2 4 3" xfId="5894" xr:uid="{00000000-0005-0000-0000-0000930C0000}"/>
    <cellStyle name="Currency 5 3 2 2 2 4 3 2" xfId="14344" xr:uid="{D7D4B1DD-AD67-4F94-B72D-65A666414F69}"/>
    <cellStyle name="Currency 5 3 2 2 2 4 3 3" xfId="22784" xr:uid="{606BD0FB-2C3B-4F8F-BE24-901E8FF23B40}"/>
    <cellStyle name="Currency 5 3 2 2 2 4 3 4" xfId="31224" xr:uid="{A6FEB5B0-3770-403E-A9D9-18AE5899E63F}"/>
    <cellStyle name="Currency 5 3 2 2 2 4 4" xfId="10126" xr:uid="{607DD5C7-9B80-42A7-84E3-298F118DA5E6}"/>
    <cellStyle name="Currency 5 3 2 2 2 4 5" xfId="18567" xr:uid="{7C927163-6834-489C-8C56-2B3CA59DAD24}"/>
    <cellStyle name="Currency 5 3 2 2 2 4 6" xfId="27007" xr:uid="{6267196D-0E90-44C0-A639-EEB3CCA7DD52}"/>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2 2 2" xfId="16902" xr:uid="{5B6C98DB-5C26-487D-9A42-7740CDA4F73B}"/>
    <cellStyle name="Currency 5 3 2 2 2 5 2 2 3" xfId="25342" xr:uid="{02241F5A-7D1E-43AE-8299-E6936DFD4024}"/>
    <cellStyle name="Currency 5 3 2 2 2 5 2 2 4" xfId="33782" xr:uid="{69E3B4F3-A2EF-4D6F-A4A9-C06968C3491E}"/>
    <cellStyle name="Currency 5 3 2 2 2 5 2 3" xfId="12684" xr:uid="{555AB896-608E-46BE-94AE-D0A50D2BEEBD}"/>
    <cellStyle name="Currency 5 3 2 2 2 5 2 4" xfId="21125" xr:uid="{257782C3-28C1-420F-AC60-04A6981BC12C}"/>
    <cellStyle name="Currency 5 3 2 2 2 5 2 5" xfId="29565" xr:uid="{5F283530-2104-4D0A-86B8-9E09A2A43E48}"/>
    <cellStyle name="Currency 5 3 2 2 2 5 3" xfId="6307" xr:uid="{00000000-0005-0000-0000-0000970C0000}"/>
    <cellStyle name="Currency 5 3 2 2 2 5 3 2" xfId="14757" xr:uid="{AB064899-1EB9-4B67-A399-75C903D6567A}"/>
    <cellStyle name="Currency 5 3 2 2 2 5 3 3" xfId="23197" xr:uid="{0860EA39-00D8-432E-9474-7518C3E1DF3B}"/>
    <cellStyle name="Currency 5 3 2 2 2 5 3 4" xfId="31637" xr:uid="{2A5D3579-1581-4D24-952E-C4A676241460}"/>
    <cellStyle name="Currency 5 3 2 2 2 5 4" xfId="10539" xr:uid="{256B14DE-3E6B-43F1-B9F1-8FE96639B832}"/>
    <cellStyle name="Currency 5 3 2 2 2 5 5" xfId="18980" xr:uid="{E1D50F37-05C2-41F6-9B44-7ED14F5C830E}"/>
    <cellStyle name="Currency 5 3 2 2 2 5 6" xfId="27420" xr:uid="{BB4DE0EE-1E4D-435C-A079-10770A9C4930}"/>
    <cellStyle name="Currency 5 3 2 2 2 6" xfId="2436" xr:uid="{00000000-0005-0000-0000-0000980C0000}"/>
    <cellStyle name="Currency 5 3 2 2 2 6 2" xfId="6720" xr:uid="{00000000-0005-0000-0000-0000990C0000}"/>
    <cellStyle name="Currency 5 3 2 2 2 6 2 2" xfId="15170" xr:uid="{954B66F9-C8E2-4416-88E3-0C1A3F094920}"/>
    <cellStyle name="Currency 5 3 2 2 2 6 2 3" xfId="23610" xr:uid="{E02E73DC-3D89-4321-9D7E-C842CA551B7E}"/>
    <cellStyle name="Currency 5 3 2 2 2 6 2 4" xfId="32050" xr:uid="{45A11BB2-2707-4C6F-B6C0-1DF2C9899BBA}"/>
    <cellStyle name="Currency 5 3 2 2 2 6 3" xfId="10952" xr:uid="{CDF79C4F-BDC8-4EC7-B497-9890B7B406EF}"/>
    <cellStyle name="Currency 5 3 2 2 2 6 4" xfId="19393" xr:uid="{BB5CC340-E33A-481F-B3EA-6582F283C93B}"/>
    <cellStyle name="Currency 5 3 2 2 2 6 5" xfId="27833" xr:uid="{4C8F9A8E-9629-4412-8CA6-C4725CC4D58F}"/>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8 2 2" xfId="15487" xr:uid="{AE68AE8C-EB1D-48DB-B804-A29175AC3238}"/>
    <cellStyle name="Currency 5 3 2 2 2 8 2 3" xfId="23927" xr:uid="{9D1C7284-C4E8-4889-8D9E-D29CACB654CD}"/>
    <cellStyle name="Currency 5 3 2 2 2 8 2 4" xfId="32367" xr:uid="{67FAB396-7515-40AE-9905-10F4C2E92558}"/>
    <cellStyle name="Currency 5 3 2 2 2 8 3" xfId="11269" xr:uid="{150AFE26-3D01-4E22-A0CC-9E9DD729600D}"/>
    <cellStyle name="Currency 5 3 2 2 2 8 4" xfId="19710" xr:uid="{997E3336-5A26-4127-91EC-F159E9F63A20}"/>
    <cellStyle name="Currency 5 3 2 2 2 8 5" xfId="28150" xr:uid="{6D331928-A3E1-4B21-BB27-D2928310F7AC}"/>
    <cellStyle name="Currency 5 3 2 2 2 9" xfId="4654" xr:uid="{00000000-0005-0000-0000-00009D0C0000}"/>
    <cellStyle name="Currency 5 3 2 2 2 9 2" xfId="13104" xr:uid="{70F8F0A9-3DE1-460F-9D6D-F0ED2E9536DE}"/>
    <cellStyle name="Currency 5 3 2 2 2 9 3" xfId="21544" xr:uid="{84406C23-0284-4EFF-A4D9-5986CD077BAE}"/>
    <cellStyle name="Currency 5 3 2 2 2 9 4" xfId="29984" xr:uid="{0718E546-C434-41BF-9A7C-8F9400117BC6}"/>
    <cellStyle name="Currency 5 3 2 2 3" xfId="737" xr:uid="{00000000-0005-0000-0000-00009E0C0000}"/>
    <cellStyle name="Currency 5 3 2 2 3 2" xfId="2990" xr:uid="{00000000-0005-0000-0000-00009F0C0000}"/>
    <cellStyle name="Currency 5 3 2 2 3 2 2" xfId="7212" xr:uid="{00000000-0005-0000-0000-0000A00C0000}"/>
    <cellStyle name="Currency 5 3 2 2 3 2 2 2" xfId="15662" xr:uid="{51BD3F59-7C3D-4230-ABFE-E3A110DA4E7E}"/>
    <cellStyle name="Currency 5 3 2 2 3 2 2 3" xfId="24102" xr:uid="{E48205BC-702C-43EF-AA11-2C1B759FE1F6}"/>
    <cellStyle name="Currency 5 3 2 2 3 2 2 4" xfId="32542" xr:uid="{0FA548A1-C343-4A6B-A986-390D51596C96}"/>
    <cellStyle name="Currency 5 3 2 2 3 2 3" xfId="11444" xr:uid="{CF3F76BA-61C7-40E6-94DF-2502936636AB}"/>
    <cellStyle name="Currency 5 3 2 2 3 2 4" xfId="19885" xr:uid="{A3E9911B-389E-4DD9-B968-87223ECE7534}"/>
    <cellStyle name="Currency 5 3 2 2 3 2 5" xfId="28325" xr:uid="{89B4A933-0BFB-468E-A64D-5513F68446BB}"/>
    <cellStyle name="Currency 5 3 2 2 3 3" xfId="5067" xr:uid="{00000000-0005-0000-0000-0000A10C0000}"/>
    <cellStyle name="Currency 5 3 2 2 3 3 2" xfId="13517" xr:uid="{147695FD-B5ED-4898-9D21-C04A5B1D4962}"/>
    <cellStyle name="Currency 5 3 2 2 3 3 3" xfId="21957" xr:uid="{0CC112A0-E4AD-4FC3-B978-DBD3AD192BF1}"/>
    <cellStyle name="Currency 5 3 2 2 3 3 4" xfId="30397" xr:uid="{41168E4D-4E94-4AF3-8979-B19D1DD52629}"/>
    <cellStyle name="Currency 5 3 2 2 3 4" xfId="9299" xr:uid="{8D5CC9DF-631E-4049-938F-4BCED750D85C}"/>
    <cellStyle name="Currency 5 3 2 2 3 5" xfId="17740" xr:uid="{FC2D8B9D-7E0F-44C3-A361-A18FEB812B1E}"/>
    <cellStyle name="Currency 5 3 2 2 3 6" xfId="26180" xr:uid="{91B2E0D9-A255-4754-BCC4-526262A36E5A}"/>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2 2 2" xfId="16075" xr:uid="{A98DE426-C564-4001-8E16-DE31E474733A}"/>
    <cellStyle name="Currency 5 3 2 2 4 2 2 3" xfId="24515" xr:uid="{A843D0AF-274B-43B2-9BD7-F8A7803C6E3C}"/>
    <cellStyle name="Currency 5 3 2 2 4 2 2 4" xfId="32955" xr:uid="{6473FA1A-BBA6-49E2-8428-CFD3DFCF9F6C}"/>
    <cellStyle name="Currency 5 3 2 2 4 2 3" xfId="11857" xr:uid="{802529A2-CB42-4D22-B298-D733DD29EBBB}"/>
    <cellStyle name="Currency 5 3 2 2 4 2 4" xfId="20298" xr:uid="{D8F81807-0DE0-4EE3-A161-15FDA5D90F95}"/>
    <cellStyle name="Currency 5 3 2 2 4 2 5" xfId="28738" xr:uid="{92A21C45-943D-4141-8FC3-CFDDADF7D5DB}"/>
    <cellStyle name="Currency 5 3 2 2 4 3" xfId="5480" xr:uid="{00000000-0005-0000-0000-0000A50C0000}"/>
    <cellStyle name="Currency 5 3 2 2 4 3 2" xfId="13930" xr:uid="{31D7201A-456C-4E03-9C59-4181ABE6DD17}"/>
    <cellStyle name="Currency 5 3 2 2 4 3 3" xfId="22370" xr:uid="{F25B0BC3-D71E-4CFC-9075-7A7C91AE31D5}"/>
    <cellStyle name="Currency 5 3 2 2 4 3 4" xfId="30810" xr:uid="{A5750E5D-62E7-47AA-8FA8-A6024BB1F57D}"/>
    <cellStyle name="Currency 5 3 2 2 4 4" xfId="9712" xr:uid="{042E9686-A69F-4969-82A7-3F76F6A30AED}"/>
    <cellStyle name="Currency 5 3 2 2 4 5" xfId="18153" xr:uid="{A56192BD-6BED-4C7B-8F73-7EE936D62BF1}"/>
    <cellStyle name="Currency 5 3 2 2 4 6" xfId="26593" xr:uid="{F6D65F7E-B269-4D14-A506-C83AE48995DD}"/>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2 2 2" xfId="16488" xr:uid="{B8B578A7-6B66-4318-AAEE-76A4E78E3F21}"/>
    <cellStyle name="Currency 5 3 2 2 5 2 2 3" xfId="24928" xr:uid="{61256D69-D4F8-48B4-B0C6-216E92F0685E}"/>
    <cellStyle name="Currency 5 3 2 2 5 2 2 4" xfId="33368" xr:uid="{44FAFE78-54DE-4EFE-A6B0-F9F68D9979BD}"/>
    <cellStyle name="Currency 5 3 2 2 5 2 3" xfId="12270" xr:uid="{D17AF49D-1205-47AC-8766-E8AABF6E38D9}"/>
    <cellStyle name="Currency 5 3 2 2 5 2 4" xfId="20711" xr:uid="{DDC4AF0B-24D8-46CE-BD21-CAEB1673BB69}"/>
    <cellStyle name="Currency 5 3 2 2 5 2 5" xfId="29151" xr:uid="{943E8380-D7E5-40E8-AD33-7CCC720E9F11}"/>
    <cellStyle name="Currency 5 3 2 2 5 3" xfId="5893" xr:uid="{00000000-0005-0000-0000-0000A90C0000}"/>
    <cellStyle name="Currency 5 3 2 2 5 3 2" xfId="14343" xr:uid="{E0132488-D9B1-41BB-AD9B-FE250A4238CB}"/>
    <cellStyle name="Currency 5 3 2 2 5 3 3" xfId="22783" xr:uid="{4077493B-E9B0-45AB-8AFA-62069F934180}"/>
    <cellStyle name="Currency 5 3 2 2 5 3 4" xfId="31223" xr:uid="{8816952F-3911-4B35-807C-7F80D08F02A4}"/>
    <cellStyle name="Currency 5 3 2 2 5 4" xfId="10125" xr:uid="{2A8C85C4-8A62-4EFA-83B2-5EE0D18B9C80}"/>
    <cellStyle name="Currency 5 3 2 2 5 5" xfId="18566" xr:uid="{B1163AE0-AA4F-48AA-AC90-ECF738FA1656}"/>
    <cellStyle name="Currency 5 3 2 2 5 6" xfId="27006" xr:uid="{7F963A9E-24FF-4928-A101-E0293862356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2 2 2" xfId="16901" xr:uid="{DDF8451F-3913-4429-AFCF-337167E43400}"/>
    <cellStyle name="Currency 5 3 2 2 6 2 2 3" xfId="25341" xr:uid="{D6960614-E556-412D-85A9-0105F857D291}"/>
    <cellStyle name="Currency 5 3 2 2 6 2 2 4" xfId="33781" xr:uid="{BBA7527B-7A51-4A02-BC07-4C835AA98E16}"/>
    <cellStyle name="Currency 5 3 2 2 6 2 3" xfId="12683" xr:uid="{16F16EF6-5281-4BD7-9697-A13FCDA50480}"/>
    <cellStyle name="Currency 5 3 2 2 6 2 4" xfId="21124" xr:uid="{5E9ADC9A-30CD-4173-8EC7-3E8863CAA203}"/>
    <cellStyle name="Currency 5 3 2 2 6 2 5" xfId="29564" xr:uid="{915B43C0-4584-4007-BEBD-ABEC59236905}"/>
    <cellStyle name="Currency 5 3 2 2 6 3" xfId="6306" xr:uid="{00000000-0005-0000-0000-0000AD0C0000}"/>
    <cellStyle name="Currency 5 3 2 2 6 3 2" xfId="14756" xr:uid="{D17645A9-0B33-4221-A804-FCB9C5DE16DF}"/>
    <cellStyle name="Currency 5 3 2 2 6 3 3" xfId="23196" xr:uid="{9C25A302-2ACA-4976-9019-79F519570C2E}"/>
    <cellStyle name="Currency 5 3 2 2 6 3 4" xfId="31636" xr:uid="{DB35C161-4470-49D0-BB64-67AED973974A}"/>
    <cellStyle name="Currency 5 3 2 2 6 4" xfId="10538" xr:uid="{55E09711-DE94-40A6-A845-5BF04267A54C}"/>
    <cellStyle name="Currency 5 3 2 2 6 5" xfId="18979" xr:uid="{2743C791-1215-4EA9-A726-B8BED1669E65}"/>
    <cellStyle name="Currency 5 3 2 2 6 6" xfId="27419" xr:uid="{0693774A-E0D2-4D68-A351-EB6AE049DA79}"/>
    <cellStyle name="Currency 5 3 2 2 7" xfId="2435" xr:uid="{00000000-0005-0000-0000-0000AE0C0000}"/>
    <cellStyle name="Currency 5 3 2 2 7 2" xfId="6719" xr:uid="{00000000-0005-0000-0000-0000AF0C0000}"/>
    <cellStyle name="Currency 5 3 2 2 7 2 2" xfId="15169" xr:uid="{78913660-539E-4F15-9BEC-3F3680A17BAB}"/>
    <cellStyle name="Currency 5 3 2 2 7 2 3" xfId="23609" xr:uid="{97E38A11-59BF-4426-B0F0-13CDB1535EFE}"/>
    <cellStyle name="Currency 5 3 2 2 7 2 4" xfId="32049" xr:uid="{DBB77941-2A9F-4A26-8E89-1A20AC86EE04}"/>
    <cellStyle name="Currency 5 3 2 2 7 3" xfId="10951" xr:uid="{AFFA036B-9833-4D77-B1C0-56FFAC1FBC18}"/>
    <cellStyle name="Currency 5 3 2 2 7 4" xfId="19392" xr:uid="{CF887120-3D01-4F3E-8C6D-5F3E1DB39F3C}"/>
    <cellStyle name="Currency 5 3 2 2 7 5" xfId="27832" xr:uid="{83742E3D-D77D-4ECD-A9FA-96B6EB00A6BB}"/>
    <cellStyle name="Currency 5 3 2 2 8" xfId="2732" xr:uid="{00000000-0005-0000-0000-0000B00C0000}"/>
    <cellStyle name="Currency 5 3 2 2 9" xfId="2813" xr:uid="{00000000-0005-0000-0000-0000B10C0000}"/>
    <cellStyle name="Currency 5 3 2 2 9 2" xfId="7036" xr:uid="{00000000-0005-0000-0000-0000B20C0000}"/>
    <cellStyle name="Currency 5 3 2 2 9 2 2" xfId="15486" xr:uid="{55D9A6AF-B975-4BD3-9DDF-74E07D08873A}"/>
    <cellStyle name="Currency 5 3 2 2 9 2 3" xfId="23926" xr:uid="{D4409D09-F662-4D13-8165-89B53D91C7FF}"/>
    <cellStyle name="Currency 5 3 2 2 9 2 4" xfId="32366" xr:uid="{9F73DC28-1ECA-439A-845E-EF6D66284334}"/>
    <cellStyle name="Currency 5 3 2 2 9 3" xfId="11268" xr:uid="{D03C76E0-9C58-412D-B660-2774F12742D1}"/>
    <cellStyle name="Currency 5 3 2 2 9 4" xfId="19709" xr:uid="{69408930-EF97-443B-882E-90B209092108}"/>
    <cellStyle name="Currency 5 3 2 2 9 5" xfId="28149" xr:uid="{B9F6272A-9F37-4EB1-89D3-E021CB68B40F}"/>
    <cellStyle name="Currency 5 3 2 3" xfId="213" xr:uid="{00000000-0005-0000-0000-0000B30C0000}"/>
    <cellStyle name="Currency 5 3 2 3 10" xfId="8887" xr:uid="{06182962-3C05-4EE0-BBFA-BFB6F80D951D}"/>
    <cellStyle name="Currency 5 3 2 3 11" xfId="17328" xr:uid="{BEF8A7B1-B3C7-49E1-9023-3578F2FA36D9}"/>
    <cellStyle name="Currency 5 3 2 3 12" xfId="25768" xr:uid="{B1345C68-8AC4-499F-9A81-B4A06CB83193}"/>
    <cellStyle name="Currency 5 3 2 3 2" xfId="739" xr:uid="{00000000-0005-0000-0000-0000B40C0000}"/>
    <cellStyle name="Currency 5 3 2 3 2 2" xfId="2992" xr:uid="{00000000-0005-0000-0000-0000B50C0000}"/>
    <cellStyle name="Currency 5 3 2 3 2 2 2" xfId="7214" xr:uid="{00000000-0005-0000-0000-0000B60C0000}"/>
    <cellStyle name="Currency 5 3 2 3 2 2 2 2" xfId="15664" xr:uid="{BF2A78CA-86F8-4A85-A2AA-559578278E8F}"/>
    <cellStyle name="Currency 5 3 2 3 2 2 2 3" xfId="24104" xr:uid="{5838B96D-7828-4F2B-9F74-FDC53C67CD4B}"/>
    <cellStyle name="Currency 5 3 2 3 2 2 2 4" xfId="32544" xr:uid="{A546B699-3C4C-4106-B184-0C785567ACC5}"/>
    <cellStyle name="Currency 5 3 2 3 2 2 3" xfId="11446" xr:uid="{5896DBF9-A384-49DA-9369-A8206D614EF0}"/>
    <cellStyle name="Currency 5 3 2 3 2 2 4" xfId="19887" xr:uid="{F073C62B-C1B0-4EAA-8EBD-8D9E764C4DDD}"/>
    <cellStyle name="Currency 5 3 2 3 2 2 5" xfId="28327" xr:uid="{1542F1CE-7AF7-4FBC-B367-3D6EC3DA1025}"/>
    <cellStyle name="Currency 5 3 2 3 2 3" xfId="5069" xr:uid="{00000000-0005-0000-0000-0000B70C0000}"/>
    <cellStyle name="Currency 5 3 2 3 2 3 2" xfId="13519" xr:uid="{FFEFD674-45D7-464B-9C10-1394FC634E75}"/>
    <cellStyle name="Currency 5 3 2 3 2 3 3" xfId="21959" xr:uid="{DA7B5890-ADBE-4D59-93DD-A39AE1AF0603}"/>
    <cellStyle name="Currency 5 3 2 3 2 3 4" xfId="30399" xr:uid="{520C6B8D-C1B1-48F6-BE6A-2F8CF14A2CD3}"/>
    <cellStyle name="Currency 5 3 2 3 2 4" xfId="9301" xr:uid="{59A535AB-4F69-42BE-8CCA-CA5EC38F523F}"/>
    <cellStyle name="Currency 5 3 2 3 2 5" xfId="17742" xr:uid="{AA38231F-7640-42A6-B3D6-184525EBC70E}"/>
    <cellStyle name="Currency 5 3 2 3 2 6" xfId="26182" xr:uid="{269AE5A0-A770-4741-8153-0B6CB372B93C}"/>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2 2 2" xfId="16077" xr:uid="{53251AFD-5C7F-46F3-8971-4F8AF7A5A281}"/>
    <cellStyle name="Currency 5 3 2 3 3 2 2 3" xfId="24517" xr:uid="{B5965A80-3084-42D6-9614-BCC979494852}"/>
    <cellStyle name="Currency 5 3 2 3 3 2 2 4" xfId="32957" xr:uid="{B5D08F0E-BE5F-4646-AFC1-96DE40984013}"/>
    <cellStyle name="Currency 5 3 2 3 3 2 3" xfId="11859" xr:uid="{ACE71CF9-C3A3-4879-AEDA-7B46FB28A4FF}"/>
    <cellStyle name="Currency 5 3 2 3 3 2 4" xfId="20300" xr:uid="{36BA51B7-9282-4B71-AE09-1E71AF9D9045}"/>
    <cellStyle name="Currency 5 3 2 3 3 2 5" xfId="28740" xr:uid="{67ECD38D-7B93-469D-BCA0-B6D4E692AEF7}"/>
    <cellStyle name="Currency 5 3 2 3 3 3" xfId="5482" xr:uid="{00000000-0005-0000-0000-0000BB0C0000}"/>
    <cellStyle name="Currency 5 3 2 3 3 3 2" xfId="13932" xr:uid="{DCD66336-DB70-4A59-85FA-B5E6D765A946}"/>
    <cellStyle name="Currency 5 3 2 3 3 3 3" xfId="22372" xr:uid="{19FFBD16-F682-4DFD-B79F-4756534DED62}"/>
    <cellStyle name="Currency 5 3 2 3 3 3 4" xfId="30812" xr:uid="{68A20841-7F98-495B-B4A3-772631FC309C}"/>
    <cellStyle name="Currency 5 3 2 3 3 4" xfId="9714" xr:uid="{29F2926C-4E38-439B-B97E-619831E304A1}"/>
    <cellStyle name="Currency 5 3 2 3 3 5" xfId="18155" xr:uid="{3446FE6A-B71C-497A-AF39-F8334A799D76}"/>
    <cellStyle name="Currency 5 3 2 3 3 6" xfId="26595" xr:uid="{EE3FCBA5-063B-4A6A-8BF2-17B671F4DA04}"/>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2 2 2" xfId="16490" xr:uid="{AAFD0B15-8E80-4082-91D6-E47360D42319}"/>
    <cellStyle name="Currency 5 3 2 3 4 2 2 3" xfId="24930" xr:uid="{8754AF12-DD7E-4BAF-BC0E-B3218267F068}"/>
    <cellStyle name="Currency 5 3 2 3 4 2 2 4" xfId="33370" xr:uid="{21913158-9E07-48F2-B5AB-4C4E108AE0A2}"/>
    <cellStyle name="Currency 5 3 2 3 4 2 3" xfId="12272" xr:uid="{C72A67E9-514C-4401-9211-16AA79320208}"/>
    <cellStyle name="Currency 5 3 2 3 4 2 4" xfId="20713" xr:uid="{C321091B-E29F-406F-82C0-5AC730CFFF80}"/>
    <cellStyle name="Currency 5 3 2 3 4 2 5" xfId="29153" xr:uid="{134DCF4F-0668-4900-A8EF-3E2D843D235D}"/>
    <cellStyle name="Currency 5 3 2 3 4 3" xfId="5895" xr:uid="{00000000-0005-0000-0000-0000BF0C0000}"/>
    <cellStyle name="Currency 5 3 2 3 4 3 2" xfId="14345" xr:uid="{9067B535-188F-45EF-BE02-AA3F8050F3D2}"/>
    <cellStyle name="Currency 5 3 2 3 4 3 3" xfId="22785" xr:uid="{1BCA696F-BA47-4A92-A050-8600521C3CA8}"/>
    <cellStyle name="Currency 5 3 2 3 4 3 4" xfId="31225" xr:uid="{019AC1FA-41C6-4B2B-B684-B597EAF96926}"/>
    <cellStyle name="Currency 5 3 2 3 4 4" xfId="10127" xr:uid="{AF6EB741-665E-4C1C-A461-68B28A4AF2FB}"/>
    <cellStyle name="Currency 5 3 2 3 4 5" xfId="18568" xr:uid="{7D594845-907C-4B9C-B615-7D5A3811013B}"/>
    <cellStyle name="Currency 5 3 2 3 4 6" xfId="27008" xr:uid="{B84788C5-A6F5-49EA-B015-E0C7606BFADB}"/>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2 2 2" xfId="16903" xr:uid="{061B211C-A7BA-4353-B755-9FA54694AC17}"/>
    <cellStyle name="Currency 5 3 2 3 5 2 2 3" xfId="25343" xr:uid="{E8920FB1-485E-4F9F-933E-78FAA5ACB691}"/>
    <cellStyle name="Currency 5 3 2 3 5 2 2 4" xfId="33783" xr:uid="{2ECDFD1B-F52F-44FE-8E2C-4361777464A1}"/>
    <cellStyle name="Currency 5 3 2 3 5 2 3" xfId="12685" xr:uid="{170AA9EA-B596-49C3-8219-2BF288EC8343}"/>
    <cellStyle name="Currency 5 3 2 3 5 2 4" xfId="21126" xr:uid="{E0FD8277-979B-4BC6-AB1E-62A0A16CBF6D}"/>
    <cellStyle name="Currency 5 3 2 3 5 2 5" xfId="29566" xr:uid="{882F1F86-233B-45C1-9F06-B74F6319FFFA}"/>
    <cellStyle name="Currency 5 3 2 3 5 3" xfId="6308" xr:uid="{00000000-0005-0000-0000-0000C30C0000}"/>
    <cellStyle name="Currency 5 3 2 3 5 3 2" xfId="14758" xr:uid="{24ED7E21-13BC-4D44-ADF5-8C70DD4D819F}"/>
    <cellStyle name="Currency 5 3 2 3 5 3 3" xfId="23198" xr:uid="{033964DA-246F-4E1B-B931-DCE16467D5CA}"/>
    <cellStyle name="Currency 5 3 2 3 5 3 4" xfId="31638" xr:uid="{9D7E7BA0-FB0C-4CB4-8653-41DA2FE43AFF}"/>
    <cellStyle name="Currency 5 3 2 3 5 4" xfId="10540" xr:uid="{45C4E6A0-60B2-4C25-89D8-B18DB053375E}"/>
    <cellStyle name="Currency 5 3 2 3 5 5" xfId="18981" xr:uid="{4CADB1C7-671F-49F8-BF80-52AEFE08B7FD}"/>
    <cellStyle name="Currency 5 3 2 3 5 6" xfId="27421" xr:uid="{F863BFF4-3782-4CD7-B607-CD2E4276D1D2}"/>
    <cellStyle name="Currency 5 3 2 3 6" xfId="2437" xr:uid="{00000000-0005-0000-0000-0000C40C0000}"/>
    <cellStyle name="Currency 5 3 2 3 6 2" xfId="6721" xr:uid="{00000000-0005-0000-0000-0000C50C0000}"/>
    <cellStyle name="Currency 5 3 2 3 6 2 2" xfId="15171" xr:uid="{DF0523DA-ED05-4B4F-868D-CEBD17199E61}"/>
    <cellStyle name="Currency 5 3 2 3 6 2 3" xfId="23611" xr:uid="{B7E1D479-5322-453B-B340-8809363F62E7}"/>
    <cellStyle name="Currency 5 3 2 3 6 2 4" xfId="32051" xr:uid="{A78BB7F4-1FBA-433A-A456-7418786CC57B}"/>
    <cellStyle name="Currency 5 3 2 3 6 3" xfId="10953" xr:uid="{B168EEF0-3FEB-4B65-9211-BAC09F2FD369}"/>
    <cellStyle name="Currency 5 3 2 3 6 4" xfId="19394" xr:uid="{92713717-962F-4196-942B-6DB1ED746742}"/>
    <cellStyle name="Currency 5 3 2 3 6 5" xfId="27834" xr:uid="{C978FC30-8875-4784-AB2B-03B32A0F6954}"/>
    <cellStyle name="Currency 5 3 2 3 7" xfId="2734" xr:uid="{00000000-0005-0000-0000-0000C60C0000}"/>
    <cellStyle name="Currency 5 3 2 3 8" xfId="2815" xr:uid="{00000000-0005-0000-0000-0000C70C0000}"/>
    <cellStyle name="Currency 5 3 2 3 8 2" xfId="7038" xr:uid="{00000000-0005-0000-0000-0000C80C0000}"/>
    <cellStyle name="Currency 5 3 2 3 8 2 2" xfId="15488" xr:uid="{875304F1-84BE-492C-8961-EA624AC1BB71}"/>
    <cellStyle name="Currency 5 3 2 3 8 2 3" xfId="23928" xr:uid="{700AEBA6-39BC-4963-BC41-0131F44A299C}"/>
    <cellStyle name="Currency 5 3 2 3 8 2 4" xfId="32368" xr:uid="{F57BD03F-DD02-4F96-BAAA-C0B9CA387EB6}"/>
    <cellStyle name="Currency 5 3 2 3 8 3" xfId="11270" xr:uid="{F1E709BC-6BB3-4919-AD4F-5BFC5B6BEE45}"/>
    <cellStyle name="Currency 5 3 2 3 8 4" xfId="19711" xr:uid="{E2ED05C4-C93B-4A23-A8B1-787811EB301C}"/>
    <cellStyle name="Currency 5 3 2 3 8 5" xfId="28151" xr:uid="{8539E77A-01E9-459A-899E-C2C0B28E65FE}"/>
    <cellStyle name="Currency 5 3 2 3 9" xfId="4655" xr:uid="{00000000-0005-0000-0000-0000C90C0000}"/>
    <cellStyle name="Currency 5 3 2 3 9 2" xfId="13105" xr:uid="{CC466076-3BFD-4AA1-9AEA-8C30F13FAF12}"/>
    <cellStyle name="Currency 5 3 2 3 9 3" xfId="21545" xr:uid="{B5330830-5CBE-480F-8C99-A7736E03DACC}"/>
    <cellStyle name="Currency 5 3 2 3 9 4" xfId="29985" xr:uid="{F8642C32-3742-42D8-B92B-45F7EFCE0A97}"/>
    <cellStyle name="Currency 5 3 2 4" xfId="736" xr:uid="{00000000-0005-0000-0000-0000CA0C0000}"/>
    <cellStyle name="Currency 5 3 2 4 2" xfId="2989" xr:uid="{00000000-0005-0000-0000-0000CB0C0000}"/>
    <cellStyle name="Currency 5 3 2 4 2 2" xfId="7211" xr:uid="{00000000-0005-0000-0000-0000CC0C0000}"/>
    <cellStyle name="Currency 5 3 2 4 2 2 2" xfId="15661" xr:uid="{C4EF77EA-5F44-407B-BCD6-BCE5355B894E}"/>
    <cellStyle name="Currency 5 3 2 4 2 2 3" xfId="24101" xr:uid="{911D7E70-B924-4B59-9468-A9983400CCFA}"/>
    <cellStyle name="Currency 5 3 2 4 2 2 4" xfId="32541" xr:uid="{B6D33836-E89E-4A4C-A305-5C627CF2F103}"/>
    <cellStyle name="Currency 5 3 2 4 2 3" xfId="11443" xr:uid="{B125985B-343F-46BD-BFD5-0C6B9C8053F7}"/>
    <cellStyle name="Currency 5 3 2 4 2 4" xfId="19884" xr:uid="{159A3A14-98ED-433E-818A-8D5EAD129643}"/>
    <cellStyle name="Currency 5 3 2 4 2 5" xfId="28324" xr:uid="{FD9B30C3-9239-4124-B402-A6ADBDAC92CD}"/>
    <cellStyle name="Currency 5 3 2 4 3" xfId="5066" xr:uid="{00000000-0005-0000-0000-0000CD0C0000}"/>
    <cellStyle name="Currency 5 3 2 4 3 2" xfId="13516" xr:uid="{AD4692A1-3449-4389-B633-A1F1209BDEFA}"/>
    <cellStyle name="Currency 5 3 2 4 3 3" xfId="21956" xr:uid="{BC78DCAF-EE87-46B1-AD9B-ABF9124591B1}"/>
    <cellStyle name="Currency 5 3 2 4 3 4" xfId="30396" xr:uid="{0BEF7637-E778-4DC4-B3B5-4B521FEE4AF7}"/>
    <cellStyle name="Currency 5 3 2 4 4" xfId="9298" xr:uid="{F23E4D32-7878-4EA0-83DF-F748EA21EFD4}"/>
    <cellStyle name="Currency 5 3 2 4 5" xfId="17739" xr:uid="{B70403CE-C82A-4D74-88EA-9202F2CB4467}"/>
    <cellStyle name="Currency 5 3 2 4 6" xfId="26179" xr:uid="{85B60C88-3DF8-4132-A9E8-7FEA3FDBD025}"/>
    <cellStyle name="Currency 5 3 2 5" xfId="1171" xr:uid="{00000000-0005-0000-0000-0000CE0C0000}"/>
    <cellStyle name="Currency 5 3 2 5 2" xfId="3402" xr:uid="{00000000-0005-0000-0000-0000CF0C0000}"/>
    <cellStyle name="Currency 5 3 2 5 2 2" xfId="7624" xr:uid="{00000000-0005-0000-0000-0000D00C0000}"/>
    <cellStyle name="Currency 5 3 2 5 2 2 2" xfId="16074" xr:uid="{1B9D8E3A-A3AC-40FD-8A15-883590D85AE1}"/>
    <cellStyle name="Currency 5 3 2 5 2 2 3" xfId="24514" xr:uid="{017FF98F-24E4-44BF-8BE6-0816C09248EB}"/>
    <cellStyle name="Currency 5 3 2 5 2 2 4" xfId="32954" xr:uid="{19727559-2C44-49F3-AF6E-4784C200D4AC}"/>
    <cellStyle name="Currency 5 3 2 5 2 3" xfId="11856" xr:uid="{424E3D95-11AA-46EA-8235-AE1012721DB0}"/>
    <cellStyle name="Currency 5 3 2 5 2 4" xfId="20297" xr:uid="{BBCA3959-8E3B-44FD-9C5A-3B7F5D24E01C}"/>
    <cellStyle name="Currency 5 3 2 5 2 5" xfId="28737" xr:uid="{ECE1C3C0-4293-4A1F-84B0-F0CEF5C5CD3D}"/>
    <cellStyle name="Currency 5 3 2 5 3" xfId="5479" xr:uid="{00000000-0005-0000-0000-0000D10C0000}"/>
    <cellStyle name="Currency 5 3 2 5 3 2" xfId="13929" xr:uid="{5596E6FC-B459-4E05-901B-F89EC35FF533}"/>
    <cellStyle name="Currency 5 3 2 5 3 3" xfId="22369" xr:uid="{11744A7D-AABF-493B-88A5-33C2799BD97E}"/>
    <cellStyle name="Currency 5 3 2 5 3 4" xfId="30809" xr:uid="{253C0949-D974-4B8C-AE8C-633BF04EC0C4}"/>
    <cellStyle name="Currency 5 3 2 5 4" xfId="9711" xr:uid="{5DFBFC99-ECF8-4860-89B8-D9C7F0408BA9}"/>
    <cellStyle name="Currency 5 3 2 5 5" xfId="18152" xr:uid="{DCDB6CDC-CB08-4036-B62A-37A4D40DDDE1}"/>
    <cellStyle name="Currency 5 3 2 5 6" xfId="26592" xr:uid="{A3BA9495-D7EF-4358-BD88-C5C5169F8FD7}"/>
    <cellStyle name="Currency 5 3 2 6" xfId="1585" xr:uid="{00000000-0005-0000-0000-0000D20C0000}"/>
    <cellStyle name="Currency 5 3 2 6 2" xfId="3815" xr:uid="{00000000-0005-0000-0000-0000D30C0000}"/>
    <cellStyle name="Currency 5 3 2 6 2 2" xfId="8037" xr:uid="{00000000-0005-0000-0000-0000D40C0000}"/>
    <cellStyle name="Currency 5 3 2 6 2 2 2" xfId="16487" xr:uid="{B85FEAF7-0836-42AD-B1E1-027112285429}"/>
    <cellStyle name="Currency 5 3 2 6 2 2 3" xfId="24927" xr:uid="{022D3A69-7492-46F5-A03D-AA06B67CAC4B}"/>
    <cellStyle name="Currency 5 3 2 6 2 2 4" xfId="33367" xr:uid="{C6BC76E5-1728-4E6A-AED0-F45E1894E1D1}"/>
    <cellStyle name="Currency 5 3 2 6 2 3" xfId="12269" xr:uid="{E5E422C8-9A08-4A32-8606-C0880299CE1E}"/>
    <cellStyle name="Currency 5 3 2 6 2 4" xfId="20710" xr:uid="{470B1D09-024B-4F1A-808C-1C6913BB897F}"/>
    <cellStyle name="Currency 5 3 2 6 2 5" xfId="29150" xr:uid="{7232A857-B79C-4B40-9935-C6596116CAD9}"/>
    <cellStyle name="Currency 5 3 2 6 3" xfId="5892" xr:uid="{00000000-0005-0000-0000-0000D50C0000}"/>
    <cellStyle name="Currency 5 3 2 6 3 2" xfId="14342" xr:uid="{2A52FE23-8641-48E3-B717-204CFEBFA13F}"/>
    <cellStyle name="Currency 5 3 2 6 3 3" xfId="22782" xr:uid="{5572A6AA-2F01-4497-B322-0A97B69FF96A}"/>
    <cellStyle name="Currency 5 3 2 6 3 4" xfId="31222" xr:uid="{A6DECA6B-0545-46E4-B2C8-F1E9938FDE69}"/>
    <cellStyle name="Currency 5 3 2 6 4" xfId="10124" xr:uid="{A1E9D456-6F71-49C5-B271-DE45547F613A}"/>
    <cellStyle name="Currency 5 3 2 6 5" xfId="18565" xr:uid="{73F4B379-5715-4EC7-9250-7975EF9CC80E}"/>
    <cellStyle name="Currency 5 3 2 6 6" xfId="27005" xr:uid="{F304625E-C6BF-4C46-B2FC-3C3860FAF73C}"/>
    <cellStyle name="Currency 5 3 2 7" xfId="1999" xr:uid="{00000000-0005-0000-0000-0000D60C0000}"/>
    <cellStyle name="Currency 5 3 2 7 2" xfId="4228" xr:uid="{00000000-0005-0000-0000-0000D70C0000}"/>
    <cellStyle name="Currency 5 3 2 7 2 2" xfId="8450" xr:uid="{00000000-0005-0000-0000-0000D80C0000}"/>
    <cellStyle name="Currency 5 3 2 7 2 2 2" xfId="16900" xr:uid="{19AFE845-6174-40A4-94C5-C5058C52EFD0}"/>
    <cellStyle name="Currency 5 3 2 7 2 2 3" xfId="25340" xr:uid="{AAF17AD6-B0FE-48FD-ACDA-DB9022458B9F}"/>
    <cellStyle name="Currency 5 3 2 7 2 2 4" xfId="33780" xr:uid="{D69E09B2-6865-44B9-A67B-9668208D250A}"/>
    <cellStyle name="Currency 5 3 2 7 2 3" xfId="12682" xr:uid="{9013B267-12A9-4B19-AB6F-0BAC03317327}"/>
    <cellStyle name="Currency 5 3 2 7 2 4" xfId="21123" xr:uid="{A69471A7-150F-463B-89F4-7D3CD6D4171A}"/>
    <cellStyle name="Currency 5 3 2 7 2 5" xfId="29563" xr:uid="{266B8F27-D71C-4486-81FD-0AFACB009BFD}"/>
    <cellStyle name="Currency 5 3 2 7 3" xfId="6305" xr:uid="{00000000-0005-0000-0000-0000D90C0000}"/>
    <cellStyle name="Currency 5 3 2 7 3 2" xfId="14755" xr:uid="{729C7948-2D59-44EB-B560-63094260C066}"/>
    <cellStyle name="Currency 5 3 2 7 3 3" xfId="23195" xr:uid="{BB8E1FF2-89CC-4D0C-A8E1-182CA7A00430}"/>
    <cellStyle name="Currency 5 3 2 7 3 4" xfId="31635" xr:uid="{006FF2C2-AEE0-4A83-A1C7-D9175B44A608}"/>
    <cellStyle name="Currency 5 3 2 7 4" xfId="10537" xr:uid="{7430734B-E54B-4023-A7DE-0300479145EF}"/>
    <cellStyle name="Currency 5 3 2 7 5" xfId="18978" xr:uid="{3E93E0F3-7D8C-45FF-9E84-088A047A8444}"/>
    <cellStyle name="Currency 5 3 2 7 6" xfId="27418" xr:uid="{00AB22E5-3256-4129-B164-990D2394BAFB}"/>
    <cellStyle name="Currency 5 3 2 8" xfId="2434" xr:uid="{00000000-0005-0000-0000-0000DA0C0000}"/>
    <cellStyle name="Currency 5 3 2 8 2" xfId="6718" xr:uid="{00000000-0005-0000-0000-0000DB0C0000}"/>
    <cellStyle name="Currency 5 3 2 8 2 2" xfId="15168" xr:uid="{E2EA363C-1B71-4504-B722-E5BC59DBFBA2}"/>
    <cellStyle name="Currency 5 3 2 8 2 3" xfId="23608" xr:uid="{8F79005F-9A7D-4BA6-A0B6-3C3A97A1C193}"/>
    <cellStyle name="Currency 5 3 2 8 2 4" xfId="32048" xr:uid="{A6B9E41F-1A74-4067-87F3-09E1BFD3F08F}"/>
    <cellStyle name="Currency 5 3 2 8 3" xfId="10950" xr:uid="{86543E81-440F-4C33-B0D5-CA36CBB426EC}"/>
    <cellStyle name="Currency 5 3 2 8 4" xfId="19391" xr:uid="{AE305936-8E72-4D6C-942D-6CF082EFA093}"/>
    <cellStyle name="Currency 5 3 2 8 5" xfId="27831" xr:uid="{1A300040-BF7D-4A76-B74A-2D8AC7F75C48}"/>
    <cellStyle name="Currency 5 3 2 9" xfId="2731" xr:uid="{00000000-0005-0000-0000-0000DC0C0000}"/>
    <cellStyle name="Currency 5 3 3" xfId="214" xr:uid="{00000000-0005-0000-0000-0000DD0C0000}"/>
    <cellStyle name="Currency 5 3 3 10" xfId="4656" xr:uid="{00000000-0005-0000-0000-0000DE0C0000}"/>
    <cellStyle name="Currency 5 3 3 10 2" xfId="13106" xr:uid="{20F972FE-7DB2-4F45-A473-B9E6DE6F87F2}"/>
    <cellStyle name="Currency 5 3 3 10 3" xfId="21546" xr:uid="{EFF16F38-9DDC-4D29-B246-3BF16886EA65}"/>
    <cellStyle name="Currency 5 3 3 10 4" xfId="29986" xr:uid="{2AED3F06-D053-4EA5-BFCC-CF045A0B442C}"/>
    <cellStyle name="Currency 5 3 3 11" xfId="8888" xr:uid="{36B30C9F-075C-4E23-A94C-1DAD25349573}"/>
    <cellStyle name="Currency 5 3 3 12" xfId="17329" xr:uid="{85E75A93-91D6-4B67-B741-EEE740D77298}"/>
    <cellStyle name="Currency 5 3 3 13" xfId="25769" xr:uid="{1E336D16-780A-4DCF-8003-5182D4749C82}"/>
    <cellStyle name="Currency 5 3 3 2" xfId="215" xr:uid="{00000000-0005-0000-0000-0000DF0C0000}"/>
    <cellStyle name="Currency 5 3 3 2 10" xfId="8889" xr:uid="{0B935E28-8635-44F7-A35C-5C5BE3E2F926}"/>
    <cellStyle name="Currency 5 3 3 2 11" xfId="17330" xr:uid="{C8E68CD8-EAE4-4ABF-A567-1F191E286C02}"/>
    <cellStyle name="Currency 5 3 3 2 12" xfId="25770" xr:uid="{B06BE093-CB5F-447E-88C4-82D9B649E246}"/>
    <cellStyle name="Currency 5 3 3 2 2" xfId="741" xr:uid="{00000000-0005-0000-0000-0000E00C0000}"/>
    <cellStyle name="Currency 5 3 3 2 2 2" xfId="2994" xr:uid="{00000000-0005-0000-0000-0000E10C0000}"/>
    <cellStyle name="Currency 5 3 3 2 2 2 2" xfId="7216" xr:uid="{00000000-0005-0000-0000-0000E20C0000}"/>
    <cellStyle name="Currency 5 3 3 2 2 2 2 2" xfId="15666" xr:uid="{A3FBB450-FD4D-4C55-9F5F-F7413F993714}"/>
    <cellStyle name="Currency 5 3 3 2 2 2 2 3" xfId="24106" xr:uid="{262094BA-ACCA-429E-A181-7DAFF3BDF318}"/>
    <cellStyle name="Currency 5 3 3 2 2 2 2 4" xfId="32546" xr:uid="{CCC91434-EF12-417C-AE36-8DC6B2B1DF97}"/>
    <cellStyle name="Currency 5 3 3 2 2 2 3" xfId="11448" xr:uid="{837F7658-E98A-4543-8050-CDE31B6276C3}"/>
    <cellStyle name="Currency 5 3 3 2 2 2 4" xfId="19889" xr:uid="{64F68DE1-8296-47FC-8360-699EAD333983}"/>
    <cellStyle name="Currency 5 3 3 2 2 2 5" xfId="28329" xr:uid="{2E660C2C-B196-48A8-A05B-650EC27AE8DA}"/>
    <cellStyle name="Currency 5 3 3 2 2 3" xfId="5071" xr:uid="{00000000-0005-0000-0000-0000E30C0000}"/>
    <cellStyle name="Currency 5 3 3 2 2 3 2" xfId="13521" xr:uid="{F50546A2-CB9E-4E6A-AB7B-9F6BE6A59705}"/>
    <cellStyle name="Currency 5 3 3 2 2 3 3" xfId="21961" xr:uid="{EC6012CF-B86B-44FA-ADD0-CB36082F9B89}"/>
    <cellStyle name="Currency 5 3 3 2 2 3 4" xfId="30401" xr:uid="{4CE620A4-8AA3-4987-972D-AA54162F16AB}"/>
    <cellStyle name="Currency 5 3 3 2 2 4" xfId="9303" xr:uid="{15EA8A0E-93D5-4C7B-A614-10BEBF1B02A4}"/>
    <cellStyle name="Currency 5 3 3 2 2 5" xfId="17744" xr:uid="{301C20A9-DA59-41F4-9E12-5539B4C22179}"/>
    <cellStyle name="Currency 5 3 3 2 2 6" xfId="26184" xr:uid="{83A9B6CD-0E89-45BD-90EC-DE606B42460F}"/>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2 2 2" xfId="16079" xr:uid="{2ECEDD95-FA07-45D0-96AC-8E400DCA4C64}"/>
    <cellStyle name="Currency 5 3 3 2 3 2 2 3" xfId="24519" xr:uid="{941899C4-FDAD-489F-A026-FF785799C6E0}"/>
    <cellStyle name="Currency 5 3 3 2 3 2 2 4" xfId="32959" xr:uid="{0D86CD31-9A15-4B26-95D5-2295C12AEB0A}"/>
    <cellStyle name="Currency 5 3 3 2 3 2 3" xfId="11861" xr:uid="{189E9CD0-9356-4478-A3C1-28098F7DFA3F}"/>
    <cellStyle name="Currency 5 3 3 2 3 2 4" xfId="20302" xr:uid="{2046ED2F-9DC4-407A-96D6-85839E86D4A1}"/>
    <cellStyle name="Currency 5 3 3 2 3 2 5" xfId="28742" xr:uid="{B2DB9DE6-E4BB-4FE3-AD90-32CA165ADE82}"/>
    <cellStyle name="Currency 5 3 3 2 3 3" xfId="5484" xr:uid="{00000000-0005-0000-0000-0000E70C0000}"/>
    <cellStyle name="Currency 5 3 3 2 3 3 2" xfId="13934" xr:uid="{DEAE9C0C-7302-443A-8090-3E0D53073A56}"/>
    <cellStyle name="Currency 5 3 3 2 3 3 3" xfId="22374" xr:uid="{3D41AEB8-4BB6-4162-B925-4D50F6E41B1C}"/>
    <cellStyle name="Currency 5 3 3 2 3 3 4" xfId="30814" xr:uid="{36AFAEFC-91B3-4187-8BDF-A9F88A9CD303}"/>
    <cellStyle name="Currency 5 3 3 2 3 4" xfId="9716" xr:uid="{FACEA21F-FD4F-4448-A7FA-74AEF373B552}"/>
    <cellStyle name="Currency 5 3 3 2 3 5" xfId="18157" xr:uid="{BCB5A991-B9DB-4BE0-9A15-2FCC5290076D}"/>
    <cellStyle name="Currency 5 3 3 2 3 6" xfId="26597" xr:uid="{B05B11FC-E4C7-478E-A7C9-33CD6ECC2EBF}"/>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2 2 2" xfId="16492" xr:uid="{1323425D-BDEF-44EE-BF02-31E11921CA33}"/>
    <cellStyle name="Currency 5 3 3 2 4 2 2 3" xfId="24932" xr:uid="{E24BFD33-538E-41E2-8FA4-492E2A5840BC}"/>
    <cellStyle name="Currency 5 3 3 2 4 2 2 4" xfId="33372" xr:uid="{38F88E56-F009-4DDD-B2EC-8E8ABE16C5CD}"/>
    <cellStyle name="Currency 5 3 3 2 4 2 3" xfId="12274" xr:uid="{55821474-C02F-4504-A646-6A1EBF68D304}"/>
    <cellStyle name="Currency 5 3 3 2 4 2 4" xfId="20715" xr:uid="{3878B3E7-4821-4A14-B25E-2C3F9F28D71F}"/>
    <cellStyle name="Currency 5 3 3 2 4 2 5" xfId="29155" xr:uid="{B91D3641-0035-4599-84E3-17AD38B6B040}"/>
    <cellStyle name="Currency 5 3 3 2 4 3" xfId="5897" xr:uid="{00000000-0005-0000-0000-0000EB0C0000}"/>
    <cellStyle name="Currency 5 3 3 2 4 3 2" xfId="14347" xr:uid="{970EBD85-74DE-4C90-A495-26FBC427825A}"/>
    <cellStyle name="Currency 5 3 3 2 4 3 3" xfId="22787" xr:uid="{760AAF67-625A-41F4-928F-B0D91E586CE8}"/>
    <cellStyle name="Currency 5 3 3 2 4 3 4" xfId="31227" xr:uid="{1F56FAF4-1949-4AE5-8EB1-C9B4DB7AADA7}"/>
    <cellStyle name="Currency 5 3 3 2 4 4" xfId="10129" xr:uid="{57E68343-116C-4BAF-84B2-72049159FD43}"/>
    <cellStyle name="Currency 5 3 3 2 4 5" xfId="18570" xr:uid="{6B4B7E3F-333C-4850-B85A-40F72373B304}"/>
    <cellStyle name="Currency 5 3 3 2 4 6" xfId="27010" xr:uid="{344D099C-A3DA-4488-B21F-AE366F1CA093}"/>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2 2 2" xfId="16905" xr:uid="{F01F9AAD-F1F1-4D1D-BFE2-50ED4F43F76D}"/>
    <cellStyle name="Currency 5 3 3 2 5 2 2 3" xfId="25345" xr:uid="{8251755E-C979-4651-BA9B-AC8E015DA0F1}"/>
    <cellStyle name="Currency 5 3 3 2 5 2 2 4" xfId="33785" xr:uid="{2C3BCEDA-8936-481F-B998-D02D0F3ACC33}"/>
    <cellStyle name="Currency 5 3 3 2 5 2 3" xfId="12687" xr:uid="{8C04A8F4-A1DE-485F-A286-F8E636D501D3}"/>
    <cellStyle name="Currency 5 3 3 2 5 2 4" xfId="21128" xr:uid="{CA8C81D1-EA7A-48ED-B49B-B82FF0935202}"/>
    <cellStyle name="Currency 5 3 3 2 5 2 5" xfId="29568" xr:uid="{4B1D1773-A94E-4E5F-AACF-423F9E67F965}"/>
    <cellStyle name="Currency 5 3 3 2 5 3" xfId="6310" xr:uid="{00000000-0005-0000-0000-0000EF0C0000}"/>
    <cellStyle name="Currency 5 3 3 2 5 3 2" xfId="14760" xr:uid="{D6538B23-4118-4FAF-96C4-E30198A9E797}"/>
    <cellStyle name="Currency 5 3 3 2 5 3 3" xfId="23200" xr:uid="{1555EC5E-1EFF-4D90-AC55-0637B02385B1}"/>
    <cellStyle name="Currency 5 3 3 2 5 3 4" xfId="31640" xr:uid="{EDB52D7E-7817-4055-A511-0BCDE170B1AC}"/>
    <cellStyle name="Currency 5 3 3 2 5 4" xfId="10542" xr:uid="{199AFDBC-EA7D-4568-AD47-93659F35F9DB}"/>
    <cellStyle name="Currency 5 3 3 2 5 5" xfId="18983" xr:uid="{2BF48319-AE4C-479F-A51A-DBBA8395FBE8}"/>
    <cellStyle name="Currency 5 3 3 2 5 6" xfId="27423" xr:uid="{FFB4A0D2-8D1D-479E-BE81-A9413F11D17B}"/>
    <cellStyle name="Currency 5 3 3 2 6" xfId="2439" xr:uid="{00000000-0005-0000-0000-0000F00C0000}"/>
    <cellStyle name="Currency 5 3 3 2 6 2" xfId="6723" xr:uid="{00000000-0005-0000-0000-0000F10C0000}"/>
    <cellStyle name="Currency 5 3 3 2 6 2 2" xfId="15173" xr:uid="{D18DA410-17E7-4941-B793-1255C0BBD2CE}"/>
    <cellStyle name="Currency 5 3 3 2 6 2 3" xfId="23613" xr:uid="{A4AA7F36-227B-4306-996F-C3E54801EF73}"/>
    <cellStyle name="Currency 5 3 3 2 6 2 4" xfId="32053" xr:uid="{32B00D9B-B16C-4D82-934E-9A57DDFA8ACE}"/>
    <cellStyle name="Currency 5 3 3 2 6 3" xfId="10955" xr:uid="{A77486D0-4CF4-44DA-82A2-205B827AFA63}"/>
    <cellStyle name="Currency 5 3 3 2 6 4" xfId="19396" xr:uid="{5A8E632F-9E21-4676-9112-7D4960C54552}"/>
    <cellStyle name="Currency 5 3 3 2 6 5" xfId="27836" xr:uid="{BDC8DA2C-8DF5-4706-8B01-0A8390C97C9E}"/>
    <cellStyle name="Currency 5 3 3 2 7" xfId="2736" xr:uid="{00000000-0005-0000-0000-0000F20C0000}"/>
    <cellStyle name="Currency 5 3 3 2 8" xfId="2817" xr:uid="{00000000-0005-0000-0000-0000F30C0000}"/>
    <cellStyle name="Currency 5 3 3 2 8 2" xfId="7040" xr:uid="{00000000-0005-0000-0000-0000F40C0000}"/>
    <cellStyle name="Currency 5 3 3 2 8 2 2" xfId="15490" xr:uid="{77DE15B7-6F4C-4F3D-B665-F1A3E1F61E39}"/>
    <cellStyle name="Currency 5 3 3 2 8 2 3" xfId="23930" xr:uid="{438835FF-B4E9-41AA-8F43-4B386D61C16F}"/>
    <cellStyle name="Currency 5 3 3 2 8 2 4" xfId="32370" xr:uid="{8247BA4E-C7E5-4AFB-AC19-55B3FD8A5BDE}"/>
    <cellStyle name="Currency 5 3 3 2 8 3" xfId="11272" xr:uid="{06771812-9B88-4FA3-8003-E9CB27285325}"/>
    <cellStyle name="Currency 5 3 3 2 8 4" xfId="19713" xr:uid="{A567DF44-53BF-48D5-BC38-FF27B7FF153A}"/>
    <cellStyle name="Currency 5 3 3 2 8 5" xfId="28153" xr:uid="{1D8CFA14-557C-4D2A-B036-01EAAA19DB17}"/>
    <cellStyle name="Currency 5 3 3 2 9" xfId="4657" xr:uid="{00000000-0005-0000-0000-0000F50C0000}"/>
    <cellStyle name="Currency 5 3 3 2 9 2" xfId="13107" xr:uid="{83AABFDD-5D61-43B6-8274-1D3275CA578B}"/>
    <cellStyle name="Currency 5 3 3 2 9 3" xfId="21547" xr:uid="{0E2C5CB0-582E-4DEF-ABFD-C6DEB116914B}"/>
    <cellStyle name="Currency 5 3 3 2 9 4" xfId="29987" xr:uid="{E1A87A29-6876-45DB-9E3B-81F36D03E8C4}"/>
    <cellStyle name="Currency 5 3 3 3" xfId="740" xr:uid="{00000000-0005-0000-0000-0000F60C0000}"/>
    <cellStyle name="Currency 5 3 3 3 2" xfId="2993" xr:uid="{00000000-0005-0000-0000-0000F70C0000}"/>
    <cellStyle name="Currency 5 3 3 3 2 2" xfId="7215" xr:uid="{00000000-0005-0000-0000-0000F80C0000}"/>
    <cellStyle name="Currency 5 3 3 3 2 2 2" xfId="15665" xr:uid="{419F41D7-322B-499B-ACF3-CEC5892ACE0B}"/>
    <cellStyle name="Currency 5 3 3 3 2 2 3" xfId="24105" xr:uid="{292E7F1B-B73F-4C37-BF56-AE0FED9118A9}"/>
    <cellStyle name="Currency 5 3 3 3 2 2 4" xfId="32545" xr:uid="{2F362037-34EC-4A76-86D9-2D8CBD2BCCED}"/>
    <cellStyle name="Currency 5 3 3 3 2 3" xfId="11447" xr:uid="{34272A5D-B916-413C-8D5C-22E75E101E79}"/>
    <cellStyle name="Currency 5 3 3 3 2 4" xfId="19888" xr:uid="{DB498A2D-EEB4-438D-937E-2EF67371F19F}"/>
    <cellStyle name="Currency 5 3 3 3 2 5" xfId="28328" xr:uid="{0ABCB4E8-A789-4205-8EDB-3B38BF95B76A}"/>
    <cellStyle name="Currency 5 3 3 3 3" xfId="5070" xr:uid="{00000000-0005-0000-0000-0000F90C0000}"/>
    <cellStyle name="Currency 5 3 3 3 3 2" xfId="13520" xr:uid="{D28DEB0D-966E-44EE-AD5D-7E662C3E757A}"/>
    <cellStyle name="Currency 5 3 3 3 3 3" xfId="21960" xr:uid="{F48FFA48-DC7D-4D08-9C1E-D8E45FFAF398}"/>
    <cellStyle name="Currency 5 3 3 3 3 4" xfId="30400" xr:uid="{E6BA821A-2AAE-445F-84C5-291186CF8502}"/>
    <cellStyle name="Currency 5 3 3 3 4" xfId="9302" xr:uid="{F4E52614-42A4-4DF1-91DC-85A675E6F50A}"/>
    <cellStyle name="Currency 5 3 3 3 5" xfId="17743" xr:uid="{7AE785EB-F635-4DFC-B8EF-3F264AD94367}"/>
    <cellStyle name="Currency 5 3 3 3 6" xfId="26183" xr:uid="{59FD0AEB-CCF4-463C-8C6B-1C2B2349FDFF}"/>
    <cellStyle name="Currency 5 3 3 4" xfId="1175" xr:uid="{00000000-0005-0000-0000-0000FA0C0000}"/>
    <cellStyle name="Currency 5 3 3 4 2" xfId="3406" xr:uid="{00000000-0005-0000-0000-0000FB0C0000}"/>
    <cellStyle name="Currency 5 3 3 4 2 2" xfId="7628" xr:uid="{00000000-0005-0000-0000-0000FC0C0000}"/>
    <cellStyle name="Currency 5 3 3 4 2 2 2" xfId="16078" xr:uid="{7E1AEA67-AB11-424B-B0B4-50A865F490DB}"/>
    <cellStyle name="Currency 5 3 3 4 2 2 3" xfId="24518" xr:uid="{20D23219-1468-4DCA-9B93-00242701FD35}"/>
    <cellStyle name="Currency 5 3 3 4 2 2 4" xfId="32958" xr:uid="{BC93B661-4690-4E45-82B2-013B663741CB}"/>
    <cellStyle name="Currency 5 3 3 4 2 3" xfId="11860" xr:uid="{59CA282F-84BC-4C4E-9F0F-DDD1CD8D2188}"/>
    <cellStyle name="Currency 5 3 3 4 2 4" xfId="20301" xr:uid="{D5D1CCFA-AC9E-43E9-A79D-626294036631}"/>
    <cellStyle name="Currency 5 3 3 4 2 5" xfId="28741" xr:uid="{43694ABF-B577-44C2-BB68-E6B7A18D7BC5}"/>
    <cellStyle name="Currency 5 3 3 4 3" xfId="5483" xr:uid="{00000000-0005-0000-0000-0000FD0C0000}"/>
    <cellStyle name="Currency 5 3 3 4 3 2" xfId="13933" xr:uid="{41B7FA22-FCE5-4450-872F-8C4B66039BDD}"/>
    <cellStyle name="Currency 5 3 3 4 3 3" xfId="22373" xr:uid="{7D480BDB-67A8-4ABC-84C8-C2D4DE5370CF}"/>
    <cellStyle name="Currency 5 3 3 4 3 4" xfId="30813" xr:uid="{6DE5CF1A-91C7-4A8E-8B94-168B6F422F0C}"/>
    <cellStyle name="Currency 5 3 3 4 4" xfId="9715" xr:uid="{3F9ABA2D-72B4-4F4B-81B7-30150107C341}"/>
    <cellStyle name="Currency 5 3 3 4 5" xfId="18156" xr:uid="{FDD61165-FDBC-42F5-AB48-63F708DB451D}"/>
    <cellStyle name="Currency 5 3 3 4 6" xfId="26596" xr:uid="{643FC970-1E67-4722-B226-4569BDD387F3}"/>
    <cellStyle name="Currency 5 3 3 5" xfId="1589" xr:uid="{00000000-0005-0000-0000-0000FE0C0000}"/>
    <cellStyle name="Currency 5 3 3 5 2" xfId="3819" xr:uid="{00000000-0005-0000-0000-0000FF0C0000}"/>
    <cellStyle name="Currency 5 3 3 5 2 2" xfId="8041" xr:uid="{00000000-0005-0000-0000-0000000D0000}"/>
    <cellStyle name="Currency 5 3 3 5 2 2 2" xfId="16491" xr:uid="{919655A3-B384-4010-AAA1-B0A1860EEF28}"/>
    <cellStyle name="Currency 5 3 3 5 2 2 3" xfId="24931" xr:uid="{968133CD-8221-4DF2-81E4-1E9B91CE0615}"/>
    <cellStyle name="Currency 5 3 3 5 2 2 4" xfId="33371" xr:uid="{97B80D2F-FC67-4436-9A8F-004B432B74B0}"/>
    <cellStyle name="Currency 5 3 3 5 2 3" xfId="12273" xr:uid="{05601490-DE64-4229-A4B6-F37872CFA312}"/>
    <cellStyle name="Currency 5 3 3 5 2 4" xfId="20714" xr:uid="{6588EBE3-DAEC-44B0-B35D-9591264CFADC}"/>
    <cellStyle name="Currency 5 3 3 5 2 5" xfId="29154" xr:uid="{472D47B2-94B3-4543-8F5D-07A6B48CA3A9}"/>
    <cellStyle name="Currency 5 3 3 5 3" xfId="5896" xr:uid="{00000000-0005-0000-0000-0000010D0000}"/>
    <cellStyle name="Currency 5 3 3 5 3 2" xfId="14346" xr:uid="{A2AE85BF-4097-47F0-9D4A-A094B193D48D}"/>
    <cellStyle name="Currency 5 3 3 5 3 3" xfId="22786" xr:uid="{6F59175A-290D-418B-8033-072CA43E9BC3}"/>
    <cellStyle name="Currency 5 3 3 5 3 4" xfId="31226" xr:uid="{AFFC05F9-9626-4290-BCA4-026F6BBD2D4C}"/>
    <cellStyle name="Currency 5 3 3 5 4" xfId="10128" xr:uid="{B1F5B5EA-ACEE-48A2-B74B-35C9C14DB0AA}"/>
    <cellStyle name="Currency 5 3 3 5 5" xfId="18569" xr:uid="{18081609-638E-433C-BA24-2A0667974E25}"/>
    <cellStyle name="Currency 5 3 3 5 6" xfId="27009" xr:uid="{02AF0D16-E32E-4270-9D62-BCBCBF59DD18}"/>
    <cellStyle name="Currency 5 3 3 6" xfId="2003" xr:uid="{00000000-0005-0000-0000-0000020D0000}"/>
    <cellStyle name="Currency 5 3 3 6 2" xfId="4232" xr:uid="{00000000-0005-0000-0000-0000030D0000}"/>
    <cellStyle name="Currency 5 3 3 6 2 2" xfId="8454" xr:uid="{00000000-0005-0000-0000-0000040D0000}"/>
    <cellStyle name="Currency 5 3 3 6 2 2 2" xfId="16904" xr:uid="{5B77DC0D-187E-428E-94DF-69D2F0AADF3E}"/>
    <cellStyle name="Currency 5 3 3 6 2 2 3" xfId="25344" xr:uid="{ED380D06-FB28-4AF2-AC48-25A0953D7C09}"/>
    <cellStyle name="Currency 5 3 3 6 2 2 4" xfId="33784" xr:uid="{70E5A730-BBDD-4036-BF46-A7F35D1D07F7}"/>
    <cellStyle name="Currency 5 3 3 6 2 3" xfId="12686" xr:uid="{DC874600-EC17-40BF-A0F9-DFA8642827F0}"/>
    <cellStyle name="Currency 5 3 3 6 2 4" xfId="21127" xr:uid="{347AE30F-57BF-437F-AB38-75D87C080D26}"/>
    <cellStyle name="Currency 5 3 3 6 2 5" xfId="29567" xr:uid="{CE3B0C36-AB8F-4A50-BAEC-3D94EA4A690A}"/>
    <cellStyle name="Currency 5 3 3 6 3" xfId="6309" xr:uid="{00000000-0005-0000-0000-0000050D0000}"/>
    <cellStyle name="Currency 5 3 3 6 3 2" xfId="14759" xr:uid="{4C67AAE0-796D-4338-BB96-85EA7E4C59C2}"/>
    <cellStyle name="Currency 5 3 3 6 3 3" xfId="23199" xr:uid="{CDD9F675-5604-4E7E-AD02-128E5D7C0800}"/>
    <cellStyle name="Currency 5 3 3 6 3 4" xfId="31639" xr:uid="{DA1191BE-8596-4404-9BA6-A01104B96F66}"/>
    <cellStyle name="Currency 5 3 3 6 4" xfId="10541" xr:uid="{D1EC5AF0-EC1A-4E63-BC4A-034E7F274C42}"/>
    <cellStyle name="Currency 5 3 3 6 5" xfId="18982" xr:uid="{68107416-E27F-4E18-B357-7A551865D808}"/>
    <cellStyle name="Currency 5 3 3 6 6" xfId="27422" xr:uid="{3DD6119C-2F00-4B8A-ACD8-CF3811467D61}"/>
    <cellStyle name="Currency 5 3 3 7" xfId="2438" xr:uid="{00000000-0005-0000-0000-0000060D0000}"/>
    <cellStyle name="Currency 5 3 3 7 2" xfId="6722" xr:uid="{00000000-0005-0000-0000-0000070D0000}"/>
    <cellStyle name="Currency 5 3 3 7 2 2" xfId="15172" xr:uid="{123CFBFA-487A-4B9C-9C2B-35962A4E735C}"/>
    <cellStyle name="Currency 5 3 3 7 2 3" xfId="23612" xr:uid="{0506BE4E-4665-412B-AF24-99462382BFF6}"/>
    <cellStyle name="Currency 5 3 3 7 2 4" xfId="32052" xr:uid="{BFC0ED79-9836-4228-B2BE-6BBD002C6C99}"/>
    <cellStyle name="Currency 5 3 3 7 3" xfId="10954" xr:uid="{D780B059-BF4A-48F8-8C86-D61C25034506}"/>
    <cellStyle name="Currency 5 3 3 7 4" xfId="19395" xr:uid="{804D890F-EBFE-4ABB-B902-1953F42C1617}"/>
    <cellStyle name="Currency 5 3 3 7 5" xfId="27835" xr:uid="{5EECC789-9954-40AA-9A0E-6EC7671C8C39}"/>
    <cellStyle name="Currency 5 3 3 8" xfId="2735" xr:uid="{00000000-0005-0000-0000-0000080D0000}"/>
    <cellStyle name="Currency 5 3 3 9" xfId="2816" xr:uid="{00000000-0005-0000-0000-0000090D0000}"/>
    <cellStyle name="Currency 5 3 3 9 2" xfId="7039" xr:uid="{00000000-0005-0000-0000-00000A0D0000}"/>
    <cellStyle name="Currency 5 3 3 9 2 2" xfId="15489" xr:uid="{2DBC29FD-6604-4BF8-8427-7F4B92EB6BE2}"/>
    <cellStyle name="Currency 5 3 3 9 2 3" xfId="23929" xr:uid="{C57A535C-746F-41B5-9676-50D9292A8F2D}"/>
    <cellStyle name="Currency 5 3 3 9 2 4" xfId="32369" xr:uid="{9FEDC761-6863-4AE6-9B5A-A4121A5F92CE}"/>
    <cellStyle name="Currency 5 3 3 9 3" xfId="11271" xr:uid="{37B4AA69-A0B9-41A7-BF6B-5D2AA01E1163}"/>
    <cellStyle name="Currency 5 3 3 9 4" xfId="19712" xr:uid="{2E53C35B-81B8-4D6D-BBBF-01C9A3E5A409}"/>
    <cellStyle name="Currency 5 3 3 9 5" xfId="28152" xr:uid="{FCDD657D-566A-461B-BE13-D1A785C56B84}"/>
    <cellStyle name="Currency 5 3 4" xfId="216" xr:uid="{00000000-0005-0000-0000-00000B0D0000}"/>
    <cellStyle name="Currency 5 3 4 10" xfId="8890" xr:uid="{28BF22A0-E594-4C34-82C1-AAC9AFD2940B}"/>
    <cellStyle name="Currency 5 3 4 11" xfId="17331" xr:uid="{5BF2A535-0917-494F-AEA2-BDD0531D1598}"/>
    <cellStyle name="Currency 5 3 4 12" xfId="25771" xr:uid="{07550C4F-8B0E-40EB-930C-775F84B7F86C}"/>
    <cellStyle name="Currency 5 3 4 2" xfId="742" xr:uid="{00000000-0005-0000-0000-00000C0D0000}"/>
    <cellStyle name="Currency 5 3 4 2 2" xfId="2995" xr:uid="{00000000-0005-0000-0000-00000D0D0000}"/>
    <cellStyle name="Currency 5 3 4 2 2 2" xfId="7217" xr:uid="{00000000-0005-0000-0000-00000E0D0000}"/>
    <cellStyle name="Currency 5 3 4 2 2 2 2" xfId="15667" xr:uid="{0FAA2BA2-1A39-48FE-8554-1F8F0A299FD0}"/>
    <cellStyle name="Currency 5 3 4 2 2 2 3" xfId="24107" xr:uid="{82EF8364-5754-4806-95DD-A549193142CE}"/>
    <cellStyle name="Currency 5 3 4 2 2 2 4" xfId="32547" xr:uid="{55B735C3-5C51-4202-9C42-961C9E2418E1}"/>
    <cellStyle name="Currency 5 3 4 2 2 3" xfId="11449" xr:uid="{B9231EF9-72DE-4413-AE3C-A1B79855928E}"/>
    <cellStyle name="Currency 5 3 4 2 2 4" xfId="19890" xr:uid="{AD4A27FE-8E2F-4B9F-863C-7E562078994D}"/>
    <cellStyle name="Currency 5 3 4 2 2 5" xfId="28330" xr:uid="{FF180696-89EF-41C5-A97F-3AA9E4241DD4}"/>
    <cellStyle name="Currency 5 3 4 2 3" xfId="5072" xr:uid="{00000000-0005-0000-0000-00000F0D0000}"/>
    <cellStyle name="Currency 5 3 4 2 3 2" xfId="13522" xr:uid="{2A31D9B8-4749-4D56-AF84-AB9107B8C5ED}"/>
    <cellStyle name="Currency 5 3 4 2 3 3" xfId="21962" xr:uid="{509A7B5C-ACC0-4E27-9941-AB0551BE9564}"/>
    <cellStyle name="Currency 5 3 4 2 3 4" xfId="30402" xr:uid="{514E897F-1A43-40D2-8146-8A40F7AB836F}"/>
    <cellStyle name="Currency 5 3 4 2 4" xfId="9304" xr:uid="{159E14FF-ED24-4FBA-AF19-24CA3CC3F059}"/>
    <cellStyle name="Currency 5 3 4 2 5" xfId="17745" xr:uid="{4197D07B-96A1-4740-87AD-7E05E21C9952}"/>
    <cellStyle name="Currency 5 3 4 2 6" xfId="26185" xr:uid="{C52EC627-2134-4E7D-B7C2-3925A9C29C6C}"/>
    <cellStyle name="Currency 5 3 4 3" xfId="1177" xr:uid="{00000000-0005-0000-0000-0000100D0000}"/>
    <cellStyle name="Currency 5 3 4 3 2" xfId="3408" xr:uid="{00000000-0005-0000-0000-0000110D0000}"/>
    <cellStyle name="Currency 5 3 4 3 2 2" xfId="7630" xr:uid="{00000000-0005-0000-0000-0000120D0000}"/>
    <cellStyle name="Currency 5 3 4 3 2 2 2" xfId="16080" xr:uid="{020744B2-11B1-4919-B661-C8E3D38EDB75}"/>
    <cellStyle name="Currency 5 3 4 3 2 2 3" xfId="24520" xr:uid="{EEDCD4ED-5DFA-45F2-A07E-2D4060550EC4}"/>
    <cellStyle name="Currency 5 3 4 3 2 2 4" xfId="32960" xr:uid="{5378DF5D-B375-4F67-80E8-773D4DC4A064}"/>
    <cellStyle name="Currency 5 3 4 3 2 3" xfId="11862" xr:uid="{C4A8000D-8FA6-477D-A976-E5610E0B532B}"/>
    <cellStyle name="Currency 5 3 4 3 2 4" xfId="20303" xr:uid="{7D3EBDA1-F1B5-48E3-8A8F-570172D371E1}"/>
    <cellStyle name="Currency 5 3 4 3 2 5" xfId="28743" xr:uid="{F4C6FAAA-AF30-456D-9E2D-68621C003771}"/>
    <cellStyle name="Currency 5 3 4 3 3" xfId="5485" xr:uid="{00000000-0005-0000-0000-0000130D0000}"/>
    <cellStyle name="Currency 5 3 4 3 3 2" xfId="13935" xr:uid="{F98EA846-D514-4979-91F5-EE456A020F3D}"/>
    <cellStyle name="Currency 5 3 4 3 3 3" xfId="22375" xr:uid="{F572A8B9-4C52-41EF-B16D-BFB30D23B67A}"/>
    <cellStyle name="Currency 5 3 4 3 3 4" xfId="30815" xr:uid="{858A0E0C-6862-4A3F-90A2-02389444FB60}"/>
    <cellStyle name="Currency 5 3 4 3 4" xfId="9717" xr:uid="{51725FB5-FED9-47F3-A2AD-90D574CD88B5}"/>
    <cellStyle name="Currency 5 3 4 3 5" xfId="18158" xr:uid="{863DC556-AC57-4211-A350-79D8F6F735A0}"/>
    <cellStyle name="Currency 5 3 4 3 6" xfId="26598" xr:uid="{ED938B93-226C-4297-81BD-A0E818281210}"/>
    <cellStyle name="Currency 5 3 4 4" xfId="1591" xr:uid="{00000000-0005-0000-0000-0000140D0000}"/>
    <cellStyle name="Currency 5 3 4 4 2" xfId="3821" xr:uid="{00000000-0005-0000-0000-0000150D0000}"/>
    <cellStyle name="Currency 5 3 4 4 2 2" xfId="8043" xr:uid="{00000000-0005-0000-0000-0000160D0000}"/>
    <cellStyle name="Currency 5 3 4 4 2 2 2" xfId="16493" xr:uid="{ACB14974-48EB-47B8-A4E1-D3FA54228D11}"/>
    <cellStyle name="Currency 5 3 4 4 2 2 3" xfId="24933" xr:uid="{B96C7EA6-A30A-40B1-A1E8-6D7C5B04DF7D}"/>
    <cellStyle name="Currency 5 3 4 4 2 2 4" xfId="33373" xr:uid="{52252AA4-FF5F-4926-A526-1F241EDEF4F4}"/>
    <cellStyle name="Currency 5 3 4 4 2 3" xfId="12275" xr:uid="{DC94B961-E58C-4D00-B3C1-3D6A00C3E4C0}"/>
    <cellStyle name="Currency 5 3 4 4 2 4" xfId="20716" xr:uid="{468EBF34-C039-4DBA-A7BB-8828483CB4E5}"/>
    <cellStyle name="Currency 5 3 4 4 2 5" xfId="29156" xr:uid="{81BB3CC8-28DD-4775-A100-5A3A172D9198}"/>
    <cellStyle name="Currency 5 3 4 4 3" xfId="5898" xr:uid="{00000000-0005-0000-0000-0000170D0000}"/>
    <cellStyle name="Currency 5 3 4 4 3 2" xfId="14348" xr:uid="{3A2764BF-8AFC-4799-845E-9D72CCBAB6A9}"/>
    <cellStyle name="Currency 5 3 4 4 3 3" xfId="22788" xr:uid="{F9B058CD-2D27-41EF-8BD4-AA93B300E1A3}"/>
    <cellStyle name="Currency 5 3 4 4 3 4" xfId="31228" xr:uid="{810FD69F-0ED2-441C-8D55-7459C094EFE9}"/>
    <cellStyle name="Currency 5 3 4 4 4" xfId="10130" xr:uid="{922B1C45-F1C7-4732-BA35-E5E580234C23}"/>
    <cellStyle name="Currency 5 3 4 4 5" xfId="18571" xr:uid="{F1AADB04-6A4A-40E5-BA7B-A83DA79E9EB1}"/>
    <cellStyle name="Currency 5 3 4 4 6" xfId="27011" xr:uid="{1C09DCD5-ABE8-4CE4-B3D4-3D05503D2F6F}"/>
    <cellStyle name="Currency 5 3 4 5" xfId="2005" xr:uid="{00000000-0005-0000-0000-0000180D0000}"/>
    <cellStyle name="Currency 5 3 4 5 2" xfId="4234" xr:uid="{00000000-0005-0000-0000-0000190D0000}"/>
    <cellStyle name="Currency 5 3 4 5 2 2" xfId="8456" xr:uid="{00000000-0005-0000-0000-00001A0D0000}"/>
    <cellStyle name="Currency 5 3 4 5 2 2 2" xfId="16906" xr:uid="{8287DEB2-D432-4CC3-9AD8-5F468B9B255D}"/>
    <cellStyle name="Currency 5 3 4 5 2 2 3" xfId="25346" xr:uid="{854C29E0-A73D-4AD8-BEF9-D4AE14D2B629}"/>
    <cellStyle name="Currency 5 3 4 5 2 2 4" xfId="33786" xr:uid="{ECA46FAB-6AEE-49F2-AEF3-9A41BA5CD030}"/>
    <cellStyle name="Currency 5 3 4 5 2 3" xfId="12688" xr:uid="{EBD2049C-6DBD-45C8-8622-0CF08A4732FC}"/>
    <cellStyle name="Currency 5 3 4 5 2 4" xfId="21129" xr:uid="{B768EDCB-EACC-4B4E-9D9A-E62EE81D69DE}"/>
    <cellStyle name="Currency 5 3 4 5 2 5" xfId="29569" xr:uid="{3735DF09-B6F1-44F5-9568-F6B5B1F599D5}"/>
    <cellStyle name="Currency 5 3 4 5 3" xfId="6311" xr:uid="{00000000-0005-0000-0000-00001B0D0000}"/>
    <cellStyle name="Currency 5 3 4 5 3 2" xfId="14761" xr:uid="{96199A76-582F-409B-84DA-3747FF461F9F}"/>
    <cellStyle name="Currency 5 3 4 5 3 3" xfId="23201" xr:uid="{3D67CC6A-D1FB-43F2-8B35-0C40DCF2DCCF}"/>
    <cellStyle name="Currency 5 3 4 5 3 4" xfId="31641" xr:uid="{0473520E-0FA2-47E0-9F15-C5635E00655A}"/>
    <cellStyle name="Currency 5 3 4 5 4" xfId="10543" xr:uid="{C2850C65-5635-4DDA-839D-CD0DF89CB8E0}"/>
    <cellStyle name="Currency 5 3 4 5 5" xfId="18984" xr:uid="{6C762585-B22D-401B-94FD-F8397148A3AA}"/>
    <cellStyle name="Currency 5 3 4 5 6" xfId="27424" xr:uid="{72223366-4413-4FA0-9483-3918C760BFA8}"/>
    <cellStyle name="Currency 5 3 4 6" xfId="2440" xr:uid="{00000000-0005-0000-0000-00001C0D0000}"/>
    <cellStyle name="Currency 5 3 4 6 2" xfId="6724" xr:uid="{00000000-0005-0000-0000-00001D0D0000}"/>
    <cellStyle name="Currency 5 3 4 6 2 2" xfId="15174" xr:uid="{3BF937C2-947A-4AA6-9E03-0327DCF0C5F1}"/>
    <cellStyle name="Currency 5 3 4 6 2 3" xfId="23614" xr:uid="{3B2DCE43-A891-4ACA-94EA-5D84BEA740A3}"/>
    <cellStyle name="Currency 5 3 4 6 2 4" xfId="32054" xr:uid="{E03C8172-6E34-4D40-8387-EA76C8AFAC94}"/>
    <cellStyle name="Currency 5 3 4 6 3" xfId="10956" xr:uid="{8E9DCF00-B446-454E-A7B5-54E8A188F214}"/>
    <cellStyle name="Currency 5 3 4 6 4" xfId="19397" xr:uid="{20B3648F-0E6E-469B-BC51-7CA3B7EC8E9B}"/>
    <cellStyle name="Currency 5 3 4 6 5" xfId="27837" xr:uid="{1E6A4217-CBD1-4CB1-B212-2CF46CEBF882}"/>
    <cellStyle name="Currency 5 3 4 7" xfId="2737" xr:uid="{00000000-0005-0000-0000-00001E0D0000}"/>
    <cellStyle name="Currency 5 3 4 8" xfId="2818" xr:uid="{00000000-0005-0000-0000-00001F0D0000}"/>
    <cellStyle name="Currency 5 3 4 8 2" xfId="7041" xr:uid="{00000000-0005-0000-0000-0000200D0000}"/>
    <cellStyle name="Currency 5 3 4 8 2 2" xfId="15491" xr:uid="{92B2E7CE-7936-482E-B8EB-982E580464B6}"/>
    <cellStyle name="Currency 5 3 4 8 2 3" xfId="23931" xr:uid="{381C7F4D-35CA-47E4-8DD3-ED1F7E87D3EC}"/>
    <cellStyle name="Currency 5 3 4 8 2 4" xfId="32371" xr:uid="{50CB221D-9AA5-431F-9849-2DBB6CBE150F}"/>
    <cellStyle name="Currency 5 3 4 8 3" xfId="11273" xr:uid="{43F6C815-E652-4412-AD6C-F864E625DC64}"/>
    <cellStyle name="Currency 5 3 4 8 4" xfId="19714" xr:uid="{CB13793D-8FCF-4F9B-BAC7-5CF48211D65E}"/>
    <cellStyle name="Currency 5 3 4 8 5" xfId="28154" xr:uid="{9C845F9A-607B-42E6-9C82-AF67E3488713}"/>
    <cellStyle name="Currency 5 3 4 9" xfId="4658" xr:uid="{00000000-0005-0000-0000-0000210D0000}"/>
    <cellStyle name="Currency 5 3 4 9 2" xfId="13108" xr:uid="{AFCCBC66-C547-4158-B21C-4882B8C4508F}"/>
    <cellStyle name="Currency 5 3 4 9 3" xfId="21548" xr:uid="{B4DE7CED-C934-417C-8425-F82036DC6B08}"/>
    <cellStyle name="Currency 5 3 4 9 4" xfId="29988" xr:uid="{DB56C440-504D-495B-AF66-CB7EE2441B94}"/>
    <cellStyle name="Currency 5 3 5" xfId="217" xr:uid="{00000000-0005-0000-0000-0000220D0000}"/>
    <cellStyle name="Currency 5 3 5 10" xfId="8891" xr:uid="{D4B44D22-A00A-42D6-9C01-6737884B202B}"/>
    <cellStyle name="Currency 5 3 5 11" xfId="17332" xr:uid="{0F34F331-1B70-4E2E-B6A5-B25844A2CF95}"/>
    <cellStyle name="Currency 5 3 5 12" xfId="25772" xr:uid="{2DBCAB4E-407A-4718-9DD7-985914E1FDB7}"/>
    <cellStyle name="Currency 5 3 5 2" xfId="743" xr:uid="{00000000-0005-0000-0000-0000230D0000}"/>
    <cellStyle name="Currency 5 3 5 2 2" xfId="2996" xr:uid="{00000000-0005-0000-0000-0000240D0000}"/>
    <cellStyle name="Currency 5 3 5 2 2 2" xfId="7218" xr:uid="{00000000-0005-0000-0000-0000250D0000}"/>
    <cellStyle name="Currency 5 3 5 2 2 2 2" xfId="15668" xr:uid="{84B22C5B-D4C6-43E2-8B00-F661A1C544D9}"/>
    <cellStyle name="Currency 5 3 5 2 2 2 3" xfId="24108" xr:uid="{6F54481C-F08B-4B72-BF05-9D0D97F25F00}"/>
    <cellStyle name="Currency 5 3 5 2 2 2 4" xfId="32548" xr:uid="{64471339-5098-4B3A-BC20-75361E97E674}"/>
    <cellStyle name="Currency 5 3 5 2 2 3" xfId="11450" xr:uid="{C2DCA9DD-F587-4248-A083-21F567BFCFCF}"/>
    <cellStyle name="Currency 5 3 5 2 2 4" xfId="19891" xr:uid="{5506AB5A-5027-4404-AF70-CD7C47CFAE68}"/>
    <cellStyle name="Currency 5 3 5 2 2 5" xfId="28331" xr:uid="{764A4862-C4DA-4383-B695-C18F3A15AD84}"/>
    <cellStyle name="Currency 5 3 5 2 3" xfId="5073" xr:uid="{00000000-0005-0000-0000-0000260D0000}"/>
    <cellStyle name="Currency 5 3 5 2 3 2" xfId="13523" xr:uid="{1CD29518-FD02-4BF7-905F-86AE48A07D50}"/>
    <cellStyle name="Currency 5 3 5 2 3 3" xfId="21963" xr:uid="{53DBFB7C-1C8B-453B-BF1C-FDDA68CFE852}"/>
    <cellStyle name="Currency 5 3 5 2 3 4" xfId="30403" xr:uid="{4EC719F1-6905-4ECA-BBB4-1FB54F389FD5}"/>
    <cellStyle name="Currency 5 3 5 2 4" xfId="9305" xr:uid="{1BA323A1-5167-434D-827C-B8D9FCE04CC2}"/>
    <cellStyle name="Currency 5 3 5 2 5" xfId="17746" xr:uid="{B24600D3-13E1-46E5-9041-B951F64379DB}"/>
    <cellStyle name="Currency 5 3 5 2 6" xfId="26186" xr:uid="{CDD6A907-712B-46F6-B6A0-1FEC646CD5C0}"/>
    <cellStyle name="Currency 5 3 5 3" xfId="1178" xr:uid="{00000000-0005-0000-0000-0000270D0000}"/>
    <cellStyle name="Currency 5 3 5 3 2" xfId="3409" xr:uid="{00000000-0005-0000-0000-0000280D0000}"/>
    <cellStyle name="Currency 5 3 5 3 2 2" xfId="7631" xr:uid="{00000000-0005-0000-0000-0000290D0000}"/>
    <cellStyle name="Currency 5 3 5 3 2 2 2" xfId="16081" xr:uid="{C75F178C-2433-4B16-910F-BF9B5C99782A}"/>
    <cellStyle name="Currency 5 3 5 3 2 2 3" xfId="24521" xr:uid="{602D800E-3040-4E32-ABE8-3DEA9F48C622}"/>
    <cellStyle name="Currency 5 3 5 3 2 2 4" xfId="32961" xr:uid="{7BC2BA7D-A088-4D86-B707-0CF6034BBDA4}"/>
    <cellStyle name="Currency 5 3 5 3 2 3" xfId="11863" xr:uid="{FFB0E939-68D1-4AD6-AA39-1410FCC7B530}"/>
    <cellStyle name="Currency 5 3 5 3 2 4" xfId="20304" xr:uid="{B1F0B119-1E6F-40EE-BDB6-87DDC4AC1F70}"/>
    <cellStyle name="Currency 5 3 5 3 2 5" xfId="28744" xr:uid="{0CB7EBBA-B8ED-4CB9-AFA5-8EA3DACD50B9}"/>
    <cellStyle name="Currency 5 3 5 3 3" xfId="5486" xr:uid="{00000000-0005-0000-0000-00002A0D0000}"/>
    <cellStyle name="Currency 5 3 5 3 3 2" xfId="13936" xr:uid="{2FA0F2AB-2D21-4206-B580-F92611DE45FE}"/>
    <cellStyle name="Currency 5 3 5 3 3 3" xfId="22376" xr:uid="{D19B6420-CBAB-4E31-856C-6B13D54BA1C1}"/>
    <cellStyle name="Currency 5 3 5 3 3 4" xfId="30816" xr:uid="{2B33D9F9-D92A-436E-9993-EEEBE330A703}"/>
    <cellStyle name="Currency 5 3 5 3 4" xfId="9718" xr:uid="{B2B9D28D-A7D8-43A0-8FA5-26EAD3F697DC}"/>
    <cellStyle name="Currency 5 3 5 3 5" xfId="18159" xr:uid="{11EDC829-1D38-4456-B5B6-02DFDD67F15A}"/>
    <cellStyle name="Currency 5 3 5 3 6" xfId="26599" xr:uid="{AAE60923-1B06-4D8C-B77C-3E00BB1E4CB2}"/>
    <cellStyle name="Currency 5 3 5 4" xfId="1592" xr:uid="{00000000-0005-0000-0000-00002B0D0000}"/>
    <cellStyle name="Currency 5 3 5 4 2" xfId="3822" xr:uid="{00000000-0005-0000-0000-00002C0D0000}"/>
    <cellStyle name="Currency 5 3 5 4 2 2" xfId="8044" xr:uid="{00000000-0005-0000-0000-00002D0D0000}"/>
    <cellStyle name="Currency 5 3 5 4 2 2 2" xfId="16494" xr:uid="{B5240880-BC3D-429E-AEF2-DB13DCA37967}"/>
    <cellStyle name="Currency 5 3 5 4 2 2 3" xfId="24934" xr:uid="{4056A0AD-452F-4FD2-981A-DD3A6846C9B6}"/>
    <cellStyle name="Currency 5 3 5 4 2 2 4" xfId="33374" xr:uid="{ED50BB4A-0352-4B5B-94CC-AFC336D76727}"/>
    <cellStyle name="Currency 5 3 5 4 2 3" xfId="12276" xr:uid="{BDF2C4A5-44C3-45CF-8A53-B77DFEED97F0}"/>
    <cellStyle name="Currency 5 3 5 4 2 4" xfId="20717" xr:uid="{45001AE4-DDCF-4179-84FD-57CBAD82DE61}"/>
    <cellStyle name="Currency 5 3 5 4 2 5" xfId="29157" xr:uid="{3037C64B-27E5-4ED8-B9F3-B8372371BF09}"/>
    <cellStyle name="Currency 5 3 5 4 3" xfId="5899" xr:uid="{00000000-0005-0000-0000-00002E0D0000}"/>
    <cellStyle name="Currency 5 3 5 4 3 2" xfId="14349" xr:uid="{8D354889-65E4-4A9B-B609-64A6B3F34B9D}"/>
    <cellStyle name="Currency 5 3 5 4 3 3" xfId="22789" xr:uid="{E9884410-D612-4BB0-9096-C5A078A91292}"/>
    <cellStyle name="Currency 5 3 5 4 3 4" xfId="31229" xr:uid="{B556B7CD-EB3E-40B5-B6A2-13519A36AA12}"/>
    <cellStyle name="Currency 5 3 5 4 4" xfId="10131" xr:uid="{C69A9024-13FB-441A-B45F-D43E5ED3EF16}"/>
    <cellStyle name="Currency 5 3 5 4 5" xfId="18572" xr:uid="{529CCB5D-792D-4C44-B18D-CE1134EE2ACB}"/>
    <cellStyle name="Currency 5 3 5 4 6" xfId="27012" xr:uid="{A4F79D11-D01B-4B8B-9D09-B2082DDA090E}"/>
    <cellStyle name="Currency 5 3 5 5" xfId="2006" xr:uid="{00000000-0005-0000-0000-00002F0D0000}"/>
    <cellStyle name="Currency 5 3 5 5 2" xfId="4235" xr:uid="{00000000-0005-0000-0000-0000300D0000}"/>
    <cellStyle name="Currency 5 3 5 5 2 2" xfId="8457" xr:uid="{00000000-0005-0000-0000-0000310D0000}"/>
    <cellStyle name="Currency 5 3 5 5 2 2 2" xfId="16907" xr:uid="{27FD7E83-9E05-409A-B1EC-EEBB16F6A470}"/>
    <cellStyle name="Currency 5 3 5 5 2 2 3" xfId="25347" xr:uid="{7810E140-A589-41CC-AAA3-379EA3999281}"/>
    <cellStyle name="Currency 5 3 5 5 2 2 4" xfId="33787" xr:uid="{D985344E-F84C-4808-9DA6-7AC07E9BE81B}"/>
    <cellStyle name="Currency 5 3 5 5 2 3" xfId="12689" xr:uid="{F3F13DE6-1197-4EDA-9E35-FBB72786B3DA}"/>
    <cellStyle name="Currency 5 3 5 5 2 4" xfId="21130" xr:uid="{47DDD4C8-3A1B-4A5B-8554-48FE41D42D93}"/>
    <cellStyle name="Currency 5 3 5 5 2 5" xfId="29570" xr:uid="{FE603EBA-564F-4D88-B446-EB7FDD6789FC}"/>
    <cellStyle name="Currency 5 3 5 5 3" xfId="6312" xr:uid="{00000000-0005-0000-0000-0000320D0000}"/>
    <cellStyle name="Currency 5 3 5 5 3 2" xfId="14762" xr:uid="{4E46DB06-599D-4FF9-AD44-61842FC8DF11}"/>
    <cellStyle name="Currency 5 3 5 5 3 3" xfId="23202" xr:uid="{4D87D250-5773-4C8F-822F-B84EAA448FFF}"/>
    <cellStyle name="Currency 5 3 5 5 3 4" xfId="31642" xr:uid="{4219729E-B150-41D0-9CD9-CA7E65439503}"/>
    <cellStyle name="Currency 5 3 5 5 4" xfId="10544" xr:uid="{A8EDFF49-9AC3-4BE6-8CDC-7EACCC8BBF1F}"/>
    <cellStyle name="Currency 5 3 5 5 5" xfId="18985" xr:uid="{3BA42873-E955-43AE-988E-57CD6F286C56}"/>
    <cellStyle name="Currency 5 3 5 5 6" xfId="27425" xr:uid="{54D1075D-6186-4829-BAC2-5DA3824A47EB}"/>
    <cellStyle name="Currency 5 3 5 6" xfId="2441" xr:uid="{00000000-0005-0000-0000-0000330D0000}"/>
    <cellStyle name="Currency 5 3 5 6 2" xfId="6725" xr:uid="{00000000-0005-0000-0000-0000340D0000}"/>
    <cellStyle name="Currency 5 3 5 6 2 2" xfId="15175" xr:uid="{DA2CFDA4-7F12-46CD-AC14-85B49E27CB11}"/>
    <cellStyle name="Currency 5 3 5 6 2 3" xfId="23615" xr:uid="{7A767CE2-B693-4C80-ACBD-76416E35870F}"/>
    <cellStyle name="Currency 5 3 5 6 2 4" xfId="32055" xr:uid="{C523D595-3223-4763-B1F5-D9E5CCFFE2F2}"/>
    <cellStyle name="Currency 5 3 5 6 3" xfId="10957" xr:uid="{4D11C03B-0A4B-4CAC-8787-7D9E13B8AC1A}"/>
    <cellStyle name="Currency 5 3 5 6 4" xfId="19398" xr:uid="{A3D324FE-DE4E-406D-8465-528B7A29DBFD}"/>
    <cellStyle name="Currency 5 3 5 6 5" xfId="27838" xr:uid="{2DD26C7C-82E8-4375-8BE0-2E29E3077749}"/>
    <cellStyle name="Currency 5 3 5 7" xfId="2738" xr:uid="{00000000-0005-0000-0000-0000350D0000}"/>
    <cellStyle name="Currency 5 3 5 8" xfId="2819" xr:uid="{00000000-0005-0000-0000-0000360D0000}"/>
    <cellStyle name="Currency 5 3 5 8 2" xfId="7042" xr:uid="{00000000-0005-0000-0000-0000370D0000}"/>
    <cellStyle name="Currency 5 3 5 8 2 2" xfId="15492" xr:uid="{2132F2A3-1F14-466E-BE93-0E12F6369333}"/>
    <cellStyle name="Currency 5 3 5 8 2 3" xfId="23932" xr:uid="{821B4388-29F5-4696-AFD7-ADE0C5092069}"/>
    <cellStyle name="Currency 5 3 5 8 2 4" xfId="32372" xr:uid="{3FC2073D-77FA-43F8-AA7A-0994C901A195}"/>
    <cellStyle name="Currency 5 3 5 8 3" xfId="11274" xr:uid="{1B0BB842-956F-419D-9B87-033EFA052539}"/>
    <cellStyle name="Currency 5 3 5 8 4" xfId="19715" xr:uid="{C0A2B8FB-52DF-45B9-9943-ACF15B17579F}"/>
    <cellStyle name="Currency 5 3 5 8 5" xfId="28155" xr:uid="{98A29D44-918C-4CEA-9A9D-FF76C6427C27}"/>
    <cellStyle name="Currency 5 3 5 9" xfId="4659" xr:uid="{00000000-0005-0000-0000-0000380D0000}"/>
    <cellStyle name="Currency 5 3 5 9 2" xfId="13109" xr:uid="{E92B3A3B-4F2B-41A6-8F9A-9CF9DD34F98A}"/>
    <cellStyle name="Currency 5 3 5 9 3" xfId="21549" xr:uid="{129BF98A-D5DB-45D9-A09C-68CFBEEBA20A}"/>
    <cellStyle name="Currency 5 3 5 9 4" xfId="29989" xr:uid="{F5BCD4F1-BF6A-4C59-BC42-A8B72375CA00}"/>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10 2" xfId="13110" xr:uid="{3CBFB176-BD49-4469-A2F3-B978CBA9B447}"/>
    <cellStyle name="Currency 5 5 10 3" xfId="21550" xr:uid="{AD79EE89-9FCA-4C95-BA6B-B536113955FA}"/>
    <cellStyle name="Currency 5 5 10 4" xfId="29990" xr:uid="{F9C918B2-6383-4716-B6A0-652FE8C6C062}"/>
    <cellStyle name="Currency 5 5 11" xfId="8892" xr:uid="{834DA554-514E-48BC-BBCA-B970258D8A0F}"/>
    <cellStyle name="Currency 5 5 12" xfId="17333" xr:uid="{0728CC33-7965-4593-9780-386012166740}"/>
    <cellStyle name="Currency 5 5 13" xfId="25773" xr:uid="{E0661D6C-471B-4781-AADD-FCF6BF9C0C15}"/>
    <cellStyle name="Currency 5 5 2" xfId="220" xr:uid="{00000000-0005-0000-0000-00003D0D0000}"/>
    <cellStyle name="Currency 5 5 2 10" xfId="8893" xr:uid="{C5679F14-4586-4DC9-88EC-1AED967EF210}"/>
    <cellStyle name="Currency 5 5 2 11" xfId="17334" xr:uid="{E148DD02-034E-48B4-A1C6-40C748BC5FB9}"/>
    <cellStyle name="Currency 5 5 2 12" xfId="25774" xr:uid="{2992E07D-E680-4ED3-B9C4-C91F0802B143}"/>
    <cellStyle name="Currency 5 5 2 2" xfId="746" xr:uid="{00000000-0005-0000-0000-00003E0D0000}"/>
    <cellStyle name="Currency 5 5 2 2 2" xfId="2998" xr:uid="{00000000-0005-0000-0000-00003F0D0000}"/>
    <cellStyle name="Currency 5 5 2 2 2 2" xfId="7220" xr:uid="{00000000-0005-0000-0000-0000400D0000}"/>
    <cellStyle name="Currency 5 5 2 2 2 2 2" xfId="15670" xr:uid="{D9DAC520-C28A-4CE3-A751-817C3CAECC5F}"/>
    <cellStyle name="Currency 5 5 2 2 2 2 3" xfId="24110" xr:uid="{E70A4277-C1BD-4E39-8AA2-9D97F307F2A1}"/>
    <cellStyle name="Currency 5 5 2 2 2 2 4" xfId="32550" xr:uid="{899AAD64-F336-4BBB-BE89-B877EC6FA095}"/>
    <cellStyle name="Currency 5 5 2 2 2 3" xfId="11452" xr:uid="{28FEEBE2-C77A-4DFF-BAF5-B00A070FDD50}"/>
    <cellStyle name="Currency 5 5 2 2 2 4" xfId="19893" xr:uid="{AE1F965A-D5AE-40F8-AF29-8851BF0AB8D6}"/>
    <cellStyle name="Currency 5 5 2 2 2 5" xfId="28333" xr:uid="{2138258F-1926-41AC-A14E-FB10766DE219}"/>
    <cellStyle name="Currency 5 5 2 2 3" xfId="5075" xr:uid="{00000000-0005-0000-0000-0000410D0000}"/>
    <cellStyle name="Currency 5 5 2 2 3 2" xfId="13525" xr:uid="{4CD684CB-8675-4F8E-8A6C-00443AEA8CE5}"/>
    <cellStyle name="Currency 5 5 2 2 3 3" xfId="21965" xr:uid="{82D16694-DD96-4067-AB25-182D33230C8F}"/>
    <cellStyle name="Currency 5 5 2 2 3 4" xfId="30405" xr:uid="{71B0D2FB-BA74-4252-B147-F860C71513A0}"/>
    <cellStyle name="Currency 5 5 2 2 4" xfId="9307" xr:uid="{A852ADE2-0E73-46BC-9748-E0D965029B70}"/>
    <cellStyle name="Currency 5 5 2 2 5" xfId="17748" xr:uid="{21856215-184F-4FCC-AFB4-54FAF3BC2A08}"/>
    <cellStyle name="Currency 5 5 2 2 6" xfId="26188" xr:uid="{3F9132EC-7E92-4C15-B488-991703C26DB5}"/>
    <cellStyle name="Currency 5 5 2 3" xfId="1180" xr:uid="{00000000-0005-0000-0000-0000420D0000}"/>
    <cellStyle name="Currency 5 5 2 3 2" xfId="3411" xr:uid="{00000000-0005-0000-0000-0000430D0000}"/>
    <cellStyle name="Currency 5 5 2 3 2 2" xfId="7633" xr:uid="{00000000-0005-0000-0000-0000440D0000}"/>
    <cellStyle name="Currency 5 5 2 3 2 2 2" xfId="16083" xr:uid="{CD2F4774-8CCD-4C82-875F-1139AFCEBBF7}"/>
    <cellStyle name="Currency 5 5 2 3 2 2 3" xfId="24523" xr:uid="{8DE1F390-6153-4EDD-B18F-41463CD7AB3C}"/>
    <cellStyle name="Currency 5 5 2 3 2 2 4" xfId="32963" xr:uid="{362AF1CA-C1A0-4C2C-9AD2-58E9B23F44F6}"/>
    <cellStyle name="Currency 5 5 2 3 2 3" xfId="11865" xr:uid="{60574222-8313-4ECB-B8E2-DB3045B1FC7E}"/>
    <cellStyle name="Currency 5 5 2 3 2 4" xfId="20306" xr:uid="{A8095C1A-AFF8-4ECE-8CC3-9A0B81FD770B}"/>
    <cellStyle name="Currency 5 5 2 3 2 5" xfId="28746" xr:uid="{75B14A06-2687-4DE6-9C49-B7C787867EA6}"/>
    <cellStyle name="Currency 5 5 2 3 3" xfId="5488" xr:uid="{00000000-0005-0000-0000-0000450D0000}"/>
    <cellStyle name="Currency 5 5 2 3 3 2" xfId="13938" xr:uid="{97803A1F-0C7A-4D1F-A094-8C1502CC69F0}"/>
    <cellStyle name="Currency 5 5 2 3 3 3" xfId="22378" xr:uid="{128A2592-93A1-471F-A7EE-7030B736442D}"/>
    <cellStyle name="Currency 5 5 2 3 3 4" xfId="30818" xr:uid="{F4EA4A25-360B-4536-9302-0485D0BA2A78}"/>
    <cellStyle name="Currency 5 5 2 3 4" xfId="9720" xr:uid="{54B85079-90E0-4854-A423-D15EB7F04263}"/>
    <cellStyle name="Currency 5 5 2 3 5" xfId="18161" xr:uid="{12899269-9113-40D3-829F-DE97FBFDEF2F}"/>
    <cellStyle name="Currency 5 5 2 3 6" xfId="26601" xr:uid="{8BC8E07E-71AC-4A24-9AD9-427D18C85931}"/>
    <cellStyle name="Currency 5 5 2 4" xfId="1594" xr:uid="{00000000-0005-0000-0000-0000460D0000}"/>
    <cellStyle name="Currency 5 5 2 4 2" xfId="3824" xr:uid="{00000000-0005-0000-0000-0000470D0000}"/>
    <cellStyle name="Currency 5 5 2 4 2 2" xfId="8046" xr:uid="{00000000-0005-0000-0000-0000480D0000}"/>
    <cellStyle name="Currency 5 5 2 4 2 2 2" xfId="16496" xr:uid="{0918DC86-328A-4F3B-861E-5EBB7EAAB6C0}"/>
    <cellStyle name="Currency 5 5 2 4 2 2 3" xfId="24936" xr:uid="{1F3A9043-4338-4C1D-819A-BEADAD7C4060}"/>
    <cellStyle name="Currency 5 5 2 4 2 2 4" xfId="33376" xr:uid="{8E8CBC31-F00B-42EE-9248-5464B6BEB244}"/>
    <cellStyle name="Currency 5 5 2 4 2 3" xfId="12278" xr:uid="{3C1E18BA-8D67-457E-90B0-1FDDB6CBCFB9}"/>
    <cellStyle name="Currency 5 5 2 4 2 4" xfId="20719" xr:uid="{959F01CE-C4C1-44AF-A042-2C7325D17E4A}"/>
    <cellStyle name="Currency 5 5 2 4 2 5" xfId="29159" xr:uid="{02A6AAE4-C814-4360-9B91-7E07BAFCA787}"/>
    <cellStyle name="Currency 5 5 2 4 3" xfId="5901" xr:uid="{00000000-0005-0000-0000-0000490D0000}"/>
    <cellStyle name="Currency 5 5 2 4 3 2" xfId="14351" xr:uid="{AA0CF987-0248-4CFD-8EF1-880C8F6C4166}"/>
    <cellStyle name="Currency 5 5 2 4 3 3" xfId="22791" xr:uid="{FFE4BADA-07BC-4403-8213-CF139BAA1262}"/>
    <cellStyle name="Currency 5 5 2 4 3 4" xfId="31231" xr:uid="{93D28A4C-DEB2-40C9-A254-AF950F3B7212}"/>
    <cellStyle name="Currency 5 5 2 4 4" xfId="10133" xr:uid="{DBAC0962-364C-49DA-A9DE-9D811BC09747}"/>
    <cellStyle name="Currency 5 5 2 4 5" xfId="18574" xr:uid="{884F259D-85EC-4676-8CEB-0875E7B80BBA}"/>
    <cellStyle name="Currency 5 5 2 4 6" xfId="27014" xr:uid="{7F62D573-3382-4BDE-90FC-785134AE7149}"/>
    <cellStyle name="Currency 5 5 2 5" xfId="2008" xr:uid="{00000000-0005-0000-0000-00004A0D0000}"/>
    <cellStyle name="Currency 5 5 2 5 2" xfId="4237" xr:uid="{00000000-0005-0000-0000-00004B0D0000}"/>
    <cellStyle name="Currency 5 5 2 5 2 2" xfId="8459" xr:uid="{00000000-0005-0000-0000-00004C0D0000}"/>
    <cellStyle name="Currency 5 5 2 5 2 2 2" xfId="16909" xr:uid="{3BA67885-3780-43C2-8DE7-AD3740F21C2F}"/>
    <cellStyle name="Currency 5 5 2 5 2 2 3" xfId="25349" xr:uid="{EBBC1D19-BDAB-462F-82F6-485114278713}"/>
    <cellStyle name="Currency 5 5 2 5 2 2 4" xfId="33789" xr:uid="{8C396E04-97CA-4858-92BD-658247BBDBC3}"/>
    <cellStyle name="Currency 5 5 2 5 2 3" xfId="12691" xr:uid="{3C8407BF-430D-4F71-B632-A3578ABFD028}"/>
    <cellStyle name="Currency 5 5 2 5 2 4" xfId="21132" xr:uid="{5ACD7722-2A10-4427-BAF0-52D0FA4F4EB5}"/>
    <cellStyle name="Currency 5 5 2 5 2 5" xfId="29572" xr:uid="{D529F356-2F91-4A2B-94CB-21FF5EB9AB0F}"/>
    <cellStyle name="Currency 5 5 2 5 3" xfId="6314" xr:uid="{00000000-0005-0000-0000-00004D0D0000}"/>
    <cellStyle name="Currency 5 5 2 5 3 2" xfId="14764" xr:uid="{817C5A21-4D5F-4A73-A512-35357049B9C8}"/>
    <cellStyle name="Currency 5 5 2 5 3 3" xfId="23204" xr:uid="{5C35A29B-76E3-4536-BC67-193769759695}"/>
    <cellStyle name="Currency 5 5 2 5 3 4" xfId="31644" xr:uid="{DF772F70-BCED-43B2-BB38-92EB0FC2FDC1}"/>
    <cellStyle name="Currency 5 5 2 5 4" xfId="10546" xr:uid="{351E7739-62AD-46E2-BE03-D81937863C2B}"/>
    <cellStyle name="Currency 5 5 2 5 5" xfId="18987" xr:uid="{93001086-FC2D-49E9-9BF5-1FB83755AF67}"/>
    <cellStyle name="Currency 5 5 2 5 6" xfId="27427" xr:uid="{39982AE6-595D-4A52-80DD-8623BC986914}"/>
    <cellStyle name="Currency 5 5 2 6" xfId="2443" xr:uid="{00000000-0005-0000-0000-00004E0D0000}"/>
    <cellStyle name="Currency 5 5 2 6 2" xfId="6727" xr:uid="{00000000-0005-0000-0000-00004F0D0000}"/>
    <cellStyle name="Currency 5 5 2 6 2 2" xfId="15177" xr:uid="{F09C73C9-49BA-4A2F-A1EA-95A2C05039E5}"/>
    <cellStyle name="Currency 5 5 2 6 2 3" xfId="23617" xr:uid="{BD62DFB8-11FF-4E5E-B2EE-9497B1FE8B9E}"/>
    <cellStyle name="Currency 5 5 2 6 2 4" xfId="32057" xr:uid="{74EEC695-6F07-4EB7-AC87-E25E0A2F79E4}"/>
    <cellStyle name="Currency 5 5 2 6 3" xfId="10959" xr:uid="{27D91AE1-6575-4167-BEE1-3FAFA1A9CBFC}"/>
    <cellStyle name="Currency 5 5 2 6 4" xfId="19400" xr:uid="{28FDDCAF-DA76-455D-990F-41EE496648FF}"/>
    <cellStyle name="Currency 5 5 2 6 5" xfId="27840" xr:uid="{5E682DD7-FF8D-455C-9CFF-F425F48B8EB8}"/>
    <cellStyle name="Currency 5 5 2 7" xfId="2740" xr:uid="{00000000-0005-0000-0000-0000500D0000}"/>
    <cellStyle name="Currency 5 5 2 8" xfId="2821" xr:uid="{00000000-0005-0000-0000-0000510D0000}"/>
    <cellStyle name="Currency 5 5 2 8 2" xfId="7044" xr:uid="{00000000-0005-0000-0000-0000520D0000}"/>
    <cellStyle name="Currency 5 5 2 8 2 2" xfId="15494" xr:uid="{445ED1A6-284F-4910-9508-5D0E79C1B2DE}"/>
    <cellStyle name="Currency 5 5 2 8 2 3" xfId="23934" xr:uid="{7BA477BB-74F0-4413-B73C-42CA18DF7FE1}"/>
    <cellStyle name="Currency 5 5 2 8 2 4" xfId="32374" xr:uid="{6D092326-E074-4F03-9413-B0E2DDF68AFA}"/>
    <cellStyle name="Currency 5 5 2 8 3" xfId="11276" xr:uid="{EA5D96B5-D0AC-42EE-A94D-246C64D62FE4}"/>
    <cellStyle name="Currency 5 5 2 8 4" xfId="19717" xr:uid="{DE45C46E-BC52-464B-9999-1EBAC205B934}"/>
    <cellStyle name="Currency 5 5 2 8 5" xfId="28157" xr:uid="{52177A60-FCEB-4F92-9B71-C1C84499E0E3}"/>
    <cellStyle name="Currency 5 5 2 9" xfId="4661" xr:uid="{00000000-0005-0000-0000-0000530D0000}"/>
    <cellStyle name="Currency 5 5 2 9 2" xfId="13111" xr:uid="{4A85B7F0-2E14-42AA-A566-41E379D73DC6}"/>
    <cellStyle name="Currency 5 5 2 9 3" xfId="21551" xr:uid="{7079D002-E066-452E-91C1-BD2089A1256C}"/>
    <cellStyle name="Currency 5 5 2 9 4" xfId="29991" xr:uid="{EE4F7BB2-1960-451D-8A47-19F94BB84321}"/>
    <cellStyle name="Currency 5 5 3" xfId="745" xr:uid="{00000000-0005-0000-0000-0000540D0000}"/>
    <cellStyle name="Currency 5 5 3 2" xfId="2997" xr:uid="{00000000-0005-0000-0000-0000550D0000}"/>
    <cellStyle name="Currency 5 5 3 2 2" xfId="7219" xr:uid="{00000000-0005-0000-0000-0000560D0000}"/>
    <cellStyle name="Currency 5 5 3 2 2 2" xfId="15669" xr:uid="{05AA8D3B-CCBB-4499-8EDB-3009707A0E34}"/>
    <cellStyle name="Currency 5 5 3 2 2 3" xfId="24109" xr:uid="{D4559D98-D44E-48AC-8745-019ACE175A31}"/>
    <cellStyle name="Currency 5 5 3 2 2 4" xfId="32549" xr:uid="{01DEDAED-3C19-4D1F-B5BC-212691BE6291}"/>
    <cellStyle name="Currency 5 5 3 2 3" xfId="11451" xr:uid="{B1CFD020-B879-4A6A-9A34-500F55A8D490}"/>
    <cellStyle name="Currency 5 5 3 2 4" xfId="19892" xr:uid="{8234CB52-D1BB-483F-A6BD-4622E66FDCF8}"/>
    <cellStyle name="Currency 5 5 3 2 5" xfId="28332" xr:uid="{B7C43CD7-50E5-4DED-B8ED-4EC4B274EA41}"/>
    <cellStyle name="Currency 5 5 3 3" xfId="5074" xr:uid="{00000000-0005-0000-0000-0000570D0000}"/>
    <cellStyle name="Currency 5 5 3 3 2" xfId="13524" xr:uid="{BA716843-150A-4402-8D00-DA6B3B427749}"/>
    <cellStyle name="Currency 5 5 3 3 3" xfId="21964" xr:uid="{5205C6E7-B516-4E72-B7DB-079803A85D03}"/>
    <cellStyle name="Currency 5 5 3 3 4" xfId="30404" xr:uid="{D87BB992-C9B7-4774-A98C-3D6E8C6688DD}"/>
    <cellStyle name="Currency 5 5 3 4" xfId="9306" xr:uid="{B54910E9-F00B-4963-81ED-320B2B454A4B}"/>
    <cellStyle name="Currency 5 5 3 5" xfId="17747" xr:uid="{AB32469E-2185-4AD3-A5CE-565AA85DAC4D}"/>
    <cellStyle name="Currency 5 5 3 6" xfId="26187" xr:uid="{25030389-7988-4ABD-8AE8-AA295C0EE0AA}"/>
    <cellStyle name="Currency 5 5 4" xfId="1179" xr:uid="{00000000-0005-0000-0000-0000580D0000}"/>
    <cellStyle name="Currency 5 5 4 2" xfId="3410" xr:uid="{00000000-0005-0000-0000-0000590D0000}"/>
    <cellStyle name="Currency 5 5 4 2 2" xfId="7632" xr:uid="{00000000-0005-0000-0000-00005A0D0000}"/>
    <cellStyle name="Currency 5 5 4 2 2 2" xfId="16082" xr:uid="{C0AF409D-C398-4820-98FD-93EEF7B76D39}"/>
    <cellStyle name="Currency 5 5 4 2 2 3" xfId="24522" xr:uid="{CD369965-B167-4A2B-A771-2E53A68B7124}"/>
    <cellStyle name="Currency 5 5 4 2 2 4" xfId="32962" xr:uid="{045D10C9-6B0D-45E2-8C9E-9D4517966AE6}"/>
    <cellStyle name="Currency 5 5 4 2 3" xfId="11864" xr:uid="{CEA07887-61DA-4A7D-88AD-88ED0A5673BB}"/>
    <cellStyle name="Currency 5 5 4 2 4" xfId="20305" xr:uid="{17F761CC-4FFA-4C0F-A94D-AB97C9E8073D}"/>
    <cellStyle name="Currency 5 5 4 2 5" xfId="28745" xr:uid="{BDAF887B-6248-4EF8-B72D-4B767D1269D0}"/>
    <cellStyle name="Currency 5 5 4 3" xfId="5487" xr:uid="{00000000-0005-0000-0000-00005B0D0000}"/>
    <cellStyle name="Currency 5 5 4 3 2" xfId="13937" xr:uid="{FAD9A653-39FE-4256-970A-FA28318D06BF}"/>
    <cellStyle name="Currency 5 5 4 3 3" xfId="22377" xr:uid="{21FB5209-39FD-445E-90A4-A6301E951214}"/>
    <cellStyle name="Currency 5 5 4 3 4" xfId="30817" xr:uid="{645EB44E-777C-4044-B551-960AD98ED0D4}"/>
    <cellStyle name="Currency 5 5 4 4" xfId="9719" xr:uid="{AECC29E4-16F6-4A18-BB9F-3EE4C0B2C8A9}"/>
    <cellStyle name="Currency 5 5 4 5" xfId="18160" xr:uid="{DFE661F4-C28E-46E3-8811-827F0964BA80}"/>
    <cellStyle name="Currency 5 5 4 6" xfId="26600" xr:uid="{05440F0C-B369-4687-A5B2-80A0B23BAFE6}"/>
    <cellStyle name="Currency 5 5 5" xfId="1593" xr:uid="{00000000-0005-0000-0000-00005C0D0000}"/>
    <cellStyle name="Currency 5 5 5 2" xfId="3823" xr:uid="{00000000-0005-0000-0000-00005D0D0000}"/>
    <cellStyle name="Currency 5 5 5 2 2" xfId="8045" xr:uid="{00000000-0005-0000-0000-00005E0D0000}"/>
    <cellStyle name="Currency 5 5 5 2 2 2" xfId="16495" xr:uid="{8EC7454F-2BC2-4605-B606-E607008F681C}"/>
    <cellStyle name="Currency 5 5 5 2 2 3" xfId="24935" xr:uid="{4133218A-6DED-4C30-AAC7-FEF8B5BD14D8}"/>
    <cellStyle name="Currency 5 5 5 2 2 4" xfId="33375" xr:uid="{C07FB369-4878-49DD-A2B5-53AF4FDD39E0}"/>
    <cellStyle name="Currency 5 5 5 2 3" xfId="12277" xr:uid="{11E10153-56ED-49EC-9FA2-1AEF2AF92DA7}"/>
    <cellStyle name="Currency 5 5 5 2 4" xfId="20718" xr:uid="{3C237506-DE11-4646-BBA2-DAAC8AD401AC}"/>
    <cellStyle name="Currency 5 5 5 2 5" xfId="29158" xr:uid="{07DCF45E-64CB-47ED-A3A6-449C362857D4}"/>
    <cellStyle name="Currency 5 5 5 3" xfId="5900" xr:uid="{00000000-0005-0000-0000-00005F0D0000}"/>
    <cellStyle name="Currency 5 5 5 3 2" xfId="14350" xr:uid="{851194AF-1061-4827-A093-906C18B141B2}"/>
    <cellStyle name="Currency 5 5 5 3 3" xfId="22790" xr:uid="{9C74D7D3-2057-4CCC-950A-647C71778AB5}"/>
    <cellStyle name="Currency 5 5 5 3 4" xfId="31230" xr:uid="{501A97D8-50B1-4B5F-A2CD-98656F6E485A}"/>
    <cellStyle name="Currency 5 5 5 4" xfId="10132" xr:uid="{84E8CE06-C6CA-40BC-A260-4631059844C2}"/>
    <cellStyle name="Currency 5 5 5 5" xfId="18573" xr:uid="{9BDDB8FC-99F1-4240-AE54-31E13E4C6D2F}"/>
    <cellStyle name="Currency 5 5 5 6" xfId="27013" xr:uid="{944F3485-6D7A-4797-A50F-B8C67944E8EC}"/>
    <cellStyle name="Currency 5 5 6" xfId="2007" xr:uid="{00000000-0005-0000-0000-0000600D0000}"/>
    <cellStyle name="Currency 5 5 6 2" xfId="4236" xr:uid="{00000000-0005-0000-0000-0000610D0000}"/>
    <cellStyle name="Currency 5 5 6 2 2" xfId="8458" xr:uid="{00000000-0005-0000-0000-0000620D0000}"/>
    <cellStyle name="Currency 5 5 6 2 2 2" xfId="16908" xr:uid="{41C4A314-A509-47A4-8B2B-87A69133DC05}"/>
    <cellStyle name="Currency 5 5 6 2 2 3" xfId="25348" xr:uid="{0932E746-3F14-4149-A597-099BEADD7520}"/>
    <cellStyle name="Currency 5 5 6 2 2 4" xfId="33788" xr:uid="{9361D54A-E17D-4A89-AE77-CEB29745D32C}"/>
    <cellStyle name="Currency 5 5 6 2 3" xfId="12690" xr:uid="{1A5E9C32-EDA9-4706-B07C-05B446251EBE}"/>
    <cellStyle name="Currency 5 5 6 2 4" xfId="21131" xr:uid="{15468339-A49A-41ED-9807-8043E73592A2}"/>
    <cellStyle name="Currency 5 5 6 2 5" xfId="29571" xr:uid="{4E79EB68-E0A2-4642-A8AD-86E020EC1758}"/>
    <cellStyle name="Currency 5 5 6 3" xfId="6313" xr:uid="{00000000-0005-0000-0000-0000630D0000}"/>
    <cellStyle name="Currency 5 5 6 3 2" xfId="14763" xr:uid="{BB074840-8775-4476-9F03-2C50A4951021}"/>
    <cellStyle name="Currency 5 5 6 3 3" xfId="23203" xr:uid="{AA2E96E2-6401-4C55-AB9C-6A87563B7EF4}"/>
    <cellStyle name="Currency 5 5 6 3 4" xfId="31643" xr:uid="{16B80224-0AE7-4F81-B3D1-A900A573F047}"/>
    <cellStyle name="Currency 5 5 6 4" xfId="10545" xr:uid="{0B8FCC6F-BC25-41A7-8C2A-D226AD9D2051}"/>
    <cellStyle name="Currency 5 5 6 5" xfId="18986" xr:uid="{EDEE6B99-7790-417E-82F5-49A66F3E7A7C}"/>
    <cellStyle name="Currency 5 5 6 6" xfId="27426" xr:uid="{6DB554AE-21B3-4389-82B3-6484B38F64B8}"/>
    <cellStyle name="Currency 5 5 7" xfId="2442" xr:uid="{00000000-0005-0000-0000-0000640D0000}"/>
    <cellStyle name="Currency 5 5 7 2" xfId="6726" xr:uid="{00000000-0005-0000-0000-0000650D0000}"/>
    <cellStyle name="Currency 5 5 7 2 2" xfId="15176" xr:uid="{8D3D1EAC-8F42-410F-A7B1-8470DFB8E7A4}"/>
    <cellStyle name="Currency 5 5 7 2 3" xfId="23616" xr:uid="{5EBC0A3A-30BA-45C3-8B46-19DAB392926A}"/>
    <cellStyle name="Currency 5 5 7 2 4" xfId="32056" xr:uid="{7CAFA902-961D-453B-A132-52267E9AC166}"/>
    <cellStyle name="Currency 5 5 7 3" xfId="10958" xr:uid="{9CC037A3-61B2-4773-96D1-18C45A371C6B}"/>
    <cellStyle name="Currency 5 5 7 4" xfId="19399" xr:uid="{C8D9A63C-2A58-4D48-8A40-CCE1451F11DE}"/>
    <cellStyle name="Currency 5 5 7 5" xfId="27839" xr:uid="{316E5861-F88C-4EEB-B98C-3B6C041A0107}"/>
    <cellStyle name="Currency 5 5 8" xfId="2739" xr:uid="{00000000-0005-0000-0000-0000660D0000}"/>
    <cellStyle name="Currency 5 5 9" xfId="2820" xr:uid="{00000000-0005-0000-0000-0000670D0000}"/>
    <cellStyle name="Currency 5 5 9 2" xfId="7043" xr:uid="{00000000-0005-0000-0000-0000680D0000}"/>
    <cellStyle name="Currency 5 5 9 2 2" xfId="15493" xr:uid="{9BD3B51B-AABA-4BBA-9B5A-DFEC53C765F6}"/>
    <cellStyle name="Currency 5 5 9 2 3" xfId="23933" xr:uid="{71A93B2D-634B-4E9E-9483-06224CD3C8AE}"/>
    <cellStyle name="Currency 5 5 9 2 4" xfId="32373" xr:uid="{8C7BBDD4-3303-49B2-9F33-BF7D71A09956}"/>
    <cellStyle name="Currency 5 5 9 3" xfId="11275" xr:uid="{FBDB5FDF-953C-4DB0-A502-9AEBC4D71D04}"/>
    <cellStyle name="Currency 5 5 9 4" xfId="19716" xr:uid="{BDF81815-327B-4773-BCBD-048110FF1FE0}"/>
    <cellStyle name="Currency 5 5 9 5" xfId="28156" xr:uid="{DDBEBB43-513A-473E-8280-CB4236112FB1}"/>
    <cellStyle name="Currency 5 6" xfId="221" xr:uid="{00000000-0005-0000-0000-0000690D0000}"/>
    <cellStyle name="Currency 5 6 10" xfId="8894" xr:uid="{51193B4D-F077-4E10-85A9-878D1443766F}"/>
    <cellStyle name="Currency 5 6 11" xfId="17335" xr:uid="{AEF4F120-2010-40A0-ADB2-73C241A3756D}"/>
    <cellStyle name="Currency 5 6 12" xfId="25775" xr:uid="{F94C27A6-1302-458F-B780-6DEF1FF21385}"/>
    <cellStyle name="Currency 5 6 2" xfId="747" xr:uid="{00000000-0005-0000-0000-00006A0D0000}"/>
    <cellStyle name="Currency 5 6 2 2" xfId="2999" xr:uid="{00000000-0005-0000-0000-00006B0D0000}"/>
    <cellStyle name="Currency 5 6 2 2 2" xfId="7221" xr:uid="{00000000-0005-0000-0000-00006C0D0000}"/>
    <cellStyle name="Currency 5 6 2 2 2 2" xfId="15671" xr:uid="{945BAEA0-EA0B-47EC-A604-D9D597C8C661}"/>
    <cellStyle name="Currency 5 6 2 2 2 3" xfId="24111" xr:uid="{D6BFF28D-18AB-4A0B-9837-F720668C0BD3}"/>
    <cellStyle name="Currency 5 6 2 2 2 4" xfId="32551" xr:uid="{4CC8505D-E6B0-4975-9D52-0B5A96DDEB49}"/>
    <cellStyle name="Currency 5 6 2 2 3" xfId="11453" xr:uid="{E907B3B0-24EA-4B9B-B409-8A8D8E5B33B1}"/>
    <cellStyle name="Currency 5 6 2 2 4" xfId="19894" xr:uid="{5EDD5615-4D65-4759-8917-2CBE8100C192}"/>
    <cellStyle name="Currency 5 6 2 2 5" xfId="28334" xr:uid="{4A878E7C-B293-43D1-9C75-1F0F10A70051}"/>
    <cellStyle name="Currency 5 6 2 3" xfId="5076" xr:uid="{00000000-0005-0000-0000-00006D0D0000}"/>
    <cellStyle name="Currency 5 6 2 3 2" xfId="13526" xr:uid="{B41D54D4-4B37-4F97-839A-6262EF19E518}"/>
    <cellStyle name="Currency 5 6 2 3 3" xfId="21966" xr:uid="{49F25ECE-A87F-4DF7-A5DE-B8EB2D5E4701}"/>
    <cellStyle name="Currency 5 6 2 3 4" xfId="30406" xr:uid="{DD419265-2DEC-4816-B31C-F8417246FF61}"/>
    <cellStyle name="Currency 5 6 2 4" xfId="9308" xr:uid="{0BE9C65A-8D74-496E-8345-9933FEBB7C05}"/>
    <cellStyle name="Currency 5 6 2 5" xfId="17749" xr:uid="{6F8112B2-9503-4598-8D30-7D6663897264}"/>
    <cellStyle name="Currency 5 6 2 6" xfId="26189" xr:uid="{DAA033B3-43A6-43C8-8482-E0C9F73089C2}"/>
    <cellStyle name="Currency 5 6 3" xfId="1181" xr:uid="{00000000-0005-0000-0000-00006E0D0000}"/>
    <cellStyle name="Currency 5 6 3 2" xfId="3412" xr:uid="{00000000-0005-0000-0000-00006F0D0000}"/>
    <cellStyle name="Currency 5 6 3 2 2" xfId="7634" xr:uid="{00000000-0005-0000-0000-0000700D0000}"/>
    <cellStyle name="Currency 5 6 3 2 2 2" xfId="16084" xr:uid="{F4BCE1B8-C9DB-49C0-9645-708D38BDA1CA}"/>
    <cellStyle name="Currency 5 6 3 2 2 3" xfId="24524" xr:uid="{0D2D20BC-7758-471F-9168-5B19A76282C8}"/>
    <cellStyle name="Currency 5 6 3 2 2 4" xfId="32964" xr:uid="{3065AA88-ED4E-4A10-ACCA-D33D86F8288A}"/>
    <cellStyle name="Currency 5 6 3 2 3" xfId="11866" xr:uid="{E63392D1-0E8D-4C85-B655-60E8840B3632}"/>
    <cellStyle name="Currency 5 6 3 2 4" xfId="20307" xr:uid="{934C223C-0BF6-4ACA-8120-9DFD711AFCD7}"/>
    <cellStyle name="Currency 5 6 3 2 5" xfId="28747" xr:uid="{19C015A2-B277-45B2-A9E4-122D6C22F6B8}"/>
    <cellStyle name="Currency 5 6 3 3" xfId="5489" xr:uid="{00000000-0005-0000-0000-0000710D0000}"/>
    <cellStyle name="Currency 5 6 3 3 2" xfId="13939" xr:uid="{1A1FF67B-1F84-40B3-AD6E-31EC7233B123}"/>
    <cellStyle name="Currency 5 6 3 3 3" xfId="22379" xr:uid="{6E3C36F4-9533-48AD-AF6D-644002492998}"/>
    <cellStyle name="Currency 5 6 3 3 4" xfId="30819" xr:uid="{4E4552DF-634A-4697-B3BA-9DB9954B1626}"/>
    <cellStyle name="Currency 5 6 3 4" xfId="9721" xr:uid="{2917E137-5D3C-4F19-99EB-0CE50700E838}"/>
    <cellStyle name="Currency 5 6 3 5" xfId="18162" xr:uid="{4396296A-D8EA-4387-B540-8B3B0B79B2A7}"/>
    <cellStyle name="Currency 5 6 3 6" xfId="26602" xr:uid="{4BD27F52-91D8-4FD7-9D5B-101CFA345176}"/>
    <cellStyle name="Currency 5 6 4" xfId="1595" xr:uid="{00000000-0005-0000-0000-0000720D0000}"/>
    <cellStyle name="Currency 5 6 4 2" xfId="3825" xr:uid="{00000000-0005-0000-0000-0000730D0000}"/>
    <cellStyle name="Currency 5 6 4 2 2" xfId="8047" xr:uid="{00000000-0005-0000-0000-0000740D0000}"/>
    <cellStyle name="Currency 5 6 4 2 2 2" xfId="16497" xr:uid="{18863017-16BF-4CBA-8760-8D0C809DA8A6}"/>
    <cellStyle name="Currency 5 6 4 2 2 3" xfId="24937" xr:uid="{23742D4B-812F-4DE4-B663-823CB1C766E5}"/>
    <cellStyle name="Currency 5 6 4 2 2 4" xfId="33377" xr:uid="{C7A98AF0-25F9-4B62-B86C-03E691164374}"/>
    <cellStyle name="Currency 5 6 4 2 3" xfId="12279" xr:uid="{D643B215-0C5D-4107-8E79-09A737ABC447}"/>
    <cellStyle name="Currency 5 6 4 2 4" xfId="20720" xr:uid="{8F517BB8-ECEA-4C40-AA1C-7D794E995D80}"/>
    <cellStyle name="Currency 5 6 4 2 5" xfId="29160" xr:uid="{459E2008-042F-4B4B-B37B-434279682EE3}"/>
    <cellStyle name="Currency 5 6 4 3" xfId="5902" xr:uid="{00000000-0005-0000-0000-0000750D0000}"/>
    <cellStyle name="Currency 5 6 4 3 2" xfId="14352" xr:uid="{53006F69-DFA6-43B5-AF2F-0C4C834A2E31}"/>
    <cellStyle name="Currency 5 6 4 3 3" xfId="22792" xr:uid="{5E558BE4-D430-443B-9D7B-E2B59A9FDBAD}"/>
    <cellStyle name="Currency 5 6 4 3 4" xfId="31232" xr:uid="{B1AF88C6-2D0E-4BE3-975D-8910EE30C7DF}"/>
    <cellStyle name="Currency 5 6 4 4" xfId="10134" xr:uid="{C7E2D008-7D3F-444E-8013-DAE184BF380F}"/>
    <cellStyle name="Currency 5 6 4 5" xfId="18575" xr:uid="{6016488D-967D-490E-8C93-33DF39B46A1E}"/>
    <cellStyle name="Currency 5 6 4 6" xfId="27015" xr:uid="{E1B5FEFF-EEEB-432C-A6E8-D6DE549F9C30}"/>
    <cellStyle name="Currency 5 6 5" xfId="2009" xr:uid="{00000000-0005-0000-0000-0000760D0000}"/>
    <cellStyle name="Currency 5 6 5 2" xfId="4238" xr:uid="{00000000-0005-0000-0000-0000770D0000}"/>
    <cellStyle name="Currency 5 6 5 2 2" xfId="8460" xr:uid="{00000000-0005-0000-0000-0000780D0000}"/>
    <cellStyle name="Currency 5 6 5 2 2 2" xfId="16910" xr:uid="{514D29D8-13F7-457A-B1DB-343880EB6A35}"/>
    <cellStyle name="Currency 5 6 5 2 2 3" xfId="25350" xr:uid="{4BAB8B2E-AE1B-4F07-82E3-86E83CB7B302}"/>
    <cellStyle name="Currency 5 6 5 2 2 4" xfId="33790" xr:uid="{C533416C-B48D-4FA4-9550-12CD583F7BF1}"/>
    <cellStyle name="Currency 5 6 5 2 3" xfId="12692" xr:uid="{33F7AD46-E8BA-4BE3-906B-181E2370CA1C}"/>
    <cellStyle name="Currency 5 6 5 2 4" xfId="21133" xr:uid="{71B58BDB-14BA-4BB4-B6FA-A887777FA5BF}"/>
    <cellStyle name="Currency 5 6 5 2 5" xfId="29573" xr:uid="{7ABC9090-55DA-4D0F-9639-90DAF054CEE4}"/>
    <cellStyle name="Currency 5 6 5 3" xfId="6315" xr:uid="{00000000-0005-0000-0000-0000790D0000}"/>
    <cellStyle name="Currency 5 6 5 3 2" xfId="14765" xr:uid="{C06D709C-1B2F-4081-B5F9-135D508CD123}"/>
    <cellStyle name="Currency 5 6 5 3 3" xfId="23205" xr:uid="{836FD4E5-BB0C-432F-8C36-71F7A17D6DE8}"/>
    <cellStyle name="Currency 5 6 5 3 4" xfId="31645" xr:uid="{A184C73A-F76E-4930-9DC3-62846ADBED06}"/>
    <cellStyle name="Currency 5 6 5 4" xfId="10547" xr:uid="{3593B9CF-6311-4C94-B3B4-1BAA2F67F925}"/>
    <cellStyle name="Currency 5 6 5 5" xfId="18988" xr:uid="{D9C5A8F4-4BA0-45C0-984F-10B0B4DE4E8C}"/>
    <cellStyle name="Currency 5 6 5 6" xfId="27428" xr:uid="{77415B02-0963-4DC4-8852-A7571EBC2AC4}"/>
    <cellStyle name="Currency 5 6 6" xfId="2444" xr:uid="{00000000-0005-0000-0000-00007A0D0000}"/>
    <cellStyle name="Currency 5 6 6 2" xfId="6728" xr:uid="{00000000-0005-0000-0000-00007B0D0000}"/>
    <cellStyle name="Currency 5 6 6 2 2" xfId="15178" xr:uid="{E75DDC8C-343D-494A-B2D0-1EB626ACBEC9}"/>
    <cellStyle name="Currency 5 6 6 2 3" xfId="23618" xr:uid="{E16A644A-C83A-45C6-96D7-6900A4223D12}"/>
    <cellStyle name="Currency 5 6 6 2 4" xfId="32058" xr:uid="{CD19195C-A2CB-4ABF-ADB2-158D888CA59C}"/>
    <cellStyle name="Currency 5 6 6 3" xfId="10960" xr:uid="{443D34EC-F265-4428-BB8F-23E35F8BCDF4}"/>
    <cellStyle name="Currency 5 6 6 4" xfId="19401" xr:uid="{EDF7EA94-CAC9-446B-8C1D-ABF1B942D466}"/>
    <cellStyle name="Currency 5 6 6 5" xfId="27841" xr:uid="{1C685824-573C-4525-AAE2-2CCC09C1C79C}"/>
    <cellStyle name="Currency 5 6 7" xfId="2741" xr:uid="{00000000-0005-0000-0000-00007C0D0000}"/>
    <cellStyle name="Currency 5 6 8" xfId="2822" xr:uid="{00000000-0005-0000-0000-00007D0D0000}"/>
    <cellStyle name="Currency 5 6 8 2" xfId="7045" xr:uid="{00000000-0005-0000-0000-00007E0D0000}"/>
    <cellStyle name="Currency 5 6 8 2 2" xfId="15495" xr:uid="{930F43DA-9334-4208-B883-D62A55114B74}"/>
    <cellStyle name="Currency 5 6 8 2 3" xfId="23935" xr:uid="{0255290C-23DF-46B8-84BF-65371EE42C29}"/>
    <cellStyle name="Currency 5 6 8 2 4" xfId="32375" xr:uid="{D2AED212-D44A-4878-947B-C7FDCEB2AE0F}"/>
    <cellStyle name="Currency 5 6 8 3" xfId="11277" xr:uid="{470C3D3C-93B3-4C16-A538-1D82DCB50FE5}"/>
    <cellStyle name="Currency 5 6 8 4" xfId="19718" xr:uid="{5959A675-D13E-4F7D-814A-F87657782F23}"/>
    <cellStyle name="Currency 5 6 8 5" xfId="28158" xr:uid="{205B8164-D132-45A4-BB9E-F446BDB4A9C0}"/>
    <cellStyle name="Currency 5 6 9" xfId="4662" xr:uid="{00000000-0005-0000-0000-00007F0D0000}"/>
    <cellStyle name="Currency 5 6 9 2" xfId="13112" xr:uid="{1F3F4CA6-74AC-4CFE-A2AA-AB0295507023}"/>
    <cellStyle name="Currency 5 6 9 3" xfId="21552" xr:uid="{DADC4D86-4BB4-42D0-ACF0-87918E8EDDAB}"/>
    <cellStyle name="Currency 5 6 9 4" xfId="29992" xr:uid="{C6AC601A-5541-4939-9B99-13C3EBDAF89F}"/>
    <cellStyle name="Currency 5 7" xfId="222" xr:uid="{00000000-0005-0000-0000-0000800D0000}"/>
    <cellStyle name="Currency 5 7 10" xfId="8895" xr:uid="{102F92BE-754B-41F2-9115-95EE19243034}"/>
    <cellStyle name="Currency 5 7 11" xfId="17336" xr:uid="{9E2434FD-787A-425B-810D-595283D956E9}"/>
    <cellStyle name="Currency 5 7 12" xfId="25776" xr:uid="{8CAB599A-E584-4014-88A7-A31EA1CBECB3}"/>
    <cellStyle name="Currency 5 7 2" xfId="748" xr:uid="{00000000-0005-0000-0000-0000810D0000}"/>
    <cellStyle name="Currency 5 7 2 2" xfId="3000" xr:uid="{00000000-0005-0000-0000-0000820D0000}"/>
    <cellStyle name="Currency 5 7 2 2 2" xfId="7222" xr:uid="{00000000-0005-0000-0000-0000830D0000}"/>
    <cellStyle name="Currency 5 7 2 2 2 2" xfId="15672" xr:uid="{84C19345-B9B1-4D70-BE8A-BFBDA2628577}"/>
    <cellStyle name="Currency 5 7 2 2 2 3" xfId="24112" xr:uid="{D497390B-8D6B-42DC-823B-7CF11A93E386}"/>
    <cellStyle name="Currency 5 7 2 2 2 4" xfId="32552" xr:uid="{5AFBF3BA-BBE9-4B7E-AE7F-1032758521C3}"/>
    <cellStyle name="Currency 5 7 2 2 3" xfId="11454" xr:uid="{64C2A246-677B-4F9B-A884-513E8B923828}"/>
    <cellStyle name="Currency 5 7 2 2 4" xfId="19895" xr:uid="{75B43E85-8AE5-4F9E-8BE6-6936BADFE305}"/>
    <cellStyle name="Currency 5 7 2 2 5" xfId="28335" xr:uid="{B0161CF3-81B7-4A03-A8D1-E926FDB5D0B7}"/>
    <cellStyle name="Currency 5 7 2 3" xfId="5077" xr:uid="{00000000-0005-0000-0000-0000840D0000}"/>
    <cellStyle name="Currency 5 7 2 3 2" xfId="13527" xr:uid="{EF8CD393-D6C8-45AC-957B-8FBE94720756}"/>
    <cellStyle name="Currency 5 7 2 3 3" xfId="21967" xr:uid="{C8CB0AD4-F353-4C0E-A221-06FEA9B86F9D}"/>
    <cellStyle name="Currency 5 7 2 3 4" xfId="30407" xr:uid="{769777CE-D371-44DB-A7D7-C3B7A701934B}"/>
    <cellStyle name="Currency 5 7 2 4" xfId="9309" xr:uid="{2AED42ED-A225-4638-864A-3D73C8DE45C5}"/>
    <cellStyle name="Currency 5 7 2 5" xfId="17750" xr:uid="{760E3166-C03D-4DD5-A125-CC0F887964AD}"/>
    <cellStyle name="Currency 5 7 2 6" xfId="26190" xr:uid="{1C03A974-A4AC-4103-9A9C-5FC472A246E4}"/>
    <cellStyle name="Currency 5 7 3" xfId="1182" xr:uid="{00000000-0005-0000-0000-0000850D0000}"/>
    <cellStyle name="Currency 5 7 3 2" xfId="3413" xr:uid="{00000000-0005-0000-0000-0000860D0000}"/>
    <cellStyle name="Currency 5 7 3 2 2" xfId="7635" xr:uid="{00000000-0005-0000-0000-0000870D0000}"/>
    <cellStyle name="Currency 5 7 3 2 2 2" xfId="16085" xr:uid="{BEC2289D-13DC-4CB5-8140-DEE6F80A2CDF}"/>
    <cellStyle name="Currency 5 7 3 2 2 3" xfId="24525" xr:uid="{C10911D2-535D-4F8C-9856-9D99D72F14EE}"/>
    <cellStyle name="Currency 5 7 3 2 2 4" xfId="32965" xr:uid="{B8BAB85F-46AA-4A05-A98D-878B1B272282}"/>
    <cellStyle name="Currency 5 7 3 2 3" xfId="11867" xr:uid="{CED9F0E4-481B-4D17-9A73-439CACA33FF5}"/>
    <cellStyle name="Currency 5 7 3 2 4" xfId="20308" xr:uid="{CA7A5A57-A6D8-4E2A-837A-8761F0DDD8E6}"/>
    <cellStyle name="Currency 5 7 3 2 5" xfId="28748" xr:uid="{B5331500-1C3A-4BFB-B815-DB93B1DEE313}"/>
    <cellStyle name="Currency 5 7 3 3" xfId="5490" xr:uid="{00000000-0005-0000-0000-0000880D0000}"/>
    <cellStyle name="Currency 5 7 3 3 2" xfId="13940" xr:uid="{4D3A8349-FAAC-4349-97B4-33B09B9DB817}"/>
    <cellStyle name="Currency 5 7 3 3 3" xfId="22380" xr:uid="{0EE23792-5110-4BD7-AA50-586B0B5B92F3}"/>
    <cellStyle name="Currency 5 7 3 3 4" xfId="30820" xr:uid="{4DA4B81A-2CD0-45B5-B9A6-1E81B7312342}"/>
    <cellStyle name="Currency 5 7 3 4" xfId="9722" xr:uid="{3B24D1F7-3608-4689-B635-79938B173505}"/>
    <cellStyle name="Currency 5 7 3 5" xfId="18163" xr:uid="{28E92E94-E086-4237-99C8-32B00226E30D}"/>
    <cellStyle name="Currency 5 7 3 6" xfId="26603" xr:uid="{2C53D68B-F165-40CE-BFE3-531DA34FD849}"/>
    <cellStyle name="Currency 5 7 4" xfId="1596" xr:uid="{00000000-0005-0000-0000-0000890D0000}"/>
    <cellStyle name="Currency 5 7 4 2" xfId="3826" xr:uid="{00000000-0005-0000-0000-00008A0D0000}"/>
    <cellStyle name="Currency 5 7 4 2 2" xfId="8048" xr:uid="{00000000-0005-0000-0000-00008B0D0000}"/>
    <cellStyle name="Currency 5 7 4 2 2 2" xfId="16498" xr:uid="{ABF09D50-A3EF-439A-8B6B-DFF18E03837B}"/>
    <cellStyle name="Currency 5 7 4 2 2 3" xfId="24938" xr:uid="{324B6AB2-9B59-4B6F-A8DE-80D159E4C622}"/>
    <cellStyle name="Currency 5 7 4 2 2 4" xfId="33378" xr:uid="{50D1E9DC-4AA1-4396-BBE2-D26A457E405C}"/>
    <cellStyle name="Currency 5 7 4 2 3" xfId="12280" xr:uid="{743D8900-203E-4708-A36B-C1AF2F5B76BB}"/>
    <cellStyle name="Currency 5 7 4 2 4" xfId="20721" xr:uid="{6DB1D22D-CDB0-4317-A831-1F61BAA6C0C3}"/>
    <cellStyle name="Currency 5 7 4 2 5" xfId="29161" xr:uid="{D17E5795-0BAC-40C7-98A4-D713E7860E41}"/>
    <cellStyle name="Currency 5 7 4 3" xfId="5903" xr:uid="{00000000-0005-0000-0000-00008C0D0000}"/>
    <cellStyle name="Currency 5 7 4 3 2" xfId="14353" xr:uid="{DB39BDAE-6203-4216-B5A8-6965363E102D}"/>
    <cellStyle name="Currency 5 7 4 3 3" xfId="22793" xr:uid="{2A706B63-F7D6-42A0-8860-EAF91D57E7EB}"/>
    <cellStyle name="Currency 5 7 4 3 4" xfId="31233" xr:uid="{F89B2A67-DBE1-41BD-B10F-1428C2A18CD6}"/>
    <cellStyle name="Currency 5 7 4 4" xfId="10135" xr:uid="{1F54B69A-7DD2-43D1-8D24-488AA503DD6F}"/>
    <cellStyle name="Currency 5 7 4 5" xfId="18576" xr:uid="{2F91BC76-5D6F-49C6-BF8F-9B4631F93149}"/>
    <cellStyle name="Currency 5 7 4 6" xfId="27016" xr:uid="{106C37C1-D8F9-49B4-A817-83857122F561}"/>
    <cellStyle name="Currency 5 7 5" xfId="2010" xr:uid="{00000000-0005-0000-0000-00008D0D0000}"/>
    <cellStyle name="Currency 5 7 5 2" xfId="4239" xr:uid="{00000000-0005-0000-0000-00008E0D0000}"/>
    <cellStyle name="Currency 5 7 5 2 2" xfId="8461" xr:uid="{00000000-0005-0000-0000-00008F0D0000}"/>
    <cellStyle name="Currency 5 7 5 2 2 2" xfId="16911" xr:uid="{7081EDC1-1CFC-477F-8566-130F6D2BB477}"/>
    <cellStyle name="Currency 5 7 5 2 2 3" xfId="25351" xr:uid="{ED5B2610-BCCA-4B6E-8124-2C13A07DB699}"/>
    <cellStyle name="Currency 5 7 5 2 2 4" xfId="33791" xr:uid="{7AE5CC4A-56A0-471C-B0E0-FD18B7D19371}"/>
    <cellStyle name="Currency 5 7 5 2 3" xfId="12693" xr:uid="{9F3BCD90-AB96-4026-8CCF-F3425CD8829D}"/>
    <cellStyle name="Currency 5 7 5 2 4" xfId="21134" xr:uid="{9F79552C-4E61-42C4-B901-73A00AD306B6}"/>
    <cellStyle name="Currency 5 7 5 2 5" xfId="29574" xr:uid="{BC235E5D-FC22-48EF-AD9A-E0BF3EDB76CB}"/>
    <cellStyle name="Currency 5 7 5 3" xfId="6316" xr:uid="{00000000-0005-0000-0000-0000900D0000}"/>
    <cellStyle name="Currency 5 7 5 3 2" xfId="14766" xr:uid="{07578BB9-20C2-488D-A461-4C275E5CA80F}"/>
    <cellStyle name="Currency 5 7 5 3 3" xfId="23206" xr:uid="{73F0C489-F50D-45B3-B97C-B0C6B9285035}"/>
    <cellStyle name="Currency 5 7 5 3 4" xfId="31646" xr:uid="{1E186FF6-C864-4039-9C93-19243101350D}"/>
    <cellStyle name="Currency 5 7 5 4" xfId="10548" xr:uid="{110C6017-9DF0-4D71-B055-0C6A4E0BFC2C}"/>
    <cellStyle name="Currency 5 7 5 5" xfId="18989" xr:uid="{422F62BC-D2D1-4A85-889B-A3EA3750CCA6}"/>
    <cellStyle name="Currency 5 7 5 6" xfId="27429" xr:uid="{DBD29C9D-8664-4DBE-971E-0EB5C2B8E20C}"/>
    <cellStyle name="Currency 5 7 6" xfId="2445" xr:uid="{00000000-0005-0000-0000-0000910D0000}"/>
    <cellStyle name="Currency 5 7 6 2" xfId="6729" xr:uid="{00000000-0005-0000-0000-0000920D0000}"/>
    <cellStyle name="Currency 5 7 6 2 2" xfId="15179" xr:uid="{05DB31B8-90D0-4B51-937F-E94E2E1F0D21}"/>
    <cellStyle name="Currency 5 7 6 2 3" xfId="23619" xr:uid="{E9BA8F4C-5C83-4212-8EEA-72715528A26E}"/>
    <cellStyle name="Currency 5 7 6 2 4" xfId="32059" xr:uid="{D2B39903-5C74-43A5-8E2F-D372730BBA6E}"/>
    <cellStyle name="Currency 5 7 6 3" xfId="10961" xr:uid="{DE3162AD-923E-42E1-9556-DA42881E271F}"/>
    <cellStyle name="Currency 5 7 6 4" xfId="19402" xr:uid="{AC753059-93DB-4DE7-BDED-BA230BD30CF0}"/>
    <cellStyle name="Currency 5 7 6 5" xfId="27842" xr:uid="{D1042B60-30D2-4C58-BB6B-19340154CC62}"/>
    <cellStyle name="Currency 5 7 7" xfId="2742" xr:uid="{00000000-0005-0000-0000-0000930D0000}"/>
    <cellStyle name="Currency 5 7 8" xfId="2823" xr:uid="{00000000-0005-0000-0000-0000940D0000}"/>
    <cellStyle name="Currency 5 7 8 2" xfId="7046" xr:uid="{00000000-0005-0000-0000-0000950D0000}"/>
    <cellStyle name="Currency 5 7 8 2 2" xfId="15496" xr:uid="{EC517EE3-6FC2-49CE-A253-1DA2218D7789}"/>
    <cellStyle name="Currency 5 7 8 2 3" xfId="23936" xr:uid="{A3134C10-8D42-48AF-9A43-EF0D5546C43E}"/>
    <cellStyle name="Currency 5 7 8 2 4" xfId="32376" xr:uid="{CB805176-B2B4-4F2F-8CBE-C9294C7B2505}"/>
    <cellStyle name="Currency 5 7 8 3" xfId="11278" xr:uid="{25C581E1-A24D-4685-BECA-12E6E6C8B0A6}"/>
    <cellStyle name="Currency 5 7 8 4" xfId="19719" xr:uid="{0ABDA39A-5B28-46F0-8A29-44293D89307B}"/>
    <cellStyle name="Currency 5 7 8 5" xfId="28159" xr:uid="{0544A144-8BD9-4552-B0EA-6A7E1F16C7D6}"/>
    <cellStyle name="Currency 5 7 9" xfId="4663" xr:uid="{00000000-0005-0000-0000-0000960D0000}"/>
    <cellStyle name="Currency 5 7 9 2" xfId="13113" xr:uid="{B427B834-9B62-491F-9C7A-1ACD8266D65B}"/>
    <cellStyle name="Currency 5 7 9 3" xfId="21553" xr:uid="{785E085D-E967-44A4-8B2C-A1500CF27A21}"/>
    <cellStyle name="Currency 5 7 9 4" xfId="29993" xr:uid="{6B6E34C0-EAC8-4695-A2AF-5ACF734C8E9F}"/>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0 2 2" xfId="15180" xr:uid="{5BC035F1-1A57-4986-9A4E-F4817BC40436}"/>
    <cellStyle name="Normal 12 10 2 3" xfId="23620" xr:uid="{06DC0AD5-2AEB-4852-AA22-BB54797529B2}"/>
    <cellStyle name="Normal 12 10 2 4" xfId="32060" xr:uid="{5F084FE9-AC25-4864-898B-897DC7E2AFBE}"/>
    <cellStyle name="Normal 12 10 3" xfId="10962" xr:uid="{1D320140-3D38-4837-881E-6D471553DC44}"/>
    <cellStyle name="Normal 12 10 4" xfId="19403" xr:uid="{0B646FFD-BC7A-41C1-94F5-DBD2C4491D42}"/>
    <cellStyle name="Normal 12 10 5" xfId="27843" xr:uid="{894FEB68-D8C2-4F99-91B6-6EE50D80CA0E}"/>
    <cellStyle name="Normal 12 11" xfId="4664" xr:uid="{00000000-0005-0000-0000-0000CC0D0000}"/>
    <cellStyle name="Normal 12 11 2" xfId="13114" xr:uid="{47286906-C98E-4602-8E2A-06937F9D034A}"/>
    <cellStyle name="Normal 12 11 3" xfId="21554" xr:uid="{1376D38F-B07E-4E9A-B3D4-2FE540CBB86D}"/>
    <cellStyle name="Normal 12 11 4" xfId="29994" xr:uid="{0EF775E6-E662-4EE9-A073-65123743CCC9}"/>
    <cellStyle name="Normal 12 12" xfId="8896" xr:uid="{B91E9A08-7641-44B4-9278-A474A6B7B25C}"/>
    <cellStyle name="Normal 12 13" xfId="17337" xr:uid="{B9481BA2-47E6-4CF4-99C7-EEF17A09D83D}"/>
    <cellStyle name="Normal 12 14" xfId="25777" xr:uid="{465B968F-7FE6-42E9-BA09-294C7B679F06}"/>
    <cellStyle name="Normal 12 2" xfId="260" xr:uid="{00000000-0005-0000-0000-0000CD0D0000}"/>
    <cellStyle name="Normal 12 2 10" xfId="8897" xr:uid="{444AD4CC-0D28-4A65-865B-A411A9038C7B}"/>
    <cellStyle name="Normal 12 2 11" xfId="17338" xr:uid="{A1663E4B-5974-4A34-BD89-FA61FF95E3C6}"/>
    <cellStyle name="Normal 12 2 12" xfId="25778" xr:uid="{6BF13855-E2C5-451A-8DCE-BF5EC622C9E3}"/>
    <cellStyle name="Normal 12 2 2" xfId="261" xr:uid="{00000000-0005-0000-0000-0000CE0D0000}"/>
    <cellStyle name="Normal 12 2 2 10" xfId="17339" xr:uid="{585B8834-1124-4F11-AC6D-F4511497BFBB}"/>
    <cellStyle name="Normal 12 2 2 11" xfId="25779" xr:uid="{A86C4F08-39C7-4A47-91F5-50A2D9C8ED87}"/>
    <cellStyle name="Normal 12 2 2 2" xfId="262" xr:uid="{00000000-0005-0000-0000-0000CF0D0000}"/>
    <cellStyle name="Normal 12 2 2 2 10" xfId="25780" xr:uid="{1836758E-A37A-4752-8A13-3F201ACAB3BB}"/>
    <cellStyle name="Normal 12 2 2 2 2" xfId="763" xr:uid="{00000000-0005-0000-0000-0000D00D0000}"/>
    <cellStyle name="Normal 12 2 2 2 2 2" xfId="3004" xr:uid="{00000000-0005-0000-0000-0000D10D0000}"/>
    <cellStyle name="Normal 12 2 2 2 2 2 2" xfId="7226" xr:uid="{00000000-0005-0000-0000-0000D20D0000}"/>
    <cellStyle name="Normal 12 2 2 2 2 2 2 2" xfId="15676" xr:uid="{D55565F5-F033-4481-BEAC-F9399A5F141F}"/>
    <cellStyle name="Normal 12 2 2 2 2 2 2 3" xfId="24116" xr:uid="{8669E40D-36F4-4120-8F20-99815C9268F5}"/>
    <cellStyle name="Normal 12 2 2 2 2 2 2 4" xfId="32556" xr:uid="{580982DE-F978-4D50-81A4-5AAB6ACE97D0}"/>
    <cellStyle name="Normal 12 2 2 2 2 2 3" xfId="11458" xr:uid="{73EE5472-5BD7-4C60-96AA-A2931DCA98E3}"/>
    <cellStyle name="Normal 12 2 2 2 2 2 4" xfId="19899" xr:uid="{2A84FEDE-6D8F-4B1E-8344-6B694881E39A}"/>
    <cellStyle name="Normal 12 2 2 2 2 2 5" xfId="28339" xr:uid="{F4BB251E-E696-4616-90CF-5C1CD87427DD}"/>
    <cellStyle name="Normal 12 2 2 2 2 3" xfId="5081" xr:uid="{00000000-0005-0000-0000-0000D30D0000}"/>
    <cellStyle name="Normal 12 2 2 2 2 3 2" xfId="13531" xr:uid="{27A7E971-699C-40F6-A7AD-7AC878022676}"/>
    <cellStyle name="Normal 12 2 2 2 2 3 3" xfId="21971" xr:uid="{ABED1C04-5E26-4AAE-B61D-887E5A7BE34D}"/>
    <cellStyle name="Normal 12 2 2 2 2 3 4" xfId="30411" xr:uid="{3B75FB01-2517-4BD8-AC9A-3B70BBAC29A4}"/>
    <cellStyle name="Normal 12 2 2 2 2 4" xfId="9313" xr:uid="{C8D53336-FA32-4295-B6CF-79F13C394B2D}"/>
    <cellStyle name="Normal 12 2 2 2 2 5" xfId="17754" xr:uid="{1D6F1635-AD4B-4C05-8461-AC2F5AAFC3A0}"/>
    <cellStyle name="Normal 12 2 2 2 2 6" xfId="26194" xr:uid="{7C18EB75-D277-4277-A454-3124C30E345E}"/>
    <cellStyle name="Normal 12 2 2 2 3" xfId="1186" xr:uid="{00000000-0005-0000-0000-0000D40D0000}"/>
    <cellStyle name="Normal 12 2 2 2 3 2" xfId="3417" xr:uid="{00000000-0005-0000-0000-0000D50D0000}"/>
    <cellStyle name="Normal 12 2 2 2 3 2 2" xfId="7639" xr:uid="{00000000-0005-0000-0000-0000D60D0000}"/>
    <cellStyle name="Normal 12 2 2 2 3 2 2 2" xfId="16089" xr:uid="{3F246D5E-1399-44AD-9747-3A0F29255725}"/>
    <cellStyle name="Normal 12 2 2 2 3 2 2 3" xfId="24529" xr:uid="{975BF56C-CF73-4BA9-84F7-19B10D66FE4D}"/>
    <cellStyle name="Normal 12 2 2 2 3 2 2 4" xfId="32969" xr:uid="{D5FD0F29-2731-40F2-8EE5-DB99AF3EBC52}"/>
    <cellStyle name="Normal 12 2 2 2 3 2 3" xfId="11871" xr:uid="{7A9BB7AD-6C04-4A00-BF10-B5B0F4CC1449}"/>
    <cellStyle name="Normal 12 2 2 2 3 2 4" xfId="20312" xr:uid="{4FD2C489-9C20-4963-97E6-CD079EBE22BC}"/>
    <cellStyle name="Normal 12 2 2 2 3 2 5" xfId="28752" xr:uid="{942088C8-5081-41BA-BC17-3E37EEAC2C70}"/>
    <cellStyle name="Normal 12 2 2 2 3 3" xfId="5494" xr:uid="{00000000-0005-0000-0000-0000D70D0000}"/>
    <cellStyle name="Normal 12 2 2 2 3 3 2" xfId="13944" xr:uid="{3E46A592-95FB-41AB-9B13-BCADADAA10C3}"/>
    <cellStyle name="Normal 12 2 2 2 3 3 3" xfId="22384" xr:uid="{ED4DA1DC-B682-4240-BEA3-7B9C256C98C7}"/>
    <cellStyle name="Normal 12 2 2 2 3 3 4" xfId="30824" xr:uid="{4D37C46A-5BF9-4849-9CB9-7371446E4AF5}"/>
    <cellStyle name="Normal 12 2 2 2 3 4" xfId="9726" xr:uid="{1CAA8195-B71E-47C5-A388-C44FFED03A7B}"/>
    <cellStyle name="Normal 12 2 2 2 3 5" xfId="18167" xr:uid="{812ACDB6-040A-4ADF-B88C-41F3BBA483B3}"/>
    <cellStyle name="Normal 12 2 2 2 3 6" xfId="26607" xr:uid="{B1D314A3-8AF5-4E6C-B191-2DBE836CDC76}"/>
    <cellStyle name="Normal 12 2 2 2 4" xfId="1600" xr:uid="{00000000-0005-0000-0000-0000D80D0000}"/>
    <cellStyle name="Normal 12 2 2 2 4 2" xfId="3830" xr:uid="{00000000-0005-0000-0000-0000D90D0000}"/>
    <cellStyle name="Normal 12 2 2 2 4 2 2" xfId="8052" xr:uid="{00000000-0005-0000-0000-0000DA0D0000}"/>
    <cellStyle name="Normal 12 2 2 2 4 2 2 2" xfId="16502" xr:uid="{EC9DAFA3-8DF1-4CE4-B786-D1D94334C0FF}"/>
    <cellStyle name="Normal 12 2 2 2 4 2 2 3" xfId="24942" xr:uid="{B30D9804-D69F-454D-90F2-B0C9505F99A6}"/>
    <cellStyle name="Normal 12 2 2 2 4 2 2 4" xfId="33382" xr:uid="{3AA2DE80-8937-4F4D-9072-729E3C9B52D3}"/>
    <cellStyle name="Normal 12 2 2 2 4 2 3" xfId="12284" xr:uid="{BED32C0F-8381-4554-A951-A2210A54E6A3}"/>
    <cellStyle name="Normal 12 2 2 2 4 2 4" xfId="20725" xr:uid="{B4B9BA85-F4AB-425F-BB47-D147E80567AD}"/>
    <cellStyle name="Normal 12 2 2 2 4 2 5" xfId="29165" xr:uid="{7479B720-43D3-4344-B6BC-55A4EE93E5DA}"/>
    <cellStyle name="Normal 12 2 2 2 4 3" xfId="5907" xr:uid="{00000000-0005-0000-0000-0000DB0D0000}"/>
    <cellStyle name="Normal 12 2 2 2 4 3 2" xfId="14357" xr:uid="{564F0ED3-A52F-4516-ADBC-5AAFC80EA411}"/>
    <cellStyle name="Normal 12 2 2 2 4 3 3" xfId="22797" xr:uid="{85F2178F-B528-4610-8E31-FF58475159D8}"/>
    <cellStyle name="Normal 12 2 2 2 4 3 4" xfId="31237" xr:uid="{19983197-C148-4650-962F-71398476DF17}"/>
    <cellStyle name="Normal 12 2 2 2 4 4" xfId="10139" xr:uid="{9272B2A6-D541-472A-AEA9-30041AF71DF6}"/>
    <cellStyle name="Normal 12 2 2 2 4 5" xfId="18580" xr:uid="{C4D78A37-9119-4A43-8891-58A438A93760}"/>
    <cellStyle name="Normal 12 2 2 2 4 6" xfId="27020" xr:uid="{8768DAB1-142D-408C-B08F-01F56377FAB6}"/>
    <cellStyle name="Normal 12 2 2 2 5" xfId="2014" xr:uid="{00000000-0005-0000-0000-0000DC0D0000}"/>
    <cellStyle name="Normal 12 2 2 2 5 2" xfId="4243" xr:uid="{00000000-0005-0000-0000-0000DD0D0000}"/>
    <cellStyle name="Normal 12 2 2 2 5 2 2" xfId="8465" xr:uid="{00000000-0005-0000-0000-0000DE0D0000}"/>
    <cellStyle name="Normal 12 2 2 2 5 2 2 2" xfId="16915" xr:uid="{4922B496-A7A2-41CF-9147-FBC353CA7F5C}"/>
    <cellStyle name="Normal 12 2 2 2 5 2 2 3" xfId="25355" xr:uid="{0594451D-1183-4AEA-8480-D68673F6CC57}"/>
    <cellStyle name="Normal 12 2 2 2 5 2 2 4" xfId="33795" xr:uid="{497E1748-AFDB-4F74-B3BA-3058FF6CFAED}"/>
    <cellStyle name="Normal 12 2 2 2 5 2 3" xfId="12697" xr:uid="{694E8D51-575A-42D7-9947-E8155913CAFE}"/>
    <cellStyle name="Normal 12 2 2 2 5 2 4" xfId="21138" xr:uid="{44102B90-17CC-45D2-8F06-C700070CFFA4}"/>
    <cellStyle name="Normal 12 2 2 2 5 2 5" xfId="29578" xr:uid="{316E5695-48ED-4AF7-AA27-A7C792891580}"/>
    <cellStyle name="Normal 12 2 2 2 5 3" xfId="6320" xr:uid="{00000000-0005-0000-0000-0000DF0D0000}"/>
    <cellStyle name="Normal 12 2 2 2 5 3 2" xfId="14770" xr:uid="{FBA8820A-FB18-4A23-8426-4A2D2E7A1309}"/>
    <cellStyle name="Normal 12 2 2 2 5 3 3" xfId="23210" xr:uid="{87ACC7F6-987B-4D19-9E7C-07C71A9B8656}"/>
    <cellStyle name="Normal 12 2 2 2 5 3 4" xfId="31650" xr:uid="{6CCE6F3D-0DC7-4E82-94CF-E0ACA923D31F}"/>
    <cellStyle name="Normal 12 2 2 2 5 4" xfId="10552" xr:uid="{0A15216B-4A01-4412-855B-D8AFCC7A23B0}"/>
    <cellStyle name="Normal 12 2 2 2 5 5" xfId="18993" xr:uid="{318938DB-9ED5-4861-9CC4-DFF6ECC171A5}"/>
    <cellStyle name="Normal 12 2 2 2 5 6" xfId="27433" xr:uid="{EE0E6C48-7AAE-45FE-BC9A-EBDDC4478C1A}"/>
    <cellStyle name="Normal 12 2 2 2 6" xfId="2450" xr:uid="{00000000-0005-0000-0000-0000E00D0000}"/>
    <cellStyle name="Normal 12 2 2 2 6 2" xfId="6733" xr:uid="{00000000-0005-0000-0000-0000E10D0000}"/>
    <cellStyle name="Normal 12 2 2 2 6 2 2" xfId="15183" xr:uid="{8AF899BE-6AA1-464A-A811-F6DC4336E5CC}"/>
    <cellStyle name="Normal 12 2 2 2 6 2 3" xfId="23623" xr:uid="{B5F9CBE0-C981-4C2F-A232-758425AF7A87}"/>
    <cellStyle name="Normal 12 2 2 2 6 2 4" xfId="32063" xr:uid="{86A1235B-4CBF-4367-8173-89A97AE4F5C0}"/>
    <cellStyle name="Normal 12 2 2 2 6 3" xfId="10965" xr:uid="{FE980A76-49EB-4DA2-8E81-5990FD1294C9}"/>
    <cellStyle name="Normal 12 2 2 2 6 4" xfId="19406" xr:uid="{CAA1B1F5-60C7-419A-9DA0-48EE5DD421DD}"/>
    <cellStyle name="Normal 12 2 2 2 6 5" xfId="27846" xr:uid="{44735DB0-5E89-45FA-A62B-B5A4BB8F2C09}"/>
    <cellStyle name="Normal 12 2 2 2 7" xfId="4667" xr:uid="{00000000-0005-0000-0000-0000E20D0000}"/>
    <cellStyle name="Normal 12 2 2 2 7 2" xfId="13117" xr:uid="{8AF927EA-4BCD-4643-82D1-7D365703270E}"/>
    <cellStyle name="Normal 12 2 2 2 7 3" xfId="21557" xr:uid="{A8A022EF-16C1-48B3-B75D-420283F0FB8D}"/>
    <cellStyle name="Normal 12 2 2 2 7 4" xfId="29997" xr:uid="{4B57677C-88CB-4A1E-9049-25654C399A24}"/>
    <cellStyle name="Normal 12 2 2 2 8" xfId="8899" xr:uid="{44D10B9E-40E0-4562-887C-05775C3B1689}"/>
    <cellStyle name="Normal 12 2 2 2 9" xfId="17340" xr:uid="{1587F20A-70E0-4CB8-8B87-AED25C2FDB4E}"/>
    <cellStyle name="Normal 12 2 2 3" xfId="762" xr:uid="{00000000-0005-0000-0000-0000E30D0000}"/>
    <cellStyle name="Normal 12 2 2 3 2" xfId="3003" xr:uid="{00000000-0005-0000-0000-0000E40D0000}"/>
    <cellStyle name="Normal 12 2 2 3 2 2" xfId="7225" xr:uid="{00000000-0005-0000-0000-0000E50D0000}"/>
    <cellStyle name="Normal 12 2 2 3 2 2 2" xfId="15675" xr:uid="{31FC3303-DE51-45B5-8011-676E7BFC76CB}"/>
    <cellStyle name="Normal 12 2 2 3 2 2 3" xfId="24115" xr:uid="{1ABDA0BA-371E-40CE-9473-D2526CD6A7AD}"/>
    <cellStyle name="Normal 12 2 2 3 2 2 4" xfId="32555" xr:uid="{66656236-812B-4EB2-95E7-63DD5543B7BB}"/>
    <cellStyle name="Normal 12 2 2 3 2 3" xfId="11457" xr:uid="{4F1F5A74-AE8C-48F9-A507-77EE52480D5C}"/>
    <cellStyle name="Normal 12 2 2 3 2 4" xfId="19898" xr:uid="{0F65CD34-D09C-4D32-8130-1162D838043C}"/>
    <cellStyle name="Normal 12 2 2 3 2 5" xfId="28338" xr:uid="{D72A66B4-4458-4A67-A92E-10C746E3EEA2}"/>
    <cellStyle name="Normal 12 2 2 3 3" xfId="5080" xr:uid="{00000000-0005-0000-0000-0000E60D0000}"/>
    <cellStyle name="Normal 12 2 2 3 3 2" xfId="13530" xr:uid="{70B64B63-A164-43F5-BC1C-BD027184800B}"/>
    <cellStyle name="Normal 12 2 2 3 3 3" xfId="21970" xr:uid="{DD309089-F1E7-426E-9F0D-DF4F8ADC7929}"/>
    <cellStyle name="Normal 12 2 2 3 3 4" xfId="30410" xr:uid="{5B3A0903-A018-434A-AB3D-A4CE0450F3EF}"/>
    <cellStyle name="Normal 12 2 2 3 4" xfId="9312" xr:uid="{5427D15D-F9F6-40D1-A6BC-D7712DEA6B81}"/>
    <cellStyle name="Normal 12 2 2 3 5" xfId="17753" xr:uid="{540E59B6-9EFB-442C-A6AD-154584D5528D}"/>
    <cellStyle name="Normal 12 2 2 3 6" xfId="26193" xr:uid="{E38986AE-1EA6-4981-AC9A-86D4AB941364}"/>
    <cellStyle name="Normal 12 2 2 4" xfId="1185" xr:uid="{00000000-0005-0000-0000-0000E70D0000}"/>
    <cellStyle name="Normal 12 2 2 4 2" xfId="3416" xr:uid="{00000000-0005-0000-0000-0000E80D0000}"/>
    <cellStyle name="Normal 12 2 2 4 2 2" xfId="7638" xr:uid="{00000000-0005-0000-0000-0000E90D0000}"/>
    <cellStyle name="Normal 12 2 2 4 2 2 2" xfId="16088" xr:uid="{1381D9B8-C02B-4307-832D-409B80CBFFF4}"/>
    <cellStyle name="Normal 12 2 2 4 2 2 3" xfId="24528" xr:uid="{6E88837F-12BB-4F52-BB66-858FDE2B3BED}"/>
    <cellStyle name="Normal 12 2 2 4 2 2 4" xfId="32968" xr:uid="{96FDA07B-A1CE-4B97-8995-BC6D9E6FF7E3}"/>
    <cellStyle name="Normal 12 2 2 4 2 3" xfId="11870" xr:uid="{7534F3B9-9B52-4D24-BB1E-8ADD58010155}"/>
    <cellStyle name="Normal 12 2 2 4 2 4" xfId="20311" xr:uid="{C1D588BD-DD0D-4736-894D-A24B85C71707}"/>
    <cellStyle name="Normal 12 2 2 4 2 5" xfId="28751" xr:uid="{95F5CF8D-ADE2-403F-987C-FAF3B04B47F6}"/>
    <cellStyle name="Normal 12 2 2 4 3" xfId="5493" xr:uid="{00000000-0005-0000-0000-0000EA0D0000}"/>
    <cellStyle name="Normal 12 2 2 4 3 2" xfId="13943" xr:uid="{6672A196-3C81-463C-8684-085B445EFA3E}"/>
    <cellStyle name="Normal 12 2 2 4 3 3" xfId="22383" xr:uid="{29245F46-6632-456A-ADAB-65807B8F0ED2}"/>
    <cellStyle name="Normal 12 2 2 4 3 4" xfId="30823" xr:uid="{7667F146-D089-469C-BAE6-FFEF60D95BC1}"/>
    <cellStyle name="Normal 12 2 2 4 4" xfId="9725" xr:uid="{59BF387C-E4A6-4760-BD2C-E71EEF9D68AA}"/>
    <cellStyle name="Normal 12 2 2 4 5" xfId="18166" xr:uid="{6A1CA5C9-86B6-475A-B91C-299B3E30FD90}"/>
    <cellStyle name="Normal 12 2 2 4 6" xfId="26606" xr:uid="{020065BE-9942-41D0-8548-D01AB38D777B}"/>
    <cellStyle name="Normal 12 2 2 5" xfId="1599" xr:uid="{00000000-0005-0000-0000-0000EB0D0000}"/>
    <cellStyle name="Normal 12 2 2 5 2" xfId="3829" xr:uid="{00000000-0005-0000-0000-0000EC0D0000}"/>
    <cellStyle name="Normal 12 2 2 5 2 2" xfId="8051" xr:uid="{00000000-0005-0000-0000-0000ED0D0000}"/>
    <cellStyle name="Normal 12 2 2 5 2 2 2" xfId="16501" xr:uid="{0931D40C-8F75-416D-8AE0-22B513FD4BA1}"/>
    <cellStyle name="Normal 12 2 2 5 2 2 3" xfId="24941" xr:uid="{75DA522C-82B4-46C5-AAD8-9DE371ABC316}"/>
    <cellStyle name="Normal 12 2 2 5 2 2 4" xfId="33381" xr:uid="{498AEB85-511D-4BAC-9FD3-506CB8C7FE8A}"/>
    <cellStyle name="Normal 12 2 2 5 2 3" xfId="12283" xr:uid="{EE488AE6-2634-434B-90A6-8C859E5C1F75}"/>
    <cellStyle name="Normal 12 2 2 5 2 4" xfId="20724" xr:uid="{EB6D802E-4EFF-4DCD-9610-77D9EF3D7828}"/>
    <cellStyle name="Normal 12 2 2 5 2 5" xfId="29164" xr:uid="{569AF2AD-648B-47F1-ACF4-24B59D33A133}"/>
    <cellStyle name="Normal 12 2 2 5 3" xfId="5906" xr:uid="{00000000-0005-0000-0000-0000EE0D0000}"/>
    <cellStyle name="Normal 12 2 2 5 3 2" xfId="14356" xr:uid="{584FA323-D9DD-4628-B339-EF085188570F}"/>
    <cellStyle name="Normal 12 2 2 5 3 3" xfId="22796" xr:uid="{C493CFE0-B579-41C4-940D-FFB7FA7ED5C5}"/>
    <cellStyle name="Normal 12 2 2 5 3 4" xfId="31236" xr:uid="{1CCAE973-8B17-403C-8DB1-BDC4702B21C5}"/>
    <cellStyle name="Normal 12 2 2 5 4" xfId="10138" xr:uid="{D37764D4-EAFB-4501-B43E-1B02A1D996CB}"/>
    <cellStyle name="Normal 12 2 2 5 5" xfId="18579" xr:uid="{169C8FDB-1E65-437B-A5AF-2163810EE389}"/>
    <cellStyle name="Normal 12 2 2 5 6" xfId="27019" xr:uid="{0B67AFAC-59C4-4FB3-A05F-393035A65FD4}"/>
    <cellStyle name="Normal 12 2 2 6" xfId="2013" xr:uid="{00000000-0005-0000-0000-0000EF0D0000}"/>
    <cellStyle name="Normal 12 2 2 6 2" xfId="4242" xr:uid="{00000000-0005-0000-0000-0000F00D0000}"/>
    <cellStyle name="Normal 12 2 2 6 2 2" xfId="8464" xr:uid="{00000000-0005-0000-0000-0000F10D0000}"/>
    <cellStyle name="Normal 12 2 2 6 2 2 2" xfId="16914" xr:uid="{EBFE5704-6E5E-4D71-B04B-0AD361B612EE}"/>
    <cellStyle name="Normal 12 2 2 6 2 2 3" xfId="25354" xr:uid="{A1B174BA-5C4E-45FF-B69A-707D19CCDE7C}"/>
    <cellStyle name="Normal 12 2 2 6 2 2 4" xfId="33794" xr:uid="{5D99A347-0AC5-4F67-BDAA-8F5531FD1055}"/>
    <cellStyle name="Normal 12 2 2 6 2 3" xfId="12696" xr:uid="{DB06B5C0-B7E7-43BF-B728-34B792028FFE}"/>
    <cellStyle name="Normal 12 2 2 6 2 4" xfId="21137" xr:uid="{9F0E4F78-5716-4E57-A48C-870CB2ACA515}"/>
    <cellStyle name="Normal 12 2 2 6 2 5" xfId="29577" xr:uid="{D22A119A-0251-4A17-A065-B1B6D6248EA1}"/>
    <cellStyle name="Normal 12 2 2 6 3" xfId="6319" xr:uid="{00000000-0005-0000-0000-0000F20D0000}"/>
    <cellStyle name="Normal 12 2 2 6 3 2" xfId="14769" xr:uid="{9A1EC3B7-AEF3-4571-A67A-DAB773E26494}"/>
    <cellStyle name="Normal 12 2 2 6 3 3" xfId="23209" xr:uid="{0C7672A6-3188-431F-A442-6FBCBD858C21}"/>
    <cellStyle name="Normal 12 2 2 6 3 4" xfId="31649" xr:uid="{4B73E339-47D8-43B1-BD22-C12E52E4A513}"/>
    <cellStyle name="Normal 12 2 2 6 4" xfId="10551" xr:uid="{9CA42FCC-EB25-426D-925D-52CBEC64A5E0}"/>
    <cellStyle name="Normal 12 2 2 6 5" xfId="18992" xr:uid="{197D53E6-0775-4496-9001-435CC437F35E}"/>
    <cellStyle name="Normal 12 2 2 6 6" xfId="27432" xr:uid="{7B22FE60-2B26-4736-BE2A-334A9A3B7358}"/>
    <cellStyle name="Normal 12 2 2 7" xfId="2449" xr:uid="{00000000-0005-0000-0000-0000F30D0000}"/>
    <cellStyle name="Normal 12 2 2 7 2" xfId="6732" xr:uid="{00000000-0005-0000-0000-0000F40D0000}"/>
    <cellStyle name="Normal 12 2 2 7 2 2" xfId="15182" xr:uid="{2CC18DD1-3C66-4E87-A11F-1A9528E60674}"/>
    <cellStyle name="Normal 12 2 2 7 2 3" xfId="23622" xr:uid="{DF16BFDC-0E94-41A2-BA54-D0469CD4E83B}"/>
    <cellStyle name="Normal 12 2 2 7 2 4" xfId="32062" xr:uid="{CBDC5148-C74B-4325-B3B6-553FD241E5E1}"/>
    <cellStyle name="Normal 12 2 2 7 3" xfId="10964" xr:uid="{E8E6CB9C-E727-44A7-AE4D-134B5716A475}"/>
    <cellStyle name="Normal 12 2 2 7 4" xfId="19405" xr:uid="{B44B4C85-DAEE-44A6-B931-4A4483EEB12B}"/>
    <cellStyle name="Normal 12 2 2 7 5" xfId="27845" xr:uid="{8DEB5BC8-21B5-4C55-A2CA-24412851FB5C}"/>
    <cellStyle name="Normal 12 2 2 8" xfId="4666" xr:uid="{00000000-0005-0000-0000-0000F50D0000}"/>
    <cellStyle name="Normal 12 2 2 8 2" xfId="13116" xr:uid="{8C0A0611-33B4-4790-AB7B-1994F5C869B5}"/>
    <cellStyle name="Normal 12 2 2 8 3" xfId="21556" xr:uid="{B82CAB1F-665E-4E53-955A-124E7DA4F5D7}"/>
    <cellStyle name="Normal 12 2 2 8 4" xfId="29996" xr:uid="{1D7A7D9F-7318-44C7-AE75-EF7F3406BB5E}"/>
    <cellStyle name="Normal 12 2 2 9" xfId="8898" xr:uid="{FAC3336E-80F8-49B3-ADAC-FB5B2B572644}"/>
    <cellStyle name="Normal 12 2 3" xfId="263" xr:uid="{00000000-0005-0000-0000-0000F60D0000}"/>
    <cellStyle name="Normal 12 2 3 10" xfId="25781" xr:uid="{53A6134C-2285-489D-A590-40DE3817B85A}"/>
    <cellStyle name="Normal 12 2 3 2" xfId="764" xr:uid="{00000000-0005-0000-0000-0000F70D0000}"/>
    <cellStyle name="Normal 12 2 3 2 2" xfId="3005" xr:uid="{00000000-0005-0000-0000-0000F80D0000}"/>
    <cellStyle name="Normal 12 2 3 2 2 2" xfId="7227" xr:uid="{00000000-0005-0000-0000-0000F90D0000}"/>
    <cellStyle name="Normal 12 2 3 2 2 2 2" xfId="15677" xr:uid="{9CBDCA15-86C1-4F98-A227-4B3C022FCF7C}"/>
    <cellStyle name="Normal 12 2 3 2 2 2 3" xfId="24117" xr:uid="{0731237D-8195-42F7-87BB-BE191F161EAD}"/>
    <cellStyle name="Normal 12 2 3 2 2 2 4" xfId="32557" xr:uid="{342E40F6-CD68-442A-B505-295B5BE1F131}"/>
    <cellStyle name="Normal 12 2 3 2 2 3" xfId="11459" xr:uid="{E0BEDB35-C1E4-4CF1-A849-83519EDE598D}"/>
    <cellStyle name="Normal 12 2 3 2 2 4" xfId="19900" xr:uid="{3EC158FC-1E87-497D-91E7-F2D6B57D808A}"/>
    <cellStyle name="Normal 12 2 3 2 2 5" xfId="28340" xr:uid="{254F277C-F2CD-409D-8557-3DA44ABCF9AA}"/>
    <cellStyle name="Normal 12 2 3 2 3" xfId="5082" xr:uid="{00000000-0005-0000-0000-0000FA0D0000}"/>
    <cellStyle name="Normal 12 2 3 2 3 2" xfId="13532" xr:uid="{A6D85074-B2F2-484B-AF08-3306D367119B}"/>
    <cellStyle name="Normal 12 2 3 2 3 3" xfId="21972" xr:uid="{FBFCCD31-9C03-42EA-95AC-97BAD501F310}"/>
    <cellStyle name="Normal 12 2 3 2 3 4" xfId="30412" xr:uid="{5679AAF1-A28A-4F35-B814-88E9963200A2}"/>
    <cellStyle name="Normal 12 2 3 2 4" xfId="9314" xr:uid="{97D76B66-F8E6-4992-847A-31327C73014D}"/>
    <cellStyle name="Normal 12 2 3 2 5" xfId="17755" xr:uid="{86D4F8CE-E0EA-4574-903F-96DFA22C3EFF}"/>
    <cellStyle name="Normal 12 2 3 2 6" xfId="26195" xr:uid="{9C034FDF-C1FE-47A9-B2F6-CAEC71F2B67F}"/>
    <cellStyle name="Normal 12 2 3 3" xfId="1187" xr:uid="{00000000-0005-0000-0000-0000FB0D0000}"/>
    <cellStyle name="Normal 12 2 3 3 2" xfId="3418" xr:uid="{00000000-0005-0000-0000-0000FC0D0000}"/>
    <cellStyle name="Normal 12 2 3 3 2 2" xfId="7640" xr:uid="{00000000-0005-0000-0000-0000FD0D0000}"/>
    <cellStyle name="Normal 12 2 3 3 2 2 2" xfId="16090" xr:uid="{7763A015-5840-4945-8A74-E4C412A2DA0C}"/>
    <cellStyle name="Normal 12 2 3 3 2 2 3" xfId="24530" xr:uid="{94A9F40A-26C1-4699-9D4B-1B1ACA39162D}"/>
    <cellStyle name="Normal 12 2 3 3 2 2 4" xfId="32970" xr:uid="{89279829-F659-46B7-A866-A7FE51ABB65A}"/>
    <cellStyle name="Normal 12 2 3 3 2 3" xfId="11872" xr:uid="{E080BD9C-44E1-4F19-A726-40DAC97715CE}"/>
    <cellStyle name="Normal 12 2 3 3 2 4" xfId="20313" xr:uid="{678635FD-F1E9-49EB-92D1-E4AAEF765090}"/>
    <cellStyle name="Normal 12 2 3 3 2 5" xfId="28753" xr:uid="{8470DD45-E02B-45DB-9A06-707777345F61}"/>
    <cellStyle name="Normal 12 2 3 3 3" xfId="5495" xr:uid="{00000000-0005-0000-0000-0000FE0D0000}"/>
    <cellStyle name="Normal 12 2 3 3 3 2" xfId="13945" xr:uid="{98802ADA-E229-4C2C-A890-64A2FC6BE6C4}"/>
    <cellStyle name="Normal 12 2 3 3 3 3" xfId="22385" xr:uid="{F494E9D8-F4D5-48A8-955F-9B2C1AAB4FB3}"/>
    <cellStyle name="Normal 12 2 3 3 3 4" xfId="30825" xr:uid="{2B4C9E1A-C077-4C11-89DC-074BF36E17B4}"/>
    <cellStyle name="Normal 12 2 3 3 4" xfId="9727" xr:uid="{4B3FAF3A-A8CE-4A76-8D86-0B283CCB1B4A}"/>
    <cellStyle name="Normal 12 2 3 3 5" xfId="18168" xr:uid="{765073F2-EEED-49DD-B64C-6B727865E758}"/>
    <cellStyle name="Normal 12 2 3 3 6" xfId="26608" xr:uid="{0A339477-D420-4705-B813-A167D699B3DB}"/>
    <cellStyle name="Normal 12 2 3 4" xfId="1601" xr:uid="{00000000-0005-0000-0000-0000FF0D0000}"/>
    <cellStyle name="Normal 12 2 3 4 2" xfId="3831" xr:uid="{00000000-0005-0000-0000-0000000E0000}"/>
    <cellStyle name="Normal 12 2 3 4 2 2" xfId="8053" xr:uid="{00000000-0005-0000-0000-0000010E0000}"/>
    <cellStyle name="Normal 12 2 3 4 2 2 2" xfId="16503" xr:uid="{37489CFE-BE11-4372-8A9E-A387B99C2BD9}"/>
    <cellStyle name="Normal 12 2 3 4 2 2 3" xfId="24943" xr:uid="{9C213BE9-46AC-4BBD-9C7F-4E89E57360D2}"/>
    <cellStyle name="Normal 12 2 3 4 2 2 4" xfId="33383" xr:uid="{CC696440-150C-4A10-A2A8-F9A16CB7C0E4}"/>
    <cellStyle name="Normal 12 2 3 4 2 3" xfId="12285" xr:uid="{63132A56-C2DE-41F1-9649-7A712D6D4112}"/>
    <cellStyle name="Normal 12 2 3 4 2 4" xfId="20726" xr:uid="{8F3A166A-21E3-40C3-8B21-7AD4FF7AD2F3}"/>
    <cellStyle name="Normal 12 2 3 4 2 5" xfId="29166" xr:uid="{A1D7CD9A-05BA-4EB7-BDB0-CCD96BA76499}"/>
    <cellStyle name="Normal 12 2 3 4 3" xfId="5908" xr:uid="{00000000-0005-0000-0000-0000020E0000}"/>
    <cellStyle name="Normal 12 2 3 4 3 2" xfId="14358" xr:uid="{3CF2700B-6D20-4F1D-9B16-A8823F149A30}"/>
    <cellStyle name="Normal 12 2 3 4 3 3" xfId="22798" xr:uid="{CD95A41E-7EDA-44BD-BFF6-5B177F6B7252}"/>
    <cellStyle name="Normal 12 2 3 4 3 4" xfId="31238" xr:uid="{D51D9DC5-7AF0-48D1-B377-F2821BD0B859}"/>
    <cellStyle name="Normal 12 2 3 4 4" xfId="10140" xr:uid="{1E9BC480-42D1-43FB-8648-48E3A6DF0713}"/>
    <cellStyle name="Normal 12 2 3 4 5" xfId="18581" xr:uid="{CD86A579-B362-44BA-BF34-08B49581BE26}"/>
    <cellStyle name="Normal 12 2 3 4 6" xfId="27021" xr:uid="{D541B6D6-BD7C-42A5-B48C-6F0581C77903}"/>
    <cellStyle name="Normal 12 2 3 5" xfId="2015" xr:uid="{00000000-0005-0000-0000-0000030E0000}"/>
    <cellStyle name="Normal 12 2 3 5 2" xfId="4244" xr:uid="{00000000-0005-0000-0000-0000040E0000}"/>
    <cellStyle name="Normal 12 2 3 5 2 2" xfId="8466" xr:uid="{00000000-0005-0000-0000-0000050E0000}"/>
    <cellStyle name="Normal 12 2 3 5 2 2 2" xfId="16916" xr:uid="{0881558B-0628-4C24-926E-7DFCDDEB15EC}"/>
    <cellStyle name="Normal 12 2 3 5 2 2 3" xfId="25356" xr:uid="{EC759B56-28F8-4E92-8CEF-76EBCB52AFD3}"/>
    <cellStyle name="Normal 12 2 3 5 2 2 4" xfId="33796" xr:uid="{10AAF9D4-6154-43B5-84E1-C0F67913FB55}"/>
    <cellStyle name="Normal 12 2 3 5 2 3" xfId="12698" xr:uid="{A762CE9A-2E94-43CE-8C93-368C360A241F}"/>
    <cellStyle name="Normal 12 2 3 5 2 4" xfId="21139" xr:uid="{DFB443AB-06B6-4BAB-B0AA-7F07ADE8CD04}"/>
    <cellStyle name="Normal 12 2 3 5 2 5" xfId="29579" xr:uid="{27F0DD2A-54DB-455A-8621-A2DAE2F577EE}"/>
    <cellStyle name="Normal 12 2 3 5 3" xfId="6321" xr:uid="{00000000-0005-0000-0000-0000060E0000}"/>
    <cellStyle name="Normal 12 2 3 5 3 2" xfId="14771" xr:uid="{086F9551-98C3-42D5-A4A1-98E829B9797E}"/>
    <cellStyle name="Normal 12 2 3 5 3 3" xfId="23211" xr:uid="{5562AFDF-D69F-4E1C-8A4B-3368C59FB609}"/>
    <cellStyle name="Normal 12 2 3 5 3 4" xfId="31651" xr:uid="{7A4542DD-29A6-45BB-B0EC-D3992A0E7CD3}"/>
    <cellStyle name="Normal 12 2 3 5 4" xfId="10553" xr:uid="{0EE07372-3A82-4414-8BC8-C60BA9CDB171}"/>
    <cellStyle name="Normal 12 2 3 5 5" xfId="18994" xr:uid="{81AA1C36-9C53-4EB0-95F9-9D21E5E477FC}"/>
    <cellStyle name="Normal 12 2 3 5 6" xfId="27434" xr:uid="{AD90BD66-BAEF-4E4F-AB0A-AE6E42F3D47F}"/>
    <cellStyle name="Normal 12 2 3 6" xfId="2451" xr:uid="{00000000-0005-0000-0000-0000070E0000}"/>
    <cellStyle name="Normal 12 2 3 6 2" xfId="6734" xr:uid="{00000000-0005-0000-0000-0000080E0000}"/>
    <cellStyle name="Normal 12 2 3 6 2 2" xfId="15184" xr:uid="{7BE5B515-CDC9-40BA-93F6-77B959ACDB8D}"/>
    <cellStyle name="Normal 12 2 3 6 2 3" xfId="23624" xr:uid="{30AC1BA4-97BC-48F3-BFA2-56A731877407}"/>
    <cellStyle name="Normal 12 2 3 6 2 4" xfId="32064" xr:uid="{FC7F6ACA-FCC1-4532-A4ED-7DC02B3CCFC3}"/>
    <cellStyle name="Normal 12 2 3 6 3" xfId="10966" xr:uid="{948535B7-35D9-4184-A4D6-109EEA4F7785}"/>
    <cellStyle name="Normal 12 2 3 6 4" xfId="19407" xr:uid="{05579488-D90E-468C-9E8D-354A18AF63AC}"/>
    <cellStyle name="Normal 12 2 3 6 5" xfId="27847" xr:uid="{39A06857-9721-43BB-AB1F-158AC59920CC}"/>
    <cellStyle name="Normal 12 2 3 7" xfId="4668" xr:uid="{00000000-0005-0000-0000-0000090E0000}"/>
    <cellStyle name="Normal 12 2 3 7 2" xfId="13118" xr:uid="{DFFF5F39-BC0F-4A82-B17A-43474F097203}"/>
    <cellStyle name="Normal 12 2 3 7 3" xfId="21558" xr:uid="{0DBC27B2-3F7C-47FB-99BE-99F7B6E95668}"/>
    <cellStyle name="Normal 12 2 3 7 4" xfId="29998" xr:uid="{F37FFBDC-4E14-4EF0-A8DE-229E6D67DB3F}"/>
    <cellStyle name="Normal 12 2 3 8" xfId="8900" xr:uid="{7B5E336F-77D9-44F4-A471-4066F521C2FC}"/>
    <cellStyle name="Normal 12 2 3 9" xfId="17341" xr:uid="{D47A98C0-4017-4EEA-8D93-AC9ECB4BC63B}"/>
    <cellStyle name="Normal 12 2 4" xfId="761" xr:uid="{00000000-0005-0000-0000-00000A0E0000}"/>
    <cellStyle name="Normal 12 2 4 2" xfId="3002" xr:uid="{00000000-0005-0000-0000-00000B0E0000}"/>
    <cellStyle name="Normal 12 2 4 2 2" xfId="7224" xr:uid="{00000000-0005-0000-0000-00000C0E0000}"/>
    <cellStyle name="Normal 12 2 4 2 2 2" xfId="15674" xr:uid="{E21870A4-4FA5-4405-9412-A3B5310EF079}"/>
    <cellStyle name="Normal 12 2 4 2 2 3" xfId="24114" xr:uid="{080778A1-56EC-4263-AE62-C5C997E09719}"/>
    <cellStyle name="Normal 12 2 4 2 2 4" xfId="32554" xr:uid="{B755AC87-532C-491A-B4A9-E9B9F52342E2}"/>
    <cellStyle name="Normal 12 2 4 2 3" xfId="11456" xr:uid="{3FB473AD-AD11-4B8F-A05C-4EA8A4064492}"/>
    <cellStyle name="Normal 12 2 4 2 4" xfId="19897" xr:uid="{ADCABB0B-F237-4676-BD80-91992A240808}"/>
    <cellStyle name="Normal 12 2 4 2 5" xfId="28337" xr:uid="{5D44DA05-5709-41C3-81A4-409B61B61741}"/>
    <cellStyle name="Normal 12 2 4 3" xfId="5079" xr:uid="{00000000-0005-0000-0000-00000D0E0000}"/>
    <cellStyle name="Normal 12 2 4 3 2" xfId="13529" xr:uid="{2E3EA9A5-606A-4F6B-9F5C-208C4E35EEA5}"/>
    <cellStyle name="Normal 12 2 4 3 3" xfId="21969" xr:uid="{D4B01FA2-27D4-4A60-AD09-609A6D8D7C3F}"/>
    <cellStyle name="Normal 12 2 4 3 4" xfId="30409" xr:uid="{D9D5FAEC-3742-40FB-84E8-9F4DDDDD6BB6}"/>
    <cellStyle name="Normal 12 2 4 4" xfId="9311" xr:uid="{E02225D9-5ECE-4AC3-B29F-3E08F2F4FC41}"/>
    <cellStyle name="Normal 12 2 4 5" xfId="17752" xr:uid="{18DDC708-0EA7-4521-8D62-7DD81D863C57}"/>
    <cellStyle name="Normal 12 2 4 6" xfId="26192" xr:uid="{ED156601-6E21-4DEB-8DE3-C994734DB983}"/>
    <cellStyle name="Normal 12 2 5" xfId="1184" xr:uid="{00000000-0005-0000-0000-00000E0E0000}"/>
    <cellStyle name="Normal 12 2 5 2" xfId="3415" xr:uid="{00000000-0005-0000-0000-00000F0E0000}"/>
    <cellStyle name="Normal 12 2 5 2 2" xfId="7637" xr:uid="{00000000-0005-0000-0000-0000100E0000}"/>
    <cellStyle name="Normal 12 2 5 2 2 2" xfId="16087" xr:uid="{43031C86-F3E8-469D-AFE0-9BB6711A9303}"/>
    <cellStyle name="Normal 12 2 5 2 2 3" xfId="24527" xr:uid="{B6468A05-DE41-4C74-B886-8DC89A8CDEB3}"/>
    <cellStyle name="Normal 12 2 5 2 2 4" xfId="32967" xr:uid="{813133BC-FC84-4EEA-A697-29DD413B5725}"/>
    <cellStyle name="Normal 12 2 5 2 3" xfId="11869" xr:uid="{914B8BA8-BB64-43CC-B8CA-EBF317EBAEF1}"/>
    <cellStyle name="Normal 12 2 5 2 4" xfId="20310" xr:uid="{051253D3-EEF3-4772-83CA-946C0AE7CD4A}"/>
    <cellStyle name="Normal 12 2 5 2 5" xfId="28750" xr:uid="{CF69C07A-29B4-4C0D-AD04-84BAC35A2D22}"/>
    <cellStyle name="Normal 12 2 5 3" xfId="5492" xr:uid="{00000000-0005-0000-0000-0000110E0000}"/>
    <cellStyle name="Normal 12 2 5 3 2" xfId="13942" xr:uid="{455EB6DD-35C8-411A-A1AB-07E0F6E561D9}"/>
    <cellStyle name="Normal 12 2 5 3 3" xfId="22382" xr:uid="{CFA277D6-3EB1-44BD-8EA3-7883EB4F147F}"/>
    <cellStyle name="Normal 12 2 5 3 4" xfId="30822" xr:uid="{D015C9C4-32F9-4976-9A68-1399AF9B5F2A}"/>
    <cellStyle name="Normal 12 2 5 4" xfId="9724" xr:uid="{D7BCA01D-8C3B-4E0E-B126-F6B6018673E0}"/>
    <cellStyle name="Normal 12 2 5 5" xfId="18165" xr:uid="{0A1FBCB2-8B9C-4927-B9F6-651871DC547B}"/>
    <cellStyle name="Normal 12 2 5 6" xfId="26605" xr:uid="{31DE4C30-7758-49EF-BE48-D12EFA806603}"/>
    <cellStyle name="Normal 12 2 6" xfId="1598" xr:uid="{00000000-0005-0000-0000-0000120E0000}"/>
    <cellStyle name="Normal 12 2 6 2" xfId="3828" xr:uid="{00000000-0005-0000-0000-0000130E0000}"/>
    <cellStyle name="Normal 12 2 6 2 2" xfId="8050" xr:uid="{00000000-0005-0000-0000-0000140E0000}"/>
    <cellStyle name="Normal 12 2 6 2 2 2" xfId="16500" xr:uid="{24AB07F9-500F-44DB-81E8-9F15F10E8018}"/>
    <cellStyle name="Normal 12 2 6 2 2 3" xfId="24940" xr:uid="{88551D6A-8241-4ED0-992A-942C22EE322C}"/>
    <cellStyle name="Normal 12 2 6 2 2 4" xfId="33380" xr:uid="{47991924-CB58-44D3-8E55-06EB67A4BA1D}"/>
    <cellStyle name="Normal 12 2 6 2 3" xfId="12282" xr:uid="{7CDE32AD-10AD-49E3-9A37-DA8C7CE2AEDB}"/>
    <cellStyle name="Normal 12 2 6 2 4" xfId="20723" xr:uid="{CD4558E0-AA12-487D-B9E7-9E98C58A66C3}"/>
    <cellStyle name="Normal 12 2 6 2 5" xfId="29163" xr:uid="{EB7A5A12-CCDD-405B-AD83-A2391AC059F1}"/>
    <cellStyle name="Normal 12 2 6 3" xfId="5905" xr:uid="{00000000-0005-0000-0000-0000150E0000}"/>
    <cellStyle name="Normal 12 2 6 3 2" xfId="14355" xr:uid="{C1F868FF-7082-468F-AAD2-8F8777729DD7}"/>
    <cellStyle name="Normal 12 2 6 3 3" xfId="22795" xr:uid="{CC755022-1FA9-4F24-9D85-999C6022AA40}"/>
    <cellStyle name="Normal 12 2 6 3 4" xfId="31235" xr:uid="{593D19B2-9F7E-4B52-9339-50C011D6AFD2}"/>
    <cellStyle name="Normal 12 2 6 4" xfId="10137" xr:uid="{BDE8393D-DC0D-4BBF-83B2-50857837A9AD}"/>
    <cellStyle name="Normal 12 2 6 5" xfId="18578" xr:uid="{E20285C9-93B7-40EC-A5AB-8F210DA9BDD7}"/>
    <cellStyle name="Normal 12 2 6 6" xfId="27018" xr:uid="{D0E1F2C9-1660-4680-99AA-C9FEC793807B}"/>
    <cellStyle name="Normal 12 2 7" xfId="2012" xr:uid="{00000000-0005-0000-0000-0000160E0000}"/>
    <cellStyle name="Normal 12 2 7 2" xfId="4241" xr:uid="{00000000-0005-0000-0000-0000170E0000}"/>
    <cellStyle name="Normal 12 2 7 2 2" xfId="8463" xr:uid="{00000000-0005-0000-0000-0000180E0000}"/>
    <cellStyle name="Normal 12 2 7 2 2 2" xfId="16913" xr:uid="{DAD64F04-0F50-49EF-A4FE-D7307C16FA1D}"/>
    <cellStyle name="Normal 12 2 7 2 2 3" xfId="25353" xr:uid="{3A79B8E7-81FA-4507-84CF-30AB12C29201}"/>
    <cellStyle name="Normal 12 2 7 2 2 4" xfId="33793" xr:uid="{317A82EE-FF33-489E-9A3E-BED2AADA1534}"/>
    <cellStyle name="Normal 12 2 7 2 3" xfId="12695" xr:uid="{38DE619A-F9CC-4B95-8B14-F63F0BF258B7}"/>
    <cellStyle name="Normal 12 2 7 2 4" xfId="21136" xr:uid="{BEE09A5F-5D3D-43F1-B9CF-D29A0EA295E9}"/>
    <cellStyle name="Normal 12 2 7 2 5" xfId="29576" xr:uid="{26F234CA-EB7F-413E-87ED-7516B3277D5F}"/>
    <cellStyle name="Normal 12 2 7 3" xfId="6318" xr:uid="{00000000-0005-0000-0000-0000190E0000}"/>
    <cellStyle name="Normal 12 2 7 3 2" xfId="14768" xr:uid="{E0A8273E-C825-4EED-A04F-1C2B4F1BD994}"/>
    <cellStyle name="Normal 12 2 7 3 3" xfId="23208" xr:uid="{19464F77-87F6-470A-8678-E5E14F109BEF}"/>
    <cellStyle name="Normal 12 2 7 3 4" xfId="31648" xr:uid="{E6C78A37-2793-42BA-83D1-7B69CBCAC05E}"/>
    <cellStyle name="Normal 12 2 7 4" xfId="10550" xr:uid="{B15A77D5-7508-4493-AED1-48E07744CD25}"/>
    <cellStyle name="Normal 12 2 7 5" xfId="18991" xr:uid="{55B0B54A-A881-4BB3-BD62-E7799DDD4EF2}"/>
    <cellStyle name="Normal 12 2 7 6" xfId="27431" xr:uid="{233727AA-C3A3-4BC0-8B8D-A905297A9097}"/>
    <cellStyle name="Normal 12 2 8" xfId="2448" xr:uid="{00000000-0005-0000-0000-00001A0E0000}"/>
    <cellStyle name="Normal 12 2 8 2" xfId="6731" xr:uid="{00000000-0005-0000-0000-00001B0E0000}"/>
    <cellStyle name="Normal 12 2 8 2 2" xfId="15181" xr:uid="{227384AC-4387-4FA9-BCE3-DE6252D1872C}"/>
    <cellStyle name="Normal 12 2 8 2 3" xfId="23621" xr:uid="{F63FA3FF-873B-4E73-A21E-8FDDF006C205}"/>
    <cellStyle name="Normal 12 2 8 2 4" xfId="32061" xr:uid="{65B782A8-D242-4AE7-B940-9DB621C814DE}"/>
    <cellStyle name="Normal 12 2 8 3" xfId="10963" xr:uid="{C71FF12F-828F-4E21-819D-E897D7920F12}"/>
    <cellStyle name="Normal 12 2 8 4" xfId="19404" xr:uid="{D103A740-A3CA-4C22-8B32-3ABD7B7F067F}"/>
    <cellStyle name="Normal 12 2 8 5" xfId="27844" xr:uid="{315AF41B-3067-435F-B54B-EBE41CD814CD}"/>
    <cellStyle name="Normal 12 2 9" xfId="4665" xr:uid="{00000000-0005-0000-0000-00001C0E0000}"/>
    <cellStyle name="Normal 12 2 9 2" xfId="13115" xr:uid="{5BBB68D2-F091-44D0-8CA1-0711A77862E4}"/>
    <cellStyle name="Normal 12 2 9 3" xfId="21555" xr:uid="{AA8B6AB4-349C-4C4A-8BB1-772FFABD0FE3}"/>
    <cellStyle name="Normal 12 2 9 4" xfId="29995" xr:uid="{E060A7FE-D505-48BA-BB1F-E4CDFFA99B86}"/>
    <cellStyle name="Normal 12 3" xfId="264" xr:uid="{00000000-0005-0000-0000-00001D0E0000}"/>
    <cellStyle name="Normal 12 3 10" xfId="17342" xr:uid="{A17A2B41-4EB2-4B0B-8CDC-606B5ED375DC}"/>
    <cellStyle name="Normal 12 3 11" xfId="25782" xr:uid="{94195AF5-160C-4F03-9BA4-81D5E771FD45}"/>
    <cellStyle name="Normal 12 3 2" xfId="265" xr:uid="{00000000-0005-0000-0000-00001E0E0000}"/>
    <cellStyle name="Normal 12 3 2 10" xfId="25783" xr:uid="{FA2E7652-1951-4882-A3F8-9F0FE3EA2C1A}"/>
    <cellStyle name="Normal 12 3 2 2" xfId="766" xr:uid="{00000000-0005-0000-0000-00001F0E0000}"/>
    <cellStyle name="Normal 12 3 2 2 2" xfId="3007" xr:uid="{00000000-0005-0000-0000-0000200E0000}"/>
    <cellStyle name="Normal 12 3 2 2 2 2" xfId="7229" xr:uid="{00000000-0005-0000-0000-0000210E0000}"/>
    <cellStyle name="Normal 12 3 2 2 2 2 2" xfId="15679" xr:uid="{7AAE7A22-32FD-4838-B927-B87E6B691988}"/>
    <cellStyle name="Normal 12 3 2 2 2 2 3" xfId="24119" xr:uid="{075D3E5F-12DA-4C43-B89D-A8289E8164EC}"/>
    <cellStyle name="Normal 12 3 2 2 2 2 4" xfId="32559" xr:uid="{3ED788A2-23B5-493D-B04F-0494DE22E79A}"/>
    <cellStyle name="Normal 12 3 2 2 2 3" xfId="11461" xr:uid="{0DC8D088-57D2-4C91-AB74-DA95AA49C854}"/>
    <cellStyle name="Normal 12 3 2 2 2 4" xfId="19902" xr:uid="{4C3A3951-F9EB-4236-9DE7-C86A599F9BFC}"/>
    <cellStyle name="Normal 12 3 2 2 2 5" xfId="28342" xr:uid="{DB2BF920-177C-437D-B7C2-64372E075F8E}"/>
    <cellStyle name="Normal 12 3 2 2 3" xfId="5084" xr:uid="{00000000-0005-0000-0000-0000220E0000}"/>
    <cellStyle name="Normal 12 3 2 2 3 2" xfId="13534" xr:uid="{AF03843B-6618-4B87-B6EA-D58D0614895D}"/>
    <cellStyle name="Normal 12 3 2 2 3 3" xfId="21974" xr:uid="{5F9084C6-72BF-41DE-A292-828F4DFC1714}"/>
    <cellStyle name="Normal 12 3 2 2 3 4" xfId="30414" xr:uid="{DF0346D4-DBC2-4B7D-A6B1-03092CB7AB65}"/>
    <cellStyle name="Normal 12 3 2 2 4" xfId="9316" xr:uid="{A1840665-6215-4D01-BBFE-26C41478E4C1}"/>
    <cellStyle name="Normal 12 3 2 2 5" xfId="17757" xr:uid="{B2098826-86F3-45A8-B7B4-D1FD0603633F}"/>
    <cellStyle name="Normal 12 3 2 2 6" xfId="26197" xr:uid="{C59383BB-97AA-4CF8-AEF6-1ECB9488AA7E}"/>
    <cellStyle name="Normal 12 3 2 3" xfId="1189" xr:uid="{00000000-0005-0000-0000-0000230E0000}"/>
    <cellStyle name="Normal 12 3 2 3 2" xfId="3420" xr:uid="{00000000-0005-0000-0000-0000240E0000}"/>
    <cellStyle name="Normal 12 3 2 3 2 2" xfId="7642" xr:uid="{00000000-0005-0000-0000-0000250E0000}"/>
    <cellStyle name="Normal 12 3 2 3 2 2 2" xfId="16092" xr:uid="{B174AE5E-562F-4B0B-A2A4-451B26F1E53C}"/>
    <cellStyle name="Normal 12 3 2 3 2 2 3" xfId="24532" xr:uid="{C591C69F-4E0C-44D0-8E38-531D7E94EAE2}"/>
    <cellStyle name="Normal 12 3 2 3 2 2 4" xfId="32972" xr:uid="{79871959-40A4-40EE-9E09-E3C81EA49C2B}"/>
    <cellStyle name="Normal 12 3 2 3 2 3" xfId="11874" xr:uid="{698507B2-2197-41FD-B861-400FD6282BFF}"/>
    <cellStyle name="Normal 12 3 2 3 2 4" xfId="20315" xr:uid="{F00FEA55-0D08-42FC-BBE3-F1A4FB9D8612}"/>
    <cellStyle name="Normal 12 3 2 3 2 5" xfId="28755" xr:uid="{60EDB8D5-62F6-4DB1-96B9-160469D28562}"/>
    <cellStyle name="Normal 12 3 2 3 3" xfId="5497" xr:uid="{00000000-0005-0000-0000-0000260E0000}"/>
    <cellStyle name="Normal 12 3 2 3 3 2" xfId="13947" xr:uid="{8521EE23-1365-428D-8F7B-CD89058847E9}"/>
    <cellStyle name="Normal 12 3 2 3 3 3" xfId="22387" xr:uid="{75D465AD-6DFB-4363-8CDF-7E0AF531EEC6}"/>
    <cellStyle name="Normal 12 3 2 3 3 4" xfId="30827" xr:uid="{DEE1E8FD-F10B-4DD0-A17E-9CFDC652B1A4}"/>
    <cellStyle name="Normal 12 3 2 3 4" xfId="9729" xr:uid="{19FD7C83-CA50-4FC7-811A-305BBA624A26}"/>
    <cellStyle name="Normal 12 3 2 3 5" xfId="18170" xr:uid="{C6D9A54F-912B-4806-A03F-008CD86D9586}"/>
    <cellStyle name="Normal 12 3 2 3 6" xfId="26610" xr:uid="{D5C2D6C4-0258-469C-BCE6-18E0FB05F54A}"/>
    <cellStyle name="Normal 12 3 2 4" xfId="1603" xr:uid="{00000000-0005-0000-0000-0000270E0000}"/>
    <cellStyle name="Normal 12 3 2 4 2" xfId="3833" xr:uid="{00000000-0005-0000-0000-0000280E0000}"/>
    <cellStyle name="Normal 12 3 2 4 2 2" xfId="8055" xr:uid="{00000000-0005-0000-0000-0000290E0000}"/>
    <cellStyle name="Normal 12 3 2 4 2 2 2" xfId="16505" xr:uid="{EE5ABBD1-D2DC-4F5F-A142-A4FBD3DC954B}"/>
    <cellStyle name="Normal 12 3 2 4 2 2 3" xfId="24945" xr:uid="{A781F2B9-73F3-4AD3-B95E-18C1E84876CC}"/>
    <cellStyle name="Normal 12 3 2 4 2 2 4" xfId="33385" xr:uid="{40AEABA8-F425-4E89-BCB7-12FB850AB16A}"/>
    <cellStyle name="Normal 12 3 2 4 2 3" xfId="12287" xr:uid="{29242E22-8298-47B5-AE7E-B36A51B3EC58}"/>
    <cellStyle name="Normal 12 3 2 4 2 4" xfId="20728" xr:uid="{E1EE44C1-F539-475C-9A3E-95D0F0D3CB29}"/>
    <cellStyle name="Normal 12 3 2 4 2 5" xfId="29168" xr:uid="{CC859B74-08EF-4114-B1E2-CFC81FE096A9}"/>
    <cellStyle name="Normal 12 3 2 4 3" xfId="5910" xr:uid="{00000000-0005-0000-0000-00002A0E0000}"/>
    <cellStyle name="Normal 12 3 2 4 3 2" xfId="14360" xr:uid="{5F54B95C-327B-425B-9F51-7235D30556EF}"/>
    <cellStyle name="Normal 12 3 2 4 3 3" xfId="22800" xr:uid="{95D69A7E-6DEC-4746-B79E-0BF2C6482FD8}"/>
    <cellStyle name="Normal 12 3 2 4 3 4" xfId="31240" xr:uid="{0FB16DDC-39F6-4364-93A7-C694C59160A6}"/>
    <cellStyle name="Normal 12 3 2 4 4" xfId="10142" xr:uid="{B674E5D8-D2AC-4174-890A-8C79D4A9E179}"/>
    <cellStyle name="Normal 12 3 2 4 5" xfId="18583" xr:uid="{5A729D4D-C2C8-4133-AD7A-93D3706BBF36}"/>
    <cellStyle name="Normal 12 3 2 4 6" xfId="27023" xr:uid="{1725F273-0476-4FD8-A47B-DEBCE4867065}"/>
    <cellStyle name="Normal 12 3 2 5" xfId="2017" xr:uid="{00000000-0005-0000-0000-00002B0E0000}"/>
    <cellStyle name="Normal 12 3 2 5 2" xfId="4246" xr:uid="{00000000-0005-0000-0000-00002C0E0000}"/>
    <cellStyle name="Normal 12 3 2 5 2 2" xfId="8468" xr:uid="{00000000-0005-0000-0000-00002D0E0000}"/>
    <cellStyle name="Normal 12 3 2 5 2 2 2" xfId="16918" xr:uid="{81271AAC-F65C-4AB8-A327-B2DC843C4DB7}"/>
    <cellStyle name="Normal 12 3 2 5 2 2 3" xfId="25358" xr:uid="{6C476DF3-E7F8-412B-853C-50F2D0CFD18A}"/>
    <cellStyle name="Normal 12 3 2 5 2 2 4" xfId="33798" xr:uid="{33D6FB82-6CFA-42E4-AC18-039D01401540}"/>
    <cellStyle name="Normal 12 3 2 5 2 3" xfId="12700" xr:uid="{A7DEE04E-2356-4D1D-8614-4BF05DF24AB2}"/>
    <cellStyle name="Normal 12 3 2 5 2 4" xfId="21141" xr:uid="{D0FE940E-1AAE-4A35-80D2-2609A10F2FD9}"/>
    <cellStyle name="Normal 12 3 2 5 2 5" xfId="29581" xr:uid="{4F0D0CAC-5008-4206-AECB-5C2980E7E7A2}"/>
    <cellStyle name="Normal 12 3 2 5 3" xfId="6323" xr:uid="{00000000-0005-0000-0000-00002E0E0000}"/>
    <cellStyle name="Normal 12 3 2 5 3 2" xfId="14773" xr:uid="{5E045542-88FF-4315-A58A-28788F7753FD}"/>
    <cellStyle name="Normal 12 3 2 5 3 3" xfId="23213" xr:uid="{C111B624-8C5F-49ED-9023-7F26467AB4B1}"/>
    <cellStyle name="Normal 12 3 2 5 3 4" xfId="31653" xr:uid="{7F82A965-9547-4C2C-BF17-2E6E08CF2A33}"/>
    <cellStyle name="Normal 12 3 2 5 4" xfId="10555" xr:uid="{989FF560-F742-40DA-9331-F73208DC04E1}"/>
    <cellStyle name="Normal 12 3 2 5 5" xfId="18996" xr:uid="{1C3E4B98-D418-4E43-904F-B696CBC34CC8}"/>
    <cellStyle name="Normal 12 3 2 5 6" xfId="27436" xr:uid="{D0D81FF9-CCB0-4019-A51C-DB8E499DA341}"/>
    <cellStyle name="Normal 12 3 2 6" xfId="2453" xr:uid="{00000000-0005-0000-0000-00002F0E0000}"/>
    <cellStyle name="Normal 12 3 2 6 2" xfId="6736" xr:uid="{00000000-0005-0000-0000-0000300E0000}"/>
    <cellStyle name="Normal 12 3 2 6 2 2" xfId="15186" xr:uid="{03B27CD5-C143-4C67-9A27-CFD55569D181}"/>
    <cellStyle name="Normal 12 3 2 6 2 3" xfId="23626" xr:uid="{DE6ABC84-1BE7-4174-8F48-AF730A266002}"/>
    <cellStyle name="Normal 12 3 2 6 2 4" xfId="32066" xr:uid="{EC73C23A-714F-411E-ABE4-61A623AA2A33}"/>
    <cellStyle name="Normal 12 3 2 6 3" xfId="10968" xr:uid="{2631B085-37EB-4235-B348-432289F01736}"/>
    <cellStyle name="Normal 12 3 2 6 4" xfId="19409" xr:uid="{C0E59C95-56F1-4E9B-B03E-38407903502D}"/>
    <cellStyle name="Normal 12 3 2 6 5" xfId="27849" xr:uid="{33730EA6-4478-4589-B452-078D3F7FDC40}"/>
    <cellStyle name="Normal 12 3 2 7" xfId="4670" xr:uid="{00000000-0005-0000-0000-0000310E0000}"/>
    <cellStyle name="Normal 12 3 2 7 2" xfId="13120" xr:uid="{6C36F591-0660-408F-9C44-40967743C576}"/>
    <cellStyle name="Normal 12 3 2 7 3" xfId="21560" xr:uid="{A3B72132-D94E-4185-B0AA-323261132C12}"/>
    <cellStyle name="Normal 12 3 2 7 4" xfId="30000" xr:uid="{5413F445-C97D-4216-BAE1-48D523A17285}"/>
    <cellStyle name="Normal 12 3 2 8" xfId="8902" xr:uid="{B3FB0C51-E23D-49DC-8CF5-B19A06538143}"/>
    <cellStyle name="Normal 12 3 2 9" xfId="17343" xr:uid="{D581FF68-EF2B-4B2B-89AA-41AADA050F37}"/>
    <cellStyle name="Normal 12 3 3" xfId="765" xr:uid="{00000000-0005-0000-0000-0000320E0000}"/>
    <cellStyle name="Normal 12 3 3 2" xfId="3006" xr:uid="{00000000-0005-0000-0000-0000330E0000}"/>
    <cellStyle name="Normal 12 3 3 2 2" xfId="7228" xr:uid="{00000000-0005-0000-0000-0000340E0000}"/>
    <cellStyle name="Normal 12 3 3 2 2 2" xfId="15678" xr:uid="{090B5747-A3AF-477B-9A18-FA66D39D9081}"/>
    <cellStyle name="Normal 12 3 3 2 2 3" xfId="24118" xr:uid="{2875A013-29B2-4E53-80A8-6698ECB1C304}"/>
    <cellStyle name="Normal 12 3 3 2 2 4" xfId="32558" xr:uid="{B0C055DC-1E3F-4DA4-B7F5-8E975B13EA3C}"/>
    <cellStyle name="Normal 12 3 3 2 3" xfId="11460" xr:uid="{548ADAB8-3DD3-435A-87A4-4C04F803F819}"/>
    <cellStyle name="Normal 12 3 3 2 4" xfId="19901" xr:uid="{8806770A-B556-4619-88CF-6665CA372C6C}"/>
    <cellStyle name="Normal 12 3 3 2 5" xfId="28341" xr:uid="{AAB5A189-14D2-4361-9571-1AB0BB79864A}"/>
    <cellStyle name="Normal 12 3 3 3" xfId="5083" xr:uid="{00000000-0005-0000-0000-0000350E0000}"/>
    <cellStyle name="Normal 12 3 3 3 2" xfId="13533" xr:uid="{AF388B33-FADB-4CB7-85E5-78DC863F2883}"/>
    <cellStyle name="Normal 12 3 3 3 3" xfId="21973" xr:uid="{7FA090AF-06BC-447E-BAC2-7F1A713A85A8}"/>
    <cellStyle name="Normal 12 3 3 3 4" xfId="30413" xr:uid="{4B3463DF-AB60-441F-A0B5-4D7AB9A8C9D0}"/>
    <cellStyle name="Normal 12 3 3 4" xfId="9315" xr:uid="{20589EAE-7003-4BD5-B287-68CA5A878227}"/>
    <cellStyle name="Normal 12 3 3 5" xfId="17756" xr:uid="{56C7AAAF-CED4-4EA6-AFEE-0FFE1B615980}"/>
    <cellStyle name="Normal 12 3 3 6" xfId="26196" xr:uid="{7BCC4BE1-68A6-4B44-9490-B64BC6658143}"/>
    <cellStyle name="Normal 12 3 4" xfId="1188" xr:uid="{00000000-0005-0000-0000-0000360E0000}"/>
    <cellStyle name="Normal 12 3 4 2" xfId="3419" xr:uid="{00000000-0005-0000-0000-0000370E0000}"/>
    <cellStyle name="Normal 12 3 4 2 2" xfId="7641" xr:uid="{00000000-0005-0000-0000-0000380E0000}"/>
    <cellStyle name="Normal 12 3 4 2 2 2" xfId="16091" xr:uid="{311A069A-CDC5-4BEB-94EA-11CFABD5F73E}"/>
    <cellStyle name="Normal 12 3 4 2 2 3" xfId="24531" xr:uid="{C10D43F2-467B-4645-906F-BE959C4A4977}"/>
    <cellStyle name="Normal 12 3 4 2 2 4" xfId="32971" xr:uid="{A8580AC0-4765-4EC3-8891-15E62A088AE0}"/>
    <cellStyle name="Normal 12 3 4 2 3" xfId="11873" xr:uid="{3625E256-CB1D-43EA-8855-829BA017E1F8}"/>
    <cellStyle name="Normal 12 3 4 2 4" xfId="20314" xr:uid="{4A8C5574-92E8-4BC5-907F-60E244F36606}"/>
    <cellStyle name="Normal 12 3 4 2 5" xfId="28754" xr:uid="{0ED4AF4E-9515-42A6-8FD8-6B4232D2D540}"/>
    <cellStyle name="Normal 12 3 4 3" xfId="5496" xr:uid="{00000000-0005-0000-0000-0000390E0000}"/>
    <cellStyle name="Normal 12 3 4 3 2" xfId="13946" xr:uid="{F39E5048-80E8-4E4C-B286-019907D74696}"/>
    <cellStyle name="Normal 12 3 4 3 3" xfId="22386" xr:uid="{AB440F6A-DA22-4DE7-A0FC-7CE8E1524AA3}"/>
    <cellStyle name="Normal 12 3 4 3 4" xfId="30826" xr:uid="{04EDA956-11DA-4CEC-A3CE-6BDAACE23189}"/>
    <cellStyle name="Normal 12 3 4 4" xfId="9728" xr:uid="{145B622E-1808-4173-A096-4D7F92D2DEAE}"/>
    <cellStyle name="Normal 12 3 4 5" xfId="18169" xr:uid="{4917B7DF-13E4-4104-9F0B-1D96BDACF8B6}"/>
    <cellStyle name="Normal 12 3 4 6" xfId="26609" xr:uid="{E3AA15C1-A9D7-4A73-90AC-870C98AF4C9B}"/>
    <cellStyle name="Normal 12 3 5" xfId="1602" xr:uid="{00000000-0005-0000-0000-00003A0E0000}"/>
    <cellStyle name="Normal 12 3 5 2" xfId="3832" xr:uid="{00000000-0005-0000-0000-00003B0E0000}"/>
    <cellStyle name="Normal 12 3 5 2 2" xfId="8054" xr:uid="{00000000-0005-0000-0000-00003C0E0000}"/>
    <cellStyle name="Normal 12 3 5 2 2 2" xfId="16504" xr:uid="{3943255F-3CD8-40D3-BC6B-28D52B2EB1E5}"/>
    <cellStyle name="Normal 12 3 5 2 2 3" xfId="24944" xr:uid="{0596540E-81C8-4349-8C35-91088BB20A60}"/>
    <cellStyle name="Normal 12 3 5 2 2 4" xfId="33384" xr:uid="{6F8A081D-52CC-474F-B498-FA46E3AB34A9}"/>
    <cellStyle name="Normal 12 3 5 2 3" xfId="12286" xr:uid="{0EEAF30D-9B19-4B1A-8B4A-721E09EB457E}"/>
    <cellStyle name="Normal 12 3 5 2 4" xfId="20727" xr:uid="{74DEA25F-8207-444E-A560-488EF01BB4E1}"/>
    <cellStyle name="Normal 12 3 5 2 5" xfId="29167" xr:uid="{145044E7-EE84-4F39-971A-162D6F10DB91}"/>
    <cellStyle name="Normal 12 3 5 3" xfId="5909" xr:uid="{00000000-0005-0000-0000-00003D0E0000}"/>
    <cellStyle name="Normal 12 3 5 3 2" xfId="14359" xr:uid="{B316AF1D-02CC-434D-BD9F-7FC26202B68B}"/>
    <cellStyle name="Normal 12 3 5 3 3" xfId="22799" xr:uid="{291B1834-6909-411F-956C-4D88928440C5}"/>
    <cellStyle name="Normal 12 3 5 3 4" xfId="31239" xr:uid="{BC253AC0-2F03-4887-BDBF-29552A385ED9}"/>
    <cellStyle name="Normal 12 3 5 4" xfId="10141" xr:uid="{D9DC1597-1EE6-4C08-BDAF-A74A648A9CEF}"/>
    <cellStyle name="Normal 12 3 5 5" xfId="18582" xr:uid="{11A7C217-FFC6-42B3-BE28-E79B6F942B67}"/>
    <cellStyle name="Normal 12 3 5 6" xfId="27022" xr:uid="{F8475EF7-3AC5-4F5D-BB29-FC7A7851D49E}"/>
    <cellStyle name="Normal 12 3 6" xfId="2016" xr:uid="{00000000-0005-0000-0000-00003E0E0000}"/>
    <cellStyle name="Normal 12 3 6 2" xfId="4245" xr:uid="{00000000-0005-0000-0000-00003F0E0000}"/>
    <cellStyle name="Normal 12 3 6 2 2" xfId="8467" xr:uid="{00000000-0005-0000-0000-0000400E0000}"/>
    <cellStyle name="Normal 12 3 6 2 2 2" xfId="16917" xr:uid="{EB6311FB-DE96-4EE3-B44B-F95815F3E0D0}"/>
    <cellStyle name="Normal 12 3 6 2 2 3" xfId="25357" xr:uid="{21844F30-CF07-4ED4-BC7E-FF5BA65494E8}"/>
    <cellStyle name="Normal 12 3 6 2 2 4" xfId="33797" xr:uid="{AB0B2320-42FB-414E-AD7D-C0A5A03D2B7F}"/>
    <cellStyle name="Normal 12 3 6 2 3" xfId="12699" xr:uid="{44DC01B7-2F0D-466E-8CB5-C8EAD61C2DDC}"/>
    <cellStyle name="Normal 12 3 6 2 4" xfId="21140" xr:uid="{CF6FA7EC-B8BD-4ABA-9B4C-B18B1CD0C6DC}"/>
    <cellStyle name="Normal 12 3 6 2 5" xfId="29580" xr:uid="{D4C011E9-B557-458E-A767-91C2EA6A11AB}"/>
    <cellStyle name="Normal 12 3 6 3" xfId="6322" xr:uid="{00000000-0005-0000-0000-0000410E0000}"/>
    <cellStyle name="Normal 12 3 6 3 2" xfId="14772" xr:uid="{554772C7-82FE-48DA-8EE1-08B86E0446E7}"/>
    <cellStyle name="Normal 12 3 6 3 3" xfId="23212" xr:uid="{A94B8D03-D6F8-40D0-BFD6-D5CCE3F693BC}"/>
    <cellStyle name="Normal 12 3 6 3 4" xfId="31652" xr:uid="{A2C4A9B8-7ABF-4885-A513-2DB30E539674}"/>
    <cellStyle name="Normal 12 3 6 4" xfId="10554" xr:uid="{0E3315E2-78A1-43F4-ACF2-A78E566638C1}"/>
    <cellStyle name="Normal 12 3 6 5" xfId="18995" xr:uid="{FA49645B-4777-4E88-B702-85E072D99BF6}"/>
    <cellStyle name="Normal 12 3 6 6" xfId="27435" xr:uid="{EEE47C4E-492D-48B9-9751-307C260FD127}"/>
    <cellStyle name="Normal 12 3 7" xfId="2452" xr:uid="{00000000-0005-0000-0000-0000420E0000}"/>
    <cellStyle name="Normal 12 3 7 2" xfId="6735" xr:uid="{00000000-0005-0000-0000-0000430E0000}"/>
    <cellStyle name="Normal 12 3 7 2 2" xfId="15185" xr:uid="{F7A464BF-8A3E-401D-916A-C46CAF02A95A}"/>
    <cellStyle name="Normal 12 3 7 2 3" xfId="23625" xr:uid="{3EBDE459-777B-4087-B781-B967C3DC15B3}"/>
    <cellStyle name="Normal 12 3 7 2 4" xfId="32065" xr:uid="{EF4A4710-F8F2-4592-9552-8621F21341A6}"/>
    <cellStyle name="Normal 12 3 7 3" xfId="10967" xr:uid="{BCC851CF-33D4-4C69-963E-0A821B030462}"/>
    <cellStyle name="Normal 12 3 7 4" xfId="19408" xr:uid="{DDBA4210-977F-417A-88AF-6FE40761340C}"/>
    <cellStyle name="Normal 12 3 7 5" xfId="27848" xr:uid="{36506332-340D-4A4D-ABB8-616353A1FA30}"/>
    <cellStyle name="Normal 12 3 8" xfId="4669" xr:uid="{00000000-0005-0000-0000-0000440E0000}"/>
    <cellStyle name="Normal 12 3 8 2" xfId="13119" xr:uid="{4948C45D-785C-497C-B37C-10085BFBE447}"/>
    <cellStyle name="Normal 12 3 8 3" xfId="21559" xr:uid="{CA5375B1-8334-4BEB-B310-8CC8761364CB}"/>
    <cellStyle name="Normal 12 3 8 4" xfId="29999" xr:uid="{3B2EBB3A-16D9-4CE9-ACA9-98C288CFD88A}"/>
    <cellStyle name="Normal 12 3 9" xfId="8901" xr:uid="{C8CEA1CE-7358-4878-873F-E673EBD16332}"/>
    <cellStyle name="Normal 12 4" xfId="266" xr:uid="{00000000-0005-0000-0000-0000450E0000}"/>
    <cellStyle name="Normal 12 4 10" xfId="25784" xr:uid="{45F0572D-5353-43BA-85F8-22D1784494C2}"/>
    <cellStyle name="Normal 12 4 2" xfId="767" xr:uid="{00000000-0005-0000-0000-0000460E0000}"/>
    <cellStyle name="Normal 12 4 2 2" xfId="3008" xr:uid="{00000000-0005-0000-0000-0000470E0000}"/>
    <cellStyle name="Normal 12 4 2 2 2" xfId="7230" xr:uid="{00000000-0005-0000-0000-0000480E0000}"/>
    <cellStyle name="Normal 12 4 2 2 2 2" xfId="15680" xr:uid="{31B985DF-C422-43D2-88B9-C41474F00762}"/>
    <cellStyle name="Normal 12 4 2 2 2 3" xfId="24120" xr:uid="{DB6550CA-0FA2-44E8-8FF5-2051B1EB2B3D}"/>
    <cellStyle name="Normal 12 4 2 2 2 4" xfId="32560" xr:uid="{FF9BA08F-6AD4-4F55-8777-BDED8365B88E}"/>
    <cellStyle name="Normal 12 4 2 2 3" xfId="11462" xr:uid="{C289D24B-27F0-4450-9BBA-14CA4F5E1464}"/>
    <cellStyle name="Normal 12 4 2 2 4" xfId="19903" xr:uid="{4BB71446-FFF4-4614-8B02-3736E19400BC}"/>
    <cellStyle name="Normal 12 4 2 2 5" xfId="28343" xr:uid="{C02090D4-0575-4388-9A70-0EB5FDC6DEE8}"/>
    <cellStyle name="Normal 12 4 2 3" xfId="5085" xr:uid="{00000000-0005-0000-0000-0000490E0000}"/>
    <cellStyle name="Normal 12 4 2 3 2" xfId="13535" xr:uid="{F16B74D7-A0CD-428A-ABED-21485B54C992}"/>
    <cellStyle name="Normal 12 4 2 3 3" xfId="21975" xr:uid="{0877F580-EC05-43F9-BFF2-ABA8054A27AA}"/>
    <cellStyle name="Normal 12 4 2 3 4" xfId="30415" xr:uid="{21EC45E6-7C83-4A06-9E2F-B7BF08CE0C9C}"/>
    <cellStyle name="Normal 12 4 2 4" xfId="9317" xr:uid="{E1674ABC-5533-4ECC-9A8A-2FE24C73DB08}"/>
    <cellStyle name="Normal 12 4 2 5" xfId="17758" xr:uid="{40FCD23B-6FCB-4DA6-897D-A664A6292252}"/>
    <cellStyle name="Normal 12 4 2 6" xfId="26198" xr:uid="{E8308488-1A5B-4EF9-A87F-DEE42118AE4E}"/>
    <cellStyle name="Normal 12 4 3" xfId="1190" xr:uid="{00000000-0005-0000-0000-00004A0E0000}"/>
    <cellStyle name="Normal 12 4 3 2" xfId="3421" xr:uid="{00000000-0005-0000-0000-00004B0E0000}"/>
    <cellStyle name="Normal 12 4 3 2 2" xfId="7643" xr:uid="{00000000-0005-0000-0000-00004C0E0000}"/>
    <cellStyle name="Normal 12 4 3 2 2 2" xfId="16093" xr:uid="{BEAD8E7E-A8FB-479E-A4B4-9F319183AF32}"/>
    <cellStyle name="Normal 12 4 3 2 2 3" xfId="24533" xr:uid="{4BF97A00-76A2-4DC9-BAEA-95CB07C5CFC3}"/>
    <cellStyle name="Normal 12 4 3 2 2 4" xfId="32973" xr:uid="{DC48D31D-8565-4E0A-BA1D-23FBA710B53C}"/>
    <cellStyle name="Normal 12 4 3 2 3" xfId="11875" xr:uid="{4BFCF6F2-8534-4799-A691-70A6C39CAB9B}"/>
    <cellStyle name="Normal 12 4 3 2 4" xfId="20316" xr:uid="{A97D90F6-DDE2-4C0D-8169-463E822C5BB5}"/>
    <cellStyle name="Normal 12 4 3 2 5" xfId="28756" xr:uid="{F7303FA1-AEF8-4AEC-98F6-83B56911997C}"/>
    <cellStyle name="Normal 12 4 3 3" xfId="5498" xr:uid="{00000000-0005-0000-0000-00004D0E0000}"/>
    <cellStyle name="Normal 12 4 3 3 2" xfId="13948" xr:uid="{82AF7886-36C9-45A7-B8C9-94B9F259B5E8}"/>
    <cellStyle name="Normal 12 4 3 3 3" xfId="22388" xr:uid="{A8094B61-5248-4EF7-AB67-714F0633EE0D}"/>
    <cellStyle name="Normal 12 4 3 3 4" xfId="30828" xr:uid="{01301763-34B6-4F05-978C-7D16B493CC12}"/>
    <cellStyle name="Normal 12 4 3 4" xfId="9730" xr:uid="{CCCC805A-1550-4F50-A7B2-19B3B1F6229B}"/>
    <cellStyle name="Normal 12 4 3 5" xfId="18171" xr:uid="{8068ADAE-13E0-47BE-AAD0-2D47414CB9E4}"/>
    <cellStyle name="Normal 12 4 3 6" xfId="26611" xr:uid="{F612675B-B62B-4358-B31D-69E1329C8E3D}"/>
    <cellStyle name="Normal 12 4 4" xfId="1604" xr:uid="{00000000-0005-0000-0000-00004E0E0000}"/>
    <cellStyle name="Normal 12 4 4 2" xfId="3834" xr:uid="{00000000-0005-0000-0000-00004F0E0000}"/>
    <cellStyle name="Normal 12 4 4 2 2" xfId="8056" xr:uid="{00000000-0005-0000-0000-0000500E0000}"/>
    <cellStyle name="Normal 12 4 4 2 2 2" xfId="16506" xr:uid="{2243A746-34E7-4970-8D3F-1AC1BFBD7ADB}"/>
    <cellStyle name="Normal 12 4 4 2 2 3" xfId="24946" xr:uid="{FCF0D30A-E768-409B-B5FD-DD0D7010B3AE}"/>
    <cellStyle name="Normal 12 4 4 2 2 4" xfId="33386" xr:uid="{2DB7AC0B-1A4F-4F42-A489-9BBD72C9EAA3}"/>
    <cellStyle name="Normal 12 4 4 2 3" xfId="12288" xr:uid="{F2DB28DA-BDB6-4B5E-8561-A72B65DEC07A}"/>
    <cellStyle name="Normal 12 4 4 2 4" xfId="20729" xr:uid="{F55A5254-57B9-4BA8-944E-4A801CEAF9DE}"/>
    <cellStyle name="Normal 12 4 4 2 5" xfId="29169" xr:uid="{FEE036CE-B05D-4D2B-9ED2-E627E4B8DC1C}"/>
    <cellStyle name="Normal 12 4 4 3" xfId="5911" xr:uid="{00000000-0005-0000-0000-0000510E0000}"/>
    <cellStyle name="Normal 12 4 4 3 2" xfId="14361" xr:uid="{8ED9A0E7-621D-43BA-9FF7-9E73213238A6}"/>
    <cellStyle name="Normal 12 4 4 3 3" xfId="22801" xr:uid="{FD34036B-7B50-449B-9305-DAF51987725B}"/>
    <cellStyle name="Normal 12 4 4 3 4" xfId="31241" xr:uid="{D461F4AB-0393-482A-819B-5EFA4615487E}"/>
    <cellStyle name="Normal 12 4 4 4" xfId="10143" xr:uid="{22E5261A-6235-48D2-8674-5D31C30BE883}"/>
    <cellStyle name="Normal 12 4 4 5" xfId="18584" xr:uid="{5B8BEB37-3B9F-4870-8311-098784DF6762}"/>
    <cellStyle name="Normal 12 4 4 6" xfId="27024" xr:uid="{0E4D05B6-C1CE-4F7B-B713-2B358E1A00C6}"/>
    <cellStyle name="Normal 12 4 5" xfId="2018" xr:uid="{00000000-0005-0000-0000-0000520E0000}"/>
    <cellStyle name="Normal 12 4 5 2" xfId="4247" xr:uid="{00000000-0005-0000-0000-0000530E0000}"/>
    <cellStyle name="Normal 12 4 5 2 2" xfId="8469" xr:uid="{00000000-0005-0000-0000-0000540E0000}"/>
    <cellStyle name="Normal 12 4 5 2 2 2" xfId="16919" xr:uid="{2CAE51B9-9444-414B-BBDA-4D613890ADC6}"/>
    <cellStyle name="Normal 12 4 5 2 2 3" xfId="25359" xr:uid="{F01AA17D-0FCF-43CD-9404-165C33E58FF1}"/>
    <cellStyle name="Normal 12 4 5 2 2 4" xfId="33799" xr:uid="{A35A6D54-8CD3-4D70-A201-C2F230757837}"/>
    <cellStyle name="Normal 12 4 5 2 3" xfId="12701" xr:uid="{35D55BBA-29DE-4F1E-9EC9-D9C2152A9D7D}"/>
    <cellStyle name="Normal 12 4 5 2 4" xfId="21142" xr:uid="{EECB5B9B-5A13-4E3A-8D7B-8D8D86B891B7}"/>
    <cellStyle name="Normal 12 4 5 2 5" xfId="29582" xr:uid="{123914E3-E56A-4CEE-A2F5-E4EAA523D5C7}"/>
    <cellStyle name="Normal 12 4 5 3" xfId="6324" xr:uid="{00000000-0005-0000-0000-0000550E0000}"/>
    <cellStyle name="Normal 12 4 5 3 2" xfId="14774" xr:uid="{67BCB3FC-C2FD-40F7-9E98-4A3589CEBA02}"/>
    <cellStyle name="Normal 12 4 5 3 3" xfId="23214" xr:uid="{3C34870B-3A93-4C9B-93A9-BF3FAAD57715}"/>
    <cellStyle name="Normal 12 4 5 3 4" xfId="31654" xr:uid="{E6131283-3003-4BCF-A847-2357049793BD}"/>
    <cellStyle name="Normal 12 4 5 4" xfId="10556" xr:uid="{A9A69127-D1A9-46E3-B41A-E2B70CBC7367}"/>
    <cellStyle name="Normal 12 4 5 5" xfId="18997" xr:uid="{33A0D5DD-B3AC-492A-BAF6-2E39CBF4EA95}"/>
    <cellStyle name="Normal 12 4 5 6" xfId="27437" xr:uid="{FD1360A5-8B7E-4237-B5EE-CFFA622C1531}"/>
    <cellStyle name="Normal 12 4 6" xfId="2454" xr:uid="{00000000-0005-0000-0000-0000560E0000}"/>
    <cellStyle name="Normal 12 4 6 2" xfId="6737" xr:uid="{00000000-0005-0000-0000-0000570E0000}"/>
    <cellStyle name="Normal 12 4 6 2 2" xfId="15187" xr:uid="{7AD8498F-0BF4-44DE-A785-6EA7A99BC790}"/>
    <cellStyle name="Normal 12 4 6 2 3" xfId="23627" xr:uid="{A8BAB722-2ACD-4DFD-8E1C-F006A15AB9FF}"/>
    <cellStyle name="Normal 12 4 6 2 4" xfId="32067" xr:uid="{DA2B6D96-5395-4626-BC2E-F09CFF6A333D}"/>
    <cellStyle name="Normal 12 4 6 3" xfId="10969" xr:uid="{B5CBF430-9E7A-44F7-8E56-2BB758E78E83}"/>
    <cellStyle name="Normal 12 4 6 4" xfId="19410" xr:uid="{CA9E10E7-4C67-45F2-B73B-DD9BFE865E57}"/>
    <cellStyle name="Normal 12 4 6 5" xfId="27850" xr:uid="{E850DE39-090B-40A8-B603-8B99F739B781}"/>
    <cellStyle name="Normal 12 4 7" xfId="4671" xr:uid="{00000000-0005-0000-0000-0000580E0000}"/>
    <cellStyle name="Normal 12 4 7 2" xfId="13121" xr:uid="{58A6BE89-61D1-4EAD-8145-F91B5191F2EB}"/>
    <cellStyle name="Normal 12 4 7 3" xfId="21561" xr:uid="{F32ABFE0-0A2D-4E41-8C64-9A92D6A84D60}"/>
    <cellStyle name="Normal 12 4 7 4" xfId="30001" xr:uid="{B57B75D8-08AF-49D5-9272-E698E79824A5}"/>
    <cellStyle name="Normal 12 4 8" xfId="8903" xr:uid="{4844AFD4-9720-425B-8963-E094A291DFA9}"/>
    <cellStyle name="Normal 12 4 9" xfId="17344" xr:uid="{94C05975-F727-4E90-B591-E7779AFB1F5D}"/>
    <cellStyle name="Normal 12 5" xfId="267" xr:uid="{00000000-0005-0000-0000-0000590E0000}"/>
    <cellStyle name="Normal 12 6" xfId="760" xr:uid="{00000000-0005-0000-0000-00005A0E0000}"/>
    <cellStyle name="Normal 12 6 2" xfId="3001" xr:uid="{00000000-0005-0000-0000-00005B0E0000}"/>
    <cellStyle name="Normal 12 6 2 2" xfId="7223" xr:uid="{00000000-0005-0000-0000-00005C0E0000}"/>
    <cellStyle name="Normal 12 6 2 2 2" xfId="15673" xr:uid="{6E9294B5-0891-4887-AB16-A8877FEF8311}"/>
    <cellStyle name="Normal 12 6 2 2 3" xfId="24113" xr:uid="{460112BF-29C0-436C-8D57-26DA4BFA487E}"/>
    <cellStyle name="Normal 12 6 2 2 4" xfId="32553" xr:uid="{92B0B73C-31E6-4296-9AF7-D29FAE184559}"/>
    <cellStyle name="Normal 12 6 2 3" xfId="11455" xr:uid="{7148328E-2460-4197-8899-B9539C218EA8}"/>
    <cellStyle name="Normal 12 6 2 4" xfId="19896" xr:uid="{039C2AD1-E487-46A5-9639-B8F6B066E0F9}"/>
    <cellStyle name="Normal 12 6 2 5" xfId="28336" xr:uid="{695AE309-04E4-468D-A78B-17CCB3BEA4EB}"/>
    <cellStyle name="Normal 12 6 3" xfId="5078" xr:uid="{00000000-0005-0000-0000-00005D0E0000}"/>
    <cellStyle name="Normal 12 6 3 2" xfId="13528" xr:uid="{E7EEFB1C-67E3-40BC-A25A-2A778AAE03FF}"/>
    <cellStyle name="Normal 12 6 3 3" xfId="21968" xr:uid="{852690F8-F2D2-45ED-909E-6064FC5CF913}"/>
    <cellStyle name="Normal 12 6 3 4" xfId="30408" xr:uid="{AA4ADBA2-E76E-49B4-B886-F12DCFC3B5B4}"/>
    <cellStyle name="Normal 12 6 4" xfId="9310" xr:uid="{737D074F-DA82-4AA8-AB2F-8B48A5021038}"/>
    <cellStyle name="Normal 12 6 5" xfId="17751" xr:uid="{374ED66D-5120-40AE-A028-618D1618D418}"/>
    <cellStyle name="Normal 12 6 6" xfId="26191" xr:uid="{4D0565D6-D3FB-4405-B379-0C25610712B3}"/>
    <cellStyle name="Normal 12 7" xfId="1183" xr:uid="{00000000-0005-0000-0000-00005E0E0000}"/>
    <cellStyle name="Normal 12 7 2" xfId="3414" xr:uid="{00000000-0005-0000-0000-00005F0E0000}"/>
    <cellStyle name="Normal 12 7 2 2" xfId="7636" xr:uid="{00000000-0005-0000-0000-0000600E0000}"/>
    <cellStyle name="Normal 12 7 2 2 2" xfId="16086" xr:uid="{69C5640C-4BA7-40E7-9801-4B15417078C6}"/>
    <cellStyle name="Normal 12 7 2 2 3" xfId="24526" xr:uid="{5F439031-DD85-4F88-9A8A-8FCAFBDF4B2E}"/>
    <cellStyle name="Normal 12 7 2 2 4" xfId="32966" xr:uid="{C32C229B-8CD3-49FB-8986-FCC2E605E754}"/>
    <cellStyle name="Normal 12 7 2 3" xfId="11868" xr:uid="{F87C012D-4E69-43B6-BB7D-3D8B9DC2E64E}"/>
    <cellStyle name="Normal 12 7 2 4" xfId="20309" xr:uid="{49F880EA-9944-4FF9-BF5F-93DE20FF42E7}"/>
    <cellStyle name="Normal 12 7 2 5" xfId="28749" xr:uid="{3AFB58EC-2392-4481-BD1B-D94E048179F4}"/>
    <cellStyle name="Normal 12 7 3" xfId="5491" xr:uid="{00000000-0005-0000-0000-0000610E0000}"/>
    <cellStyle name="Normal 12 7 3 2" xfId="13941" xr:uid="{B102881D-6DCF-4F2E-9B91-B5C015253492}"/>
    <cellStyle name="Normal 12 7 3 3" xfId="22381" xr:uid="{47EBE452-6667-40B1-8F05-E478F68AFEAF}"/>
    <cellStyle name="Normal 12 7 3 4" xfId="30821" xr:uid="{37C4D07A-B288-4C1A-921F-DEFDE32EFD65}"/>
    <cellStyle name="Normal 12 7 4" xfId="9723" xr:uid="{7C133C71-3149-4C3D-A3C3-9526C06A324E}"/>
    <cellStyle name="Normal 12 7 5" xfId="18164" xr:uid="{DDB78F17-5B1C-4733-A539-AFF111008CA4}"/>
    <cellStyle name="Normal 12 7 6" xfId="26604" xr:uid="{C0F5935F-2ED0-49C1-9721-DA5C6B2C5091}"/>
    <cellStyle name="Normal 12 8" xfId="1597" xr:uid="{00000000-0005-0000-0000-0000620E0000}"/>
    <cellStyle name="Normal 12 8 2" xfId="3827" xr:uid="{00000000-0005-0000-0000-0000630E0000}"/>
    <cellStyle name="Normal 12 8 2 2" xfId="8049" xr:uid="{00000000-0005-0000-0000-0000640E0000}"/>
    <cellStyle name="Normal 12 8 2 2 2" xfId="16499" xr:uid="{896C340B-A91E-4DE4-A9D9-3C348E389575}"/>
    <cellStyle name="Normal 12 8 2 2 3" xfId="24939" xr:uid="{BAA8A192-5AB2-4C68-88F2-67E4D1A1386F}"/>
    <cellStyle name="Normal 12 8 2 2 4" xfId="33379" xr:uid="{6A4597F9-4C11-4E6C-B72B-DE162A1D7A83}"/>
    <cellStyle name="Normal 12 8 2 3" xfId="12281" xr:uid="{C2FA9C64-7BD5-438A-BF26-219DA0D90DA6}"/>
    <cellStyle name="Normal 12 8 2 4" xfId="20722" xr:uid="{F9920E9D-F434-4BD9-8AE4-F03FE1F0418F}"/>
    <cellStyle name="Normal 12 8 2 5" xfId="29162" xr:uid="{A2C07CC8-4736-4D8A-A28B-99D706AD6EA9}"/>
    <cellStyle name="Normal 12 8 3" xfId="5904" xr:uid="{00000000-0005-0000-0000-0000650E0000}"/>
    <cellStyle name="Normal 12 8 3 2" xfId="14354" xr:uid="{F83C6E0A-10E5-487E-907F-84AE6CD7FAC1}"/>
    <cellStyle name="Normal 12 8 3 3" xfId="22794" xr:uid="{40444097-78FD-401E-B77A-1710BA0644B0}"/>
    <cellStyle name="Normal 12 8 3 4" xfId="31234" xr:uid="{6977D3B0-07EA-465E-9C31-6D33CF4D04B4}"/>
    <cellStyle name="Normal 12 8 4" xfId="10136" xr:uid="{99EA30A6-955B-4240-B8B4-2D80FE22CBD1}"/>
    <cellStyle name="Normal 12 8 5" xfId="18577" xr:uid="{325C3788-560F-456C-8A5B-986304D26237}"/>
    <cellStyle name="Normal 12 8 6" xfId="27017" xr:uid="{3473E051-334B-48D6-B62A-35E3E3CAE5DF}"/>
    <cellStyle name="Normal 12 9" xfId="2011" xr:uid="{00000000-0005-0000-0000-0000660E0000}"/>
    <cellStyle name="Normal 12 9 2" xfId="4240" xr:uid="{00000000-0005-0000-0000-0000670E0000}"/>
    <cellStyle name="Normal 12 9 2 2" xfId="8462" xr:uid="{00000000-0005-0000-0000-0000680E0000}"/>
    <cellStyle name="Normal 12 9 2 2 2" xfId="16912" xr:uid="{90202FF2-9E4E-4FE8-BB18-1A5849324115}"/>
    <cellStyle name="Normal 12 9 2 2 3" xfId="25352" xr:uid="{80282C29-18FC-440E-BC04-27E73690FAAF}"/>
    <cellStyle name="Normal 12 9 2 2 4" xfId="33792" xr:uid="{840FD3EE-F8A3-46C9-9A58-DE34CE8C6089}"/>
    <cellStyle name="Normal 12 9 2 3" xfId="12694" xr:uid="{6FFEB286-A443-45C0-A843-BDFFA93D4E29}"/>
    <cellStyle name="Normal 12 9 2 4" xfId="21135" xr:uid="{ABFBC3BE-819E-4507-93C5-4A749B046291}"/>
    <cellStyle name="Normal 12 9 2 5" xfId="29575" xr:uid="{326ADB9A-8FA0-44BB-904F-3A6605C1BA6B}"/>
    <cellStyle name="Normal 12 9 3" xfId="6317" xr:uid="{00000000-0005-0000-0000-0000690E0000}"/>
    <cellStyle name="Normal 12 9 3 2" xfId="14767" xr:uid="{D95A6899-DDCE-4FAE-A016-66DCF632D66B}"/>
    <cellStyle name="Normal 12 9 3 3" xfId="23207" xr:uid="{2229AC43-6CA0-4557-A323-FBCAC43E31CF}"/>
    <cellStyle name="Normal 12 9 3 4" xfId="31647" xr:uid="{68BCC8A1-0798-4D32-BCCD-C2D59B3BD597}"/>
    <cellStyle name="Normal 12 9 4" xfId="10549" xr:uid="{425DE37C-0AA0-4735-9BE2-7C101253D2B4}"/>
    <cellStyle name="Normal 12 9 5" xfId="18990" xr:uid="{D0289FF3-C720-4DAC-803F-CFE78665BDEE}"/>
    <cellStyle name="Normal 12 9 6" xfId="27430" xr:uid="{DE94154F-8F57-49A7-B750-48C6570DAF74}"/>
    <cellStyle name="Normal 13" xfId="268" xr:uid="{00000000-0005-0000-0000-00006A0E0000}"/>
    <cellStyle name="Normal 13 2" xfId="269" xr:uid="{00000000-0005-0000-0000-00006B0E0000}"/>
    <cellStyle name="Normal 14" xfId="270" xr:uid="{00000000-0005-0000-0000-00006C0E0000}"/>
    <cellStyle name="Normal 14 10" xfId="25785" xr:uid="{CB3E9986-842B-4A55-9624-AAA582B07D57}"/>
    <cellStyle name="Normal 14 2" xfId="768" xr:uid="{00000000-0005-0000-0000-00006D0E0000}"/>
    <cellStyle name="Normal 14 2 2" xfId="3009" xr:uid="{00000000-0005-0000-0000-00006E0E0000}"/>
    <cellStyle name="Normal 14 2 2 2" xfId="7231" xr:uid="{00000000-0005-0000-0000-00006F0E0000}"/>
    <cellStyle name="Normal 14 2 2 2 2" xfId="15681" xr:uid="{E658D4C5-275F-4DC2-8051-182FAEB261C6}"/>
    <cellStyle name="Normal 14 2 2 2 3" xfId="24121" xr:uid="{B7076391-D52B-43F6-8881-CFA3AEAC977A}"/>
    <cellStyle name="Normal 14 2 2 2 4" xfId="32561" xr:uid="{994BA581-1FDB-4EFA-B78A-930971E5C4CF}"/>
    <cellStyle name="Normal 14 2 2 3" xfId="11463" xr:uid="{2EF36462-7713-4CBE-A215-4060D94BC540}"/>
    <cellStyle name="Normal 14 2 2 4" xfId="19904" xr:uid="{101C2163-7F1A-4925-8E13-F85F468334F0}"/>
    <cellStyle name="Normal 14 2 2 5" xfId="28344" xr:uid="{FF1F0A8C-BB15-4383-9324-FFEA5D238DF3}"/>
    <cellStyle name="Normal 14 2 3" xfId="5086" xr:uid="{00000000-0005-0000-0000-0000700E0000}"/>
    <cellStyle name="Normal 14 2 3 2" xfId="13536" xr:uid="{AEB01B62-874C-4555-9399-2183F6DA9BCD}"/>
    <cellStyle name="Normal 14 2 3 3" xfId="21976" xr:uid="{1A01D04D-57AB-4228-851C-37BC277DFD16}"/>
    <cellStyle name="Normal 14 2 3 4" xfId="30416" xr:uid="{C7A69A74-9B8D-46C9-AAC4-F84EFE5CF68D}"/>
    <cellStyle name="Normal 14 2 4" xfId="9318" xr:uid="{F1BBF910-2064-448C-A5E6-C2F86C8BE16E}"/>
    <cellStyle name="Normal 14 2 5" xfId="17759" xr:uid="{407CF1F1-E28B-47F7-87DF-B85203B9B98C}"/>
    <cellStyle name="Normal 14 2 6" xfId="26199" xr:uid="{5875D497-75B0-42D5-B6C1-944010D9ACD8}"/>
    <cellStyle name="Normal 14 3" xfId="1191" xr:uid="{00000000-0005-0000-0000-0000710E0000}"/>
    <cellStyle name="Normal 14 3 2" xfId="3422" xr:uid="{00000000-0005-0000-0000-0000720E0000}"/>
    <cellStyle name="Normal 14 3 2 2" xfId="7644" xr:uid="{00000000-0005-0000-0000-0000730E0000}"/>
    <cellStyle name="Normal 14 3 2 2 2" xfId="16094" xr:uid="{E762D55C-7DB2-4680-B0F7-E53FF46B57EA}"/>
    <cellStyle name="Normal 14 3 2 2 3" xfId="24534" xr:uid="{1F1BD864-8E57-4EBE-BA32-5356E1364E26}"/>
    <cellStyle name="Normal 14 3 2 2 4" xfId="32974" xr:uid="{70A130A4-9CB9-4555-9C39-3DA4938BADB9}"/>
    <cellStyle name="Normal 14 3 2 3" xfId="11876" xr:uid="{A06A9B41-40BF-4F1D-AAE9-7A1E9C411B91}"/>
    <cellStyle name="Normal 14 3 2 4" xfId="20317" xr:uid="{5FDB5D92-5B4E-4A39-8E37-C84488C48059}"/>
    <cellStyle name="Normal 14 3 2 5" xfId="28757" xr:uid="{B394357B-24CA-4633-A843-3E54E039AA72}"/>
    <cellStyle name="Normal 14 3 3" xfId="5499" xr:uid="{00000000-0005-0000-0000-0000740E0000}"/>
    <cellStyle name="Normal 14 3 3 2" xfId="13949" xr:uid="{2C306738-A6CE-49E2-A858-5980E819794F}"/>
    <cellStyle name="Normal 14 3 3 3" xfId="22389" xr:uid="{7B3752F9-CD8B-44FE-8D58-C9BF6CF71029}"/>
    <cellStyle name="Normal 14 3 3 4" xfId="30829" xr:uid="{6DC40E94-240E-40B7-A9C8-4AE061B6C56C}"/>
    <cellStyle name="Normal 14 3 4" xfId="9731" xr:uid="{4DBE5223-D540-4B64-9C98-67CF709F425E}"/>
    <cellStyle name="Normal 14 3 5" xfId="18172" xr:uid="{2AB19FA5-EB0B-4C14-8E19-0F1FC7109CD4}"/>
    <cellStyle name="Normal 14 3 6" xfId="26612" xr:uid="{61893DB7-EAC4-4275-BD28-F7B392D24541}"/>
    <cellStyle name="Normal 14 4" xfId="1605" xr:uid="{00000000-0005-0000-0000-0000750E0000}"/>
    <cellStyle name="Normal 14 4 2" xfId="3835" xr:uid="{00000000-0005-0000-0000-0000760E0000}"/>
    <cellStyle name="Normal 14 4 2 2" xfId="8057" xr:uid="{00000000-0005-0000-0000-0000770E0000}"/>
    <cellStyle name="Normal 14 4 2 2 2" xfId="16507" xr:uid="{DAE6AD20-8CBD-450F-A903-BE1B26E2AA49}"/>
    <cellStyle name="Normal 14 4 2 2 3" xfId="24947" xr:uid="{253C4913-26D1-448D-A8A5-DF9C0C7EA700}"/>
    <cellStyle name="Normal 14 4 2 2 4" xfId="33387" xr:uid="{413FCA53-EF8A-4C77-AAD5-9A7FEC7692ED}"/>
    <cellStyle name="Normal 14 4 2 3" xfId="12289" xr:uid="{04155D0D-AD51-4C68-9CEC-7D51F6A57301}"/>
    <cellStyle name="Normal 14 4 2 4" xfId="20730" xr:uid="{5A803D1C-B6BB-411B-8967-99FE03827190}"/>
    <cellStyle name="Normal 14 4 2 5" xfId="29170" xr:uid="{B4FC8E84-1D0C-4DB3-9466-EBB97AE09172}"/>
    <cellStyle name="Normal 14 4 3" xfId="5912" xr:uid="{00000000-0005-0000-0000-0000780E0000}"/>
    <cellStyle name="Normal 14 4 3 2" xfId="14362" xr:uid="{88703524-FEC3-4757-A3D6-8AC5E856A75D}"/>
    <cellStyle name="Normal 14 4 3 3" xfId="22802" xr:uid="{6CC498DB-8988-4075-86EC-050682491B92}"/>
    <cellStyle name="Normal 14 4 3 4" xfId="31242" xr:uid="{D6588523-74AE-459E-8583-0BB07E9D69E1}"/>
    <cellStyle name="Normal 14 4 4" xfId="10144" xr:uid="{17844820-7F77-4150-BCEE-4ADC18056FE8}"/>
    <cellStyle name="Normal 14 4 5" xfId="18585" xr:uid="{B6DC5CDE-EFB7-4A16-BCA6-5E1926A2D85E}"/>
    <cellStyle name="Normal 14 4 6" xfId="27025" xr:uid="{CA9C8EA8-F569-446A-8ECA-56CEBC43D319}"/>
    <cellStyle name="Normal 14 5" xfId="2019" xr:uid="{00000000-0005-0000-0000-0000790E0000}"/>
    <cellStyle name="Normal 14 5 2" xfId="4248" xr:uid="{00000000-0005-0000-0000-00007A0E0000}"/>
    <cellStyle name="Normal 14 5 2 2" xfId="8470" xr:uid="{00000000-0005-0000-0000-00007B0E0000}"/>
    <cellStyle name="Normal 14 5 2 2 2" xfId="16920" xr:uid="{F4B27E40-5209-4BBE-A4B7-3D5899AAF009}"/>
    <cellStyle name="Normal 14 5 2 2 3" xfId="25360" xr:uid="{CB06C3B6-FD1C-4070-B2C7-07DF1D15F221}"/>
    <cellStyle name="Normal 14 5 2 2 4" xfId="33800" xr:uid="{83600A97-8D55-4621-800C-36DD81BB4B8C}"/>
    <cellStyle name="Normal 14 5 2 3" xfId="12702" xr:uid="{92F2FA03-63B9-47DD-8A74-F9A0748276BF}"/>
    <cellStyle name="Normal 14 5 2 4" xfId="21143" xr:uid="{131080CC-C911-4A0A-BAC8-CFD75A288928}"/>
    <cellStyle name="Normal 14 5 2 5" xfId="29583" xr:uid="{B0D7D878-977E-4325-8BBC-25F2B00A8F3B}"/>
    <cellStyle name="Normal 14 5 3" xfId="6325" xr:uid="{00000000-0005-0000-0000-00007C0E0000}"/>
    <cellStyle name="Normal 14 5 3 2" xfId="14775" xr:uid="{663E370B-C8EC-498D-A6F8-56D9C408D8CB}"/>
    <cellStyle name="Normal 14 5 3 3" xfId="23215" xr:uid="{9665C88C-4ED2-4B83-BB56-08CA744AC55F}"/>
    <cellStyle name="Normal 14 5 3 4" xfId="31655" xr:uid="{1E64D579-D3A8-49C6-BCFF-AA34BC8D879B}"/>
    <cellStyle name="Normal 14 5 4" xfId="10557" xr:uid="{6C7CEF0B-14C7-42CE-91A6-41AD9D26DEAF}"/>
    <cellStyle name="Normal 14 5 5" xfId="18998" xr:uid="{3D36DE62-DB06-4F41-8655-80A397C29EE5}"/>
    <cellStyle name="Normal 14 5 6" xfId="27438" xr:uid="{74E7138B-01B5-4E4D-ADAC-4474A7CA6D9F}"/>
    <cellStyle name="Normal 14 6" xfId="2455" xr:uid="{00000000-0005-0000-0000-00007D0E0000}"/>
    <cellStyle name="Normal 14 6 2" xfId="6738" xr:uid="{00000000-0005-0000-0000-00007E0E0000}"/>
    <cellStyle name="Normal 14 6 2 2" xfId="15188" xr:uid="{13A9B437-6803-48B0-BFF7-C48A86A3407D}"/>
    <cellStyle name="Normal 14 6 2 3" xfId="23628" xr:uid="{886CFA23-3302-4CEA-97A3-2F60F6DAFA43}"/>
    <cellStyle name="Normal 14 6 2 4" xfId="32068" xr:uid="{A97D11EB-1BD2-4F9F-A1F1-41EB837B156F}"/>
    <cellStyle name="Normal 14 6 3" xfId="10970" xr:uid="{B138C75C-083F-49C6-9C4C-15E869A37C47}"/>
    <cellStyle name="Normal 14 6 4" xfId="19411" xr:uid="{40BE475C-1801-4F00-B5E6-CC1499814834}"/>
    <cellStyle name="Normal 14 6 5" xfId="27851" xr:uid="{C4C01717-B297-447A-897E-F6F764FBA3DC}"/>
    <cellStyle name="Normal 14 7" xfId="4672" xr:uid="{00000000-0005-0000-0000-00007F0E0000}"/>
    <cellStyle name="Normal 14 7 2" xfId="13122" xr:uid="{D21F18BA-5676-4BFE-BD27-F0CA19ECB1BD}"/>
    <cellStyle name="Normal 14 7 3" xfId="21562" xr:uid="{56E84E92-3577-4DC1-B742-0907447638E8}"/>
    <cellStyle name="Normal 14 7 4" xfId="30002" xr:uid="{5A3E2BCF-BACD-4358-B995-89FA33C5C3F1}"/>
    <cellStyle name="Normal 14 8" xfId="8904" xr:uid="{E0F94B07-7F2D-4305-A9F6-87C7252EC07C}"/>
    <cellStyle name="Normal 14 9" xfId="17345" xr:uid="{6FDF8C11-2571-4AAA-ABB2-A50F628B0494}"/>
    <cellStyle name="Normal 15" xfId="4496" xr:uid="{00000000-0005-0000-0000-0000800E0000}"/>
    <cellStyle name="Normal 15 2" xfId="12948" xr:uid="{CF57C585-C874-44CC-B17D-B359792936E4}"/>
    <cellStyle name="Normal 15 3" xfId="21388" xr:uid="{9A67DDF9-36D9-4371-A2E2-22A36CE02011}"/>
    <cellStyle name="Normal 15 4" xfId="29828" xr:uid="{CEB6D708-3A23-4B9F-9AB2-16398CCC5790}"/>
    <cellStyle name="Normal 16" xfId="4500" xr:uid="{00000000-0005-0000-0000-0000810E0000}"/>
    <cellStyle name="Normal 16 2" xfId="8715" xr:uid="{00000000-0005-0000-0000-0000820E0000}"/>
    <cellStyle name="Normal 16 2 2" xfId="17165" xr:uid="{07B683AF-9281-4215-979C-E4167280F5E9}"/>
    <cellStyle name="Normal 16 2 3" xfId="25605" xr:uid="{8D71E0D6-2CE3-4DE8-8606-D7B8316076AD}"/>
    <cellStyle name="Normal 16 2 4" xfId="34045" xr:uid="{B182B40A-719F-42A9-91D2-CB93C27DEF59}"/>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6 3 2 2 3" xfId="17174" xr:uid="{B8CAFA66-F78F-4EDC-8833-267660A779B9}"/>
    <cellStyle name="Normal 16 3 2 2 4" xfId="25614" xr:uid="{B65C396D-9CD3-49DC-9BCF-E60D913C0830}"/>
    <cellStyle name="Normal 16 3 2 2 5" xfId="34054" xr:uid="{DBD9141F-FAC2-42E3-B332-F6D96C69C0F5}"/>
    <cellStyle name="Normal 16 3 2 3" xfId="17171" xr:uid="{78A3774B-83CF-40FF-8224-9DA2AC0FB3C3}"/>
    <cellStyle name="Normal 16 3 2 4" xfId="25611" xr:uid="{EB91F6EF-EE59-4018-8502-90C18F22646E}"/>
    <cellStyle name="Normal 16 3 2 5" xfId="34051" xr:uid="{84400507-B765-43E9-B252-1ECFE75B306E}"/>
    <cellStyle name="Normal 16 3 3" xfId="17168" xr:uid="{D3DC70D1-F6CA-4EDB-A102-46568E6807CC}"/>
    <cellStyle name="Normal 16 3 4" xfId="25608" xr:uid="{5778A944-B5E0-4C90-A137-4831027E2873}"/>
    <cellStyle name="Normal 16 3 5" xfId="34048" xr:uid="{38E6DCC2-2303-4A57-AA61-5869EC1BCF95}"/>
    <cellStyle name="Normal 16 4" xfId="12951" xr:uid="{58AFE566-C0FC-4BA7-B24F-B40D9787D74B}"/>
    <cellStyle name="Normal 16 5" xfId="21391" xr:uid="{8612D352-22DF-42C6-A1E1-7B0C43305155}"/>
    <cellStyle name="Normal 16 6" xfId="29831" xr:uid="{0F21E44D-92CA-4679-B6F5-4ABF6DD19C8F}"/>
    <cellStyle name="Normal 17" xfId="8728" xr:uid="{3FF0972C-833B-4475-99D8-1A6907499E71}"/>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2 2 2" xfId="16921" xr:uid="{F49B2762-AF89-4D2C-8DC1-45E6DB5F9E9F}"/>
    <cellStyle name="Normal 2 4 2 10 2 2 3" xfId="25361" xr:uid="{A3D1D77C-45FA-4A2B-A6F6-3F225DE54039}"/>
    <cellStyle name="Normal 2 4 2 10 2 2 4" xfId="33801" xr:uid="{8E1B4065-6F29-4DD2-91BA-4D38FE91BF9B}"/>
    <cellStyle name="Normal 2 4 2 10 2 3" xfId="12703" xr:uid="{6245E411-B90A-4A1B-9B76-28711F25A856}"/>
    <cellStyle name="Normal 2 4 2 10 2 4" xfId="21144" xr:uid="{7EED3275-6249-4132-A390-FB32DB54781F}"/>
    <cellStyle name="Normal 2 4 2 10 2 5" xfId="29584" xr:uid="{455A0D5F-BC1E-429F-8DD0-B58A0D3C5F43}"/>
    <cellStyle name="Normal 2 4 2 10 3" xfId="6326" xr:uid="{00000000-0005-0000-0000-0000910E0000}"/>
    <cellStyle name="Normal 2 4 2 10 3 2" xfId="14776" xr:uid="{12CEB60A-12B7-4850-8C1A-B30A66881546}"/>
    <cellStyle name="Normal 2 4 2 10 3 3" xfId="23216" xr:uid="{AAA6D8F6-E962-47EF-86CA-A94D438C5A48}"/>
    <cellStyle name="Normal 2 4 2 10 3 4" xfId="31656" xr:uid="{9E73D53F-3E03-4AB6-A829-405BB3C9AE52}"/>
    <cellStyle name="Normal 2 4 2 10 4" xfId="10558" xr:uid="{AC2B137A-5A4A-4D24-87E6-5B684AF5868B}"/>
    <cellStyle name="Normal 2 4 2 10 5" xfId="18999" xr:uid="{1E65E45C-D68F-44FD-8030-D82621BC9091}"/>
    <cellStyle name="Normal 2 4 2 10 6" xfId="27439" xr:uid="{B9AA525F-23A1-4FFD-A4BC-C67F1D9D45EE}"/>
    <cellStyle name="Normal 2 4 2 11" xfId="2456" xr:uid="{00000000-0005-0000-0000-0000920E0000}"/>
    <cellStyle name="Normal 2 4 2 11 2" xfId="6739" xr:uid="{00000000-0005-0000-0000-0000930E0000}"/>
    <cellStyle name="Normal 2 4 2 11 2 2" xfId="15189" xr:uid="{5D2B69FF-0B01-4BF6-A6F9-E5318856E761}"/>
    <cellStyle name="Normal 2 4 2 11 2 3" xfId="23629" xr:uid="{641EC737-7D20-47B2-82C3-0FF2CD2A96E6}"/>
    <cellStyle name="Normal 2 4 2 11 2 4" xfId="32069" xr:uid="{5DA002AD-3C46-48AE-A0B0-43EBC58EE7EF}"/>
    <cellStyle name="Normal 2 4 2 11 3" xfId="10971" xr:uid="{004E559D-515F-4EC8-8496-8EB90352F224}"/>
    <cellStyle name="Normal 2 4 2 11 4" xfId="19412" xr:uid="{2A52FF27-4131-455E-98DB-FFD239F0F019}"/>
    <cellStyle name="Normal 2 4 2 11 5" xfId="27852" xr:uid="{3EF5BC81-8977-463A-ADD5-924F6C054EA1}"/>
    <cellStyle name="Normal 2 4 2 12" xfId="4673" xr:uid="{00000000-0005-0000-0000-0000940E0000}"/>
    <cellStyle name="Normal 2 4 2 12 2" xfId="13123" xr:uid="{59E62B0E-4363-49F5-94AE-93069AC45590}"/>
    <cellStyle name="Normal 2 4 2 12 3" xfId="21563" xr:uid="{9AD04E7D-E91E-4CA6-946C-A3D9BF2D56C2}"/>
    <cellStyle name="Normal 2 4 2 12 4" xfId="30003" xr:uid="{4ADF1923-20DD-44DC-906E-9F366D7E90F9}"/>
    <cellStyle name="Normal 2 4 2 13" xfId="8905" xr:uid="{3E0194CD-DD43-4C41-8C49-4B7D5DD1C9F8}"/>
    <cellStyle name="Normal 2 4 2 14" xfId="17346" xr:uid="{E08D354F-CD98-4387-92CC-6C1A1F6D568F}"/>
    <cellStyle name="Normal 2 4 2 15" xfId="25786" xr:uid="{2CB040FC-5A8D-428D-8A33-D608E08E645A}"/>
    <cellStyle name="Normal 2 4 2 2" xfId="280" xr:uid="{00000000-0005-0000-0000-0000950E0000}"/>
    <cellStyle name="Normal 2 4 2 3" xfId="281" xr:uid="{00000000-0005-0000-0000-0000960E0000}"/>
    <cellStyle name="Normal 2 4 2 3 10" xfId="4674" xr:uid="{00000000-0005-0000-0000-0000970E0000}"/>
    <cellStyle name="Normal 2 4 2 3 10 2" xfId="13124" xr:uid="{6188FC3C-561D-4CC3-8DD3-D111AB4E58C4}"/>
    <cellStyle name="Normal 2 4 2 3 10 3" xfId="21564" xr:uid="{A16281A3-592D-494C-99FA-3A180E9C9016}"/>
    <cellStyle name="Normal 2 4 2 3 10 4" xfId="30004" xr:uid="{3B53777E-6EFC-4C56-9F1B-0F458C438688}"/>
    <cellStyle name="Normal 2 4 2 3 11" xfId="8906" xr:uid="{1D04CF44-DD8A-45DC-80B9-9024F222EC3A}"/>
    <cellStyle name="Normal 2 4 2 3 12" xfId="17347" xr:uid="{9DB502B3-B7E3-4B0B-95E9-211ADB3BFF09}"/>
    <cellStyle name="Normal 2 4 2 3 13" xfId="25787" xr:uid="{D1E5E067-43DD-470B-90CB-6567AED938ED}"/>
    <cellStyle name="Normal 2 4 2 3 2" xfId="282" xr:uid="{00000000-0005-0000-0000-0000980E0000}"/>
    <cellStyle name="Normal 2 4 2 3 2 10" xfId="8907" xr:uid="{3154CF5E-39F1-48F0-9B29-715952A65E39}"/>
    <cellStyle name="Normal 2 4 2 3 2 11" xfId="17348" xr:uid="{C71C921B-6886-439F-8AD5-ACD44C9AE837}"/>
    <cellStyle name="Normal 2 4 2 3 2 12" xfId="25788" xr:uid="{EF1ABE88-1E37-4BB0-92C5-F4091263426A}"/>
    <cellStyle name="Normal 2 4 2 3 2 2" xfId="283" xr:uid="{00000000-0005-0000-0000-0000990E0000}"/>
    <cellStyle name="Normal 2 4 2 3 2 2 10" xfId="17349" xr:uid="{BE2A74AA-D64A-4B9B-AFC8-DAD35B13656B}"/>
    <cellStyle name="Normal 2 4 2 3 2 2 11" xfId="25789" xr:uid="{B2C1BB54-B435-418D-8A21-828F4F4C4124}"/>
    <cellStyle name="Normal 2 4 2 3 2 2 2" xfId="284" xr:uid="{00000000-0005-0000-0000-00009A0E0000}"/>
    <cellStyle name="Normal 2 4 2 3 2 2 2 10" xfId="25790" xr:uid="{2C9CD2E1-7122-471E-ABFA-FB1A33145516}"/>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2 2 2" xfId="15686" xr:uid="{56B1E1FE-F125-4BF4-A1DF-091E2C7E112D}"/>
    <cellStyle name="Normal 2 4 2 3 2 2 2 2 2 2 3" xfId="24126" xr:uid="{3F1B785A-6045-4237-AC29-04007AAAA57F}"/>
    <cellStyle name="Normal 2 4 2 3 2 2 2 2 2 2 4" xfId="32566" xr:uid="{03CFDDFF-19C5-457A-91C6-AC44F3CFE8DC}"/>
    <cellStyle name="Normal 2 4 2 3 2 2 2 2 2 3" xfId="11468" xr:uid="{F899A1BC-6459-4391-914E-A0CA5AF2FA18}"/>
    <cellStyle name="Normal 2 4 2 3 2 2 2 2 2 4" xfId="19909" xr:uid="{EB253956-F479-4330-ADF5-12BFD802F341}"/>
    <cellStyle name="Normal 2 4 2 3 2 2 2 2 2 5" xfId="28349" xr:uid="{C5C5D9BE-C6E6-47D0-9024-B8992182597A}"/>
    <cellStyle name="Normal 2 4 2 3 2 2 2 2 3" xfId="5091" xr:uid="{00000000-0005-0000-0000-00009E0E0000}"/>
    <cellStyle name="Normal 2 4 2 3 2 2 2 2 3 2" xfId="13541" xr:uid="{AE07C667-027F-4648-8F4D-992E7588807A}"/>
    <cellStyle name="Normal 2 4 2 3 2 2 2 2 3 3" xfId="21981" xr:uid="{70F410E7-A39C-4E52-8603-BB145E63A4D8}"/>
    <cellStyle name="Normal 2 4 2 3 2 2 2 2 3 4" xfId="30421" xr:uid="{485A9DC8-F7ED-423F-B5F5-828765A1F104}"/>
    <cellStyle name="Normal 2 4 2 3 2 2 2 2 4" xfId="9323" xr:uid="{B3805243-618E-4502-94F5-64660D7EADDB}"/>
    <cellStyle name="Normal 2 4 2 3 2 2 2 2 5" xfId="17764" xr:uid="{014597CA-E9D6-4234-BDDE-E0B7C0697ED9}"/>
    <cellStyle name="Normal 2 4 2 3 2 2 2 2 6" xfId="26204" xr:uid="{F1E8B090-5E56-424E-B7B0-42B4C5306850}"/>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2 2 2" xfId="16099" xr:uid="{5BF2024A-F867-4067-B9F7-A231E948638B}"/>
    <cellStyle name="Normal 2 4 2 3 2 2 2 3 2 2 3" xfId="24539" xr:uid="{91AD8E0D-4979-4FB1-9F5C-6E88ECD0408C}"/>
    <cellStyle name="Normal 2 4 2 3 2 2 2 3 2 2 4" xfId="32979" xr:uid="{DCDD4666-33D5-42BB-9AE7-4FA45D22C0F8}"/>
    <cellStyle name="Normal 2 4 2 3 2 2 2 3 2 3" xfId="11881" xr:uid="{0D0C25C8-5857-420D-9354-3EA8E1923F65}"/>
    <cellStyle name="Normal 2 4 2 3 2 2 2 3 2 4" xfId="20322" xr:uid="{60F7E8AA-5CB7-4B6A-8A1B-2137E45F4579}"/>
    <cellStyle name="Normal 2 4 2 3 2 2 2 3 2 5" xfId="28762" xr:uid="{86B13BBD-9D20-4657-9423-220E13ADC425}"/>
    <cellStyle name="Normal 2 4 2 3 2 2 2 3 3" xfId="5504" xr:uid="{00000000-0005-0000-0000-0000A20E0000}"/>
    <cellStyle name="Normal 2 4 2 3 2 2 2 3 3 2" xfId="13954" xr:uid="{C2E988C9-39E1-49D0-AE02-DAC6DA36EA86}"/>
    <cellStyle name="Normal 2 4 2 3 2 2 2 3 3 3" xfId="22394" xr:uid="{05395EC4-5A09-4F7B-8129-D3BD93E4F329}"/>
    <cellStyle name="Normal 2 4 2 3 2 2 2 3 3 4" xfId="30834" xr:uid="{8D06BDC8-C474-4FDD-A4D0-A5FF7F458E66}"/>
    <cellStyle name="Normal 2 4 2 3 2 2 2 3 4" xfId="9736" xr:uid="{F74C36AE-C851-449C-A740-6B8AD74FB822}"/>
    <cellStyle name="Normal 2 4 2 3 2 2 2 3 5" xfId="18177" xr:uid="{75CD72C6-28CF-4172-A070-087CEF47882A}"/>
    <cellStyle name="Normal 2 4 2 3 2 2 2 3 6" xfId="26617" xr:uid="{38FFE666-90AB-42B5-AE25-9B388FD3E9EA}"/>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2 2 2" xfId="16512" xr:uid="{15DC93D2-ED56-44C8-8E7B-C0BF0C59B9F7}"/>
    <cellStyle name="Normal 2 4 2 3 2 2 2 4 2 2 3" xfId="24952" xr:uid="{72F2C07D-7A7A-4B3C-BCB8-C74D6C64F27C}"/>
    <cellStyle name="Normal 2 4 2 3 2 2 2 4 2 2 4" xfId="33392" xr:uid="{81BBBD3E-FBE4-4134-B6A7-BACA9DB5E318}"/>
    <cellStyle name="Normal 2 4 2 3 2 2 2 4 2 3" xfId="12294" xr:uid="{AD18BA88-D3FF-434D-A637-C9253030CE2A}"/>
    <cellStyle name="Normal 2 4 2 3 2 2 2 4 2 4" xfId="20735" xr:uid="{264A37BC-0BF8-4FC4-9699-91C867C276CF}"/>
    <cellStyle name="Normal 2 4 2 3 2 2 2 4 2 5" xfId="29175" xr:uid="{F386660A-28CC-4A47-B328-DB577580E900}"/>
    <cellStyle name="Normal 2 4 2 3 2 2 2 4 3" xfId="5917" xr:uid="{00000000-0005-0000-0000-0000A60E0000}"/>
    <cellStyle name="Normal 2 4 2 3 2 2 2 4 3 2" xfId="14367" xr:uid="{F8F8B41F-51FD-4708-A5F6-4A5DC93E7642}"/>
    <cellStyle name="Normal 2 4 2 3 2 2 2 4 3 3" xfId="22807" xr:uid="{D2E0B191-95A6-45A0-BECC-1B0F7EE25A46}"/>
    <cellStyle name="Normal 2 4 2 3 2 2 2 4 3 4" xfId="31247" xr:uid="{00B34119-D927-44DE-B9BB-ACC41B2C06BC}"/>
    <cellStyle name="Normal 2 4 2 3 2 2 2 4 4" xfId="10149" xr:uid="{9B8865B4-331C-4B06-9AB4-66B7D32802A7}"/>
    <cellStyle name="Normal 2 4 2 3 2 2 2 4 5" xfId="18590" xr:uid="{5FC27A92-87EB-40AC-B6F8-3268C7A2E7B3}"/>
    <cellStyle name="Normal 2 4 2 3 2 2 2 4 6" xfId="27030" xr:uid="{A262B0BE-FE97-407D-8A3C-891F3016656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2 2 2" xfId="16925" xr:uid="{0BB55395-25EE-461E-89D0-A0144B581494}"/>
    <cellStyle name="Normal 2 4 2 3 2 2 2 5 2 2 3" xfId="25365" xr:uid="{4D60CD35-78B3-484D-9AF4-09C8D5DF3558}"/>
    <cellStyle name="Normal 2 4 2 3 2 2 2 5 2 2 4" xfId="33805" xr:uid="{88A9BBCD-1CFF-410C-9470-540E3C58D5B4}"/>
    <cellStyle name="Normal 2 4 2 3 2 2 2 5 2 3" xfId="12707" xr:uid="{B31224CA-87E4-4B1A-8C6F-86A8A1930CC7}"/>
    <cellStyle name="Normal 2 4 2 3 2 2 2 5 2 4" xfId="21148" xr:uid="{8D53102C-958B-4176-B4CA-601BF0F8C3B6}"/>
    <cellStyle name="Normal 2 4 2 3 2 2 2 5 2 5" xfId="29588" xr:uid="{A6CF6999-E7F6-466E-BF11-9576DE31A13C}"/>
    <cellStyle name="Normal 2 4 2 3 2 2 2 5 3" xfId="6330" xr:uid="{00000000-0005-0000-0000-0000AA0E0000}"/>
    <cellStyle name="Normal 2 4 2 3 2 2 2 5 3 2" xfId="14780" xr:uid="{2CF857F5-BE59-4205-8A46-F3D6D10F2F23}"/>
    <cellStyle name="Normal 2 4 2 3 2 2 2 5 3 3" xfId="23220" xr:uid="{6FAFDAFA-CA0E-4B53-AF7C-C4F164B9EF74}"/>
    <cellStyle name="Normal 2 4 2 3 2 2 2 5 3 4" xfId="31660" xr:uid="{E439038B-15A7-46A7-BAA0-5497B1CCB5FA}"/>
    <cellStyle name="Normal 2 4 2 3 2 2 2 5 4" xfId="10562" xr:uid="{DD364CDA-B8BF-4657-9A0C-587AC45847B4}"/>
    <cellStyle name="Normal 2 4 2 3 2 2 2 5 5" xfId="19003" xr:uid="{3C09A4C6-D9E2-4263-AB53-1DB3560A0B4E}"/>
    <cellStyle name="Normal 2 4 2 3 2 2 2 5 6" xfId="27443" xr:uid="{31E3E45F-CA5D-4957-B265-BF95EE6172FE}"/>
    <cellStyle name="Normal 2 4 2 3 2 2 2 6" xfId="2460" xr:uid="{00000000-0005-0000-0000-0000AB0E0000}"/>
    <cellStyle name="Normal 2 4 2 3 2 2 2 6 2" xfId="6743" xr:uid="{00000000-0005-0000-0000-0000AC0E0000}"/>
    <cellStyle name="Normal 2 4 2 3 2 2 2 6 2 2" xfId="15193" xr:uid="{107696CC-EC59-4040-9A1E-45E19F7EB551}"/>
    <cellStyle name="Normal 2 4 2 3 2 2 2 6 2 3" xfId="23633" xr:uid="{180E8B24-A7C6-4542-99B8-E2CD2D17EB2F}"/>
    <cellStyle name="Normal 2 4 2 3 2 2 2 6 2 4" xfId="32073" xr:uid="{3BD3F972-C159-4F45-AAA7-8435EE713F25}"/>
    <cellStyle name="Normal 2 4 2 3 2 2 2 6 3" xfId="10975" xr:uid="{1D439AD2-940C-4FA3-9784-38D9CBEC438D}"/>
    <cellStyle name="Normal 2 4 2 3 2 2 2 6 4" xfId="19416" xr:uid="{97E20506-53A9-402E-B737-0BD7550F3966}"/>
    <cellStyle name="Normal 2 4 2 3 2 2 2 6 5" xfId="27856" xr:uid="{681DB302-DA9F-43CF-95DE-BE6BD5B48707}"/>
    <cellStyle name="Normal 2 4 2 3 2 2 2 7" xfId="4677" xr:uid="{00000000-0005-0000-0000-0000AD0E0000}"/>
    <cellStyle name="Normal 2 4 2 3 2 2 2 7 2" xfId="13127" xr:uid="{E6201BCA-E0A7-4B55-89ED-D1A0659886F2}"/>
    <cellStyle name="Normal 2 4 2 3 2 2 2 7 3" xfId="21567" xr:uid="{C081803E-3FF1-416F-B125-39FDF80AA013}"/>
    <cellStyle name="Normal 2 4 2 3 2 2 2 7 4" xfId="30007" xr:uid="{A9F73D02-E77A-4373-9924-9676A5244703}"/>
    <cellStyle name="Normal 2 4 2 3 2 2 2 8" xfId="8909" xr:uid="{3494A6DC-5126-4C8C-8F67-66007CEBC954}"/>
    <cellStyle name="Normal 2 4 2 3 2 2 2 9" xfId="17350" xr:uid="{F20E0D25-F8A3-4D82-A361-8F5C9DBA5C75}"/>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2 2 2" xfId="15685" xr:uid="{C3585E48-37AF-4BC9-B3D1-5668A81E7E4F}"/>
    <cellStyle name="Normal 2 4 2 3 2 2 3 2 2 3" xfId="24125" xr:uid="{42643AAF-BAEA-42B0-A45C-FB21B6040F06}"/>
    <cellStyle name="Normal 2 4 2 3 2 2 3 2 2 4" xfId="32565" xr:uid="{E5D63495-67F6-4A41-BA21-30B2C751FE98}"/>
    <cellStyle name="Normal 2 4 2 3 2 2 3 2 3" xfId="11467" xr:uid="{A398BDDE-025D-4CDB-B3F6-9A8C4BF3A3DF}"/>
    <cellStyle name="Normal 2 4 2 3 2 2 3 2 4" xfId="19908" xr:uid="{55F2685B-A145-4C9D-917B-0448FB6181A8}"/>
    <cellStyle name="Normal 2 4 2 3 2 2 3 2 5" xfId="28348" xr:uid="{023FBC9E-7170-4F7C-8862-8C4141D6C375}"/>
    <cellStyle name="Normal 2 4 2 3 2 2 3 3" xfId="5090" xr:uid="{00000000-0005-0000-0000-0000B10E0000}"/>
    <cellStyle name="Normal 2 4 2 3 2 2 3 3 2" xfId="13540" xr:uid="{DFA7D868-1C5E-4A5B-801B-F405911BEEC7}"/>
    <cellStyle name="Normal 2 4 2 3 2 2 3 3 3" xfId="21980" xr:uid="{6C7662D8-BE06-463F-81BB-D7FD00D273FC}"/>
    <cellStyle name="Normal 2 4 2 3 2 2 3 3 4" xfId="30420" xr:uid="{C6D64E13-82E0-4040-9666-2721D5D63DA1}"/>
    <cellStyle name="Normal 2 4 2 3 2 2 3 4" xfId="9322" xr:uid="{E4B0773C-939C-4E03-A939-966DCF7710DE}"/>
    <cellStyle name="Normal 2 4 2 3 2 2 3 5" xfId="17763" xr:uid="{C067BD48-97EA-4197-A195-6F31589FA2AF}"/>
    <cellStyle name="Normal 2 4 2 3 2 2 3 6" xfId="26203" xr:uid="{628F05BA-1BAB-4159-A046-AAFE366A6067}"/>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2 2 2" xfId="16098" xr:uid="{F22C8AA4-117C-48E6-9CBE-92200A9BB794}"/>
    <cellStyle name="Normal 2 4 2 3 2 2 4 2 2 3" xfId="24538" xr:uid="{B4F195C1-ED4C-41A3-9406-6B9DD4607E46}"/>
    <cellStyle name="Normal 2 4 2 3 2 2 4 2 2 4" xfId="32978" xr:uid="{98CB32AD-0320-492D-AF17-EE0C8736F5B6}"/>
    <cellStyle name="Normal 2 4 2 3 2 2 4 2 3" xfId="11880" xr:uid="{33AF7882-98D2-4339-8B0E-8FF6926298BD}"/>
    <cellStyle name="Normal 2 4 2 3 2 2 4 2 4" xfId="20321" xr:uid="{D7DE8E9F-E8A1-4D3F-B70A-C27C53F2803A}"/>
    <cellStyle name="Normal 2 4 2 3 2 2 4 2 5" xfId="28761" xr:uid="{4CF534CC-70B0-4537-8D45-37490E528A14}"/>
    <cellStyle name="Normal 2 4 2 3 2 2 4 3" xfId="5503" xr:uid="{00000000-0005-0000-0000-0000B50E0000}"/>
    <cellStyle name="Normal 2 4 2 3 2 2 4 3 2" xfId="13953" xr:uid="{5BA13A97-6AD8-4C6B-A457-1F33B6209FC0}"/>
    <cellStyle name="Normal 2 4 2 3 2 2 4 3 3" xfId="22393" xr:uid="{7E012293-B97E-41CD-B7AD-F74729B5E199}"/>
    <cellStyle name="Normal 2 4 2 3 2 2 4 3 4" xfId="30833" xr:uid="{FE9B3350-8050-45FA-997D-372E6BDF5CF9}"/>
    <cellStyle name="Normal 2 4 2 3 2 2 4 4" xfId="9735" xr:uid="{03A4D2E4-02CB-402B-98CB-D0CAAE23C2B1}"/>
    <cellStyle name="Normal 2 4 2 3 2 2 4 5" xfId="18176" xr:uid="{467C5470-8DF3-4259-8157-CBB38EE00386}"/>
    <cellStyle name="Normal 2 4 2 3 2 2 4 6" xfId="26616" xr:uid="{DB01314F-7099-4B1D-AEAB-8264547F0F86}"/>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2 2 2" xfId="16511" xr:uid="{29011C09-344A-4F58-8327-DAA771E6206A}"/>
    <cellStyle name="Normal 2 4 2 3 2 2 5 2 2 3" xfId="24951" xr:uid="{1C9DAFD7-13B5-4150-B0B6-2CFEE173433B}"/>
    <cellStyle name="Normal 2 4 2 3 2 2 5 2 2 4" xfId="33391" xr:uid="{451DD466-E073-4937-B61B-6CE62835C643}"/>
    <cellStyle name="Normal 2 4 2 3 2 2 5 2 3" xfId="12293" xr:uid="{1D491F98-8D2F-44A7-B139-23AAB23D3783}"/>
    <cellStyle name="Normal 2 4 2 3 2 2 5 2 4" xfId="20734" xr:uid="{C4F57727-E4D3-4F54-82B3-4E74BF4B1EA2}"/>
    <cellStyle name="Normal 2 4 2 3 2 2 5 2 5" xfId="29174" xr:uid="{DB64D620-4115-4EE0-B6F2-ABF82E85ACA4}"/>
    <cellStyle name="Normal 2 4 2 3 2 2 5 3" xfId="5916" xr:uid="{00000000-0005-0000-0000-0000B90E0000}"/>
    <cellStyle name="Normal 2 4 2 3 2 2 5 3 2" xfId="14366" xr:uid="{10BA6D41-69F8-4DA2-B816-619BA74FB2C0}"/>
    <cellStyle name="Normal 2 4 2 3 2 2 5 3 3" xfId="22806" xr:uid="{A28D5FC0-5058-4A8A-85B3-F627AD89ADE2}"/>
    <cellStyle name="Normal 2 4 2 3 2 2 5 3 4" xfId="31246" xr:uid="{4163E7D1-F927-4503-A994-6E9B59AE6008}"/>
    <cellStyle name="Normal 2 4 2 3 2 2 5 4" xfId="10148" xr:uid="{6948777E-E699-4394-BDB0-64E02A78166D}"/>
    <cellStyle name="Normal 2 4 2 3 2 2 5 5" xfId="18589" xr:uid="{7E982F73-7536-4742-BD2C-0664818AF5BF}"/>
    <cellStyle name="Normal 2 4 2 3 2 2 5 6" xfId="27029" xr:uid="{3C1003BE-99E6-40E1-90AE-682EE9487692}"/>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2 2 2" xfId="16924" xr:uid="{4AB74FAC-A734-4F00-820C-A56C2924F015}"/>
    <cellStyle name="Normal 2 4 2 3 2 2 6 2 2 3" xfId="25364" xr:uid="{4B41FBF2-F41B-4202-AF9D-D9C08D5F58D6}"/>
    <cellStyle name="Normal 2 4 2 3 2 2 6 2 2 4" xfId="33804" xr:uid="{4BD97D03-F1CB-404C-800D-24E977B8A157}"/>
    <cellStyle name="Normal 2 4 2 3 2 2 6 2 3" xfId="12706" xr:uid="{A621E3E8-6FBE-4A48-8D0C-4DA891A95927}"/>
    <cellStyle name="Normal 2 4 2 3 2 2 6 2 4" xfId="21147" xr:uid="{84AB4F8D-A468-46F1-86DF-E5FCA87F576D}"/>
    <cellStyle name="Normal 2 4 2 3 2 2 6 2 5" xfId="29587" xr:uid="{85C47132-410E-4430-B5B2-6754CBBD7B65}"/>
    <cellStyle name="Normal 2 4 2 3 2 2 6 3" xfId="6329" xr:uid="{00000000-0005-0000-0000-0000BD0E0000}"/>
    <cellStyle name="Normal 2 4 2 3 2 2 6 3 2" xfId="14779" xr:uid="{C3C31629-FB07-42A5-83C5-DD2D2DD7F6FC}"/>
    <cellStyle name="Normal 2 4 2 3 2 2 6 3 3" xfId="23219" xr:uid="{8F4FC21D-105D-4495-949B-75E4A447B3F2}"/>
    <cellStyle name="Normal 2 4 2 3 2 2 6 3 4" xfId="31659" xr:uid="{A4353703-62F1-43D7-9C9E-BB5E0EF0FF3B}"/>
    <cellStyle name="Normal 2 4 2 3 2 2 6 4" xfId="10561" xr:uid="{EDAAED7D-7181-445A-957D-CD41ECF6946B}"/>
    <cellStyle name="Normal 2 4 2 3 2 2 6 5" xfId="19002" xr:uid="{73E52D9F-431F-463F-B0F5-DB14926990AA}"/>
    <cellStyle name="Normal 2 4 2 3 2 2 6 6" xfId="27442" xr:uid="{7EDD9AC7-D9F2-4279-9D83-15CD73134D3C}"/>
    <cellStyle name="Normal 2 4 2 3 2 2 7" xfId="2459" xr:uid="{00000000-0005-0000-0000-0000BE0E0000}"/>
    <cellStyle name="Normal 2 4 2 3 2 2 7 2" xfId="6742" xr:uid="{00000000-0005-0000-0000-0000BF0E0000}"/>
    <cellStyle name="Normal 2 4 2 3 2 2 7 2 2" xfId="15192" xr:uid="{3C69F5B3-E4D3-4D91-8031-F3046EFBDFAC}"/>
    <cellStyle name="Normal 2 4 2 3 2 2 7 2 3" xfId="23632" xr:uid="{B0CD6140-273D-480C-B859-A20CC55C2371}"/>
    <cellStyle name="Normal 2 4 2 3 2 2 7 2 4" xfId="32072" xr:uid="{AB28A28E-9A7A-4194-B952-AA05574F0F31}"/>
    <cellStyle name="Normal 2 4 2 3 2 2 7 3" xfId="10974" xr:uid="{9A15B602-E9B2-40CD-A785-C7D6BF855B4B}"/>
    <cellStyle name="Normal 2 4 2 3 2 2 7 4" xfId="19415" xr:uid="{D19A139B-9456-40E8-B1CE-3CBD56EA29D5}"/>
    <cellStyle name="Normal 2 4 2 3 2 2 7 5" xfId="27855" xr:uid="{EF2A6061-75DC-4E1E-8C7F-1A0559FD68D6}"/>
    <cellStyle name="Normal 2 4 2 3 2 2 8" xfId="4676" xr:uid="{00000000-0005-0000-0000-0000C00E0000}"/>
    <cellStyle name="Normal 2 4 2 3 2 2 8 2" xfId="13126" xr:uid="{D6B22C0A-97BE-493E-9878-6B0EDC39469C}"/>
    <cellStyle name="Normal 2 4 2 3 2 2 8 3" xfId="21566" xr:uid="{5576613F-0883-4F6D-A9C6-E05338C2C789}"/>
    <cellStyle name="Normal 2 4 2 3 2 2 8 4" xfId="30006" xr:uid="{4F12E69C-D32C-4219-8CC3-61395DA32725}"/>
    <cellStyle name="Normal 2 4 2 3 2 2 9" xfId="8908" xr:uid="{44767EB4-715C-4BE8-8D66-1E5CBB772D1A}"/>
    <cellStyle name="Normal 2 4 2 3 2 3" xfId="285" xr:uid="{00000000-0005-0000-0000-0000C10E0000}"/>
    <cellStyle name="Normal 2 4 2 3 2 3 10" xfId="25791" xr:uid="{A81FD59C-CBE5-4B80-9078-6AA59A5BBA86}"/>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2 2 2" xfId="15687" xr:uid="{7B0BBAF1-9CE4-4028-ADF4-693015D6F826}"/>
    <cellStyle name="Normal 2 4 2 3 2 3 2 2 2 3" xfId="24127" xr:uid="{D68C7712-6D62-49BC-88A6-0F38661B545D}"/>
    <cellStyle name="Normal 2 4 2 3 2 3 2 2 2 4" xfId="32567" xr:uid="{5F79B76D-32D2-4EA8-B51D-A3B6AB886619}"/>
    <cellStyle name="Normal 2 4 2 3 2 3 2 2 3" xfId="11469" xr:uid="{0BADD396-AE2A-47A6-8F08-829C328DCFBE}"/>
    <cellStyle name="Normal 2 4 2 3 2 3 2 2 4" xfId="19910" xr:uid="{8E8140A3-3989-482F-95BE-6D9AC379A53A}"/>
    <cellStyle name="Normal 2 4 2 3 2 3 2 2 5" xfId="28350" xr:uid="{0734FD50-C1B5-47CC-87C0-9616E01C0F5B}"/>
    <cellStyle name="Normal 2 4 2 3 2 3 2 3" xfId="5092" xr:uid="{00000000-0005-0000-0000-0000C50E0000}"/>
    <cellStyle name="Normal 2 4 2 3 2 3 2 3 2" xfId="13542" xr:uid="{6468196D-9834-45DF-85BD-F84E3A000F77}"/>
    <cellStyle name="Normal 2 4 2 3 2 3 2 3 3" xfId="21982" xr:uid="{5671EFA0-B41C-4D43-BE91-B5942091083F}"/>
    <cellStyle name="Normal 2 4 2 3 2 3 2 3 4" xfId="30422" xr:uid="{BEF29D89-3123-455D-ACE7-47BEA532311C}"/>
    <cellStyle name="Normal 2 4 2 3 2 3 2 4" xfId="9324" xr:uid="{09EB8DE3-2F65-4598-923E-63FAC089E865}"/>
    <cellStyle name="Normal 2 4 2 3 2 3 2 5" xfId="17765" xr:uid="{B75D584E-C5D5-4BF5-ADA0-22B7F44C927E}"/>
    <cellStyle name="Normal 2 4 2 3 2 3 2 6" xfId="26205" xr:uid="{0C7CAA6F-DF51-4F13-BDB1-D8047234928B}"/>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2 2 2" xfId="16100" xr:uid="{63D322E1-B9B5-407D-8EC5-91FFE9CF1407}"/>
    <cellStyle name="Normal 2 4 2 3 2 3 3 2 2 3" xfId="24540" xr:uid="{CE50E093-5735-43EA-9BF4-AADDF970DC3C}"/>
    <cellStyle name="Normal 2 4 2 3 2 3 3 2 2 4" xfId="32980" xr:uid="{592B2C02-D756-4850-8A88-8870B5504CC8}"/>
    <cellStyle name="Normal 2 4 2 3 2 3 3 2 3" xfId="11882" xr:uid="{8FA755FE-A54A-40CF-B5FA-E70467D32598}"/>
    <cellStyle name="Normal 2 4 2 3 2 3 3 2 4" xfId="20323" xr:uid="{83A5834B-ADE3-49E6-96FE-B75D4E93CD74}"/>
    <cellStyle name="Normal 2 4 2 3 2 3 3 2 5" xfId="28763" xr:uid="{B25D956B-1D9C-4853-95DA-AA66E8AB5566}"/>
    <cellStyle name="Normal 2 4 2 3 2 3 3 3" xfId="5505" xr:uid="{00000000-0005-0000-0000-0000C90E0000}"/>
    <cellStyle name="Normal 2 4 2 3 2 3 3 3 2" xfId="13955" xr:uid="{816AEF1C-D0A9-48E1-B4AA-54AACB31BBB3}"/>
    <cellStyle name="Normal 2 4 2 3 2 3 3 3 3" xfId="22395" xr:uid="{96FCACC7-122A-4964-92CB-43227ACC062B}"/>
    <cellStyle name="Normal 2 4 2 3 2 3 3 3 4" xfId="30835" xr:uid="{2B9FD9F8-8E91-4F66-8F36-70C0BB494201}"/>
    <cellStyle name="Normal 2 4 2 3 2 3 3 4" xfId="9737" xr:uid="{D1036916-0EF2-4EB3-9796-70ED912D4485}"/>
    <cellStyle name="Normal 2 4 2 3 2 3 3 5" xfId="18178" xr:uid="{901DF3D7-ED2A-4508-A3CD-3BD935343FE1}"/>
    <cellStyle name="Normal 2 4 2 3 2 3 3 6" xfId="26618" xr:uid="{A2932F0D-CEED-47BB-9220-D5FC61F06C05}"/>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2 2 2" xfId="16513" xr:uid="{0E7B537D-54D9-485A-96A5-5B005228B93A}"/>
    <cellStyle name="Normal 2 4 2 3 2 3 4 2 2 3" xfId="24953" xr:uid="{9D4F91AE-AEC0-45D2-B51D-74F28856883C}"/>
    <cellStyle name="Normal 2 4 2 3 2 3 4 2 2 4" xfId="33393" xr:uid="{068B3460-2534-4E59-94EC-5FC406487CF6}"/>
    <cellStyle name="Normal 2 4 2 3 2 3 4 2 3" xfId="12295" xr:uid="{029A1A20-B171-4581-9EF0-1F3B0CB7360F}"/>
    <cellStyle name="Normal 2 4 2 3 2 3 4 2 4" xfId="20736" xr:uid="{DB987D9B-00A7-4EA9-A920-841093C51F2D}"/>
    <cellStyle name="Normal 2 4 2 3 2 3 4 2 5" xfId="29176" xr:uid="{D0B82E2D-4EC2-4CE6-A68B-07BCF4A3F68C}"/>
    <cellStyle name="Normal 2 4 2 3 2 3 4 3" xfId="5918" xr:uid="{00000000-0005-0000-0000-0000CD0E0000}"/>
    <cellStyle name="Normal 2 4 2 3 2 3 4 3 2" xfId="14368" xr:uid="{FCFDBC34-800A-4AEF-B887-A24713E40DEB}"/>
    <cellStyle name="Normal 2 4 2 3 2 3 4 3 3" xfId="22808" xr:uid="{19DF70E2-1C99-416E-B5EE-89BEE275361F}"/>
    <cellStyle name="Normal 2 4 2 3 2 3 4 3 4" xfId="31248" xr:uid="{67F0A790-915F-4967-AD2C-84E48CC842A4}"/>
    <cellStyle name="Normal 2 4 2 3 2 3 4 4" xfId="10150" xr:uid="{8D1FD7BE-92D4-4C68-87BA-3D36C9427308}"/>
    <cellStyle name="Normal 2 4 2 3 2 3 4 5" xfId="18591" xr:uid="{B6900E67-40CA-462B-BC56-4DC3FC701BFB}"/>
    <cellStyle name="Normal 2 4 2 3 2 3 4 6" xfId="27031" xr:uid="{3F52B8F1-EFD5-4CE6-9745-CA58FFDCB89A}"/>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2 2 2" xfId="16926" xr:uid="{25C6F7D3-745D-47A0-8CD6-81E69968DCCA}"/>
    <cellStyle name="Normal 2 4 2 3 2 3 5 2 2 3" xfId="25366" xr:uid="{A1CEF0AD-8EE6-4925-A83D-E1D82602B87B}"/>
    <cellStyle name="Normal 2 4 2 3 2 3 5 2 2 4" xfId="33806" xr:uid="{23C227F3-3269-4427-AEAF-63BDEA7A227E}"/>
    <cellStyle name="Normal 2 4 2 3 2 3 5 2 3" xfId="12708" xr:uid="{7B8FC7EA-BAEC-436C-9234-0606F187EE47}"/>
    <cellStyle name="Normal 2 4 2 3 2 3 5 2 4" xfId="21149" xr:uid="{E6039864-D6BD-4F8D-888F-1A300E8F6203}"/>
    <cellStyle name="Normal 2 4 2 3 2 3 5 2 5" xfId="29589" xr:uid="{6F2A4EFD-5D3F-4D7D-9ECD-95CF132BCCD7}"/>
    <cellStyle name="Normal 2 4 2 3 2 3 5 3" xfId="6331" xr:uid="{00000000-0005-0000-0000-0000D10E0000}"/>
    <cellStyle name="Normal 2 4 2 3 2 3 5 3 2" xfId="14781" xr:uid="{49706148-A0F1-402A-8954-50FC80148A89}"/>
    <cellStyle name="Normal 2 4 2 3 2 3 5 3 3" xfId="23221" xr:uid="{69C18A7B-C1A0-4E0A-B424-BEFF6A8E4753}"/>
    <cellStyle name="Normal 2 4 2 3 2 3 5 3 4" xfId="31661" xr:uid="{DF6FF7D5-E0C4-4F72-A7F6-3909941082B0}"/>
    <cellStyle name="Normal 2 4 2 3 2 3 5 4" xfId="10563" xr:uid="{368E6005-DE43-4D25-B1BD-362CAC3545B9}"/>
    <cellStyle name="Normal 2 4 2 3 2 3 5 5" xfId="19004" xr:uid="{AB11C1E9-637A-45D5-8542-C3996EB130A9}"/>
    <cellStyle name="Normal 2 4 2 3 2 3 5 6" xfId="27444" xr:uid="{D7CA1AA7-874A-4B12-A7FC-834700D0B547}"/>
    <cellStyle name="Normal 2 4 2 3 2 3 6" xfId="2461" xr:uid="{00000000-0005-0000-0000-0000D20E0000}"/>
    <cellStyle name="Normal 2 4 2 3 2 3 6 2" xfId="6744" xr:uid="{00000000-0005-0000-0000-0000D30E0000}"/>
    <cellStyle name="Normal 2 4 2 3 2 3 6 2 2" xfId="15194" xr:uid="{87FAF461-7026-48D1-98D1-4402B37DAEEE}"/>
    <cellStyle name="Normal 2 4 2 3 2 3 6 2 3" xfId="23634" xr:uid="{0F65984C-F48B-402E-9D47-2ACCECE39999}"/>
    <cellStyle name="Normal 2 4 2 3 2 3 6 2 4" xfId="32074" xr:uid="{2B06225B-B8CC-4776-AE86-6AF6375302D2}"/>
    <cellStyle name="Normal 2 4 2 3 2 3 6 3" xfId="10976" xr:uid="{A348BCA7-FC03-4024-8F28-05FEA040DA9E}"/>
    <cellStyle name="Normal 2 4 2 3 2 3 6 4" xfId="19417" xr:uid="{EDA0AA8D-ECB4-407E-9D69-B96311E5F73B}"/>
    <cellStyle name="Normal 2 4 2 3 2 3 6 5" xfId="27857" xr:uid="{B3646A57-5381-4E5B-A64A-113F2D40D20B}"/>
    <cellStyle name="Normal 2 4 2 3 2 3 7" xfId="4678" xr:uid="{00000000-0005-0000-0000-0000D40E0000}"/>
    <cellStyle name="Normal 2 4 2 3 2 3 7 2" xfId="13128" xr:uid="{E6B61B7B-B5F7-4C5E-AAE8-FC7CA2EA0AC0}"/>
    <cellStyle name="Normal 2 4 2 3 2 3 7 3" xfId="21568" xr:uid="{5F3DBC6D-C31C-4C7D-A578-3D348BDF9571}"/>
    <cellStyle name="Normal 2 4 2 3 2 3 7 4" xfId="30008" xr:uid="{49697353-2068-48AE-AE42-A66C79F3CC77}"/>
    <cellStyle name="Normal 2 4 2 3 2 3 8" xfId="8910" xr:uid="{A5F02E91-4F09-44F4-8859-1E36EB2EAD58}"/>
    <cellStyle name="Normal 2 4 2 3 2 3 9" xfId="17351" xr:uid="{C8358506-87D5-41EA-A3D9-53AD199FEAF0}"/>
    <cellStyle name="Normal 2 4 2 3 2 4" xfId="773" xr:uid="{00000000-0005-0000-0000-0000D50E0000}"/>
    <cellStyle name="Normal 2 4 2 3 2 4 2" xfId="3012" xr:uid="{00000000-0005-0000-0000-0000D60E0000}"/>
    <cellStyle name="Normal 2 4 2 3 2 4 2 2" xfId="7234" xr:uid="{00000000-0005-0000-0000-0000D70E0000}"/>
    <cellStyle name="Normal 2 4 2 3 2 4 2 2 2" xfId="15684" xr:uid="{1D1EBC3D-09AC-4BA5-A8FA-DA218BCE6061}"/>
    <cellStyle name="Normal 2 4 2 3 2 4 2 2 3" xfId="24124" xr:uid="{D06766C8-1259-4B7E-A846-FA907167DF8A}"/>
    <cellStyle name="Normal 2 4 2 3 2 4 2 2 4" xfId="32564" xr:uid="{43CCE398-C94B-4D8A-8C9B-1E15BC21F4EB}"/>
    <cellStyle name="Normal 2 4 2 3 2 4 2 3" xfId="11466" xr:uid="{F29CB997-3A82-4657-8E11-E52A5D388B33}"/>
    <cellStyle name="Normal 2 4 2 3 2 4 2 4" xfId="19907" xr:uid="{ADD1EC57-DA41-45CF-9464-53D5EC3E4154}"/>
    <cellStyle name="Normal 2 4 2 3 2 4 2 5" xfId="28347" xr:uid="{EBD95D86-AE7C-427F-90A0-D7E8D6ACE815}"/>
    <cellStyle name="Normal 2 4 2 3 2 4 3" xfId="5089" xr:uid="{00000000-0005-0000-0000-0000D80E0000}"/>
    <cellStyle name="Normal 2 4 2 3 2 4 3 2" xfId="13539" xr:uid="{FCCC250B-4D7B-43EC-84FB-B08A4DF7887F}"/>
    <cellStyle name="Normal 2 4 2 3 2 4 3 3" xfId="21979" xr:uid="{F848F443-F06B-4809-AFC9-EC69D5D641F4}"/>
    <cellStyle name="Normal 2 4 2 3 2 4 3 4" xfId="30419" xr:uid="{6CD8B34C-863D-4566-82F4-6A1F06C5EC2B}"/>
    <cellStyle name="Normal 2 4 2 3 2 4 4" xfId="9321" xr:uid="{E46D61D7-F700-4A0F-AEA9-6CD90CD690C7}"/>
    <cellStyle name="Normal 2 4 2 3 2 4 5" xfId="17762" xr:uid="{A124A7D3-5157-4F45-B351-509B5F07647B}"/>
    <cellStyle name="Normal 2 4 2 3 2 4 6" xfId="26202" xr:uid="{5198CF7F-AC8D-4560-B71B-96EF1ABA318D}"/>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2 2 2" xfId="16097" xr:uid="{D3ADB0B9-6571-4BD9-8303-891D7B41FBFC}"/>
    <cellStyle name="Normal 2 4 2 3 2 5 2 2 3" xfId="24537" xr:uid="{EDAFB324-3596-4E5A-ABDB-A778B8881B1C}"/>
    <cellStyle name="Normal 2 4 2 3 2 5 2 2 4" xfId="32977" xr:uid="{C660BB66-72F2-44D7-8783-B0979AC22055}"/>
    <cellStyle name="Normal 2 4 2 3 2 5 2 3" xfId="11879" xr:uid="{BCD24BB2-10E4-4406-8E44-816A12EDD867}"/>
    <cellStyle name="Normal 2 4 2 3 2 5 2 4" xfId="20320" xr:uid="{5CCF6C98-9406-4FCE-A855-89257D8B50D0}"/>
    <cellStyle name="Normal 2 4 2 3 2 5 2 5" xfId="28760" xr:uid="{E7AEE4DE-08D6-4670-83C2-5DF895951561}"/>
    <cellStyle name="Normal 2 4 2 3 2 5 3" xfId="5502" xr:uid="{00000000-0005-0000-0000-0000DC0E0000}"/>
    <cellStyle name="Normal 2 4 2 3 2 5 3 2" xfId="13952" xr:uid="{63E148FB-09FA-4BB6-BD43-15B101CEE4D3}"/>
    <cellStyle name="Normal 2 4 2 3 2 5 3 3" xfId="22392" xr:uid="{5CB5A9AA-7F8C-4593-B2DF-091767989B00}"/>
    <cellStyle name="Normal 2 4 2 3 2 5 3 4" xfId="30832" xr:uid="{0E73FCDF-7A8D-405F-B8DD-16FFF599A1C6}"/>
    <cellStyle name="Normal 2 4 2 3 2 5 4" xfId="9734" xr:uid="{4B636F81-3339-4A70-AF6D-ED2F30129CAB}"/>
    <cellStyle name="Normal 2 4 2 3 2 5 5" xfId="18175" xr:uid="{759AF8DF-B58A-4C40-AC48-D9B8636BE672}"/>
    <cellStyle name="Normal 2 4 2 3 2 5 6" xfId="26615" xr:uid="{42FA1906-4625-4CD7-B9CF-2BB98EF3B631}"/>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2 2 2" xfId="16510" xr:uid="{33779A88-B896-4056-955E-86AB3ED4C0AB}"/>
    <cellStyle name="Normal 2 4 2 3 2 6 2 2 3" xfId="24950" xr:uid="{6D3A8306-CC07-40CC-8069-B87E5DCCD639}"/>
    <cellStyle name="Normal 2 4 2 3 2 6 2 2 4" xfId="33390" xr:uid="{87AB8CD6-D068-4290-A3A4-B387B72CA632}"/>
    <cellStyle name="Normal 2 4 2 3 2 6 2 3" xfId="12292" xr:uid="{A5757D09-0B46-4D4B-9414-6D43087EDC5E}"/>
    <cellStyle name="Normal 2 4 2 3 2 6 2 4" xfId="20733" xr:uid="{73CEE482-AF79-4146-84FC-5272219C62E6}"/>
    <cellStyle name="Normal 2 4 2 3 2 6 2 5" xfId="29173" xr:uid="{6C658AC1-AF81-4478-9887-0AA98C441AE6}"/>
    <cellStyle name="Normal 2 4 2 3 2 6 3" xfId="5915" xr:uid="{00000000-0005-0000-0000-0000E00E0000}"/>
    <cellStyle name="Normal 2 4 2 3 2 6 3 2" xfId="14365" xr:uid="{E582B194-6637-453D-A23B-FB6C410C90D8}"/>
    <cellStyle name="Normal 2 4 2 3 2 6 3 3" xfId="22805" xr:uid="{47EC7758-9727-4297-B95C-1646A2D87932}"/>
    <cellStyle name="Normal 2 4 2 3 2 6 3 4" xfId="31245" xr:uid="{FFBA8B9D-AED9-4067-AA9D-16B4EE56A0CD}"/>
    <cellStyle name="Normal 2 4 2 3 2 6 4" xfId="10147" xr:uid="{CCB54E2B-A8B0-4CE3-A486-9D17C03063C9}"/>
    <cellStyle name="Normal 2 4 2 3 2 6 5" xfId="18588" xr:uid="{4E382FBD-75EF-4D89-8B6F-26B453429C19}"/>
    <cellStyle name="Normal 2 4 2 3 2 6 6" xfId="27028" xr:uid="{23F0DEA3-1E12-4DC1-A70A-6004A11CD419}"/>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2 2 2" xfId="16923" xr:uid="{C643809C-3E22-4560-B503-6D19DBFDD20F}"/>
    <cellStyle name="Normal 2 4 2 3 2 7 2 2 3" xfId="25363" xr:uid="{F5C16EA8-89FC-4FF1-8672-9DD7B94B1E91}"/>
    <cellStyle name="Normal 2 4 2 3 2 7 2 2 4" xfId="33803" xr:uid="{99887CDB-1D10-4B5E-BC6F-685D6F5D9FF9}"/>
    <cellStyle name="Normal 2 4 2 3 2 7 2 3" xfId="12705" xr:uid="{CA892835-EEB0-4B0F-8B7C-C2D6E350A44A}"/>
    <cellStyle name="Normal 2 4 2 3 2 7 2 4" xfId="21146" xr:uid="{9D5C9FD6-639B-4225-B24E-9A45A6E83783}"/>
    <cellStyle name="Normal 2 4 2 3 2 7 2 5" xfId="29586" xr:uid="{7D2C58A9-A771-49AF-AFB0-6708D863EE1B}"/>
    <cellStyle name="Normal 2 4 2 3 2 7 3" xfId="6328" xr:uid="{00000000-0005-0000-0000-0000E40E0000}"/>
    <cellStyle name="Normal 2 4 2 3 2 7 3 2" xfId="14778" xr:uid="{35B4BE1D-B285-4529-94A7-38FD5E685DFF}"/>
    <cellStyle name="Normal 2 4 2 3 2 7 3 3" xfId="23218" xr:uid="{83EC7141-ED31-4A90-95A9-33B45478C287}"/>
    <cellStyle name="Normal 2 4 2 3 2 7 3 4" xfId="31658" xr:uid="{C4AF00EC-6172-4A1B-A4EE-FF6C2C45D55B}"/>
    <cellStyle name="Normal 2 4 2 3 2 7 4" xfId="10560" xr:uid="{A8DC057D-BC71-4B87-B919-74C8091FA169}"/>
    <cellStyle name="Normal 2 4 2 3 2 7 5" xfId="19001" xr:uid="{B4B12AB3-19E0-41A8-87A6-ABE736C70A94}"/>
    <cellStyle name="Normal 2 4 2 3 2 7 6" xfId="27441" xr:uid="{30943D65-1F63-463E-8DA7-10844F9737D0}"/>
    <cellStyle name="Normal 2 4 2 3 2 8" xfId="2458" xr:uid="{00000000-0005-0000-0000-0000E50E0000}"/>
    <cellStyle name="Normal 2 4 2 3 2 8 2" xfId="6741" xr:uid="{00000000-0005-0000-0000-0000E60E0000}"/>
    <cellStyle name="Normal 2 4 2 3 2 8 2 2" xfId="15191" xr:uid="{23002F9A-6BA1-43FD-AB63-3C779C5FD7DE}"/>
    <cellStyle name="Normal 2 4 2 3 2 8 2 3" xfId="23631" xr:uid="{5A170120-0B60-4077-9568-65D696ED9C26}"/>
    <cellStyle name="Normal 2 4 2 3 2 8 2 4" xfId="32071" xr:uid="{EBED79D3-5CDC-4B46-AD5F-D425B5EF7B7A}"/>
    <cellStyle name="Normal 2 4 2 3 2 8 3" xfId="10973" xr:uid="{4FBBACD9-7FE2-41A4-8B7B-D2581A7133A8}"/>
    <cellStyle name="Normal 2 4 2 3 2 8 4" xfId="19414" xr:uid="{33B6419E-C995-4EFD-9F75-13238BD02AF4}"/>
    <cellStyle name="Normal 2 4 2 3 2 8 5" xfId="27854" xr:uid="{F80347D5-8CD8-4C50-BD35-52938E48CBD1}"/>
    <cellStyle name="Normal 2 4 2 3 2 9" xfId="4675" xr:uid="{00000000-0005-0000-0000-0000E70E0000}"/>
    <cellStyle name="Normal 2 4 2 3 2 9 2" xfId="13125" xr:uid="{33F3D363-ED60-4F64-BF33-25B7AA3A2E8D}"/>
    <cellStyle name="Normal 2 4 2 3 2 9 3" xfId="21565" xr:uid="{F20914CF-F556-4762-9826-28F78DE2065A}"/>
    <cellStyle name="Normal 2 4 2 3 2 9 4" xfId="30005" xr:uid="{851F6209-30D4-4C04-999B-DAF40F53B627}"/>
    <cellStyle name="Normal 2 4 2 3 3" xfId="286" xr:uid="{00000000-0005-0000-0000-0000E80E0000}"/>
    <cellStyle name="Normal 2 4 2 3 3 10" xfId="17352" xr:uid="{B3C3441E-4121-41C6-A6A2-35664AC0A545}"/>
    <cellStyle name="Normal 2 4 2 3 3 11" xfId="25792" xr:uid="{BBC6E0A0-4052-4ED9-A480-04EBA77036A7}"/>
    <cellStyle name="Normal 2 4 2 3 3 2" xfId="287" xr:uid="{00000000-0005-0000-0000-0000E90E0000}"/>
    <cellStyle name="Normal 2 4 2 3 3 2 10" xfId="25793" xr:uid="{B70FBC76-B1A2-49AB-A155-8E7A0D509CC5}"/>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2 2 2" xfId="15689" xr:uid="{85AFBDFE-0847-4A3D-8346-3BF87F3E507A}"/>
    <cellStyle name="Normal 2 4 2 3 3 2 2 2 2 3" xfId="24129" xr:uid="{F4594F5D-6BB5-48C4-9054-138C736B49A1}"/>
    <cellStyle name="Normal 2 4 2 3 3 2 2 2 2 4" xfId="32569" xr:uid="{C1E9DD38-1C69-415E-925D-AFD7F182B54B}"/>
    <cellStyle name="Normal 2 4 2 3 3 2 2 2 3" xfId="11471" xr:uid="{CD21EFEF-76AF-41B3-A80B-2C3965B309A7}"/>
    <cellStyle name="Normal 2 4 2 3 3 2 2 2 4" xfId="19912" xr:uid="{5A83F83D-9FA9-4AD2-9041-B05DADABED83}"/>
    <cellStyle name="Normal 2 4 2 3 3 2 2 2 5" xfId="28352" xr:uid="{DE617600-A134-4DED-8CFF-74A1F90461D6}"/>
    <cellStyle name="Normal 2 4 2 3 3 2 2 3" xfId="5094" xr:uid="{00000000-0005-0000-0000-0000ED0E0000}"/>
    <cellStyle name="Normal 2 4 2 3 3 2 2 3 2" xfId="13544" xr:uid="{62D39204-C888-430B-BF53-56B4A94CB36A}"/>
    <cellStyle name="Normal 2 4 2 3 3 2 2 3 3" xfId="21984" xr:uid="{244EF08E-D010-4D85-B9AF-74A574718EC6}"/>
    <cellStyle name="Normal 2 4 2 3 3 2 2 3 4" xfId="30424" xr:uid="{ED49FD98-1860-4D9F-A133-8E0565A61E10}"/>
    <cellStyle name="Normal 2 4 2 3 3 2 2 4" xfId="9326" xr:uid="{92C18B9A-1503-4907-9DAF-A284BEC480C1}"/>
    <cellStyle name="Normal 2 4 2 3 3 2 2 5" xfId="17767" xr:uid="{C3DCF145-3406-4109-8682-038865D168AF}"/>
    <cellStyle name="Normal 2 4 2 3 3 2 2 6" xfId="26207" xr:uid="{10713D5A-87BD-4CD4-991B-5E14B15FEAE0}"/>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2 2 2" xfId="16102" xr:uid="{755CCC19-3B16-48CE-8110-0F1BE50679AF}"/>
    <cellStyle name="Normal 2 4 2 3 3 2 3 2 2 3" xfId="24542" xr:uid="{2010A5E9-4413-453B-AD23-9F665DE44828}"/>
    <cellStyle name="Normal 2 4 2 3 3 2 3 2 2 4" xfId="32982" xr:uid="{3829BCC8-B7D2-469D-8C8E-6A1B0DB03B5A}"/>
    <cellStyle name="Normal 2 4 2 3 3 2 3 2 3" xfId="11884" xr:uid="{D3461138-1911-4ACC-A1DA-487E7E6D7D85}"/>
    <cellStyle name="Normal 2 4 2 3 3 2 3 2 4" xfId="20325" xr:uid="{A8640018-1F91-4D74-A644-7ED8A0FFE70A}"/>
    <cellStyle name="Normal 2 4 2 3 3 2 3 2 5" xfId="28765" xr:uid="{A4BD123A-1995-4F8F-9FCE-A0D68C27AED2}"/>
    <cellStyle name="Normal 2 4 2 3 3 2 3 3" xfId="5507" xr:uid="{00000000-0005-0000-0000-0000F10E0000}"/>
    <cellStyle name="Normal 2 4 2 3 3 2 3 3 2" xfId="13957" xr:uid="{0DBBFB42-61E6-4642-B20F-91B5584F8F4C}"/>
    <cellStyle name="Normal 2 4 2 3 3 2 3 3 3" xfId="22397" xr:uid="{106FF820-2E17-4E00-B737-D7CC89C49C30}"/>
    <cellStyle name="Normal 2 4 2 3 3 2 3 3 4" xfId="30837" xr:uid="{B6DFCEE1-FCDB-4748-9A1E-716DCAC41622}"/>
    <cellStyle name="Normal 2 4 2 3 3 2 3 4" xfId="9739" xr:uid="{D08B9F72-BD5B-4879-90AA-885A0A52A054}"/>
    <cellStyle name="Normal 2 4 2 3 3 2 3 5" xfId="18180" xr:uid="{1156F175-1BC2-4B47-A68E-AE2A5DF32C69}"/>
    <cellStyle name="Normal 2 4 2 3 3 2 3 6" xfId="26620" xr:uid="{450E65E9-07FA-4FAA-8C8E-60BFB32F90EB}"/>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2 2 2" xfId="16515" xr:uid="{4FEC9D36-8070-4A24-8114-6F02EED3C4A8}"/>
    <cellStyle name="Normal 2 4 2 3 3 2 4 2 2 3" xfId="24955" xr:uid="{DDC14BCE-6551-4185-8811-86EE31EBD192}"/>
    <cellStyle name="Normal 2 4 2 3 3 2 4 2 2 4" xfId="33395" xr:uid="{C4A5B88F-B436-4C61-A9A6-E5E8F7FC5101}"/>
    <cellStyle name="Normal 2 4 2 3 3 2 4 2 3" xfId="12297" xr:uid="{BD64B0D0-6B3C-436B-9D6D-D825F4916C9E}"/>
    <cellStyle name="Normal 2 4 2 3 3 2 4 2 4" xfId="20738" xr:uid="{4FA3C518-F40D-4AEA-9AFA-8E047915F94F}"/>
    <cellStyle name="Normal 2 4 2 3 3 2 4 2 5" xfId="29178" xr:uid="{046235DF-D818-4D38-B416-003C0D036E75}"/>
    <cellStyle name="Normal 2 4 2 3 3 2 4 3" xfId="5920" xr:uid="{00000000-0005-0000-0000-0000F50E0000}"/>
    <cellStyle name="Normal 2 4 2 3 3 2 4 3 2" xfId="14370" xr:uid="{CEC1C2A2-4334-406D-9B6F-E9F37068D6F6}"/>
    <cellStyle name="Normal 2 4 2 3 3 2 4 3 3" xfId="22810" xr:uid="{CEA269E3-1460-4E84-8C80-568BF22D2982}"/>
    <cellStyle name="Normal 2 4 2 3 3 2 4 3 4" xfId="31250" xr:uid="{825D3345-F3E4-4E98-9C4F-13121EF70D7A}"/>
    <cellStyle name="Normal 2 4 2 3 3 2 4 4" xfId="10152" xr:uid="{57C6B84C-FE87-47BB-AA00-A94D41540384}"/>
    <cellStyle name="Normal 2 4 2 3 3 2 4 5" xfId="18593" xr:uid="{BD2A2D1E-EBB2-4175-84E6-4366D1AEDA39}"/>
    <cellStyle name="Normal 2 4 2 3 3 2 4 6" xfId="27033" xr:uid="{610DCD89-E6B9-4859-BCB2-C7D3573FA0B1}"/>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2 2 2" xfId="16928" xr:uid="{9ACC9215-E754-4A41-86B0-93A033D6D65F}"/>
    <cellStyle name="Normal 2 4 2 3 3 2 5 2 2 3" xfId="25368" xr:uid="{497A7F8C-3E8F-405C-8CEB-865861A79F1B}"/>
    <cellStyle name="Normal 2 4 2 3 3 2 5 2 2 4" xfId="33808" xr:uid="{03EE09EB-6F96-4072-9D50-1A4501FF633C}"/>
    <cellStyle name="Normal 2 4 2 3 3 2 5 2 3" xfId="12710" xr:uid="{F120E677-5233-4B17-B980-E2DBD0EB04EF}"/>
    <cellStyle name="Normal 2 4 2 3 3 2 5 2 4" xfId="21151" xr:uid="{DD71C521-1DC0-4554-BD7D-124E0EA09D18}"/>
    <cellStyle name="Normal 2 4 2 3 3 2 5 2 5" xfId="29591" xr:uid="{10D1D80A-06BD-4D29-8B2F-5DB6C902C89C}"/>
    <cellStyle name="Normal 2 4 2 3 3 2 5 3" xfId="6333" xr:uid="{00000000-0005-0000-0000-0000F90E0000}"/>
    <cellStyle name="Normal 2 4 2 3 3 2 5 3 2" xfId="14783" xr:uid="{2F16C522-DE77-4177-85D5-DA69EB9DC0EE}"/>
    <cellStyle name="Normal 2 4 2 3 3 2 5 3 3" xfId="23223" xr:uid="{5DF4EB4F-E6DC-4E81-BE5A-64050779D693}"/>
    <cellStyle name="Normal 2 4 2 3 3 2 5 3 4" xfId="31663" xr:uid="{5B921246-75DF-4231-A343-303B2FB63D59}"/>
    <cellStyle name="Normal 2 4 2 3 3 2 5 4" xfId="10565" xr:uid="{B4486B87-B4C8-4080-9BC5-8A51266A52B0}"/>
    <cellStyle name="Normal 2 4 2 3 3 2 5 5" xfId="19006" xr:uid="{6E2251E2-0D7B-47A7-83A8-FF7ED416EF77}"/>
    <cellStyle name="Normal 2 4 2 3 3 2 5 6" xfId="27446" xr:uid="{ECC0D76C-473C-4208-B0AB-06A74C8F0513}"/>
    <cellStyle name="Normal 2 4 2 3 3 2 6" xfId="2463" xr:uid="{00000000-0005-0000-0000-0000FA0E0000}"/>
    <cellStyle name="Normal 2 4 2 3 3 2 6 2" xfId="6746" xr:uid="{00000000-0005-0000-0000-0000FB0E0000}"/>
    <cellStyle name="Normal 2 4 2 3 3 2 6 2 2" xfId="15196" xr:uid="{AE792D23-29F7-45F0-B0D6-B5B93A278760}"/>
    <cellStyle name="Normal 2 4 2 3 3 2 6 2 3" xfId="23636" xr:uid="{17DFB37D-2F00-479C-A17B-9E6AF585FE54}"/>
    <cellStyle name="Normal 2 4 2 3 3 2 6 2 4" xfId="32076" xr:uid="{67ED666D-2881-439E-BB86-442BB376CAA8}"/>
    <cellStyle name="Normal 2 4 2 3 3 2 6 3" xfId="10978" xr:uid="{94A5A48E-E3A5-4162-A7EB-EF1485CCB58F}"/>
    <cellStyle name="Normal 2 4 2 3 3 2 6 4" xfId="19419" xr:uid="{AA3A76BA-8B66-4E63-9090-556911A569F9}"/>
    <cellStyle name="Normal 2 4 2 3 3 2 6 5" xfId="27859" xr:uid="{1787B843-7D7D-43AC-B855-4E0BFCF3025A}"/>
    <cellStyle name="Normal 2 4 2 3 3 2 7" xfId="4680" xr:uid="{00000000-0005-0000-0000-0000FC0E0000}"/>
    <cellStyle name="Normal 2 4 2 3 3 2 7 2" xfId="13130" xr:uid="{3F088298-F8A6-4C34-8A9B-3FB343775501}"/>
    <cellStyle name="Normal 2 4 2 3 3 2 7 3" xfId="21570" xr:uid="{3FB263B1-E318-4E38-94E6-628880A601DE}"/>
    <cellStyle name="Normal 2 4 2 3 3 2 7 4" xfId="30010" xr:uid="{EDB4C965-E250-4F2C-B086-DECA3E72138C}"/>
    <cellStyle name="Normal 2 4 2 3 3 2 8" xfId="8912" xr:uid="{86D93883-25D1-4429-84DD-33AA0EE2359C}"/>
    <cellStyle name="Normal 2 4 2 3 3 2 9" xfId="17353" xr:uid="{616510EF-639D-4DE1-B7AC-F1D2C1045F35}"/>
    <cellStyle name="Normal 2 4 2 3 3 3" xfId="777" xr:uid="{00000000-0005-0000-0000-0000FD0E0000}"/>
    <cellStyle name="Normal 2 4 2 3 3 3 2" xfId="3016" xr:uid="{00000000-0005-0000-0000-0000FE0E0000}"/>
    <cellStyle name="Normal 2 4 2 3 3 3 2 2" xfId="7238" xr:uid="{00000000-0005-0000-0000-0000FF0E0000}"/>
    <cellStyle name="Normal 2 4 2 3 3 3 2 2 2" xfId="15688" xr:uid="{B4EF8827-BEF1-4FD7-BB7F-3CE42BA4F8A5}"/>
    <cellStyle name="Normal 2 4 2 3 3 3 2 2 3" xfId="24128" xr:uid="{9E4B356A-B9D6-45B9-B0D0-36FA9B6C7A95}"/>
    <cellStyle name="Normal 2 4 2 3 3 3 2 2 4" xfId="32568" xr:uid="{7E9AB228-D8C4-4F14-9AC7-285F255FB0E2}"/>
    <cellStyle name="Normal 2 4 2 3 3 3 2 3" xfId="11470" xr:uid="{8C4F0348-E765-4372-A9E7-B4BB406D25A8}"/>
    <cellStyle name="Normal 2 4 2 3 3 3 2 4" xfId="19911" xr:uid="{5CEDBE0A-DEB6-454C-8142-5770FB22E3DF}"/>
    <cellStyle name="Normal 2 4 2 3 3 3 2 5" xfId="28351" xr:uid="{9EA05683-670E-422F-A664-B5E403B77E52}"/>
    <cellStyle name="Normal 2 4 2 3 3 3 3" xfId="5093" xr:uid="{00000000-0005-0000-0000-0000000F0000}"/>
    <cellStyle name="Normal 2 4 2 3 3 3 3 2" xfId="13543" xr:uid="{F14AC173-BDE9-43CC-9F13-47B917B63B44}"/>
    <cellStyle name="Normal 2 4 2 3 3 3 3 3" xfId="21983" xr:uid="{25B04ACA-AA24-413E-A9F1-AAE7FE140EF9}"/>
    <cellStyle name="Normal 2 4 2 3 3 3 3 4" xfId="30423" xr:uid="{80F5F803-BAC3-4856-A24A-21C741EF3DEC}"/>
    <cellStyle name="Normal 2 4 2 3 3 3 4" xfId="9325" xr:uid="{228E5115-0062-4240-9B2C-EC78BAC0262C}"/>
    <cellStyle name="Normal 2 4 2 3 3 3 5" xfId="17766" xr:uid="{0F88D9BD-B7E4-492F-A82C-798B1F25B8A9}"/>
    <cellStyle name="Normal 2 4 2 3 3 3 6" xfId="26206" xr:uid="{2B87CFA6-57FD-481A-ABF2-DEB18766C04A}"/>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2 2 2" xfId="16101" xr:uid="{51CF9590-9694-4914-BFF5-C299402F6805}"/>
    <cellStyle name="Normal 2 4 2 3 3 4 2 2 3" xfId="24541" xr:uid="{A937B268-00B8-47C7-9662-859448330506}"/>
    <cellStyle name="Normal 2 4 2 3 3 4 2 2 4" xfId="32981" xr:uid="{FEA9034D-FC3F-4179-9FAA-FF8684BDD9EA}"/>
    <cellStyle name="Normal 2 4 2 3 3 4 2 3" xfId="11883" xr:uid="{1CCD2532-B371-495C-BEA9-4930450DFFE8}"/>
    <cellStyle name="Normal 2 4 2 3 3 4 2 4" xfId="20324" xr:uid="{A99CB4E9-4C39-4791-AE96-789526A4D68E}"/>
    <cellStyle name="Normal 2 4 2 3 3 4 2 5" xfId="28764" xr:uid="{050AF3CE-D738-497B-A502-5A172DDF7FBC}"/>
    <cellStyle name="Normal 2 4 2 3 3 4 3" xfId="5506" xr:uid="{00000000-0005-0000-0000-0000040F0000}"/>
    <cellStyle name="Normal 2 4 2 3 3 4 3 2" xfId="13956" xr:uid="{808AB985-BC58-485E-9143-9B0CC51B5CE5}"/>
    <cellStyle name="Normal 2 4 2 3 3 4 3 3" xfId="22396" xr:uid="{21224439-09C7-450C-9B39-63B7219E43DC}"/>
    <cellStyle name="Normal 2 4 2 3 3 4 3 4" xfId="30836" xr:uid="{821AC694-CF65-4A7A-8013-7855CEDA8B4F}"/>
    <cellStyle name="Normal 2 4 2 3 3 4 4" xfId="9738" xr:uid="{13CF60AD-3B9D-4934-984A-C72CAB82DBEF}"/>
    <cellStyle name="Normal 2 4 2 3 3 4 5" xfId="18179" xr:uid="{825B643B-45D4-49E1-A753-81463878B541}"/>
    <cellStyle name="Normal 2 4 2 3 3 4 6" xfId="26619" xr:uid="{1772BDA8-C943-473B-A7A6-7B9FB415BCFF}"/>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2 2 2" xfId="16514" xr:uid="{C8F5E415-4779-4F02-B57D-B12F91C671FB}"/>
    <cellStyle name="Normal 2 4 2 3 3 5 2 2 3" xfId="24954" xr:uid="{FB8DA0F4-BB05-4D55-BCC2-D1C7524E7A4F}"/>
    <cellStyle name="Normal 2 4 2 3 3 5 2 2 4" xfId="33394" xr:uid="{1D383848-094A-4407-BF04-BFE322478750}"/>
    <cellStyle name="Normal 2 4 2 3 3 5 2 3" xfId="12296" xr:uid="{367BF2B7-1F98-4B0D-88BA-235DE6AE9C73}"/>
    <cellStyle name="Normal 2 4 2 3 3 5 2 4" xfId="20737" xr:uid="{62175EDD-AA80-43BB-8991-3D412E2AE59D}"/>
    <cellStyle name="Normal 2 4 2 3 3 5 2 5" xfId="29177" xr:uid="{8F26E8F6-F624-4BF7-917F-9E128B483304}"/>
    <cellStyle name="Normal 2 4 2 3 3 5 3" xfId="5919" xr:uid="{00000000-0005-0000-0000-0000080F0000}"/>
    <cellStyle name="Normal 2 4 2 3 3 5 3 2" xfId="14369" xr:uid="{A313889B-DAE3-4BBA-AB2E-42791428CB24}"/>
    <cellStyle name="Normal 2 4 2 3 3 5 3 3" xfId="22809" xr:uid="{7C69FAC6-D2C1-4626-98F7-B05E16742F93}"/>
    <cellStyle name="Normal 2 4 2 3 3 5 3 4" xfId="31249" xr:uid="{D4AFE52F-5B86-4E6E-BD89-F2335E50DC41}"/>
    <cellStyle name="Normal 2 4 2 3 3 5 4" xfId="10151" xr:uid="{321762FF-6C26-486E-AFF9-599C2CFDBE35}"/>
    <cellStyle name="Normal 2 4 2 3 3 5 5" xfId="18592" xr:uid="{8831E266-7B21-47DD-A890-76794200BF41}"/>
    <cellStyle name="Normal 2 4 2 3 3 5 6" xfId="27032" xr:uid="{6E026285-2210-4408-9138-283CF20EDEFB}"/>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2 2 2" xfId="16927" xr:uid="{0151FC25-49F3-4CBD-8C88-38410171BB94}"/>
    <cellStyle name="Normal 2 4 2 3 3 6 2 2 3" xfId="25367" xr:uid="{3A5D566D-0423-4A0F-A123-52A43E701792}"/>
    <cellStyle name="Normal 2 4 2 3 3 6 2 2 4" xfId="33807" xr:uid="{341E36D5-3DB9-4F85-A00C-17BDABCAFF8B}"/>
    <cellStyle name="Normal 2 4 2 3 3 6 2 3" xfId="12709" xr:uid="{2CB4051D-D2EE-442D-B29A-4C305138505E}"/>
    <cellStyle name="Normal 2 4 2 3 3 6 2 4" xfId="21150" xr:uid="{7E318F19-F820-4B9E-98E5-790635518EA1}"/>
    <cellStyle name="Normal 2 4 2 3 3 6 2 5" xfId="29590" xr:uid="{F0C97BE2-52AA-4438-A8FE-51A78981C5D0}"/>
    <cellStyle name="Normal 2 4 2 3 3 6 3" xfId="6332" xr:uid="{00000000-0005-0000-0000-00000C0F0000}"/>
    <cellStyle name="Normal 2 4 2 3 3 6 3 2" xfId="14782" xr:uid="{03015D7E-793C-4174-89AE-00215203A863}"/>
    <cellStyle name="Normal 2 4 2 3 3 6 3 3" xfId="23222" xr:uid="{15B52E97-1BD6-43DC-B9E5-D19237E6D395}"/>
    <cellStyle name="Normal 2 4 2 3 3 6 3 4" xfId="31662" xr:uid="{A5A2AE1B-C277-46CC-8B77-417426B64A52}"/>
    <cellStyle name="Normal 2 4 2 3 3 6 4" xfId="10564" xr:uid="{F83B2908-6E16-4FD1-9B6E-4417231D6658}"/>
    <cellStyle name="Normal 2 4 2 3 3 6 5" xfId="19005" xr:uid="{BBF1B29F-3566-41FD-9D2C-B2460F9A562C}"/>
    <cellStyle name="Normal 2 4 2 3 3 6 6" xfId="27445" xr:uid="{CF915F20-7CCD-4F92-8244-C34F6D185550}"/>
    <cellStyle name="Normal 2 4 2 3 3 7" xfId="2462" xr:uid="{00000000-0005-0000-0000-00000D0F0000}"/>
    <cellStyle name="Normal 2 4 2 3 3 7 2" xfId="6745" xr:uid="{00000000-0005-0000-0000-00000E0F0000}"/>
    <cellStyle name="Normal 2 4 2 3 3 7 2 2" xfId="15195" xr:uid="{F42C8B47-8CBC-4466-8CD6-88AA2EC04281}"/>
    <cellStyle name="Normal 2 4 2 3 3 7 2 3" xfId="23635" xr:uid="{B4CC55CA-CCE0-4F5E-9D9F-F9ADFF6241AA}"/>
    <cellStyle name="Normal 2 4 2 3 3 7 2 4" xfId="32075" xr:uid="{13BFE826-D3FD-4CDA-9F9C-164811D9B09E}"/>
    <cellStyle name="Normal 2 4 2 3 3 7 3" xfId="10977" xr:uid="{4E749A3D-DF46-4834-B470-E5FA515D13C2}"/>
    <cellStyle name="Normal 2 4 2 3 3 7 4" xfId="19418" xr:uid="{9E87D77E-A006-4AB1-ABE9-7193A82EE378}"/>
    <cellStyle name="Normal 2 4 2 3 3 7 5" xfId="27858" xr:uid="{996F8E50-4601-474A-BAAB-F88699B45994}"/>
    <cellStyle name="Normal 2 4 2 3 3 8" xfId="4679" xr:uid="{00000000-0005-0000-0000-00000F0F0000}"/>
    <cellStyle name="Normal 2 4 2 3 3 8 2" xfId="13129" xr:uid="{7B276B25-5F4F-43C4-AF8A-25294E57D236}"/>
    <cellStyle name="Normal 2 4 2 3 3 8 3" xfId="21569" xr:uid="{A8E9C8EA-67C5-45B8-B9EE-CCFC431C2629}"/>
    <cellStyle name="Normal 2 4 2 3 3 8 4" xfId="30009" xr:uid="{B4565D94-5273-4678-A1F3-6864AE038FAF}"/>
    <cellStyle name="Normal 2 4 2 3 3 9" xfId="8911" xr:uid="{05E1A53E-59B2-4616-BFD5-7C1DEEA98E53}"/>
    <cellStyle name="Normal 2 4 2 3 4" xfId="288" xr:uid="{00000000-0005-0000-0000-0000100F0000}"/>
    <cellStyle name="Normal 2 4 2 3 4 10" xfId="25794" xr:uid="{6035D01B-07D8-4F2E-A821-AF6A09ECCB9C}"/>
    <cellStyle name="Normal 2 4 2 3 4 2" xfId="779" xr:uid="{00000000-0005-0000-0000-0000110F0000}"/>
    <cellStyle name="Normal 2 4 2 3 4 2 2" xfId="3018" xr:uid="{00000000-0005-0000-0000-0000120F0000}"/>
    <cellStyle name="Normal 2 4 2 3 4 2 2 2" xfId="7240" xr:uid="{00000000-0005-0000-0000-0000130F0000}"/>
    <cellStyle name="Normal 2 4 2 3 4 2 2 2 2" xfId="15690" xr:uid="{40DBC315-15C9-4917-A032-F687DCE64E77}"/>
    <cellStyle name="Normal 2 4 2 3 4 2 2 2 3" xfId="24130" xr:uid="{B49E8DE8-8D1E-4EF2-B3AB-086DD70C096A}"/>
    <cellStyle name="Normal 2 4 2 3 4 2 2 2 4" xfId="32570" xr:uid="{0E8F7D30-E511-4C69-B4E0-565DB4B5F0BE}"/>
    <cellStyle name="Normal 2 4 2 3 4 2 2 3" xfId="11472" xr:uid="{C428C934-CFED-483F-B89F-69C4CF042A05}"/>
    <cellStyle name="Normal 2 4 2 3 4 2 2 4" xfId="19913" xr:uid="{37717483-57E9-4CB2-924D-D013E82DA6F0}"/>
    <cellStyle name="Normal 2 4 2 3 4 2 2 5" xfId="28353" xr:uid="{AEF83C0F-9EAC-4745-876A-6E1B9729B6DE}"/>
    <cellStyle name="Normal 2 4 2 3 4 2 3" xfId="5095" xr:uid="{00000000-0005-0000-0000-0000140F0000}"/>
    <cellStyle name="Normal 2 4 2 3 4 2 3 2" xfId="13545" xr:uid="{C8DE6E22-6E72-48B9-BA84-519D7DB36DE6}"/>
    <cellStyle name="Normal 2 4 2 3 4 2 3 3" xfId="21985" xr:uid="{7F40B05B-3284-47FF-B020-9B30B45EC925}"/>
    <cellStyle name="Normal 2 4 2 3 4 2 3 4" xfId="30425" xr:uid="{1A5368C3-1E0C-49F3-BDE2-9A72C47B1C13}"/>
    <cellStyle name="Normal 2 4 2 3 4 2 4" xfId="9327" xr:uid="{20C06497-7857-4C54-8142-ECF14019726E}"/>
    <cellStyle name="Normal 2 4 2 3 4 2 5" xfId="17768" xr:uid="{77CF7BF3-04FB-4857-942A-59B19D7F3F66}"/>
    <cellStyle name="Normal 2 4 2 3 4 2 6" xfId="26208" xr:uid="{2DB68D5D-6668-43D3-8BB3-8EB1A6702AF8}"/>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2 2 2" xfId="16103" xr:uid="{7A3B3022-FF90-466D-B546-29E6690F08D5}"/>
    <cellStyle name="Normal 2 4 2 3 4 3 2 2 3" xfId="24543" xr:uid="{2936A970-62DA-4E1E-B094-36D35D56E933}"/>
    <cellStyle name="Normal 2 4 2 3 4 3 2 2 4" xfId="32983" xr:uid="{3C25FE81-644C-494F-884C-FBA71CF5654F}"/>
    <cellStyle name="Normal 2 4 2 3 4 3 2 3" xfId="11885" xr:uid="{160AB5A4-A365-4636-A0AA-800A8F2348BB}"/>
    <cellStyle name="Normal 2 4 2 3 4 3 2 4" xfId="20326" xr:uid="{52A622C1-0DAD-4A9E-AE6C-48CFBA4AA23D}"/>
    <cellStyle name="Normal 2 4 2 3 4 3 2 5" xfId="28766" xr:uid="{FAB8B8B3-2AF7-4F90-9B93-5D4CEF1C89C0}"/>
    <cellStyle name="Normal 2 4 2 3 4 3 3" xfId="5508" xr:uid="{00000000-0005-0000-0000-0000180F0000}"/>
    <cellStyle name="Normal 2 4 2 3 4 3 3 2" xfId="13958" xr:uid="{3978036F-0C41-4A3A-9814-31DE210A5739}"/>
    <cellStyle name="Normal 2 4 2 3 4 3 3 3" xfId="22398" xr:uid="{E667B3AE-E159-403E-A02F-63F0118DC7B2}"/>
    <cellStyle name="Normal 2 4 2 3 4 3 3 4" xfId="30838" xr:uid="{7BAE2003-EC4A-43D0-A774-54F9F72E7309}"/>
    <cellStyle name="Normal 2 4 2 3 4 3 4" xfId="9740" xr:uid="{BCD7BDA4-80AB-4D02-8D89-D7222C988ACB}"/>
    <cellStyle name="Normal 2 4 2 3 4 3 5" xfId="18181" xr:uid="{CAF7E760-4D66-4E97-A4B7-FDBFA87469AE}"/>
    <cellStyle name="Normal 2 4 2 3 4 3 6" xfId="26621" xr:uid="{B339B5D0-E4FC-493C-8FAA-4E6E371ACBA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2 2 2" xfId="16516" xr:uid="{8306FC67-60B3-476F-A0D6-A083C6BDFCF8}"/>
    <cellStyle name="Normal 2 4 2 3 4 4 2 2 3" xfId="24956" xr:uid="{090F9252-FB98-406F-A2DD-0650867F04A6}"/>
    <cellStyle name="Normal 2 4 2 3 4 4 2 2 4" xfId="33396" xr:uid="{711F62A8-C44A-4ADE-ACBD-A66BD56205C8}"/>
    <cellStyle name="Normal 2 4 2 3 4 4 2 3" xfId="12298" xr:uid="{C3E8AEAF-0EB2-4BB1-9C08-20EB276C6398}"/>
    <cellStyle name="Normal 2 4 2 3 4 4 2 4" xfId="20739" xr:uid="{8F96CEC9-B930-4AED-AAFB-46C093BF142F}"/>
    <cellStyle name="Normal 2 4 2 3 4 4 2 5" xfId="29179" xr:uid="{92AD7583-75DD-4AE0-BBDE-EA11F2564AAA}"/>
    <cellStyle name="Normal 2 4 2 3 4 4 3" xfId="5921" xr:uid="{00000000-0005-0000-0000-00001C0F0000}"/>
    <cellStyle name="Normal 2 4 2 3 4 4 3 2" xfId="14371" xr:uid="{6E7FB792-723F-45D6-B9E6-8CF79A59F755}"/>
    <cellStyle name="Normal 2 4 2 3 4 4 3 3" xfId="22811" xr:uid="{612C12E2-A1DF-4153-9EA2-5E2532AA5F73}"/>
    <cellStyle name="Normal 2 4 2 3 4 4 3 4" xfId="31251" xr:uid="{BD22291F-A8E9-4752-AC06-5286A1B93D88}"/>
    <cellStyle name="Normal 2 4 2 3 4 4 4" xfId="10153" xr:uid="{9C558FFF-D521-49DC-99CB-CDE0A54E2BD0}"/>
    <cellStyle name="Normal 2 4 2 3 4 4 5" xfId="18594" xr:uid="{A8BA8FCA-9983-4024-9855-CC11AEEB1001}"/>
    <cellStyle name="Normal 2 4 2 3 4 4 6" xfId="27034" xr:uid="{AEE33558-1452-4750-89CB-AF1F426EA988}"/>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2 2 2" xfId="16929" xr:uid="{06B43F21-7C5D-410F-87DB-AC39D803B011}"/>
    <cellStyle name="Normal 2 4 2 3 4 5 2 2 3" xfId="25369" xr:uid="{64AAA1B4-981D-4741-9CF2-14475D5C0C32}"/>
    <cellStyle name="Normal 2 4 2 3 4 5 2 2 4" xfId="33809" xr:uid="{5D72F085-3D00-40E2-91DE-0FEEE13DBC7D}"/>
    <cellStyle name="Normal 2 4 2 3 4 5 2 3" xfId="12711" xr:uid="{4DE2660E-6D8A-4BCE-8A10-8ED0952A758D}"/>
    <cellStyle name="Normal 2 4 2 3 4 5 2 4" xfId="21152" xr:uid="{D04CBFD9-5247-4619-B1CB-40D2FB7BE03E}"/>
    <cellStyle name="Normal 2 4 2 3 4 5 2 5" xfId="29592" xr:uid="{C442493E-2687-41FF-8EE5-63A98F2394B0}"/>
    <cellStyle name="Normal 2 4 2 3 4 5 3" xfId="6334" xr:uid="{00000000-0005-0000-0000-0000200F0000}"/>
    <cellStyle name="Normal 2 4 2 3 4 5 3 2" xfId="14784" xr:uid="{69B1A75E-1569-4DE1-8B59-456CFC020C79}"/>
    <cellStyle name="Normal 2 4 2 3 4 5 3 3" xfId="23224" xr:uid="{CA90F893-6971-4056-9FB2-F2502BDAA88B}"/>
    <cellStyle name="Normal 2 4 2 3 4 5 3 4" xfId="31664" xr:uid="{10114B40-DBBF-4503-8B60-AB8E96E1247E}"/>
    <cellStyle name="Normal 2 4 2 3 4 5 4" xfId="10566" xr:uid="{B97D64E7-F6B2-41BF-B782-B0300F713BAB}"/>
    <cellStyle name="Normal 2 4 2 3 4 5 5" xfId="19007" xr:uid="{777E4222-C72B-4439-8AEF-3113C3DEAE62}"/>
    <cellStyle name="Normal 2 4 2 3 4 5 6" xfId="27447" xr:uid="{BC3AD07B-AE57-492C-BBE7-D0389F9532EB}"/>
    <cellStyle name="Normal 2 4 2 3 4 6" xfId="2464" xr:uid="{00000000-0005-0000-0000-0000210F0000}"/>
    <cellStyle name="Normal 2 4 2 3 4 6 2" xfId="6747" xr:uid="{00000000-0005-0000-0000-0000220F0000}"/>
    <cellStyle name="Normal 2 4 2 3 4 6 2 2" xfId="15197" xr:uid="{23803A1F-383C-409C-AEDC-CA7802BA37EF}"/>
    <cellStyle name="Normal 2 4 2 3 4 6 2 3" xfId="23637" xr:uid="{98DAE0B3-3591-4AF8-B009-11C5732CB889}"/>
    <cellStyle name="Normal 2 4 2 3 4 6 2 4" xfId="32077" xr:uid="{5D5B62F1-04A9-420E-8DDC-9DBFF01E345D}"/>
    <cellStyle name="Normal 2 4 2 3 4 6 3" xfId="10979" xr:uid="{D70A6639-E09E-44F5-89FF-1C3BF8CF6DA4}"/>
    <cellStyle name="Normal 2 4 2 3 4 6 4" xfId="19420" xr:uid="{CEC111C5-0570-480D-B5DD-C98368EC0062}"/>
    <cellStyle name="Normal 2 4 2 3 4 6 5" xfId="27860" xr:uid="{5A3632FC-40AB-441C-9418-422FC0C71FA3}"/>
    <cellStyle name="Normal 2 4 2 3 4 7" xfId="4681" xr:uid="{00000000-0005-0000-0000-0000230F0000}"/>
    <cellStyle name="Normal 2 4 2 3 4 7 2" xfId="13131" xr:uid="{73108236-3878-4C4B-82CA-88FF5E40E7A4}"/>
    <cellStyle name="Normal 2 4 2 3 4 7 3" xfId="21571" xr:uid="{26647556-A13A-42C1-B7F4-EF4D32A38A83}"/>
    <cellStyle name="Normal 2 4 2 3 4 7 4" xfId="30011" xr:uid="{75B7614E-BCCD-410E-8DE9-19212C7D3397}"/>
    <cellStyle name="Normal 2 4 2 3 4 8" xfId="8913" xr:uid="{721DAEAA-0968-4B3D-8897-5A42A0B47B79}"/>
    <cellStyle name="Normal 2 4 2 3 4 9" xfId="17354" xr:uid="{E82A63A3-73D8-40C1-927A-C591977D7D04}"/>
    <cellStyle name="Normal 2 4 2 3 5" xfId="772" xr:uid="{00000000-0005-0000-0000-0000240F0000}"/>
    <cellStyle name="Normal 2 4 2 3 5 2" xfId="3011" xr:uid="{00000000-0005-0000-0000-0000250F0000}"/>
    <cellStyle name="Normal 2 4 2 3 5 2 2" xfId="7233" xr:uid="{00000000-0005-0000-0000-0000260F0000}"/>
    <cellStyle name="Normal 2 4 2 3 5 2 2 2" xfId="15683" xr:uid="{FE9EADCA-590C-4338-A62C-1FD8D160245B}"/>
    <cellStyle name="Normal 2 4 2 3 5 2 2 3" xfId="24123" xr:uid="{85E90E31-17F4-44C5-9556-58CFAF0C9920}"/>
    <cellStyle name="Normal 2 4 2 3 5 2 2 4" xfId="32563" xr:uid="{342AB0B1-54E4-4EF1-A5E0-641C91E87A11}"/>
    <cellStyle name="Normal 2 4 2 3 5 2 3" xfId="11465" xr:uid="{4714BF34-7E0B-4CD8-BD72-A65892E69326}"/>
    <cellStyle name="Normal 2 4 2 3 5 2 4" xfId="19906" xr:uid="{D8E22975-38D7-4B15-A86F-C7CF6E4A8B1B}"/>
    <cellStyle name="Normal 2 4 2 3 5 2 5" xfId="28346" xr:uid="{0D2FA464-877F-4867-B898-4773A9728655}"/>
    <cellStyle name="Normal 2 4 2 3 5 3" xfId="5088" xr:uid="{00000000-0005-0000-0000-0000270F0000}"/>
    <cellStyle name="Normal 2 4 2 3 5 3 2" xfId="13538" xr:uid="{436A1D22-2F52-4F56-9995-1265EE5D287C}"/>
    <cellStyle name="Normal 2 4 2 3 5 3 3" xfId="21978" xr:uid="{27DA1405-DAB9-4473-A1F7-BF873522C4CC}"/>
    <cellStyle name="Normal 2 4 2 3 5 3 4" xfId="30418" xr:uid="{9D224336-4E6E-4E99-B7A8-E9DD44ACF5F4}"/>
    <cellStyle name="Normal 2 4 2 3 5 4" xfId="9320" xr:uid="{93455087-36E1-4F2A-B3F9-57C185E31833}"/>
    <cellStyle name="Normal 2 4 2 3 5 5" xfId="17761" xr:uid="{C562195A-7B55-4728-8A9F-9678F7FAA56C}"/>
    <cellStyle name="Normal 2 4 2 3 5 6" xfId="26201" xr:uid="{0F66003E-4B7B-4D27-A384-142473F1156D}"/>
    <cellStyle name="Normal 2 4 2 3 6" xfId="1194" xr:uid="{00000000-0005-0000-0000-0000280F0000}"/>
    <cellStyle name="Normal 2 4 2 3 6 2" xfId="3424" xr:uid="{00000000-0005-0000-0000-0000290F0000}"/>
    <cellStyle name="Normal 2 4 2 3 6 2 2" xfId="7646" xr:uid="{00000000-0005-0000-0000-00002A0F0000}"/>
    <cellStyle name="Normal 2 4 2 3 6 2 2 2" xfId="16096" xr:uid="{43212A8B-5F74-4A5B-B275-90A1803542D0}"/>
    <cellStyle name="Normal 2 4 2 3 6 2 2 3" xfId="24536" xr:uid="{3907CB06-DC8D-4745-B02C-AC215CA8CF43}"/>
    <cellStyle name="Normal 2 4 2 3 6 2 2 4" xfId="32976" xr:uid="{9F68C9F0-EF1B-470C-A06F-2F2EF8AD564F}"/>
    <cellStyle name="Normal 2 4 2 3 6 2 3" xfId="11878" xr:uid="{808C2719-68AB-44C0-AD7B-97B0AB9E5F87}"/>
    <cellStyle name="Normal 2 4 2 3 6 2 4" xfId="20319" xr:uid="{FCB6BD67-AA07-49E4-849A-539E6D0443BE}"/>
    <cellStyle name="Normal 2 4 2 3 6 2 5" xfId="28759" xr:uid="{71F9E72B-89E2-4078-8DC6-1E959383B785}"/>
    <cellStyle name="Normal 2 4 2 3 6 3" xfId="5501" xr:uid="{00000000-0005-0000-0000-00002B0F0000}"/>
    <cellStyle name="Normal 2 4 2 3 6 3 2" xfId="13951" xr:uid="{FB0C8659-8593-4324-B66F-9584BEA55167}"/>
    <cellStyle name="Normal 2 4 2 3 6 3 3" xfId="22391" xr:uid="{92F89F31-FA77-42BB-BDDB-1799BED43A8B}"/>
    <cellStyle name="Normal 2 4 2 3 6 3 4" xfId="30831" xr:uid="{AF269752-B25B-439F-95D2-9759F997F9B9}"/>
    <cellStyle name="Normal 2 4 2 3 6 4" xfId="9733" xr:uid="{135A0AB7-BF04-49DF-906A-DE13D7571EDA}"/>
    <cellStyle name="Normal 2 4 2 3 6 5" xfId="18174" xr:uid="{7A2A3734-B5B6-4743-807F-1869B77A01A9}"/>
    <cellStyle name="Normal 2 4 2 3 6 6" xfId="26614" xr:uid="{A57F632B-E3F8-4F2F-8C52-4EE187CC85A1}"/>
    <cellStyle name="Normal 2 4 2 3 7" xfId="1607" xr:uid="{00000000-0005-0000-0000-00002C0F0000}"/>
    <cellStyle name="Normal 2 4 2 3 7 2" xfId="3837" xr:uid="{00000000-0005-0000-0000-00002D0F0000}"/>
    <cellStyle name="Normal 2 4 2 3 7 2 2" xfId="8059" xr:uid="{00000000-0005-0000-0000-00002E0F0000}"/>
    <cellStyle name="Normal 2 4 2 3 7 2 2 2" xfId="16509" xr:uid="{DBA6D08A-FDC9-41E1-9D86-373BBF6642AA}"/>
    <cellStyle name="Normal 2 4 2 3 7 2 2 3" xfId="24949" xr:uid="{17E23F2A-4F9A-41FC-9D0D-E5B5166A6CA4}"/>
    <cellStyle name="Normal 2 4 2 3 7 2 2 4" xfId="33389" xr:uid="{FDB5F1E7-5364-4E15-8B81-55DD25FF1124}"/>
    <cellStyle name="Normal 2 4 2 3 7 2 3" xfId="12291" xr:uid="{69599247-0D6D-496A-87C6-5506763E22B0}"/>
    <cellStyle name="Normal 2 4 2 3 7 2 4" xfId="20732" xr:uid="{0B2DFBEF-ED42-45FD-86AA-D391E2D1FB13}"/>
    <cellStyle name="Normal 2 4 2 3 7 2 5" xfId="29172" xr:uid="{D86893C9-C351-459D-85DA-3B99E8BCC0A8}"/>
    <cellStyle name="Normal 2 4 2 3 7 3" xfId="5914" xr:uid="{00000000-0005-0000-0000-00002F0F0000}"/>
    <cellStyle name="Normal 2 4 2 3 7 3 2" xfId="14364" xr:uid="{A11E0F9D-069E-4684-AF98-48FC983D3B58}"/>
    <cellStyle name="Normal 2 4 2 3 7 3 3" xfId="22804" xr:uid="{E6CE5D09-AB04-4E9A-8140-501AE8CBC88A}"/>
    <cellStyle name="Normal 2 4 2 3 7 3 4" xfId="31244" xr:uid="{2E345292-3C1D-447C-AC4B-2D254E64EA17}"/>
    <cellStyle name="Normal 2 4 2 3 7 4" xfId="10146" xr:uid="{53FD153F-72C4-47DB-BA4F-D6F30328174A}"/>
    <cellStyle name="Normal 2 4 2 3 7 5" xfId="18587" xr:uid="{BA480155-1109-4FC5-99F0-5B8405CC8BEF}"/>
    <cellStyle name="Normal 2 4 2 3 7 6" xfId="27027" xr:uid="{0979A384-B569-4E25-994A-7B445A082ECB}"/>
    <cellStyle name="Normal 2 4 2 3 8" xfId="2021" xr:uid="{00000000-0005-0000-0000-0000300F0000}"/>
    <cellStyle name="Normal 2 4 2 3 8 2" xfId="4250" xr:uid="{00000000-0005-0000-0000-0000310F0000}"/>
    <cellStyle name="Normal 2 4 2 3 8 2 2" xfId="8472" xr:uid="{00000000-0005-0000-0000-0000320F0000}"/>
    <cellStyle name="Normal 2 4 2 3 8 2 2 2" xfId="16922" xr:uid="{F92D9725-138B-4FB4-99F0-885B78A7A8D9}"/>
    <cellStyle name="Normal 2 4 2 3 8 2 2 3" xfId="25362" xr:uid="{053B8047-5407-4346-A4DA-F7A628390937}"/>
    <cellStyle name="Normal 2 4 2 3 8 2 2 4" xfId="33802" xr:uid="{87325459-A922-40F0-9DF0-99EF2EEC4CF3}"/>
    <cellStyle name="Normal 2 4 2 3 8 2 3" xfId="12704" xr:uid="{1D200DE7-C16C-487B-A069-90A9D538AC9A}"/>
    <cellStyle name="Normal 2 4 2 3 8 2 4" xfId="21145" xr:uid="{A0B73FB7-99F8-4F7A-B651-CD8B08623B21}"/>
    <cellStyle name="Normal 2 4 2 3 8 2 5" xfId="29585" xr:uid="{EB6B7C4E-91AE-4FA1-BF9A-A7E28D9272F5}"/>
    <cellStyle name="Normal 2 4 2 3 8 3" xfId="6327" xr:uid="{00000000-0005-0000-0000-0000330F0000}"/>
    <cellStyle name="Normal 2 4 2 3 8 3 2" xfId="14777" xr:uid="{6BAC02FA-6591-4F3B-9623-E82875E9E607}"/>
    <cellStyle name="Normal 2 4 2 3 8 3 3" xfId="23217" xr:uid="{4BA0216F-FB63-4E30-9802-F903A39403C2}"/>
    <cellStyle name="Normal 2 4 2 3 8 3 4" xfId="31657" xr:uid="{2EB112BF-287D-4F25-B205-2606DC240632}"/>
    <cellStyle name="Normal 2 4 2 3 8 4" xfId="10559" xr:uid="{32943864-D9CA-42DE-BEB2-C83A9349D697}"/>
    <cellStyle name="Normal 2 4 2 3 8 5" xfId="19000" xr:uid="{BDD2EF37-F7D6-466D-ADED-DDF0CE53F6DD}"/>
    <cellStyle name="Normal 2 4 2 3 8 6" xfId="27440" xr:uid="{77387FEF-0318-47A8-A711-06E824AFE36D}"/>
    <cellStyle name="Normal 2 4 2 3 9" xfId="2457" xr:uid="{00000000-0005-0000-0000-0000340F0000}"/>
    <cellStyle name="Normal 2 4 2 3 9 2" xfId="6740" xr:uid="{00000000-0005-0000-0000-0000350F0000}"/>
    <cellStyle name="Normal 2 4 2 3 9 2 2" xfId="15190" xr:uid="{0B54E79F-F99E-4729-8E7B-5B2FE921FC27}"/>
    <cellStyle name="Normal 2 4 2 3 9 2 3" xfId="23630" xr:uid="{0C167E03-1BFE-4940-B7C1-ADB9A9F9FBCC}"/>
    <cellStyle name="Normal 2 4 2 3 9 2 4" xfId="32070" xr:uid="{0DA23461-52AC-4915-B456-588AC17438B4}"/>
    <cellStyle name="Normal 2 4 2 3 9 3" xfId="10972" xr:uid="{934C96C3-5367-4055-943C-A7B5B6F91AFF}"/>
    <cellStyle name="Normal 2 4 2 3 9 4" xfId="19413" xr:uid="{FFA538C5-F0F1-4E42-97AC-1E5EFE7B4F71}"/>
    <cellStyle name="Normal 2 4 2 3 9 5" xfId="27853" xr:uid="{DACC201F-3F20-499F-8796-8D02D171F2E3}"/>
    <cellStyle name="Normal 2 4 2 4" xfId="289" xr:uid="{00000000-0005-0000-0000-0000360F0000}"/>
    <cellStyle name="Normal 2 4 2 4 10" xfId="8914" xr:uid="{9E4C6903-A3A2-40D9-AC07-FE091E90DCE4}"/>
    <cellStyle name="Normal 2 4 2 4 11" xfId="17355" xr:uid="{09A962AC-B4B1-467F-9CC5-24FB430675FF}"/>
    <cellStyle name="Normal 2 4 2 4 12" xfId="25795" xr:uid="{5A7EC61B-DC42-463C-9292-966D4C137067}"/>
    <cellStyle name="Normal 2 4 2 4 2" xfId="290" xr:uid="{00000000-0005-0000-0000-0000370F0000}"/>
    <cellStyle name="Normal 2 4 2 4 2 10" xfId="17356" xr:uid="{33952CB0-BA19-48EF-BBC7-945A6A1A673B}"/>
    <cellStyle name="Normal 2 4 2 4 2 11" xfId="25796" xr:uid="{3AFAC831-E703-438A-979C-21A5D5CA2914}"/>
    <cellStyle name="Normal 2 4 2 4 2 2" xfId="291" xr:uid="{00000000-0005-0000-0000-0000380F0000}"/>
    <cellStyle name="Normal 2 4 2 4 2 2 10" xfId="25797" xr:uid="{ED0741F5-B434-4781-A6DA-C287E4C9BED4}"/>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2 2 2" xfId="15693" xr:uid="{A1D19264-09EB-4DA2-96E0-A76A8EF07EE5}"/>
    <cellStyle name="Normal 2 4 2 4 2 2 2 2 2 3" xfId="24133" xr:uid="{EB7FB34E-81F3-4C70-8953-375F95CCC4D6}"/>
    <cellStyle name="Normal 2 4 2 4 2 2 2 2 2 4" xfId="32573" xr:uid="{6F9AAC27-418A-4431-A3E7-2C6EB5A2C0B6}"/>
    <cellStyle name="Normal 2 4 2 4 2 2 2 2 3" xfId="11475" xr:uid="{2FE80033-3DA2-453D-8F79-2A55992EB93F}"/>
    <cellStyle name="Normal 2 4 2 4 2 2 2 2 4" xfId="19916" xr:uid="{04244394-6AA7-47FF-A443-6785B922EC97}"/>
    <cellStyle name="Normal 2 4 2 4 2 2 2 2 5" xfId="28356" xr:uid="{C8613749-A650-488A-9E35-19E07457CD6F}"/>
    <cellStyle name="Normal 2 4 2 4 2 2 2 3" xfId="5098" xr:uid="{00000000-0005-0000-0000-00003C0F0000}"/>
    <cellStyle name="Normal 2 4 2 4 2 2 2 3 2" xfId="13548" xr:uid="{0E9B6D93-ADB8-4A8D-A5A6-832B59062E53}"/>
    <cellStyle name="Normal 2 4 2 4 2 2 2 3 3" xfId="21988" xr:uid="{DD29A2D0-0377-4DA7-B509-843B988BD3DD}"/>
    <cellStyle name="Normal 2 4 2 4 2 2 2 3 4" xfId="30428" xr:uid="{1C6CB965-4438-41D7-9F12-38EB2B5CCE85}"/>
    <cellStyle name="Normal 2 4 2 4 2 2 2 4" xfId="9330" xr:uid="{8E9C2AA1-32C3-4A9C-B075-EC254EBBBCF2}"/>
    <cellStyle name="Normal 2 4 2 4 2 2 2 5" xfId="17771" xr:uid="{CEEBCCCE-BE83-439F-AE86-26EB0139661D}"/>
    <cellStyle name="Normal 2 4 2 4 2 2 2 6" xfId="26211" xr:uid="{5BB1406A-139B-4C20-BE79-95A2C1919F86}"/>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2 2 2" xfId="16106" xr:uid="{5F353104-6436-464D-AE01-5CB610940334}"/>
    <cellStyle name="Normal 2 4 2 4 2 2 3 2 2 3" xfId="24546" xr:uid="{8F1D9D3F-60AA-482E-842B-9D73FE5FFBF0}"/>
    <cellStyle name="Normal 2 4 2 4 2 2 3 2 2 4" xfId="32986" xr:uid="{467562E3-C713-4C30-8065-35270982FE6D}"/>
    <cellStyle name="Normal 2 4 2 4 2 2 3 2 3" xfId="11888" xr:uid="{F2D0AA9B-80A3-4E64-8AF0-FF34CDA18750}"/>
    <cellStyle name="Normal 2 4 2 4 2 2 3 2 4" xfId="20329" xr:uid="{A292DCEB-2B8B-451D-93BF-66A2662B6D7D}"/>
    <cellStyle name="Normal 2 4 2 4 2 2 3 2 5" xfId="28769" xr:uid="{79AF3116-EDEA-4A2F-9949-CA8B56B1C511}"/>
    <cellStyle name="Normal 2 4 2 4 2 2 3 3" xfId="5511" xr:uid="{00000000-0005-0000-0000-0000400F0000}"/>
    <cellStyle name="Normal 2 4 2 4 2 2 3 3 2" xfId="13961" xr:uid="{75404BFC-1E0B-4B31-AE21-EF2435C94238}"/>
    <cellStyle name="Normal 2 4 2 4 2 2 3 3 3" xfId="22401" xr:uid="{3C363F84-A2E2-4745-8834-48C424A0694E}"/>
    <cellStyle name="Normal 2 4 2 4 2 2 3 3 4" xfId="30841" xr:uid="{2E51A0CD-A7E0-47DC-93AE-E5EF75936D2A}"/>
    <cellStyle name="Normal 2 4 2 4 2 2 3 4" xfId="9743" xr:uid="{DBF11B04-F185-4A00-8905-58C8FA61AD21}"/>
    <cellStyle name="Normal 2 4 2 4 2 2 3 5" xfId="18184" xr:uid="{FB22C8E0-13D9-417D-89DA-71A7833771F2}"/>
    <cellStyle name="Normal 2 4 2 4 2 2 3 6" xfId="26624" xr:uid="{CE74808B-3385-4F6F-8969-F93F3DB220AB}"/>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2 2 2" xfId="16519" xr:uid="{74C469B2-3ED8-4D85-B255-02CF45696FB4}"/>
    <cellStyle name="Normal 2 4 2 4 2 2 4 2 2 3" xfId="24959" xr:uid="{3F2E28C6-2D9D-4FF4-8B30-A23D822250F1}"/>
    <cellStyle name="Normal 2 4 2 4 2 2 4 2 2 4" xfId="33399" xr:uid="{3F9B9F29-C641-4FBB-8AFD-759226C1F1CC}"/>
    <cellStyle name="Normal 2 4 2 4 2 2 4 2 3" xfId="12301" xr:uid="{42000D29-8634-4768-A358-88EFA6C14607}"/>
    <cellStyle name="Normal 2 4 2 4 2 2 4 2 4" xfId="20742" xr:uid="{87F4A2EB-6950-448C-ADA0-1E5E318DCEB9}"/>
    <cellStyle name="Normal 2 4 2 4 2 2 4 2 5" xfId="29182" xr:uid="{6E7EE182-F301-468C-9266-714ABB74F61E}"/>
    <cellStyle name="Normal 2 4 2 4 2 2 4 3" xfId="5924" xr:uid="{00000000-0005-0000-0000-0000440F0000}"/>
    <cellStyle name="Normal 2 4 2 4 2 2 4 3 2" xfId="14374" xr:uid="{0D9758A8-7762-4897-9FF7-04FA0BC7EA98}"/>
    <cellStyle name="Normal 2 4 2 4 2 2 4 3 3" xfId="22814" xr:uid="{10AD1FAE-F5D9-4172-8DC8-3DD67B823CB5}"/>
    <cellStyle name="Normal 2 4 2 4 2 2 4 3 4" xfId="31254" xr:uid="{7F29E2FE-127D-4EBF-94FD-E618B91332E3}"/>
    <cellStyle name="Normal 2 4 2 4 2 2 4 4" xfId="10156" xr:uid="{36F1DE83-C802-4B4E-95B6-88EB622CB703}"/>
    <cellStyle name="Normal 2 4 2 4 2 2 4 5" xfId="18597" xr:uid="{8A12705B-7C37-4D20-9498-3F1931D6BA44}"/>
    <cellStyle name="Normal 2 4 2 4 2 2 4 6" xfId="27037" xr:uid="{E7F49741-2B1C-427A-B539-30CF8F46988F}"/>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2 2 2" xfId="16932" xr:uid="{7BAA60C0-3685-458E-8F6E-A52440229B74}"/>
    <cellStyle name="Normal 2 4 2 4 2 2 5 2 2 3" xfId="25372" xr:uid="{50332499-DDF5-4677-ADB0-005192585DBB}"/>
    <cellStyle name="Normal 2 4 2 4 2 2 5 2 2 4" xfId="33812" xr:uid="{F58B82B9-8506-4214-8D99-41ED7F205501}"/>
    <cellStyle name="Normal 2 4 2 4 2 2 5 2 3" xfId="12714" xr:uid="{D9FD78A3-ACA4-48B8-8750-71DDE4E6CB84}"/>
    <cellStyle name="Normal 2 4 2 4 2 2 5 2 4" xfId="21155" xr:uid="{B7E5D664-13A9-4119-B12E-9CD121FE2D2A}"/>
    <cellStyle name="Normal 2 4 2 4 2 2 5 2 5" xfId="29595" xr:uid="{6D75F798-3C25-4BF1-99D1-4F8A6AFB0B51}"/>
    <cellStyle name="Normal 2 4 2 4 2 2 5 3" xfId="6337" xr:uid="{00000000-0005-0000-0000-0000480F0000}"/>
    <cellStyle name="Normal 2 4 2 4 2 2 5 3 2" xfId="14787" xr:uid="{7EC07929-D45C-4E23-9386-DB3A44B3429D}"/>
    <cellStyle name="Normal 2 4 2 4 2 2 5 3 3" xfId="23227" xr:uid="{DA7C2A6C-A380-4972-B9C6-B2F0F92A06A5}"/>
    <cellStyle name="Normal 2 4 2 4 2 2 5 3 4" xfId="31667" xr:uid="{5CA61821-1523-4803-8A92-42A8478BC4CB}"/>
    <cellStyle name="Normal 2 4 2 4 2 2 5 4" xfId="10569" xr:uid="{0066D500-176E-4A25-85AF-069E12E013C0}"/>
    <cellStyle name="Normal 2 4 2 4 2 2 5 5" xfId="19010" xr:uid="{8881734F-23E4-4A92-9834-5C58067AC038}"/>
    <cellStyle name="Normal 2 4 2 4 2 2 5 6" xfId="27450" xr:uid="{3DF582C7-2D99-41D6-9855-721D75FCB4AB}"/>
    <cellStyle name="Normal 2 4 2 4 2 2 6" xfId="2467" xr:uid="{00000000-0005-0000-0000-0000490F0000}"/>
    <cellStyle name="Normal 2 4 2 4 2 2 6 2" xfId="6750" xr:uid="{00000000-0005-0000-0000-00004A0F0000}"/>
    <cellStyle name="Normal 2 4 2 4 2 2 6 2 2" xfId="15200" xr:uid="{C6F28B04-A004-498C-9E29-9CD450439C00}"/>
    <cellStyle name="Normal 2 4 2 4 2 2 6 2 3" xfId="23640" xr:uid="{EDC13377-2263-4B1E-AAC1-666790E06E75}"/>
    <cellStyle name="Normal 2 4 2 4 2 2 6 2 4" xfId="32080" xr:uid="{2DFAE323-FB74-458B-B7B5-9E9C3A10B0E8}"/>
    <cellStyle name="Normal 2 4 2 4 2 2 6 3" xfId="10982" xr:uid="{3178B856-92D3-4164-84D7-9DFC517D92BB}"/>
    <cellStyle name="Normal 2 4 2 4 2 2 6 4" xfId="19423" xr:uid="{B073750E-595E-4299-A0F0-1987342A3639}"/>
    <cellStyle name="Normal 2 4 2 4 2 2 6 5" xfId="27863" xr:uid="{D28DFEEF-1E63-469A-A597-0140A6AE63D6}"/>
    <cellStyle name="Normal 2 4 2 4 2 2 7" xfId="4684" xr:uid="{00000000-0005-0000-0000-00004B0F0000}"/>
    <cellStyle name="Normal 2 4 2 4 2 2 7 2" xfId="13134" xr:uid="{9BCD973E-F6AF-4A54-A2DB-A182BE0B179E}"/>
    <cellStyle name="Normal 2 4 2 4 2 2 7 3" xfId="21574" xr:uid="{3E55742A-5C0F-4959-85AB-41714220AA04}"/>
    <cellStyle name="Normal 2 4 2 4 2 2 7 4" xfId="30014" xr:uid="{7AA3C327-B899-4D73-91E1-873E23396E18}"/>
    <cellStyle name="Normal 2 4 2 4 2 2 8" xfId="8916" xr:uid="{7D72C87C-080B-4B83-9DD7-FFD40803428C}"/>
    <cellStyle name="Normal 2 4 2 4 2 2 9" xfId="17357" xr:uid="{FCD65A1D-5452-4FED-AE66-AFAAE31159E9}"/>
    <cellStyle name="Normal 2 4 2 4 2 3" xfId="781" xr:uid="{00000000-0005-0000-0000-00004C0F0000}"/>
    <cellStyle name="Normal 2 4 2 4 2 3 2" xfId="3020" xr:uid="{00000000-0005-0000-0000-00004D0F0000}"/>
    <cellStyle name="Normal 2 4 2 4 2 3 2 2" xfId="7242" xr:uid="{00000000-0005-0000-0000-00004E0F0000}"/>
    <cellStyle name="Normal 2 4 2 4 2 3 2 2 2" xfId="15692" xr:uid="{96D0B728-1B92-4BBF-8C33-FFDC4F142E0A}"/>
    <cellStyle name="Normal 2 4 2 4 2 3 2 2 3" xfId="24132" xr:uid="{0D0AFFAC-ACF4-4C6D-A607-10C2DC8A2B68}"/>
    <cellStyle name="Normal 2 4 2 4 2 3 2 2 4" xfId="32572" xr:uid="{B007A155-1BC2-41AD-9665-DF667D883550}"/>
    <cellStyle name="Normal 2 4 2 4 2 3 2 3" xfId="11474" xr:uid="{42B7FB1D-671E-4D83-B9D0-47A8FBBFF79C}"/>
    <cellStyle name="Normal 2 4 2 4 2 3 2 4" xfId="19915" xr:uid="{46A8642F-E2EF-4DA5-80F2-090BFCB3DDD8}"/>
    <cellStyle name="Normal 2 4 2 4 2 3 2 5" xfId="28355" xr:uid="{6E841188-AFC1-4971-B509-05F97A34A1C1}"/>
    <cellStyle name="Normal 2 4 2 4 2 3 3" xfId="5097" xr:uid="{00000000-0005-0000-0000-00004F0F0000}"/>
    <cellStyle name="Normal 2 4 2 4 2 3 3 2" xfId="13547" xr:uid="{8A7DDB70-3C68-4292-847E-9F9C78E55F35}"/>
    <cellStyle name="Normal 2 4 2 4 2 3 3 3" xfId="21987" xr:uid="{2B5BA467-A85B-4D48-A78F-2895F1280F84}"/>
    <cellStyle name="Normal 2 4 2 4 2 3 3 4" xfId="30427" xr:uid="{46FEDD9C-88CD-461C-B14E-C3DA9A4C5C09}"/>
    <cellStyle name="Normal 2 4 2 4 2 3 4" xfId="9329" xr:uid="{117284EF-B8DC-433F-8FDA-EF05E09B60AB}"/>
    <cellStyle name="Normal 2 4 2 4 2 3 5" xfId="17770" xr:uid="{7F810E19-5A0E-402C-AAB9-1349B2D40EBE}"/>
    <cellStyle name="Normal 2 4 2 4 2 3 6" xfId="26210" xr:uid="{8C595261-005C-4291-B67D-B87102FE5F37}"/>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2 2 2" xfId="16105" xr:uid="{5D7BECDB-5A9D-4AA4-A8A8-8E380C8DF2BF}"/>
    <cellStyle name="Normal 2 4 2 4 2 4 2 2 3" xfId="24545" xr:uid="{6B4D9DFB-24A8-4985-A1FB-8F0D410FCDA9}"/>
    <cellStyle name="Normal 2 4 2 4 2 4 2 2 4" xfId="32985" xr:uid="{38144315-0131-4C33-B950-8A26AF5ED53C}"/>
    <cellStyle name="Normal 2 4 2 4 2 4 2 3" xfId="11887" xr:uid="{3E056D0C-D49C-45D8-81A7-1BF912ABAA2A}"/>
    <cellStyle name="Normal 2 4 2 4 2 4 2 4" xfId="20328" xr:uid="{AF9C805F-9DD0-412F-A967-3C1DA524A583}"/>
    <cellStyle name="Normal 2 4 2 4 2 4 2 5" xfId="28768" xr:uid="{31395E97-BCFA-4F2C-8435-8D8CB6ECD478}"/>
    <cellStyle name="Normal 2 4 2 4 2 4 3" xfId="5510" xr:uid="{00000000-0005-0000-0000-0000530F0000}"/>
    <cellStyle name="Normal 2 4 2 4 2 4 3 2" xfId="13960" xr:uid="{3070451C-9FCE-4604-8657-08BA0F65794D}"/>
    <cellStyle name="Normal 2 4 2 4 2 4 3 3" xfId="22400" xr:uid="{61A42C52-30F7-4F9F-BBEE-4160C6AEEB14}"/>
    <cellStyle name="Normal 2 4 2 4 2 4 3 4" xfId="30840" xr:uid="{442CB542-8AEA-46E7-8EB0-E2F716A082FA}"/>
    <cellStyle name="Normal 2 4 2 4 2 4 4" xfId="9742" xr:uid="{6EE2CE8F-D5B1-4681-917D-FB44E3CB33E2}"/>
    <cellStyle name="Normal 2 4 2 4 2 4 5" xfId="18183" xr:uid="{3BE207F5-1281-4D05-9B3B-D8F7984FD333}"/>
    <cellStyle name="Normal 2 4 2 4 2 4 6" xfId="26623" xr:uid="{E07DB8A9-E749-4AF3-8812-29209D1D71C4}"/>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2 2 2" xfId="16518" xr:uid="{5B355C5B-5607-4D91-9F5F-801D57E4B74A}"/>
    <cellStyle name="Normal 2 4 2 4 2 5 2 2 3" xfId="24958" xr:uid="{95147167-5ABF-467C-9407-7CE50096EC8F}"/>
    <cellStyle name="Normal 2 4 2 4 2 5 2 2 4" xfId="33398" xr:uid="{9FBA1D00-7960-4B6B-BD9D-148315995F13}"/>
    <cellStyle name="Normal 2 4 2 4 2 5 2 3" xfId="12300" xr:uid="{6E8A4652-C847-4087-B423-5DC8F31A08A0}"/>
    <cellStyle name="Normal 2 4 2 4 2 5 2 4" xfId="20741" xr:uid="{0C1C40E1-6771-4A90-A919-49F8BFFD7EB3}"/>
    <cellStyle name="Normal 2 4 2 4 2 5 2 5" xfId="29181" xr:uid="{25282EE2-17B0-4023-808B-E302CA332FAA}"/>
    <cellStyle name="Normal 2 4 2 4 2 5 3" xfId="5923" xr:uid="{00000000-0005-0000-0000-0000570F0000}"/>
    <cellStyle name="Normal 2 4 2 4 2 5 3 2" xfId="14373" xr:uid="{410B9410-1BC1-4E8D-83CE-7DA158C4732B}"/>
    <cellStyle name="Normal 2 4 2 4 2 5 3 3" xfId="22813" xr:uid="{1BB44988-E46F-470B-835E-C59D0969265A}"/>
    <cellStyle name="Normal 2 4 2 4 2 5 3 4" xfId="31253" xr:uid="{79581803-0C2F-4F41-ACEC-11122CF18CF0}"/>
    <cellStyle name="Normal 2 4 2 4 2 5 4" xfId="10155" xr:uid="{BB4F8D76-70BD-4B31-857B-9437F0DCF7F7}"/>
    <cellStyle name="Normal 2 4 2 4 2 5 5" xfId="18596" xr:uid="{6675AC57-120A-4B6A-9713-0482D1ACA69A}"/>
    <cellStyle name="Normal 2 4 2 4 2 5 6" xfId="27036" xr:uid="{FD42F3ED-1555-41A0-8CFD-7818159BE0A8}"/>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2 2 2" xfId="16931" xr:uid="{FD74AF70-6735-422C-A3A7-DFCAB08F1AC8}"/>
    <cellStyle name="Normal 2 4 2 4 2 6 2 2 3" xfId="25371" xr:uid="{FD0041EE-CA7B-4530-9BBC-80B5118E9CCF}"/>
    <cellStyle name="Normal 2 4 2 4 2 6 2 2 4" xfId="33811" xr:uid="{85D31D7D-D32D-4C97-BA2C-1A30FCCE1568}"/>
    <cellStyle name="Normal 2 4 2 4 2 6 2 3" xfId="12713" xr:uid="{49FFBEE6-58D7-4610-9BD5-0714F56A5DE0}"/>
    <cellStyle name="Normal 2 4 2 4 2 6 2 4" xfId="21154" xr:uid="{260CCE12-1970-45CF-AA1D-69062576633C}"/>
    <cellStyle name="Normal 2 4 2 4 2 6 2 5" xfId="29594" xr:uid="{5870B563-0664-4AB5-ADE7-9A59030BDD5E}"/>
    <cellStyle name="Normal 2 4 2 4 2 6 3" xfId="6336" xr:uid="{00000000-0005-0000-0000-00005B0F0000}"/>
    <cellStyle name="Normal 2 4 2 4 2 6 3 2" xfId="14786" xr:uid="{18EB6A0E-866E-4086-A12B-DF848ECCF6DD}"/>
    <cellStyle name="Normal 2 4 2 4 2 6 3 3" xfId="23226" xr:uid="{31B6DDFE-3B76-4E2C-B3D1-3F4E07E3103D}"/>
    <cellStyle name="Normal 2 4 2 4 2 6 3 4" xfId="31666" xr:uid="{DD4A8E4B-935A-4955-AB87-3AFB14D00789}"/>
    <cellStyle name="Normal 2 4 2 4 2 6 4" xfId="10568" xr:uid="{1A948C8F-1CAD-4C52-8AC8-4C0E6CA82453}"/>
    <cellStyle name="Normal 2 4 2 4 2 6 5" xfId="19009" xr:uid="{AD62EEE3-FBA8-4CB0-87D1-5B86F87EC61C}"/>
    <cellStyle name="Normal 2 4 2 4 2 6 6" xfId="27449" xr:uid="{C6977454-73FA-43EE-9DF5-072ECEBC8ADD}"/>
    <cellStyle name="Normal 2 4 2 4 2 7" xfId="2466" xr:uid="{00000000-0005-0000-0000-00005C0F0000}"/>
    <cellStyle name="Normal 2 4 2 4 2 7 2" xfId="6749" xr:uid="{00000000-0005-0000-0000-00005D0F0000}"/>
    <cellStyle name="Normal 2 4 2 4 2 7 2 2" xfId="15199" xr:uid="{D571DCCD-0303-4CDE-827A-49E4A51C9104}"/>
    <cellStyle name="Normal 2 4 2 4 2 7 2 3" xfId="23639" xr:uid="{C3746DBA-0D45-44C5-89D3-7DE4C9622FCA}"/>
    <cellStyle name="Normal 2 4 2 4 2 7 2 4" xfId="32079" xr:uid="{D4C58C4F-512A-4ADB-BFC4-77F2BD2872D3}"/>
    <cellStyle name="Normal 2 4 2 4 2 7 3" xfId="10981" xr:uid="{64439C69-A5CC-42A5-9A03-F6D4C4CEBA20}"/>
    <cellStyle name="Normal 2 4 2 4 2 7 4" xfId="19422" xr:uid="{337BC68B-09E3-4A6E-A57B-3BDCD1DE681B}"/>
    <cellStyle name="Normal 2 4 2 4 2 7 5" xfId="27862" xr:uid="{7877034A-82C0-4A68-8F7A-B324A4266DA4}"/>
    <cellStyle name="Normal 2 4 2 4 2 8" xfId="4683" xr:uid="{00000000-0005-0000-0000-00005E0F0000}"/>
    <cellStyle name="Normal 2 4 2 4 2 8 2" xfId="13133" xr:uid="{F693C056-AF05-443E-BA58-ABD8AFB5B0D3}"/>
    <cellStyle name="Normal 2 4 2 4 2 8 3" xfId="21573" xr:uid="{C808CA75-72F8-4AA0-99FE-6A2AB169C2B7}"/>
    <cellStyle name="Normal 2 4 2 4 2 8 4" xfId="30013" xr:uid="{22D3A18F-1DA9-4FE3-8DF1-0EC959E0C43D}"/>
    <cellStyle name="Normal 2 4 2 4 2 9" xfId="8915" xr:uid="{B963C252-19DD-412E-B414-B8E1587FEE91}"/>
    <cellStyle name="Normal 2 4 2 4 3" xfId="292" xr:uid="{00000000-0005-0000-0000-00005F0F0000}"/>
    <cellStyle name="Normal 2 4 2 4 3 10" xfId="25798" xr:uid="{2E30F81D-1D90-448A-A923-44272562AC42}"/>
    <cellStyle name="Normal 2 4 2 4 3 2" xfId="783" xr:uid="{00000000-0005-0000-0000-0000600F0000}"/>
    <cellStyle name="Normal 2 4 2 4 3 2 2" xfId="3022" xr:uid="{00000000-0005-0000-0000-0000610F0000}"/>
    <cellStyle name="Normal 2 4 2 4 3 2 2 2" xfId="7244" xr:uid="{00000000-0005-0000-0000-0000620F0000}"/>
    <cellStyle name="Normal 2 4 2 4 3 2 2 2 2" xfId="15694" xr:uid="{2467AC93-BCD5-4E5D-9BE2-90A60EA0F614}"/>
    <cellStyle name="Normal 2 4 2 4 3 2 2 2 3" xfId="24134" xr:uid="{3435B013-6FED-424A-831B-B526E20479A1}"/>
    <cellStyle name="Normal 2 4 2 4 3 2 2 2 4" xfId="32574" xr:uid="{20306AB7-A2D5-4C1C-8AC6-391AE51E4AC6}"/>
    <cellStyle name="Normal 2 4 2 4 3 2 2 3" xfId="11476" xr:uid="{6180A2DF-1F53-4F0F-93F7-EA2122DA48A1}"/>
    <cellStyle name="Normal 2 4 2 4 3 2 2 4" xfId="19917" xr:uid="{F956A9CB-9F40-433C-B8EE-89720C6C1353}"/>
    <cellStyle name="Normal 2 4 2 4 3 2 2 5" xfId="28357" xr:uid="{C159C423-1244-47F1-A6B3-D0BD8128E3A1}"/>
    <cellStyle name="Normal 2 4 2 4 3 2 3" xfId="5099" xr:uid="{00000000-0005-0000-0000-0000630F0000}"/>
    <cellStyle name="Normal 2 4 2 4 3 2 3 2" xfId="13549" xr:uid="{5EDEDDE0-9212-4556-9229-5E1E204D7CEB}"/>
    <cellStyle name="Normal 2 4 2 4 3 2 3 3" xfId="21989" xr:uid="{F69032A7-9669-4C3A-BA27-ACBAF28882BF}"/>
    <cellStyle name="Normal 2 4 2 4 3 2 3 4" xfId="30429" xr:uid="{1E45A881-EA7A-4770-9C4E-02832995DEC6}"/>
    <cellStyle name="Normal 2 4 2 4 3 2 4" xfId="9331" xr:uid="{0728400F-C827-4FD6-8D28-AAE417739E9D}"/>
    <cellStyle name="Normal 2 4 2 4 3 2 5" xfId="17772" xr:uid="{85FBB964-81A7-4767-8F19-E24B7E104729}"/>
    <cellStyle name="Normal 2 4 2 4 3 2 6" xfId="26212" xr:uid="{483C3877-B150-4039-9E37-CD52841B0CC7}"/>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2 2 2" xfId="16107" xr:uid="{6848651E-2A46-43B1-98C4-4123FAB55361}"/>
    <cellStyle name="Normal 2 4 2 4 3 3 2 2 3" xfId="24547" xr:uid="{3D386918-F386-433E-93D1-2A6862919F25}"/>
    <cellStyle name="Normal 2 4 2 4 3 3 2 2 4" xfId="32987" xr:uid="{49F784AB-EB0D-4E74-9953-3FE77CADF497}"/>
    <cellStyle name="Normal 2 4 2 4 3 3 2 3" xfId="11889" xr:uid="{B74596D6-9890-43A4-91E5-6B99EF92C82C}"/>
    <cellStyle name="Normal 2 4 2 4 3 3 2 4" xfId="20330" xr:uid="{5E63348E-AD36-4502-9776-77223EB560CA}"/>
    <cellStyle name="Normal 2 4 2 4 3 3 2 5" xfId="28770" xr:uid="{B0DF5316-9768-4C7F-A168-77612961B495}"/>
    <cellStyle name="Normal 2 4 2 4 3 3 3" xfId="5512" xr:uid="{00000000-0005-0000-0000-0000670F0000}"/>
    <cellStyle name="Normal 2 4 2 4 3 3 3 2" xfId="13962" xr:uid="{0537504D-5B6C-48E3-BC1C-A2749848D720}"/>
    <cellStyle name="Normal 2 4 2 4 3 3 3 3" xfId="22402" xr:uid="{106D5262-10C9-4B02-A4B6-0C7975F61E0E}"/>
    <cellStyle name="Normal 2 4 2 4 3 3 3 4" xfId="30842" xr:uid="{BF1BC03B-F15C-4330-911A-1BC335161667}"/>
    <cellStyle name="Normal 2 4 2 4 3 3 4" xfId="9744" xr:uid="{61E0D2D0-A3CA-43E9-BA9A-E4332C811A1A}"/>
    <cellStyle name="Normal 2 4 2 4 3 3 5" xfId="18185" xr:uid="{9215AB28-CC4E-4D0E-A91C-8A5E5D53C7C9}"/>
    <cellStyle name="Normal 2 4 2 4 3 3 6" xfId="26625" xr:uid="{E3AE76E3-71D6-4C7B-9E26-154962447E55}"/>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2 2 2" xfId="16520" xr:uid="{FA37D19A-3D14-49E8-98D4-223588EF270D}"/>
    <cellStyle name="Normal 2 4 2 4 3 4 2 2 3" xfId="24960" xr:uid="{73129FC8-014C-4884-B0B1-EEEB3FA0F7AA}"/>
    <cellStyle name="Normal 2 4 2 4 3 4 2 2 4" xfId="33400" xr:uid="{9D1E560D-3EFD-4E60-A299-538CCA8ED41D}"/>
    <cellStyle name="Normal 2 4 2 4 3 4 2 3" xfId="12302" xr:uid="{6CBB7075-1F5C-4FF4-8ADC-341D1729A659}"/>
    <cellStyle name="Normal 2 4 2 4 3 4 2 4" xfId="20743" xr:uid="{3CB1C5AA-B95F-470E-A89B-21E643E2029E}"/>
    <cellStyle name="Normal 2 4 2 4 3 4 2 5" xfId="29183" xr:uid="{75726A5D-9F33-4C77-942A-7A6837EF8FD9}"/>
    <cellStyle name="Normal 2 4 2 4 3 4 3" xfId="5925" xr:uid="{00000000-0005-0000-0000-00006B0F0000}"/>
    <cellStyle name="Normal 2 4 2 4 3 4 3 2" xfId="14375" xr:uid="{16D6980D-11AC-4860-9BBD-3E9A52991F79}"/>
    <cellStyle name="Normal 2 4 2 4 3 4 3 3" xfId="22815" xr:uid="{FC29669E-6262-455A-AF6D-83AA7E54BD06}"/>
    <cellStyle name="Normal 2 4 2 4 3 4 3 4" xfId="31255" xr:uid="{CFC363F3-CE7F-44B4-8242-57767FAA56B8}"/>
    <cellStyle name="Normal 2 4 2 4 3 4 4" xfId="10157" xr:uid="{138ED34D-493C-4700-9EE4-66F99BCECD1F}"/>
    <cellStyle name="Normal 2 4 2 4 3 4 5" xfId="18598" xr:uid="{2747FA2A-1F2E-4C29-98E2-DDA3F97CA011}"/>
    <cellStyle name="Normal 2 4 2 4 3 4 6" xfId="27038" xr:uid="{9326C09D-7AA8-4E89-BB44-9008C38E9E3B}"/>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2 2 2" xfId="16933" xr:uid="{14DC6341-BAA9-49D6-879E-42671B07A6C0}"/>
    <cellStyle name="Normal 2 4 2 4 3 5 2 2 3" xfId="25373" xr:uid="{97688CFF-7A28-4030-985A-5A99380EFA67}"/>
    <cellStyle name="Normal 2 4 2 4 3 5 2 2 4" xfId="33813" xr:uid="{37F22437-26C3-4E30-9503-67A08DB8B615}"/>
    <cellStyle name="Normal 2 4 2 4 3 5 2 3" xfId="12715" xr:uid="{4E76CF25-C455-4814-8339-0F09AFC2F5AC}"/>
    <cellStyle name="Normal 2 4 2 4 3 5 2 4" xfId="21156" xr:uid="{02403EEF-E7C8-4FAE-B165-E6BB14252630}"/>
    <cellStyle name="Normal 2 4 2 4 3 5 2 5" xfId="29596" xr:uid="{8C57D3DA-4046-4361-8A6C-24760E9505E4}"/>
    <cellStyle name="Normal 2 4 2 4 3 5 3" xfId="6338" xr:uid="{00000000-0005-0000-0000-00006F0F0000}"/>
    <cellStyle name="Normal 2 4 2 4 3 5 3 2" xfId="14788" xr:uid="{D3CC669C-B7E8-4D1D-A031-93661D5BE200}"/>
    <cellStyle name="Normal 2 4 2 4 3 5 3 3" xfId="23228" xr:uid="{53CF6DE0-2092-41DD-8777-C5F7EEAE991C}"/>
    <cellStyle name="Normal 2 4 2 4 3 5 3 4" xfId="31668" xr:uid="{EA0A4798-8B47-48C6-8233-1CC87AB9EA93}"/>
    <cellStyle name="Normal 2 4 2 4 3 5 4" xfId="10570" xr:uid="{387A1960-E076-4975-8696-211E212053C8}"/>
    <cellStyle name="Normal 2 4 2 4 3 5 5" xfId="19011" xr:uid="{27CDF00C-4158-4A7F-9A0A-E55DFAA8DE52}"/>
    <cellStyle name="Normal 2 4 2 4 3 5 6" xfId="27451" xr:uid="{87105D89-E15F-451B-AEE8-C6AA5BE21119}"/>
    <cellStyle name="Normal 2 4 2 4 3 6" xfId="2468" xr:uid="{00000000-0005-0000-0000-0000700F0000}"/>
    <cellStyle name="Normal 2 4 2 4 3 6 2" xfId="6751" xr:uid="{00000000-0005-0000-0000-0000710F0000}"/>
    <cellStyle name="Normal 2 4 2 4 3 6 2 2" xfId="15201" xr:uid="{6C880476-BE9E-4CC8-8FDE-A2CBDFA22C6A}"/>
    <cellStyle name="Normal 2 4 2 4 3 6 2 3" xfId="23641" xr:uid="{81D88AA5-8B6C-4889-AA19-5D5D8CFF4C9F}"/>
    <cellStyle name="Normal 2 4 2 4 3 6 2 4" xfId="32081" xr:uid="{00CE09EC-17E7-442E-A1AF-BD311B8F9A2C}"/>
    <cellStyle name="Normal 2 4 2 4 3 6 3" xfId="10983" xr:uid="{919F84CF-EF73-4E39-BFD5-124465AA42C2}"/>
    <cellStyle name="Normal 2 4 2 4 3 6 4" xfId="19424" xr:uid="{6D65AA50-E5F3-4F4D-BF46-902F96C11102}"/>
    <cellStyle name="Normal 2 4 2 4 3 6 5" xfId="27864" xr:uid="{1817FA29-CB6D-45DB-8338-DB1A82D2F29F}"/>
    <cellStyle name="Normal 2 4 2 4 3 7" xfId="4685" xr:uid="{00000000-0005-0000-0000-0000720F0000}"/>
    <cellStyle name="Normal 2 4 2 4 3 7 2" xfId="13135" xr:uid="{88370F36-F642-4CB8-8F43-B9D8249F6142}"/>
    <cellStyle name="Normal 2 4 2 4 3 7 3" xfId="21575" xr:uid="{09AD3C71-EDAC-43AD-BFED-8A00944D312D}"/>
    <cellStyle name="Normal 2 4 2 4 3 7 4" xfId="30015" xr:uid="{80DA91EF-AF08-489E-B775-5328972E8E13}"/>
    <cellStyle name="Normal 2 4 2 4 3 8" xfId="8917" xr:uid="{68DEA658-4A20-4084-8A48-75D8D5329DFD}"/>
    <cellStyle name="Normal 2 4 2 4 3 9" xfId="17358" xr:uid="{C4656FB2-52EE-445D-A551-9586F733B14F}"/>
    <cellStyle name="Normal 2 4 2 4 4" xfId="780" xr:uid="{00000000-0005-0000-0000-0000730F0000}"/>
    <cellStyle name="Normal 2 4 2 4 4 2" xfId="3019" xr:uid="{00000000-0005-0000-0000-0000740F0000}"/>
    <cellStyle name="Normal 2 4 2 4 4 2 2" xfId="7241" xr:uid="{00000000-0005-0000-0000-0000750F0000}"/>
    <cellStyle name="Normal 2 4 2 4 4 2 2 2" xfId="15691" xr:uid="{1330AE61-8871-43E8-AC75-6AFCD3480A9F}"/>
    <cellStyle name="Normal 2 4 2 4 4 2 2 3" xfId="24131" xr:uid="{8B124645-2583-4C7B-94CE-D3BCB9DA55C7}"/>
    <cellStyle name="Normal 2 4 2 4 4 2 2 4" xfId="32571" xr:uid="{B7CCCF85-4396-46A8-B15F-F39F99E3F35A}"/>
    <cellStyle name="Normal 2 4 2 4 4 2 3" xfId="11473" xr:uid="{80752C7C-EA66-4FDA-B398-98A5441592C6}"/>
    <cellStyle name="Normal 2 4 2 4 4 2 4" xfId="19914" xr:uid="{2B56842D-A10A-423B-91F5-CBC464FCD64F}"/>
    <cellStyle name="Normal 2 4 2 4 4 2 5" xfId="28354" xr:uid="{B6B3D7B8-B81B-4E74-8DED-DF975C4A278D}"/>
    <cellStyle name="Normal 2 4 2 4 4 3" xfId="5096" xr:uid="{00000000-0005-0000-0000-0000760F0000}"/>
    <cellStyle name="Normal 2 4 2 4 4 3 2" xfId="13546" xr:uid="{C2644BA6-1FCE-4045-BA97-D3FD60149CDD}"/>
    <cellStyle name="Normal 2 4 2 4 4 3 3" xfId="21986" xr:uid="{BE9A7CCD-F8C6-4718-83F1-962A47B0B79A}"/>
    <cellStyle name="Normal 2 4 2 4 4 3 4" xfId="30426" xr:uid="{1351A11A-03D7-4BA6-BA4C-DB899B924B15}"/>
    <cellStyle name="Normal 2 4 2 4 4 4" xfId="9328" xr:uid="{004F33B4-59FA-449D-AF24-4DC5CD200B6C}"/>
    <cellStyle name="Normal 2 4 2 4 4 5" xfId="17769" xr:uid="{26551992-F8F3-46AE-B41D-D1925F221B4F}"/>
    <cellStyle name="Normal 2 4 2 4 4 6" xfId="26209" xr:uid="{D49F889F-0A23-4CB9-9B98-4DE8A1FC7221}"/>
    <cellStyle name="Normal 2 4 2 4 5" xfId="1202" xr:uid="{00000000-0005-0000-0000-0000770F0000}"/>
    <cellStyle name="Normal 2 4 2 4 5 2" xfId="3432" xr:uid="{00000000-0005-0000-0000-0000780F0000}"/>
    <cellStyle name="Normal 2 4 2 4 5 2 2" xfId="7654" xr:uid="{00000000-0005-0000-0000-0000790F0000}"/>
    <cellStyle name="Normal 2 4 2 4 5 2 2 2" xfId="16104" xr:uid="{EEEAA274-FD52-4CFF-8D3C-2EBAE5DBBAE7}"/>
    <cellStyle name="Normal 2 4 2 4 5 2 2 3" xfId="24544" xr:uid="{F9617BE3-2060-4392-88DF-70B5727BBDEA}"/>
    <cellStyle name="Normal 2 4 2 4 5 2 2 4" xfId="32984" xr:uid="{B1C3391E-D613-4905-82FF-B832CDB1B438}"/>
    <cellStyle name="Normal 2 4 2 4 5 2 3" xfId="11886" xr:uid="{02131829-A51B-4B8E-BAF9-13F0BBC9A8CE}"/>
    <cellStyle name="Normal 2 4 2 4 5 2 4" xfId="20327" xr:uid="{B3361AF1-39F7-4FDD-8C67-6036C6A24556}"/>
    <cellStyle name="Normal 2 4 2 4 5 2 5" xfId="28767" xr:uid="{7CF59CDF-B9C4-4D03-953D-F184756A6F2A}"/>
    <cellStyle name="Normal 2 4 2 4 5 3" xfId="5509" xr:uid="{00000000-0005-0000-0000-00007A0F0000}"/>
    <cellStyle name="Normal 2 4 2 4 5 3 2" xfId="13959" xr:uid="{7F914D23-3490-4C11-94B5-A5E780B43357}"/>
    <cellStyle name="Normal 2 4 2 4 5 3 3" xfId="22399" xr:uid="{019FBBFD-49FC-41F7-A85C-87800E0D2845}"/>
    <cellStyle name="Normal 2 4 2 4 5 3 4" xfId="30839" xr:uid="{7D83F2E1-8BFB-4066-89FD-F6A874880E17}"/>
    <cellStyle name="Normal 2 4 2 4 5 4" xfId="9741" xr:uid="{291C7FA5-F694-4441-B217-3180ABD34A3A}"/>
    <cellStyle name="Normal 2 4 2 4 5 5" xfId="18182" xr:uid="{59EB0001-1A26-4227-9F66-499F97E96E99}"/>
    <cellStyle name="Normal 2 4 2 4 5 6" xfId="26622" xr:uid="{C1B7F481-419A-4079-B42E-40C5C202CEBB}"/>
    <cellStyle name="Normal 2 4 2 4 6" xfId="1615" xr:uid="{00000000-0005-0000-0000-00007B0F0000}"/>
    <cellStyle name="Normal 2 4 2 4 6 2" xfId="3845" xr:uid="{00000000-0005-0000-0000-00007C0F0000}"/>
    <cellStyle name="Normal 2 4 2 4 6 2 2" xfId="8067" xr:uid="{00000000-0005-0000-0000-00007D0F0000}"/>
    <cellStyle name="Normal 2 4 2 4 6 2 2 2" xfId="16517" xr:uid="{D7109EFD-3D2C-45BC-8C7D-AB45EF81FC2B}"/>
    <cellStyle name="Normal 2 4 2 4 6 2 2 3" xfId="24957" xr:uid="{E7BC75AA-B36E-4F7C-9DDF-BF554E1A00F4}"/>
    <cellStyle name="Normal 2 4 2 4 6 2 2 4" xfId="33397" xr:uid="{10E8887E-1C05-459D-B035-861733E05FCC}"/>
    <cellStyle name="Normal 2 4 2 4 6 2 3" xfId="12299" xr:uid="{4A2D82B4-A6A1-4696-A36C-2D7DF14EBDE4}"/>
    <cellStyle name="Normal 2 4 2 4 6 2 4" xfId="20740" xr:uid="{92C6F6E7-9C47-4415-BCB9-C73962ED9878}"/>
    <cellStyle name="Normal 2 4 2 4 6 2 5" xfId="29180" xr:uid="{72BFDADB-89BB-4D02-AE9D-04C0EEC0EACC}"/>
    <cellStyle name="Normal 2 4 2 4 6 3" xfId="5922" xr:uid="{00000000-0005-0000-0000-00007E0F0000}"/>
    <cellStyle name="Normal 2 4 2 4 6 3 2" xfId="14372" xr:uid="{4D951A1D-E1F4-4046-8670-C78D7E831EB5}"/>
    <cellStyle name="Normal 2 4 2 4 6 3 3" xfId="22812" xr:uid="{675763D5-1218-4B9D-9BCA-F04B4945F38A}"/>
    <cellStyle name="Normal 2 4 2 4 6 3 4" xfId="31252" xr:uid="{E9843BA3-B6EF-45C4-BB4E-BAF466A7C5CD}"/>
    <cellStyle name="Normal 2 4 2 4 6 4" xfId="10154" xr:uid="{0B73A864-0363-4406-99A1-9FD1222CE1C0}"/>
    <cellStyle name="Normal 2 4 2 4 6 5" xfId="18595" xr:uid="{EE517FF5-4715-443E-8F01-C1C9804FB4AB}"/>
    <cellStyle name="Normal 2 4 2 4 6 6" xfId="27035" xr:uid="{885F2122-6970-45F7-AAC6-50BE8B58B6DC}"/>
    <cellStyle name="Normal 2 4 2 4 7" xfId="2029" xr:uid="{00000000-0005-0000-0000-00007F0F0000}"/>
    <cellStyle name="Normal 2 4 2 4 7 2" xfId="4258" xr:uid="{00000000-0005-0000-0000-0000800F0000}"/>
    <cellStyle name="Normal 2 4 2 4 7 2 2" xfId="8480" xr:uid="{00000000-0005-0000-0000-0000810F0000}"/>
    <cellStyle name="Normal 2 4 2 4 7 2 2 2" xfId="16930" xr:uid="{B78037D1-F71B-44B7-8BBB-937A36A37FEB}"/>
    <cellStyle name="Normal 2 4 2 4 7 2 2 3" xfId="25370" xr:uid="{196973CC-B0A0-4EA6-9AEE-5C35B105CBF9}"/>
    <cellStyle name="Normal 2 4 2 4 7 2 2 4" xfId="33810" xr:uid="{1874ABBC-D7F6-4468-96B2-CEB58D8C27F3}"/>
    <cellStyle name="Normal 2 4 2 4 7 2 3" xfId="12712" xr:uid="{3F3A6DE9-FF8E-4F0A-B0E2-C6924198F5CC}"/>
    <cellStyle name="Normal 2 4 2 4 7 2 4" xfId="21153" xr:uid="{FFE4C6F8-CE3E-439A-899A-A0083B7EA0AC}"/>
    <cellStyle name="Normal 2 4 2 4 7 2 5" xfId="29593" xr:uid="{69496BD4-5659-4257-857D-8455E2C9E3B2}"/>
    <cellStyle name="Normal 2 4 2 4 7 3" xfId="6335" xr:uid="{00000000-0005-0000-0000-0000820F0000}"/>
    <cellStyle name="Normal 2 4 2 4 7 3 2" xfId="14785" xr:uid="{133A6CF5-E06A-4808-9566-74806A833666}"/>
    <cellStyle name="Normal 2 4 2 4 7 3 3" xfId="23225" xr:uid="{241A65F0-04E6-46FD-9B05-3E57FDFE169E}"/>
    <cellStyle name="Normal 2 4 2 4 7 3 4" xfId="31665" xr:uid="{EC0059B2-6CC8-43B9-8C59-ACDDAADB14C9}"/>
    <cellStyle name="Normal 2 4 2 4 7 4" xfId="10567" xr:uid="{56A41038-99A6-44AC-8B2A-B523102CFE56}"/>
    <cellStyle name="Normal 2 4 2 4 7 5" xfId="19008" xr:uid="{A1A6B41C-A0E1-4708-9F65-5BD90B52EACC}"/>
    <cellStyle name="Normal 2 4 2 4 7 6" xfId="27448" xr:uid="{F129B0E5-97B3-45D0-8A43-63292271501C}"/>
    <cellStyle name="Normal 2 4 2 4 8" xfId="2465" xr:uid="{00000000-0005-0000-0000-0000830F0000}"/>
    <cellStyle name="Normal 2 4 2 4 8 2" xfId="6748" xr:uid="{00000000-0005-0000-0000-0000840F0000}"/>
    <cellStyle name="Normal 2 4 2 4 8 2 2" xfId="15198" xr:uid="{F5F32B65-6DB3-457D-9432-6E2EE4CE1633}"/>
    <cellStyle name="Normal 2 4 2 4 8 2 3" xfId="23638" xr:uid="{EE300BFE-7B35-4B27-B830-9A333D99D02F}"/>
    <cellStyle name="Normal 2 4 2 4 8 2 4" xfId="32078" xr:uid="{B369A0E7-2FE2-425A-9B36-00EF3FEE41C6}"/>
    <cellStyle name="Normal 2 4 2 4 8 3" xfId="10980" xr:uid="{DBF2EAA1-637D-413F-B6CA-5230772566B0}"/>
    <cellStyle name="Normal 2 4 2 4 8 4" xfId="19421" xr:uid="{2AC14E8F-01D2-4BCC-8DF5-7A7E3FF7ABCC}"/>
    <cellStyle name="Normal 2 4 2 4 8 5" xfId="27861" xr:uid="{03793D47-E314-4024-9BBC-27B2F2C102A0}"/>
    <cellStyle name="Normal 2 4 2 4 9" xfId="4682" xr:uid="{00000000-0005-0000-0000-0000850F0000}"/>
    <cellStyle name="Normal 2 4 2 4 9 2" xfId="13132" xr:uid="{8B02E12F-A1CB-4EDD-B3B1-AC93942C0754}"/>
    <cellStyle name="Normal 2 4 2 4 9 3" xfId="21572" xr:uid="{942B8F93-9D02-49A4-A269-270EE90A1F6C}"/>
    <cellStyle name="Normal 2 4 2 4 9 4" xfId="30012" xr:uid="{42B788F2-31D6-4C50-89C9-0A5F35991D14}"/>
    <cellStyle name="Normal 2 4 2 5" xfId="293" xr:uid="{00000000-0005-0000-0000-0000860F0000}"/>
    <cellStyle name="Normal 2 4 2 5 10" xfId="17359" xr:uid="{52207BAC-8E4A-4E0E-AD2B-4DCD66288F53}"/>
    <cellStyle name="Normal 2 4 2 5 11" xfId="25799" xr:uid="{ACCD766B-1FBC-4C41-9EEB-8180C8BE01F8}"/>
    <cellStyle name="Normal 2 4 2 5 2" xfId="294" xr:uid="{00000000-0005-0000-0000-0000870F0000}"/>
    <cellStyle name="Normal 2 4 2 5 2 10" xfId="25800" xr:uid="{832A911E-7154-434C-8BA1-9EF72706EA75}"/>
    <cellStyle name="Normal 2 4 2 5 2 2" xfId="785" xr:uid="{00000000-0005-0000-0000-0000880F0000}"/>
    <cellStyle name="Normal 2 4 2 5 2 2 2" xfId="3024" xr:uid="{00000000-0005-0000-0000-0000890F0000}"/>
    <cellStyle name="Normal 2 4 2 5 2 2 2 2" xfId="7246" xr:uid="{00000000-0005-0000-0000-00008A0F0000}"/>
    <cellStyle name="Normal 2 4 2 5 2 2 2 2 2" xfId="15696" xr:uid="{732D1C00-DB8B-49C3-9DD0-4968917953D5}"/>
    <cellStyle name="Normal 2 4 2 5 2 2 2 2 3" xfId="24136" xr:uid="{96870FFA-52D4-45AD-BF1D-F86102CA947F}"/>
    <cellStyle name="Normal 2 4 2 5 2 2 2 2 4" xfId="32576" xr:uid="{63F67E05-434D-4313-9C79-7FC27D38FC03}"/>
    <cellStyle name="Normal 2 4 2 5 2 2 2 3" xfId="11478" xr:uid="{AF9D66F4-14C0-4779-8E44-CF27D63A8BAB}"/>
    <cellStyle name="Normal 2 4 2 5 2 2 2 4" xfId="19919" xr:uid="{8B51054A-DF9F-44B9-A4AA-E4A6E8CDF6BC}"/>
    <cellStyle name="Normal 2 4 2 5 2 2 2 5" xfId="28359" xr:uid="{A9691BE2-DB66-4806-AEA0-ED6353B79FFA}"/>
    <cellStyle name="Normal 2 4 2 5 2 2 3" xfId="5101" xr:uid="{00000000-0005-0000-0000-00008B0F0000}"/>
    <cellStyle name="Normal 2 4 2 5 2 2 3 2" xfId="13551" xr:uid="{EA53CE95-9C7B-4892-8543-6B1BEB00CA18}"/>
    <cellStyle name="Normal 2 4 2 5 2 2 3 3" xfId="21991" xr:uid="{F243DA78-66D5-4396-97E5-1A859D6E1E61}"/>
    <cellStyle name="Normal 2 4 2 5 2 2 3 4" xfId="30431" xr:uid="{D5C20333-9415-4729-9CEC-7C5DDF344543}"/>
    <cellStyle name="Normal 2 4 2 5 2 2 4" xfId="9333" xr:uid="{C0C6A75F-B5EF-4CF4-9AC0-4E22C9DC7DB7}"/>
    <cellStyle name="Normal 2 4 2 5 2 2 5" xfId="17774" xr:uid="{B7254790-F343-433E-A1A0-F02B8AC5CD4A}"/>
    <cellStyle name="Normal 2 4 2 5 2 2 6" xfId="26214" xr:uid="{85015383-6EF0-4A87-B135-F03AB6FDE8DE}"/>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2 2 2" xfId="16109" xr:uid="{0C8EA339-97EC-40C7-8002-EBBCBF5C7E59}"/>
    <cellStyle name="Normal 2 4 2 5 2 3 2 2 3" xfId="24549" xr:uid="{D0854586-21EA-4014-A38F-48AC8A1D1046}"/>
    <cellStyle name="Normal 2 4 2 5 2 3 2 2 4" xfId="32989" xr:uid="{0B9781C9-6CE0-44D9-8E3D-0E7AA0F48EC4}"/>
    <cellStyle name="Normal 2 4 2 5 2 3 2 3" xfId="11891" xr:uid="{29238ACA-CC96-47B0-B907-4B5929DCEDFF}"/>
    <cellStyle name="Normal 2 4 2 5 2 3 2 4" xfId="20332" xr:uid="{754F7108-2DEB-45BD-94B4-2450D5512D19}"/>
    <cellStyle name="Normal 2 4 2 5 2 3 2 5" xfId="28772" xr:uid="{B90A3F7A-85E5-49A8-93B7-ED74B39EA1C9}"/>
    <cellStyle name="Normal 2 4 2 5 2 3 3" xfId="5514" xr:uid="{00000000-0005-0000-0000-00008F0F0000}"/>
    <cellStyle name="Normal 2 4 2 5 2 3 3 2" xfId="13964" xr:uid="{9DDD707E-D425-4118-9B22-75A1AB570918}"/>
    <cellStyle name="Normal 2 4 2 5 2 3 3 3" xfId="22404" xr:uid="{C77C7675-0304-4DB8-B55F-78D2C74F9DF6}"/>
    <cellStyle name="Normal 2 4 2 5 2 3 3 4" xfId="30844" xr:uid="{E27915E0-9104-4478-8DC7-380457025FAB}"/>
    <cellStyle name="Normal 2 4 2 5 2 3 4" xfId="9746" xr:uid="{57693FBD-E77E-4BBA-88DD-1CFB3F9DAAE9}"/>
    <cellStyle name="Normal 2 4 2 5 2 3 5" xfId="18187" xr:uid="{006E1961-E186-4050-86FC-D0ABCDC3BD9C}"/>
    <cellStyle name="Normal 2 4 2 5 2 3 6" xfId="26627" xr:uid="{24F8321A-DE31-4839-8763-896BFDC5C497}"/>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2 2 2" xfId="16522" xr:uid="{6360A52C-4AD7-4CE0-9D94-23E92C6FA3B1}"/>
    <cellStyle name="Normal 2 4 2 5 2 4 2 2 3" xfId="24962" xr:uid="{33671CC8-D073-4F32-897A-1352372621B4}"/>
    <cellStyle name="Normal 2 4 2 5 2 4 2 2 4" xfId="33402" xr:uid="{2986AC9B-D12E-4978-93C6-C8AAB0057A40}"/>
    <cellStyle name="Normal 2 4 2 5 2 4 2 3" xfId="12304" xr:uid="{01C1118A-5FA9-414A-A32E-9D8713845578}"/>
    <cellStyle name="Normal 2 4 2 5 2 4 2 4" xfId="20745" xr:uid="{12F3B1CC-DD11-4ABE-88DA-DE0749574557}"/>
    <cellStyle name="Normal 2 4 2 5 2 4 2 5" xfId="29185" xr:uid="{DC8BA992-30D7-4C52-B16F-09208B0505CC}"/>
    <cellStyle name="Normal 2 4 2 5 2 4 3" xfId="5927" xr:uid="{00000000-0005-0000-0000-0000930F0000}"/>
    <cellStyle name="Normal 2 4 2 5 2 4 3 2" xfId="14377" xr:uid="{A76A324B-5312-4EFB-A1A7-7A52BA3724F1}"/>
    <cellStyle name="Normal 2 4 2 5 2 4 3 3" xfId="22817" xr:uid="{47BBE40F-03CC-4A7D-887F-B5908511DB2C}"/>
    <cellStyle name="Normal 2 4 2 5 2 4 3 4" xfId="31257" xr:uid="{80EA0C97-C7BB-4F9D-809B-5048296361DB}"/>
    <cellStyle name="Normal 2 4 2 5 2 4 4" xfId="10159" xr:uid="{1838A409-10A6-41EC-9E4A-DEFF8F385434}"/>
    <cellStyle name="Normal 2 4 2 5 2 4 5" xfId="18600" xr:uid="{161FF1D1-E660-4CF9-BD99-2976AA83D14B}"/>
    <cellStyle name="Normal 2 4 2 5 2 4 6" xfId="27040" xr:uid="{D4123599-692A-49C5-87A3-257CB9F291EB}"/>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2 2 2" xfId="16935" xr:uid="{4FE44282-987E-486B-98E3-A7A3FC3012F8}"/>
    <cellStyle name="Normal 2 4 2 5 2 5 2 2 3" xfId="25375" xr:uid="{9893F182-519A-4106-8E68-D827DE87D03C}"/>
    <cellStyle name="Normal 2 4 2 5 2 5 2 2 4" xfId="33815" xr:uid="{6B0F8DE6-F726-431D-9965-9E6B3306FD7D}"/>
    <cellStyle name="Normal 2 4 2 5 2 5 2 3" xfId="12717" xr:uid="{3BDBE7B0-D567-4037-AA4A-0139A43CB8AE}"/>
    <cellStyle name="Normal 2 4 2 5 2 5 2 4" xfId="21158" xr:uid="{E52B7468-D448-4745-9189-B6BE927E3826}"/>
    <cellStyle name="Normal 2 4 2 5 2 5 2 5" xfId="29598" xr:uid="{433D7F7D-3A1C-428E-AEB6-94A8D304BE21}"/>
    <cellStyle name="Normal 2 4 2 5 2 5 3" xfId="6340" xr:uid="{00000000-0005-0000-0000-0000970F0000}"/>
    <cellStyle name="Normal 2 4 2 5 2 5 3 2" xfId="14790" xr:uid="{AF9BB108-3022-431C-9E21-4ED059BFD4E8}"/>
    <cellStyle name="Normal 2 4 2 5 2 5 3 3" xfId="23230" xr:uid="{6E965981-A4EA-4617-9648-E80E8B099C09}"/>
    <cellStyle name="Normal 2 4 2 5 2 5 3 4" xfId="31670" xr:uid="{694DB967-7ABB-4C66-BF68-BCB2A3361251}"/>
    <cellStyle name="Normal 2 4 2 5 2 5 4" xfId="10572" xr:uid="{030EC8F4-5D18-42FF-85FB-BAFC4E61D7CB}"/>
    <cellStyle name="Normal 2 4 2 5 2 5 5" xfId="19013" xr:uid="{8D975436-2E78-4A6E-88E9-1E607AA75451}"/>
    <cellStyle name="Normal 2 4 2 5 2 5 6" xfId="27453" xr:uid="{43ABD6F7-FF8C-4394-BEF9-92F3BDC66688}"/>
    <cellStyle name="Normal 2 4 2 5 2 6" xfId="2470" xr:uid="{00000000-0005-0000-0000-0000980F0000}"/>
    <cellStyle name="Normal 2 4 2 5 2 6 2" xfId="6753" xr:uid="{00000000-0005-0000-0000-0000990F0000}"/>
    <cellStyle name="Normal 2 4 2 5 2 6 2 2" xfId="15203" xr:uid="{C92C653A-4E9C-4CEC-A6AE-298B35C80F8D}"/>
    <cellStyle name="Normal 2 4 2 5 2 6 2 3" xfId="23643" xr:uid="{BA0DB865-636B-4C2C-940C-94C4263EB813}"/>
    <cellStyle name="Normal 2 4 2 5 2 6 2 4" xfId="32083" xr:uid="{D2296756-DB69-4621-822A-BBAD9D176CCF}"/>
    <cellStyle name="Normal 2 4 2 5 2 6 3" xfId="10985" xr:uid="{21933E19-FF8F-4A82-ABDD-7FD0C941E802}"/>
    <cellStyle name="Normal 2 4 2 5 2 6 4" xfId="19426" xr:uid="{8775133C-2E07-4956-849B-BAB132B96FDC}"/>
    <cellStyle name="Normal 2 4 2 5 2 6 5" xfId="27866" xr:uid="{796124B0-FE30-404F-9562-CDF362A798A0}"/>
    <cellStyle name="Normal 2 4 2 5 2 7" xfId="4687" xr:uid="{00000000-0005-0000-0000-00009A0F0000}"/>
    <cellStyle name="Normal 2 4 2 5 2 7 2" xfId="13137" xr:uid="{008A7FCD-67F0-4B4A-B05E-97913D4473D9}"/>
    <cellStyle name="Normal 2 4 2 5 2 7 3" xfId="21577" xr:uid="{F7B11252-74DB-4F68-9689-08716A8934BA}"/>
    <cellStyle name="Normal 2 4 2 5 2 7 4" xfId="30017" xr:uid="{6D3CB4E2-28E5-4830-9AD7-94A114F09BE1}"/>
    <cellStyle name="Normal 2 4 2 5 2 8" xfId="8919" xr:uid="{2172B716-F034-4CB2-AC53-24CF8C88AA03}"/>
    <cellStyle name="Normal 2 4 2 5 2 9" xfId="17360" xr:uid="{155E4781-C361-4BA6-81B3-B0D2EE350F9D}"/>
    <cellStyle name="Normal 2 4 2 5 3" xfId="784" xr:uid="{00000000-0005-0000-0000-00009B0F0000}"/>
    <cellStyle name="Normal 2 4 2 5 3 2" xfId="3023" xr:uid="{00000000-0005-0000-0000-00009C0F0000}"/>
    <cellStyle name="Normal 2 4 2 5 3 2 2" xfId="7245" xr:uid="{00000000-0005-0000-0000-00009D0F0000}"/>
    <cellStyle name="Normal 2 4 2 5 3 2 2 2" xfId="15695" xr:uid="{8F9F1997-F51F-4898-ADE8-15D285E77401}"/>
    <cellStyle name="Normal 2 4 2 5 3 2 2 3" xfId="24135" xr:uid="{956E7994-6449-4ABF-B183-E2E2D528D632}"/>
    <cellStyle name="Normal 2 4 2 5 3 2 2 4" xfId="32575" xr:uid="{550A1FC3-8F25-4956-83B8-6CE955D9F932}"/>
    <cellStyle name="Normal 2 4 2 5 3 2 3" xfId="11477" xr:uid="{4D9CC109-BECB-437E-A70A-48B0514E676E}"/>
    <cellStyle name="Normal 2 4 2 5 3 2 4" xfId="19918" xr:uid="{27E273FF-ADE5-4B3A-B628-B7574FD5F476}"/>
    <cellStyle name="Normal 2 4 2 5 3 2 5" xfId="28358" xr:uid="{1B2FD3EE-A86F-411F-AC51-CF99DB10CFD3}"/>
    <cellStyle name="Normal 2 4 2 5 3 3" xfId="5100" xr:uid="{00000000-0005-0000-0000-00009E0F0000}"/>
    <cellStyle name="Normal 2 4 2 5 3 3 2" xfId="13550" xr:uid="{D6699F20-69D4-4F5A-8E8F-2AA0AB90E810}"/>
    <cellStyle name="Normal 2 4 2 5 3 3 3" xfId="21990" xr:uid="{51C43BED-3E4A-4A24-9B95-165FF073F7E6}"/>
    <cellStyle name="Normal 2 4 2 5 3 3 4" xfId="30430" xr:uid="{A64FF9EB-DBE7-49CC-8FF9-E17B9A865708}"/>
    <cellStyle name="Normal 2 4 2 5 3 4" xfId="9332" xr:uid="{85AAC7C3-9E62-432A-AC32-AF04D1EC7CEA}"/>
    <cellStyle name="Normal 2 4 2 5 3 5" xfId="17773" xr:uid="{F4CDDB69-90DA-4039-882C-6B7AD7C7157B}"/>
    <cellStyle name="Normal 2 4 2 5 3 6" xfId="26213" xr:uid="{662C6D68-F5F6-42CC-B56A-DFA4D412FDB1}"/>
    <cellStyle name="Normal 2 4 2 5 4" xfId="1206" xr:uid="{00000000-0005-0000-0000-00009F0F0000}"/>
    <cellStyle name="Normal 2 4 2 5 4 2" xfId="3436" xr:uid="{00000000-0005-0000-0000-0000A00F0000}"/>
    <cellStyle name="Normal 2 4 2 5 4 2 2" xfId="7658" xr:uid="{00000000-0005-0000-0000-0000A10F0000}"/>
    <cellStyle name="Normal 2 4 2 5 4 2 2 2" xfId="16108" xr:uid="{88712D51-35BE-42DC-91C8-07CF247C877A}"/>
    <cellStyle name="Normal 2 4 2 5 4 2 2 3" xfId="24548" xr:uid="{1108F462-17DD-4E36-8BFE-2C523EEFCD7B}"/>
    <cellStyle name="Normal 2 4 2 5 4 2 2 4" xfId="32988" xr:uid="{B5C8E787-899E-4A30-9F43-FA924210E6E0}"/>
    <cellStyle name="Normal 2 4 2 5 4 2 3" xfId="11890" xr:uid="{3C278785-910A-461B-80E4-8CD169591142}"/>
    <cellStyle name="Normal 2 4 2 5 4 2 4" xfId="20331" xr:uid="{62748262-1538-40B1-BED4-BDF4C267AA1F}"/>
    <cellStyle name="Normal 2 4 2 5 4 2 5" xfId="28771" xr:uid="{73635E5A-7B71-47F6-BB82-4EDDF3571C73}"/>
    <cellStyle name="Normal 2 4 2 5 4 3" xfId="5513" xr:uid="{00000000-0005-0000-0000-0000A20F0000}"/>
    <cellStyle name="Normal 2 4 2 5 4 3 2" xfId="13963" xr:uid="{14A72E79-DFCA-4C95-94B7-597138297145}"/>
    <cellStyle name="Normal 2 4 2 5 4 3 3" xfId="22403" xr:uid="{9CAC610E-43FA-402E-8E0A-E38699D3FE51}"/>
    <cellStyle name="Normal 2 4 2 5 4 3 4" xfId="30843" xr:uid="{EE9710AE-7800-4B1C-AD09-E02EFC0AA88D}"/>
    <cellStyle name="Normal 2 4 2 5 4 4" xfId="9745" xr:uid="{F557695D-EFF1-4A5C-88B4-34980F3E01D1}"/>
    <cellStyle name="Normal 2 4 2 5 4 5" xfId="18186" xr:uid="{13C0147A-7E55-422F-9026-B98C2D7E9A8A}"/>
    <cellStyle name="Normal 2 4 2 5 4 6" xfId="26626" xr:uid="{75E5D6F1-20A0-41F6-8C6E-3B1240DE1EEB}"/>
    <cellStyle name="Normal 2 4 2 5 5" xfId="1619" xr:uid="{00000000-0005-0000-0000-0000A30F0000}"/>
    <cellStyle name="Normal 2 4 2 5 5 2" xfId="3849" xr:uid="{00000000-0005-0000-0000-0000A40F0000}"/>
    <cellStyle name="Normal 2 4 2 5 5 2 2" xfId="8071" xr:uid="{00000000-0005-0000-0000-0000A50F0000}"/>
    <cellStyle name="Normal 2 4 2 5 5 2 2 2" xfId="16521" xr:uid="{1E66C7BE-B466-40FA-A0CA-6C574F5C29B2}"/>
    <cellStyle name="Normal 2 4 2 5 5 2 2 3" xfId="24961" xr:uid="{F08E1581-7219-4A28-A14D-298F715CA354}"/>
    <cellStyle name="Normal 2 4 2 5 5 2 2 4" xfId="33401" xr:uid="{BC59E660-1BF3-45C5-A1FE-10427D3CD15A}"/>
    <cellStyle name="Normal 2 4 2 5 5 2 3" xfId="12303" xr:uid="{EFFE538E-EE3F-4F69-B0DC-FDF2861AD792}"/>
    <cellStyle name="Normal 2 4 2 5 5 2 4" xfId="20744" xr:uid="{0E02C312-8783-406C-BA87-D1803F3A3910}"/>
    <cellStyle name="Normal 2 4 2 5 5 2 5" xfId="29184" xr:uid="{03649270-BE8F-4BA1-8E70-4F1897C966B2}"/>
    <cellStyle name="Normal 2 4 2 5 5 3" xfId="5926" xr:uid="{00000000-0005-0000-0000-0000A60F0000}"/>
    <cellStyle name="Normal 2 4 2 5 5 3 2" xfId="14376" xr:uid="{FAFA46E6-11B6-437C-945F-7A26BFE60C9E}"/>
    <cellStyle name="Normal 2 4 2 5 5 3 3" xfId="22816" xr:uid="{D1715060-41DF-4E71-A66E-D2C67CC36890}"/>
    <cellStyle name="Normal 2 4 2 5 5 3 4" xfId="31256" xr:uid="{1973DD34-8B68-4012-846C-A89B17A9B90D}"/>
    <cellStyle name="Normal 2 4 2 5 5 4" xfId="10158" xr:uid="{70586535-08AE-47DC-AA2E-0E1370F51ECC}"/>
    <cellStyle name="Normal 2 4 2 5 5 5" xfId="18599" xr:uid="{B717108B-FD05-4CCE-B568-2716BF3066EC}"/>
    <cellStyle name="Normal 2 4 2 5 5 6" xfId="27039" xr:uid="{F9A07866-F525-4C01-888E-D1E6B8125234}"/>
    <cellStyle name="Normal 2 4 2 5 6" xfId="2033" xr:uid="{00000000-0005-0000-0000-0000A70F0000}"/>
    <cellStyle name="Normal 2 4 2 5 6 2" xfId="4262" xr:uid="{00000000-0005-0000-0000-0000A80F0000}"/>
    <cellStyle name="Normal 2 4 2 5 6 2 2" xfId="8484" xr:uid="{00000000-0005-0000-0000-0000A90F0000}"/>
    <cellStyle name="Normal 2 4 2 5 6 2 2 2" xfId="16934" xr:uid="{6744661B-0FE6-4E32-8B37-8B27E76B5EE4}"/>
    <cellStyle name="Normal 2 4 2 5 6 2 2 3" xfId="25374" xr:uid="{E61B8211-1240-4604-95CB-3D1AF348CC3F}"/>
    <cellStyle name="Normal 2 4 2 5 6 2 2 4" xfId="33814" xr:uid="{49375FC9-2B1E-46CE-B746-5B658568A0C4}"/>
    <cellStyle name="Normal 2 4 2 5 6 2 3" xfId="12716" xr:uid="{48167ED6-D28C-43D5-B183-5A093609D924}"/>
    <cellStyle name="Normal 2 4 2 5 6 2 4" xfId="21157" xr:uid="{ACAB55A8-591C-46CC-890E-FA870368403A}"/>
    <cellStyle name="Normal 2 4 2 5 6 2 5" xfId="29597" xr:uid="{464706F0-6B8C-4AAB-A414-70A46E327B75}"/>
    <cellStyle name="Normal 2 4 2 5 6 3" xfId="6339" xr:uid="{00000000-0005-0000-0000-0000AA0F0000}"/>
    <cellStyle name="Normal 2 4 2 5 6 3 2" xfId="14789" xr:uid="{4DF6FB80-B02B-459A-BAC5-421D071C57C6}"/>
    <cellStyle name="Normal 2 4 2 5 6 3 3" xfId="23229" xr:uid="{69EB3FF5-BE03-49CA-AEDF-92BB8BD48474}"/>
    <cellStyle name="Normal 2 4 2 5 6 3 4" xfId="31669" xr:uid="{29830D60-62F3-45DE-9401-710498EED8AF}"/>
    <cellStyle name="Normal 2 4 2 5 6 4" xfId="10571" xr:uid="{ED0BF820-7DA0-4DD5-BCCD-47A9DF1EA525}"/>
    <cellStyle name="Normal 2 4 2 5 6 5" xfId="19012" xr:uid="{3062B0EC-1BCE-40C7-8D83-98117232E93A}"/>
    <cellStyle name="Normal 2 4 2 5 6 6" xfId="27452" xr:uid="{419E9EDD-68D2-473C-99BD-991FD528D63C}"/>
    <cellStyle name="Normal 2 4 2 5 7" xfId="2469" xr:uid="{00000000-0005-0000-0000-0000AB0F0000}"/>
    <cellStyle name="Normal 2 4 2 5 7 2" xfId="6752" xr:uid="{00000000-0005-0000-0000-0000AC0F0000}"/>
    <cellStyle name="Normal 2 4 2 5 7 2 2" xfId="15202" xr:uid="{044A7C78-8879-4B31-9675-DAFC129AAA9F}"/>
    <cellStyle name="Normal 2 4 2 5 7 2 3" xfId="23642" xr:uid="{F581571D-5F08-41DD-8D51-18F21FFA2C7D}"/>
    <cellStyle name="Normal 2 4 2 5 7 2 4" xfId="32082" xr:uid="{38DB001B-DF47-4240-9CE4-5DE73BA089EC}"/>
    <cellStyle name="Normal 2 4 2 5 7 3" xfId="10984" xr:uid="{5AE939CB-F2A1-46C6-BC9C-350DA242E2C8}"/>
    <cellStyle name="Normal 2 4 2 5 7 4" xfId="19425" xr:uid="{D51258A1-2F2A-4432-9158-83A96AF3CEB9}"/>
    <cellStyle name="Normal 2 4 2 5 7 5" xfId="27865" xr:uid="{2B547F68-511C-43E1-A73B-3AF026F07545}"/>
    <cellStyle name="Normal 2 4 2 5 8" xfId="4686" xr:uid="{00000000-0005-0000-0000-0000AD0F0000}"/>
    <cellStyle name="Normal 2 4 2 5 8 2" xfId="13136" xr:uid="{7B8DBE06-7FDE-4A88-A46B-99B546300066}"/>
    <cellStyle name="Normal 2 4 2 5 8 3" xfId="21576" xr:uid="{E7478C56-9EA9-4BDE-A6E6-933B535C96A4}"/>
    <cellStyle name="Normal 2 4 2 5 8 4" xfId="30016" xr:uid="{D3D2F783-26DA-440B-822D-A454D6F2C562}"/>
    <cellStyle name="Normal 2 4 2 5 9" xfId="8918" xr:uid="{AC836AD0-4E2F-47A1-8B8A-E26446A2C2DB}"/>
    <cellStyle name="Normal 2 4 2 6" xfId="295" xr:uid="{00000000-0005-0000-0000-0000AE0F0000}"/>
    <cellStyle name="Normal 2 4 2 6 10" xfId="25801" xr:uid="{FD57A5E9-7642-4DA1-938B-9C3962A1EED3}"/>
    <cellStyle name="Normal 2 4 2 6 2" xfId="786" xr:uid="{00000000-0005-0000-0000-0000AF0F0000}"/>
    <cellStyle name="Normal 2 4 2 6 2 2" xfId="3025" xr:uid="{00000000-0005-0000-0000-0000B00F0000}"/>
    <cellStyle name="Normal 2 4 2 6 2 2 2" xfId="7247" xr:uid="{00000000-0005-0000-0000-0000B10F0000}"/>
    <cellStyle name="Normal 2 4 2 6 2 2 2 2" xfId="15697" xr:uid="{1F5252E5-E2D8-405C-B287-904778E169DA}"/>
    <cellStyle name="Normal 2 4 2 6 2 2 2 3" xfId="24137" xr:uid="{632D9240-573E-4B31-B51D-48A0B7FB49C7}"/>
    <cellStyle name="Normal 2 4 2 6 2 2 2 4" xfId="32577" xr:uid="{23B09394-9905-494C-9D51-939FE4E691C4}"/>
    <cellStyle name="Normal 2 4 2 6 2 2 3" xfId="11479" xr:uid="{9F3500FB-145D-48A0-BCA7-CC874523E4D6}"/>
    <cellStyle name="Normal 2 4 2 6 2 2 4" xfId="19920" xr:uid="{B805DDAF-F658-4943-979B-F572ECB70E1B}"/>
    <cellStyle name="Normal 2 4 2 6 2 2 5" xfId="28360" xr:uid="{286840F4-014E-4FDD-A5E2-AE4D3231876A}"/>
    <cellStyle name="Normal 2 4 2 6 2 3" xfId="5102" xr:uid="{00000000-0005-0000-0000-0000B20F0000}"/>
    <cellStyle name="Normal 2 4 2 6 2 3 2" xfId="13552" xr:uid="{BE81FFF2-B402-405F-8338-41ABFD973985}"/>
    <cellStyle name="Normal 2 4 2 6 2 3 3" xfId="21992" xr:uid="{B5C76132-C9F0-4D29-87E3-33A746B7AB03}"/>
    <cellStyle name="Normal 2 4 2 6 2 3 4" xfId="30432" xr:uid="{69E7D7D4-ADFD-4575-A08E-08AEE77D73C4}"/>
    <cellStyle name="Normal 2 4 2 6 2 4" xfId="9334" xr:uid="{A6F648D3-81A8-4FBF-80D4-77B64A25398B}"/>
    <cellStyle name="Normal 2 4 2 6 2 5" xfId="17775" xr:uid="{68C83DEE-9B8C-4954-9B4C-A09201F0690D}"/>
    <cellStyle name="Normal 2 4 2 6 2 6" xfId="26215" xr:uid="{B1DD3E50-7FED-4B51-917C-D5ED56C970AB}"/>
    <cellStyle name="Normal 2 4 2 6 3" xfId="1208" xr:uid="{00000000-0005-0000-0000-0000B30F0000}"/>
    <cellStyle name="Normal 2 4 2 6 3 2" xfId="3438" xr:uid="{00000000-0005-0000-0000-0000B40F0000}"/>
    <cellStyle name="Normal 2 4 2 6 3 2 2" xfId="7660" xr:uid="{00000000-0005-0000-0000-0000B50F0000}"/>
    <cellStyle name="Normal 2 4 2 6 3 2 2 2" xfId="16110" xr:uid="{8AE0C1EC-7FE2-4C15-895D-DFED5255B700}"/>
    <cellStyle name="Normal 2 4 2 6 3 2 2 3" xfId="24550" xr:uid="{7880B80D-8578-4B4A-9767-07D21754C033}"/>
    <cellStyle name="Normal 2 4 2 6 3 2 2 4" xfId="32990" xr:uid="{A81000D9-5897-4F77-967D-DD93FD67091F}"/>
    <cellStyle name="Normal 2 4 2 6 3 2 3" xfId="11892" xr:uid="{2A27A61C-948C-45C2-A7D8-AA6371226757}"/>
    <cellStyle name="Normal 2 4 2 6 3 2 4" xfId="20333" xr:uid="{D28E8189-3FA9-4877-BA1E-F384328C7842}"/>
    <cellStyle name="Normal 2 4 2 6 3 2 5" xfId="28773" xr:uid="{5D8FD7F8-EF80-4569-9D92-5C49AC84814B}"/>
    <cellStyle name="Normal 2 4 2 6 3 3" xfId="5515" xr:uid="{00000000-0005-0000-0000-0000B60F0000}"/>
    <cellStyle name="Normal 2 4 2 6 3 3 2" xfId="13965" xr:uid="{47AAC41F-C0B3-4479-A1D8-371AAA40CFCA}"/>
    <cellStyle name="Normal 2 4 2 6 3 3 3" xfId="22405" xr:uid="{1031B086-627E-4950-BA0F-F7BB16512410}"/>
    <cellStyle name="Normal 2 4 2 6 3 3 4" xfId="30845" xr:uid="{0817F24A-2B7A-4BA7-82D8-95412F44208B}"/>
    <cellStyle name="Normal 2 4 2 6 3 4" xfId="9747" xr:uid="{4E0FC8F7-F9DB-48DD-823C-B1E8F5DB7827}"/>
    <cellStyle name="Normal 2 4 2 6 3 5" xfId="18188" xr:uid="{2462479C-12D8-4370-A9C4-AA1BD89EEA52}"/>
    <cellStyle name="Normal 2 4 2 6 3 6" xfId="26628" xr:uid="{A5EEF578-473A-4725-8486-40990B0DB624}"/>
    <cellStyle name="Normal 2 4 2 6 4" xfId="1621" xr:uid="{00000000-0005-0000-0000-0000B70F0000}"/>
    <cellStyle name="Normal 2 4 2 6 4 2" xfId="3851" xr:uid="{00000000-0005-0000-0000-0000B80F0000}"/>
    <cellStyle name="Normal 2 4 2 6 4 2 2" xfId="8073" xr:uid="{00000000-0005-0000-0000-0000B90F0000}"/>
    <cellStyle name="Normal 2 4 2 6 4 2 2 2" xfId="16523" xr:uid="{3A6758EA-9C03-462E-A17A-3AB6A52796F7}"/>
    <cellStyle name="Normal 2 4 2 6 4 2 2 3" xfId="24963" xr:uid="{382D1E1E-88D6-4B0C-890C-94F30FF6F425}"/>
    <cellStyle name="Normal 2 4 2 6 4 2 2 4" xfId="33403" xr:uid="{3C313115-0FEA-4D9E-BD14-B8F9D5BFAD29}"/>
    <cellStyle name="Normal 2 4 2 6 4 2 3" xfId="12305" xr:uid="{6E5B5354-B43F-4C42-B7C8-5A0BD047C6C0}"/>
    <cellStyle name="Normal 2 4 2 6 4 2 4" xfId="20746" xr:uid="{D3C03253-39B1-4ECC-AB63-7DD8DD46DB33}"/>
    <cellStyle name="Normal 2 4 2 6 4 2 5" xfId="29186" xr:uid="{38AE9B07-9C32-41C5-BAC3-A50C3E78F451}"/>
    <cellStyle name="Normal 2 4 2 6 4 3" xfId="5928" xr:uid="{00000000-0005-0000-0000-0000BA0F0000}"/>
    <cellStyle name="Normal 2 4 2 6 4 3 2" xfId="14378" xr:uid="{3FF2EC5C-2269-485D-9FBB-83105F4602F3}"/>
    <cellStyle name="Normal 2 4 2 6 4 3 3" xfId="22818" xr:uid="{1D92AA38-0137-4B82-B8A5-FDFEF75762B6}"/>
    <cellStyle name="Normal 2 4 2 6 4 3 4" xfId="31258" xr:uid="{0A7B9C92-881C-47F1-9E5B-751C2CC18BE1}"/>
    <cellStyle name="Normal 2 4 2 6 4 4" xfId="10160" xr:uid="{CE6D3819-6BA7-4277-98D0-7D199C84B736}"/>
    <cellStyle name="Normal 2 4 2 6 4 5" xfId="18601" xr:uid="{57385666-4701-468C-8BBC-BB5FCF52E74C}"/>
    <cellStyle name="Normal 2 4 2 6 4 6" xfId="27041" xr:uid="{19F27B5C-F6B6-4213-9692-1F2CED1DB342}"/>
    <cellStyle name="Normal 2 4 2 6 5" xfId="2035" xr:uid="{00000000-0005-0000-0000-0000BB0F0000}"/>
    <cellStyle name="Normal 2 4 2 6 5 2" xfId="4264" xr:uid="{00000000-0005-0000-0000-0000BC0F0000}"/>
    <cellStyle name="Normal 2 4 2 6 5 2 2" xfId="8486" xr:uid="{00000000-0005-0000-0000-0000BD0F0000}"/>
    <cellStyle name="Normal 2 4 2 6 5 2 2 2" xfId="16936" xr:uid="{E61642D7-BDE0-471D-B7C8-E0FE9C100EE3}"/>
    <cellStyle name="Normal 2 4 2 6 5 2 2 3" xfId="25376" xr:uid="{EDCD2CBE-C044-4406-A408-56C851923BFE}"/>
    <cellStyle name="Normal 2 4 2 6 5 2 2 4" xfId="33816" xr:uid="{6C02993F-C8B1-4665-8C15-CE23BD6CD175}"/>
    <cellStyle name="Normal 2 4 2 6 5 2 3" xfId="12718" xr:uid="{065DF4E8-6F38-42EB-A6D9-7731415C13DD}"/>
    <cellStyle name="Normal 2 4 2 6 5 2 4" xfId="21159" xr:uid="{94343FC9-D9A7-4994-AC64-CC9711FAE1D0}"/>
    <cellStyle name="Normal 2 4 2 6 5 2 5" xfId="29599" xr:uid="{7C16497B-6EE3-4890-9937-B8148C1A4482}"/>
    <cellStyle name="Normal 2 4 2 6 5 3" xfId="6341" xr:uid="{00000000-0005-0000-0000-0000BE0F0000}"/>
    <cellStyle name="Normal 2 4 2 6 5 3 2" xfId="14791" xr:uid="{0B80BEC6-2C36-4BD4-ADA0-6C26A74C03CF}"/>
    <cellStyle name="Normal 2 4 2 6 5 3 3" xfId="23231" xr:uid="{67B92420-7C85-4F19-BCA0-91092E7EC59C}"/>
    <cellStyle name="Normal 2 4 2 6 5 3 4" xfId="31671" xr:uid="{289F1274-1E2B-40E2-AAC9-523826489BAB}"/>
    <cellStyle name="Normal 2 4 2 6 5 4" xfId="10573" xr:uid="{3C37FAC6-0CB2-4B60-89F8-91E373CE909B}"/>
    <cellStyle name="Normal 2 4 2 6 5 5" xfId="19014" xr:uid="{CD137C0D-E8F6-465B-829B-3B7333A485FA}"/>
    <cellStyle name="Normal 2 4 2 6 5 6" xfId="27454" xr:uid="{EA3649DB-B556-4C8B-AFA3-EDEF6EF2C7D7}"/>
    <cellStyle name="Normal 2 4 2 6 6" xfId="2471" xr:uid="{00000000-0005-0000-0000-0000BF0F0000}"/>
    <cellStyle name="Normal 2 4 2 6 6 2" xfId="6754" xr:uid="{00000000-0005-0000-0000-0000C00F0000}"/>
    <cellStyle name="Normal 2 4 2 6 6 2 2" xfId="15204" xr:uid="{D69463E4-8208-48A7-9E74-033871E959A7}"/>
    <cellStyle name="Normal 2 4 2 6 6 2 3" xfId="23644" xr:uid="{153ECDC7-E6D1-4A12-B99D-FC9F91F27A87}"/>
    <cellStyle name="Normal 2 4 2 6 6 2 4" xfId="32084" xr:uid="{13D3EC6B-93A5-4F9E-B832-CBB37B2779AC}"/>
    <cellStyle name="Normal 2 4 2 6 6 3" xfId="10986" xr:uid="{47B39861-8482-43EF-91FA-AADAE2AD9D85}"/>
    <cellStyle name="Normal 2 4 2 6 6 4" xfId="19427" xr:uid="{314A66FE-A2E4-4DA1-9002-F8C1FECE320C}"/>
    <cellStyle name="Normal 2 4 2 6 6 5" xfId="27867" xr:uid="{0D165F96-7DBF-4EED-ABBF-C06A015028FD}"/>
    <cellStyle name="Normal 2 4 2 6 7" xfId="4688" xr:uid="{00000000-0005-0000-0000-0000C10F0000}"/>
    <cellStyle name="Normal 2 4 2 6 7 2" xfId="13138" xr:uid="{6D129F6C-7152-4A66-A484-DBB57EA7EC6B}"/>
    <cellStyle name="Normal 2 4 2 6 7 3" xfId="21578" xr:uid="{A07165C9-151D-48DE-93C9-C6A07BDCC0AD}"/>
    <cellStyle name="Normal 2 4 2 6 7 4" xfId="30018" xr:uid="{32E68D24-B6EF-4AF5-B349-AE65D343693B}"/>
    <cellStyle name="Normal 2 4 2 6 8" xfId="8920" xr:uid="{5CDEE75F-5457-4B39-9FA7-5CF670E623B3}"/>
    <cellStyle name="Normal 2 4 2 6 9" xfId="17361" xr:uid="{26339828-A255-4BB3-91B8-5A12B8912F01}"/>
    <cellStyle name="Normal 2 4 2 7" xfId="771" xr:uid="{00000000-0005-0000-0000-0000C20F0000}"/>
    <cellStyle name="Normal 2 4 2 7 2" xfId="3010" xr:uid="{00000000-0005-0000-0000-0000C30F0000}"/>
    <cellStyle name="Normal 2 4 2 7 2 2" xfId="7232" xr:uid="{00000000-0005-0000-0000-0000C40F0000}"/>
    <cellStyle name="Normal 2 4 2 7 2 2 2" xfId="15682" xr:uid="{50CE5B99-0623-4AFA-9989-A9F7DA030A3D}"/>
    <cellStyle name="Normal 2 4 2 7 2 2 3" xfId="24122" xr:uid="{58B507FB-E5E3-4BA6-B20D-8837BA39F5E5}"/>
    <cellStyle name="Normal 2 4 2 7 2 2 4" xfId="32562" xr:uid="{116CD364-6A8E-4516-9B93-F95B89C70DD1}"/>
    <cellStyle name="Normal 2 4 2 7 2 3" xfId="11464" xr:uid="{1B993CAB-D59B-4375-8D91-1F9ECEBF87A1}"/>
    <cellStyle name="Normal 2 4 2 7 2 4" xfId="19905" xr:uid="{76B73583-788E-4871-8E92-0E72013CB463}"/>
    <cellStyle name="Normal 2 4 2 7 2 5" xfId="28345" xr:uid="{774EE3E9-3D95-41D0-BB4E-DFE91A43B280}"/>
    <cellStyle name="Normal 2 4 2 7 3" xfId="5087" xr:uid="{00000000-0005-0000-0000-0000C50F0000}"/>
    <cellStyle name="Normal 2 4 2 7 3 2" xfId="13537" xr:uid="{ED9EB0FE-9192-4086-BF38-D87825C0BCBE}"/>
    <cellStyle name="Normal 2 4 2 7 3 3" xfId="21977" xr:uid="{A6C965BF-18BA-4DFA-AA59-8DFF6CC50702}"/>
    <cellStyle name="Normal 2 4 2 7 3 4" xfId="30417" xr:uid="{8EEB5BAB-ECCB-49C9-86C2-1DFDA924098C}"/>
    <cellStyle name="Normal 2 4 2 7 4" xfId="9319" xr:uid="{B34EBD20-E1A8-49B8-8A88-706616394CFA}"/>
    <cellStyle name="Normal 2 4 2 7 5" xfId="17760" xr:uid="{0A53E510-5C0D-45C5-A73C-87426E69A51D}"/>
    <cellStyle name="Normal 2 4 2 7 6" xfId="26200" xr:uid="{EFA6EDBB-A6A6-4FED-AED7-AE96FABA5DF6}"/>
    <cellStyle name="Normal 2 4 2 8" xfId="1193" xr:uid="{00000000-0005-0000-0000-0000C60F0000}"/>
    <cellStyle name="Normal 2 4 2 8 2" xfId="3423" xr:uid="{00000000-0005-0000-0000-0000C70F0000}"/>
    <cellStyle name="Normal 2 4 2 8 2 2" xfId="7645" xr:uid="{00000000-0005-0000-0000-0000C80F0000}"/>
    <cellStyle name="Normal 2 4 2 8 2 2 2" xfId="16095" xr:uid="{92B6C20C-F8D7-4AFE-8B77-E0E23AF4C1DB}"/>
    <cellStyle name="Normal 2 4 2 8 2 2 3" xfId="24535" xr:uid="{ADF8BEAD-89E5-4613-BC50-B87BA9CC0F12}"/>
    <cellStyle name="Normal 2 4 2 8 2 2 4" xfId="32975" xr:uid="{9B2780A9-13A1-4E09-8940-5ACE94EB9D43}"/>
    <cellStyle name="Normal 2 4 2 8 2 3" xfId="11877" xr:uid="{9FBF40B6-1425-4F95-B122-B3C206B8B681}"/>
    <cellStyle name="Normal 2 4 2 8 2 4" xfId="20318" xr:uid="{48C5FDAE-409D-4DE0-8905-6B326CCF0A3D}"/>
    <cellStyle name="Normal 2 4 2 8 2 5" xfId="28758" xr:uid="{A636AE6F-751D-4579-8553-6BC7DA049518}"/>
    <cellStyle name="Normal 2 4 2 8 3" xfId="5500" xr:uid="{00000000-0005-0000-0000-0000C90F0000}"/>
    <cellStyle name="Normal 2 4 2 8 3 2" xfId="13950" xr:uid="{EECFBE50-B54B-418C-BADA-712FE6138CD7}"/>
    <cellStyle name="Normal 2 4 2 8 3 3" xfId="22390" xr:uid="{337C4D08-8FFF-42FE-BA9F-AA28503B7444}"/>
    <cellStyle name="Normal 2 4 2 8 3 4" xfId="30830" xr:uid="{1B9B860C-A3E9-4F40-9EED-F9A868EC6F18}"/>
    <cellStyle name="Normal 2 4 2 8 4" xfId="9732" xr:uid="{88775DCE-FB84-4B40-8922-3ADFC3DFC7DB}"/>
    <cellStyle name="Normal 2 4 2 8 5" xfId="18173" xr:uid="{BB8120EC-2B19-4854-AE4F-CDBE95B14843}"/>
    <cellStyle name="Normal 2 4 2 8 6" xfId="26613" xr:uid="{155BEA20-970B-4105-9DF7-C924405B28E6}"/>
    <cellStyle name="Normal 2 4 2 9" xfId="1606" xr:uid="{00000000-0005-0000-0000-0000CA0F0000}"/>
    <cellStyle name="Normal 2 4 2 9 2" xfId="3836" xr:uid="{00000000-0005-0000-0000-0000CB0F0000}"/>
    <cellStyle name="Normal 2 4 2 9 2 2" xfId="8058" xr:uid="{00000000-0005-0000-0000-0000CC0F0000}"/>
    <cellStyle name="Normal 2 4 2 9 2 2 2" xfId="16508" xr:uid="{8CE2021D-3926-4B61-AA29-FD27FF1D8CDC}"/>
    <cellStyle name="Normal 2 4 2 9 2 2 3" xfId="24948" xr:uid="{36092071-F3F5-48A9-A92D-2EE57340F98E}"/>
    <cellStyle name="Normal 2 4 2 9 2 2 4" xfId="33388" xr:uid="{09D063AD-1D2F-4BBD-9D7E-3DD520A51542}"/>
    <cellStyle name="Normal 2 4 2 9 2 3" xfId="12290" xr:uid="{E335FA1B-1B32-42B6-B463-08CD640B5241}"/>
    <cellStyle name="Normal 2 4 2 9 2 4" xfId="20731" xr:uid="{D2B4DD52-E516-4829-8188-89A068281A5D}"/>
    <cellStyle name="Normal 2 4 2 9 2 5" xfId="29171" xr:uid="{73FEF150-2C8D-473D-AAAB-1884D4581103}"/>
    <cellStyle name="Normal 2 4 2 9 3" xfId="5913" xr:uid="{00000000-0005-0000-0000-0000CD0F0000}"/>
    <cellStyle name="Normal 2 4 2 9 3 2" xfId="14363" xr:uid="{4359DCE5-8F75-4196-876C-E1D723CCE706}"/>
    <cellStyle name="Normal 2 4 2 9 3 3" xfId="22803" xr:uid="{06E04779-5507-45C7-8C80-00BA78EA400B}"/>
    <cellStyle name="Normal 2 4 2 9 3 4" xfId="31243" xr:uid="{4D590A72-2358-4A52-91F1-7EE169CDF870}"/>
    <cellStyle name="Normal 2 4 2 9 4" xfId="10145" xr:uid="{F52A91DA-7E3A-441E-8B7D-94CF7DFEDA79}"/>
    <cellStyle name="Normal 2 4 2 9 5" xfId="18586" xr:uid="{F7A287FD-0419-435E-914F-192A59022C61}"/>
    <cellStyle name="Normal 2 4 2 9 6" xfId="27026" xr:uid="{B4C5D675-C58F-4F55-87B0-3D4A6D8210E8}"/>
    <cellStyle name="Normal 2 4 3" xfId="296" xr:uid="{00000000-0005-0000-0000-0000CE0F0000}"/>
    <cellStyle name="Normal 2 4 3 10" xfId="8921" xr:uid="{F0A58591-42A2-464D-9DEE-3C6914623CA4}"/>
    <cellStyle name="Normal 2 4 3 11" xfId="17362" xr:uid="{E0AB34AE-9E84-4641-AB84-D18B47748AA9}"/>
    <cellStyle name="Normal 2 4 3 12" xfId="25802" xr:uid="{2E37FFA3-DAEB-4CB7-8E40-844022294E39}"/>
    <cellStyle name="Normal 2 4 3 2" xfId="297" xr:uid="{00000000-0005-0000-0000-0000CF0F0000}"/>
    <cellStyle name="Normal 2 4 3 3" xfId="298" xr:uid="{00000000-0005-0000-0000-0000D00F0000}"/>
    <cellStyle name="Normal 2 4 3 3 10" xfId="8922" xr:uid="{450ACCA9-52C6-4CEC-AD6B-77829846A33C}"/>
    <cellStyle name="Normal 2 4 3 3 11" xfId="17363" xr:uid="{D1F8D053-0E76-486C-ABED-D72D31883AF4}"/>
    <cellStyle name="Normal 2 4 3 3 12" xfId="25803" xr:uid="{C1FB02EA-4055-4E46-BB7F-43410F5EB1E8}"/>
    <cellStyle name="Normal 2 4 3 3 2" xfId="299" xr:uid="{00000000-0005-0000-0000-0000D10F0000}"/>
    <cellStyle name="Normal 2 4 3 3 2 10" xfId="17364" xr:uid="{8D32A703-C891-477D-BA1C-AC0BA74A4379}"/>
    <cellStyle name="Normal 2 4 3 3 2 11" xfId="25804" xr:uid="{5AACB539-709D-4A48-BD9A-D73D0519B8AC}"/>
    <cellStyle name="Normal 2 4 3 3 2 2" xfId="300" xr:uid="{00000000-0005-0000-0000-0000D20F0000}"/>
    <cellStyle name="Normal 2 4 3 3 2 2 10" xfId="25805" xr:uid="{9E2E18B0-E76C-4640-97BB-3FC8CFA6D23B}"/>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2 2 2" xfId="15701" xr:uid="{DB2E9675-C4BC-49AB-B209-356A89B61FE3}"/>
    <cellStyle name="Normal 2 4 3 3 2 2 2 2 2 3" xfId="24141" xr:uid="{3D720494-2B9F-4162-A2C7-09B985510CDF}"/>
    <cellStyle name="Normal 2 4 3 3 2 2 2 2 2 4" xfId="32581" xr:uid="{5F3D6AEF-1A09-48C1-9A9E-0456A3142A88}"/>
    <cellStyle name="Normal 2 4 3 3 2 2 2 2 3" xfId="11483" xr:uid="{AEB17D49-A18A-443E-BF6B-1989FA5B556F}"/>
    <cellStyle name="Normal 2 4 3 3 2 2 2 2 4" xfId="19924" xr:uid="{DD5C92D3-82CA-42D4-9129-09133D577439}"/>
    <cellStyle name="Normal 2 4 3 3 2 2 2 2 5" xfId="28364" xr:uid="{903BB3FE-219A-4A7B-B8D2-2C7851FA7A31}"/>
    <cellStyle name="Normal 2 4 3 3 2 2 2 3" xfId="5106" xr:uid="{00000000-0005-0000-0000-0000D60F0000}"/>
    <cellStyle name="Normal 2 4 3 3 2 2 2 3 2" xfId="13556" xr:uid="{2C1CFAE8-E779-4791-9C17-E37AE05AD4E1}"/>
    <cellStyle name="Normal 2 4 3 3 2 2 2 3 3" xfId="21996" xr:uid="{1AF530C3-8DC9-4888-9F8C-3F53E40FC499}"/>
    <cellStyle name="Normal 2 4 3 3 2 2 2 3 4" xfId="30436" xr:uid="{1E540037-F86A-45EB-93AB-91E2C0EEF63F}"/>
    <cellStyle name="Normal 2 4 3 3 2 2 2 4" xfId="9338" xr:uid="{0913E193-2598-4754-8A79-63994C0457ED}"/>
    <cellStyle name="Normal 2 4 3 3 2 2 2 5" xfId="17779" xr:uid="{C5E14041-906A-4DB7-8667-63C6F6BD92BD}"/>
    <cellStyle name="Normal 2 4 3 3 2 2 2 6" xfId="26219" xr:uid="{2109AC05-CFF5-49DA-AA9D-1B6C6EA6F350}"/>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2 2 2" xfId="16114" xr:uid="{D9CDFBC1-1216-4ECE-BDF4-E22F9F23C5C3}"/>
    <cellStyle name="Normal 2 4 3 3 2 2 3 2 2 3" xfId="24554" xr:uid="{63075DE7-C837-4165-971B-D6B5F89ED096}"/>
    <cellStyle name="Normal 2 4 3 3 2 2 3 2 2 4" xfId="32994" xr:uid="{9128EC82-5CD0-4ECC-99FD-A67D86A145C6}"/>
    <cellStyle name="Normal 2 4 3 3 2 2 3 2 3" xfId="11896" xr:uid="{45501135-E48F-4290-8BF6-FBD3E093434A}"/>
    <cellStyle name="Normal 2 4 3 3 2 2 3 2 4" xfId="20337" xr:uid="{4E1154A4-2489-4172-867C-E4D29BD100F5}"/>
    <cellStyle name="Normal 2 4 3 3 2 2 3 2 5" xfId="28777" xr:uid="{B77038F7-0D15-4291-A58A-002B9CB16818}"/>
    <cellStyle name="Normal 2 4 3 3 2 2 3 3" xfId="5519" xr:uid="{00000000-0005-0000-0000-0000DA0F0000}"/>
    <cellStyle name="Normal 2 4 3 3 2 2 3 3 2" xfId="13969" xr:uid="{0EE3E3A4-5EA3-4019-8C8B-AED8B458B7F0}"/>
    <cellStyle name="Normal 2 4 3 3 2 2 3 3 3" xfId="22409" xr:uid="{AD336C6B-CE0D-48D0-8788-23DA3F481AAC}"/>
    <cellStyle name="Normal 2 4 3 3 2 2 3 3 4" xfId="30849" xr:uid="{DBB14D3C-6D12-4C4B-B447-5A823906851A}"/>
    <cellStyle name="Normal 2 4 3 3 2 2 3 4" xfId="9751" xr:uid="{F92A633D-2E4E-47A7-9B73-5FBFF6D116ED}"/>
    <cellStyle name="Normal 2 4 3 3 2 2 3 5" xfId="18192" xr:uid="{C5BFE957-1DEA-4A30-B776-D69A5EDEBAA9}"/>
    <cellStyle name="Normal 2 4 3 3 2 2 3 6" xfId="26632" xr:uid="{7CB56ADA-8C0B-43AA-814F-52869B8E26D6}"/>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2 2 2" xfId="16527" xr:uid="{C4F0E41A-6201-4287-9AD8-D2EAF9AC6F33}"/>
    <cellStyle name="Normal 2 4 3 3 2 2 4 2 2 3" xfId="24967" xr:uid="{ADFD7848-0594-4FF8-86A1-DF00DA490474}"/>
    <cellStyle name="Normal 2 4 3 3 2 2 4 2 2 4" xfId="33407" xr:uid="{39852BDB-F2AD-4A44-AA97-03E412ED9E88}"/>
    <cellStyle name="Normal 2 4 3 3 2 2 4 2 3" xfId="12309" xr:uid="{E53250AD-7C1A-4AD8-8CBA-DE2B44C62511}"/>
    <cellStyle name="Normal 2 4 3 3 2 2 4 2 4" xfId="20750" xr:uid="{655B515E-FB04-4881-A022-407134F16C89}"/>
    <cellStyle name="Normal 2 4 3 3 2 2 4 2 5" xfId="29190" xr:uid="{57F2C769-B962-4389-A867-C1C5850A1E92}"/>
    <cellStyle name="Normal 2 4 3 3 2 2 4 3" xfId="5932" xr:uid="{00000000-0005-0000-0000-0000DE0F0000}"/>
    <cellStyle name="Normal 2 4 3 3 2 2 4 3 2" xfId="14382" xr:uid="{325BA4FD-CFDC-43FD-AE7E-906EAFC70705}"/>
    <cellStyle name="Normal 2 4 3 3 2 2 4 3 3" xfId="22822" xr:uid="{789E2DDA-3104-4F76-BBC0-79A752671609}"/>
    <cellStyle name="Normal 2 4 3 3 2 2 4 3 4" xfId="31262" xr:uid="{B36E7889-09DF-40BC-9FCB-6E00A1B21171}"/>
    <cellStyle name="Normal 2 4 3 3 2 2 4 4" xfId="10164" xr:uid="{035D0346-1521-4F12-BE09-534845B8FB14}"/>
    <cellStyle name="Normal 2 4 3 3 2 2 4 5" xfId="18605" xr:uid="{7288C09E-2A7A-45AB-B7E6-DFCF80B070C0}"/>
    <cellStyle name="Normal 2 4 3 3 2 2 4 6" xfId="27045" xr:uid="{B621DBAF-8072-4D94-A73A-2CBA6D79AC32}"/>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2 2 2" xfId="16940" xr:uid="{9D264E72-2829-495C-B8AF-A710DA411D1C}"/>
    <cellStyle name="Normal 2 4 3 3 2 2 5 2 2 3" xfId="25380" xr:uid="{295B684A-68D6-4F28-B9E6-203FD38F0BC6}"/>
    <cellStyle name="Normal 2 4 3 3 2 2 5 2 2 4" xfId="33820" xr:uid="{BF420C5B-0363-42D6-9C4F-77A552CE8D12}"/>
    <cellStyle name="Normal 2 4 3 3 2 2 5 2 3" xfId="12722" xr:uid="{5CCDAB9C-E22B-4A30-BA58-B4C8663F63B3}"/>
    <cellStyle name="Normal 2 4 3 3 2 2 5 2 4" xfId="21163" xr:uid="{FE4D25B3-4851-4534-A19B-B748D058BB4D}"/>
    <cellStyle name="Normal 2 4 3 3 2 2 5 2 5" xfId="29603" xr:uid="{3B2449A4-60B4-4EBC-A115-D42549C0D97A}"/>
    <cellStyle name="Normal 2 4 3 3 2 2 5 3" xfId="6345" xr:uid="{00000000-0005-0000-0000-0000E20F0000}"/>
    <cellStyle name="Normal 2 4 3 3 2 2 5 3 2" xfId="14795" xr:uid="{4ABEA5C2-3F1B-4879-8A27-543ABE3B2908}"/>
    <cellStyle name="Normal 2 4 3 3 2 2 5 3 3" xfId="23235" xr:uid="{0B6668E4-B85B-4A29-A874-364983BAA10A}"/>
    <cellStyle name="Normal 2 4 3 3 2 2 5 3 4" xfId="31675" xr:uid="{9AB0651C-33F4-4231-8D8A-8C08346ADCBF}"/>
    <cellStyle name="Normal 2 4 3 3 2 2 5 4" xfId="10577" xr:uid="{F2084668-CAE8-46FC-AC8A-2F14FEC5CD64}"/>
    <cellStyle name="Normal 2 4 3 3 2 2 5 5" xfId="19018" xr:uid="{E9F32236-70B5-44F9-99C5-FA523C2B8718}"/>
    <cellStyle name="Normal 2 4 3 3 2 2 5 6" xfId="27458" xr:uid="{66C674E2-0D25-48D5-B0A5-5AF71A4690A2}"/>
    <cellStyle name="Normal 2 4 3 3 2 2 6" xfId="2475" xr:uid="{00000000-0005-0000-0000-0000E30F0000}"/>
    <cellStyle name="Normal 2 4 3 3 2 2 6 2" xfId="6758" xr:uid="{00000000-0005-0000-0000-0000E40F0000}"/>
    <cellStyle name="Normal 2 4 3 3 2 2 6 2 2" xfId="15208" xr:uid="{781B4003-9DE3-4BAA-9D53-91A8F5449FFE}"/>
    <cellStyle name="Normal 2 4 3 3 2 2 6 2 3" xfId="23648" xr:uid="{3595982E-DD8F-4C07-A509-4986EAF9176C}"/>
    <cellStyle name="Normal 2 4 3 3 2 2 6 2 4" xfId="32088" xr:uid="{C7C10E95-F3F2-4DAD-A996-77EE2E22E048}"/>
    <cellStyle name="Normal 2 4 3 3 2 2 6 3" xfId="10990" xr:uid="{2E616CEC-1CB3-4457-B292-485378814A88}"/>
    <cellStyle name="Normal 2 4 3 3 2 2 6 4" xfId="19431" xr:uid="{7B9B1B08-CD3C-4B57-B4C4-0A780B402ACB}"/>
    <cellStyle name="Normal 2 4 3 3 2 2 6 5" xfId="27871" xr:uid="{FE666754-9BED-4FE2-830E-C5D9C74D88FC}"/>
    <cellStyle name="Normal 2 4 3 3 2 2 7" xfId="4692" xr:uid="{00000000-0005-0000-0000-0000E50F0000}"/>
    <cellStyle name="Normal 2 4 3 3 2 2 7 2" xfId="13142" xr:uid="{30042E92-A4BD-43E1-9355-C68BE0C29E68}"/>
    <cellStyle name="Normal 2 4 3 3 2 2 7 3" xfId="21582" xr:uid="{9C4E490B-8127-427B-AA6A-B4092A99F6E3}"/>
    <cellStyle name="Normal 2 4 3 3 2 2 7 4" xfId="30022" xr:uid="{C847E5E6-24F0-4BDE-9D19-3C28B226F05D}"/>
    <cellStyle name="Normal 2 4 3 3 2 2 8" xfId="8924" xr:uid="{93FA8AC4-52C4-439F-A22F-4410D5A9F33F}"/>
    <cellStyle name="Normal 2 4 3 3 2 2 9" xfId="17365" xr:uid="{5D7F9FFA-A58E-445D-BC9C-BAB46829EA64}"/>
    <cellStyle name="Normal 2 4 3 3 2 3" xfId="789" xr:uid="{00000000-0005-0000-0000-0000E60F0000}"/>
    <cellStyle name="Normal 2 4 3 3 2 3 2" xfId="3028" xr:uid="{00000000-0005-0000-0000-0000E70F0000}"/>
    <cellStyle name="Normal 2 4 3 3 2 3 2 2" xfId="7250" xr:uid="{00000000-0005-0000-0000-0000E80F0000}"/>
    <cellStyle name="Normal 2 4 3 3 2 3 2 2 2" xfId="15700" xr:uid="{439B5FC8-0B51-4FFD-B44B-72D4F60EB6E7}"/>
    <cellStyle name="Normal 2 4 3 3 2 3 2 2 3" xfId="24140" xr:uid="{6BBA61EE-3446-4969-AFD3-20B142F7EE0C}"/>
    <cellStyle name="Normal 2 4 3 3 2 3 2 2 4" xfId="32580" xr:uid="{BA3DF42D-8713-4AB1-B991-065FAC786277}"/>
    <cellStyle name="Normal 2 4 3 3 2 3 2 3" xfId="11482" xr:uid="{F8C6A818-9D79-438A-AD15-B14B6D097060}"/>
    <cellStyle name="Normal 2 4 3 3 2 3 2 4" xfId="19923" xr:uid="{4E6FB6FB-7595-4132-A31F-E6E16169A33E}"/>
    <cellStyle name="Normal 2 4 3 3 2 3 2 5" xfId="28363" xr:uid="{3F1D3660-704B-4A0F-920B-7C3B540DDEEF}"/>
    <cellStyle name="Normal 2 4 3 3 2 3 3" xfId="5105" xr:uid="{00000000-0005-0000-0000-0000E90F0000}"/>
    <cellStyle name="Normal 2 4 3 3 2 3 3 2" xfId="13555" xr:uid="{F6387C9B-99B6-40FB-AB0C-0152E9F0A65B}"/>
    <cellStyle name="Normal 2 4 3 3 2 3 3 3" xfId="21995" xr:uid="{1E76CEE7-8195-401B-8404-146DB7A83E72}"/>
    <cellStyle name="Normal 2 4 3 3 2 3 3 4" xfId="30435" xr:uid="{A4830791-3F4A-4101-AFFE-903CB7B1810B}"/>
    <cellStyle name="Normal 2 4 3 3 2 3 4" xfId="9337" xr:uid="{54C2BE9A-A05A-4249-96BC-329F213EABA3}"/>
    <cellStyle name="Normal 2 4 3 3 2 3 5" xfId="17778" xr:uid="{F65E42F7-0231-4987-AAB7-3A866FF9B778}"/>
    <cellStyle name="Normal 2 4 3 3 2 3 6" xfId="26218" xr:uid="{2541C6DE-8F29-4EDE-850E-6AA5D1DE432A}"/>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2 2 2" xfId="16113" xr:uid="{2563D87B-74E9-4246-BA0D-F07B973E9109}"/>
    <cellStyle name="Normal 2 4 3 3 2 4 2 2 3" xfId="24553" xr:uid="{CA9B4296-9F54-43B1-ACA5-E44263C37BC5}"/>
    <cellStyle name="Normal 2 4 3 3 2 4 2 2 4" xfId="32993" xr:uid="{9FC648D1-0119-45A9-95B9-7EF2FAFA4C25}"/>
    <cellStyle name="Normal 2 4 3 3 2 4 2 3" xfId="11895" xr:uid="{B3BDF261-D587-4F1B-8F98-B50956812F90}"/>
    <cellStyle name="Normal 2 4 3 3 2 4 2 4" xfId="20336" xr:uid="{349BEBFF-E7AE-4F66-8F48-6B7D48B84726}"/>
    <cellStyle name="Normal 2 4 3 3 2 4 2 5" xfId="28776" xr:uid="{6BEAC56B-2C76-4E79-B205-2F6134799E80}"/>
    <cellStyle name="Normal 2 4 3 3 2 4 3" xfId="5518" xr:uid="{00000000-0005-0000-0000-0000ED0F0000}"/>
    <cellStyle name="Normal 2 4 3 3 2 4 3 2" xfId="13968" xr:uid="{AED13679-9F5B-4F7E-9C82-FD8F83544076}"/>
    <cellStyle name="Normal 2 4 3 3 2 4 3 3" xfId="22408" xr:uid="{63063CAD-85E9-42D4-AE59-1CE8A0DD1E63}"/>
    <cellStyle name="Normal 2 4 3 3 2 4 3 4" xfId="30848" xr:uid="{62DA8328-96A4-4A12-A60E-BA0F06CA86F7}"/>
    <cellStyle name="Normal 2 4 3 3 2 4 4" xfId="9750" xr:uid="{7C38DB85-CA54-41C9-90EC-783CBFDE7907}"/>
    <cellStyle name="Normal 2 4 3 3 2 4 5" xfId="18191" xr:uid="{331925E2-C4B1-4F43-9908-5E3D2CE2C90F}"/>
    <cellStyle name="Normal 2 4 3 3 2 4 6" xfId="26631" xr:uid="{0D58EA82-F6B6-48E6-8482-CB5A917F6CEF}"/>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2 2 2" xfId="16526" xr:uid="{2ED277FF-34EF-4C63-85A7-572153BC9D98}"/>
    <cellStyle name="Normal 2 4 3 3 2 5 2 2 3" xfId="24966" xr:uid="{6773B0DB-E7D9-4C79-8A4C-9AB223AC1179}"/>
    <cellStyle name="Normal 2 4 3 3 2 5 2 2 4" xfId="33406" xr:uid="{57876C8E-9634-4171-B4E9-79ECA3E15F1C}"/>
    <cellStyle name="Normal 2 4 3 3 2 5 2 3" xfId="12308" xr:uid="{448B911A-3038-4B4A-A497-29E55A331C33}"/>
    <cellStyle name="Normal 2 4 3 3 2 5 2 4" xfId="20749" xr:uid="{44366C26-2916-4A56-87AC-FFC17242EB79}"/>
    <cellStyle name="Normal 2 4 3 3 2 5 2 5" xfId="29189" xr:uid="{B1851D62-0663-4A96-84A1-EA239D4F3F8B}"/>
    <cellStyle name="Normal 2 4 3 3 2 5 3" xfId="5931" xr:uid="{00000000-0005-0000-0000-0000F10F0000}"/>
    <cellStyle name="Normal 2 4 3 3 2 5 3 2" xfId="14381" xr:uid="{08BE203F-7FD3-4C33-B352-251882767C9F}"/>
    <cellStyle name="Normal 2 4 3 3 2 5 3 3" xfId="22821" xr:uid="{D793BD23-FDF0-4603-B9EC-25BC3A542EB8}"/>
    <cellStyle name="Normal 2 4 3 3 2 5 3 4" xfId="31261" xr:uid="{6404712B-48A6-4F2C-8E0A-0858012F5162}"/>
    <cellStyle name="Normal 2 4 3 3 2 5 4" xfId="10163" xr:uid="{E961ADC2-3A15-4219-92A8-33C9775E76E3}"/>
    <cellStyle name="Normal 2 4 3 3 2 5 5" xfId="18604" xr:uid="{51AE2BEB-95DE-4D05-9ED0-3D05B9434C92}"/>
    <cellStyle name="Normal 2 4 3 3 2 5 6" xfId="27044" xr:uid="{8B5F2CA2-C342-4B7E-B1B5-D5B715A0558F}"/>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2 2 2" xfId="16939" xr:uid="{7C52350E-7CE5-4E87-B0E5-818051C07DB7}"/>
    <cellStyle name="Normal 2 4 3 3 2 6 2 2 3" xfId="25379" xr:uid="{57067AA0-9C7A-4AB3-B053-035F705C27DD}"/>
    <cellStyle name="Normal 2 4 3 3 2 6 2 2 4" xfId="33819" xr:uid="{E4B0D843-931C-41F0-B7CD-E8148EC8F97B}"/>
    <cellStyle name="Normal 2 4 3 3 2 6 2 3" xfId="12721" xr:uid="{8CEFF36F-C51D-4C77-AE45-2F127E302464}"/>
    <cellStyle name="Normal 2 4 3 3 2 6 2 4" xfId="21162" xr:uid="{69CD2D94-862A-44C4-BBAB-651F5BCC6D47}"/>
    <cellStyle name="Normal 2 4 3 3 2 6 2 5" xfId="29602" xr:uid="{093D6212-3DF5-46BD-B6F8-748239335A65}"/>
    <cellStyle name="Normal 2 4 3 3 2 6 3" xfId="6344" xr:uid="{00000000-0005-0000-0000-0000F50F0000}"/>
    <cellStyle name="Normal 2 4 3 3 2 6 3 2" xfId="14794" xr:uid="{61E23B16-A961-4203-BFD4-0A26985BFE8A}"/>
    <cellStyle name="Normal 2 4 3 3 2 6 3 3" xfId="23234" xr:uid="{78270C80-12AF-4B70-AC10-0C2A4C95C625}"/>
    <cellStyle name="Normal 2 4 3 3 2 6 3 4" xfId="31674" xr:uid="{C898546C-F527-48BE-BE70-00900B6D62B4}"/>
    <cellStyle name="Normal 2 4 3 3 2 6 4" xfId="10576" xr:uid="{83AB5C33-F34D-4FDF-B9E0-B833724CC8BF}"/>
    <cellStyle name="Normal 2 4 3 3 2 6 5" xfId="19017" xr:uid="{8235768F-4209-4792-A954-D9D84E87055D}"/>
    <cellStyle name="Normal 2 4 3 3 2 6 6" xfId="27457" xr:uid="{038E0C20-D533-4BEF-B801-A12426F92BA6}"/>
    <cellStyle name="Normal 2 4 3 3 2 7" xfId="2474" xr:uid="{00000000-0005-0000-0000-0000F60F0000}"/>
    <cellStyle name="Normal 2 4 3 3 2 7 2" xfId="6757" xr:uid="{00000000-0005-0000-0000-0000F70F0000}"/>
    <cellStyle name="Normal 2 4 3 3 2 7 2 2" xfId="15207" xr:uid="{C4A544D2-C9B7-4414-A8F1-201F96C5F007}"/>
    <cellStyle name="Normal 2 4 3 3 2 7 2 3" xfId="23647" xr:uid="{81CAC6AA-01E4-46AC-BCF3-798C8192F8D3}"/>
    <cellStyle name="Normal 2 4 3 3 2 7 2 4" xfId="32087" xr:uid="{FB824A0C-8FB1-4368-8377-EAD1A1E69294}"/>
    <cellStyle name="Normal 2 4 3 3 2 7 3" xfId="10989" xr:uid="{A3843CBA-3616-4519-9BFB-DCA206F26EA6}"/>
    <cellStyle name="Normal 2 4 3 3 2 7 4" xfId="19430" xr:uid="{41A28DDD-2B5F-4CB8-BB0B-085954CFF985}"/>
    <cellStyle name="Normal 2 4 3 3 2 7 5" xfId="27870" xr:uid="{218C2B53-8E48-4731-A9C9-725789F48EB7}"/>
    <cellStyle name="Normal 2 4 3 3 2 8" xfId="4691" xr:uid="{00000000-0005-0000-0000-0000F80F0000}"/>
    <cellStyle name="Normal 2 4 3 3 2 8 2" xfId="13141" xr:uid="{EA0050A3-B8B6-4E6F-B574-2EF7997AB77B}"/>
    <cellStyle name="Normal 2 4 3 3 2 8 3" xfId="21581" xr:uid="{78DF968B-2B10-4530-96B6-21149B144CEE}"/>
    <cellStyle name="Normal 2 4 3 3 2 8 4" xfId="30021" xr:uid="{5AC04343-D003-4176-A2AB-775D3ECFC5C3}"/>
    <cellStyle name="Normal 2 4 3 3 2 9" xfId="8923" xr:uid="{C7897ECD-A0D3-4A2F-98BE-DEC1FBCC59F4}"/>
    <cellStyle name="Normal 2 4 3 3 3" xfId="301" xr:uid="{00000000-0005-0000-0000-0000F90F0000}"/>
    <cellStyle name="Normal 2 4 3 3 3 10" xfId="25806" xr:uid="{6AC59ABC-9B96-462B-A256-5ADCCB9950D6}"/>
    <cellStyle name="Normal 2 4 3 3 3 2" xfId="791" xr:uid="{00000000-0005-0000-0000-0000FA0F0000}"/>
    <cellStyle name="Normal 2 4 3 3 3 2 2" xfId="3030" xr:uid="{00000000-0005-0000-0000-0000FB0F0000}"/>
    <cellStyle name="Normal 2 4 3 3 3 2 2 2" xfId="7252" xr:uid="{00000000-0005-0000-0000-0000FC0F0000}"/>
    <cellStyle name="Normal 2 4 3 3 3 2 2 2 2" xfId="15702" xr:uid="{A96982D5-6830-4E28-B567-151404E47BD2}"/>
    <cellStyle name="Normal 2 4 3 3 3 2 2 2 3" xfId="24142" xr:uid="{C5928A2C-AF16-4E3A-A521-8FB49B480F97}"/>
    <cellStyle name="Normal 2 4 3 3 3 2 2 2 4" xfId="32582" xr:uid="{9ECE8C17-43E1-4671-A560-2A3975DDAF9B}"/>
    <cellStyle name="Normal 2 4 3 3 3 2 2 3" xfId="11484" xr:uid="{45FD142C-10EB-4E19-9594-B06EA72C4B6F}"/>
    <cellStyle name="Normal 2 4 3 3 3 2 2 4" xfId="19925" xr:uid="{BB27A67C-6597-4BAB-884F-07FDF7B9666B}"/>
    <cellStyle name="Normal 2 4 3 3 3 2 2 5" xfId="28365" xr:uid="{ACC58B68-4971-4A50-8123-9E858E19071D}"/>
    <cellStyle name="Normal 2 4 3 3 3 2 3" xfId="5107" xr:uid="{00000000-0005-0000-0000-0000FD0F0000}"/>
    <cellStyle name="Normal 2 4 3 3 3 2 3 2" xfId="13557" xr:uid="{2AC7FEC3-116F-4949-BDFA-03D7CE8D81DD}"/>
    <cellStyle name="Normal 2 4 3 3 3 2 3 3" xfId="21997" xr:uid="{50CF9691-665B-4C59-889C-D41E15DA4180}"/>
    <cellStyle name="Normal 2 4 3 3 3 2 3 4" xfId="30437" xr:uid="{0DBF1D5E-E8D0-4D98-884A-8091E25D2AC3}"/>
    <cellStyle name="Normal 2 4 3 3 3 2 4" xfId="9339" xr:uid="{D7E3BD81-7596-46A7-A4CB-27A0E6F1D9B7}"/>
    <cellStyle name="Normal 2 4 3 3 3 2 5" xfId="17780" xr:uid="{F1B8B5EF-6EA2-4A96-919A-157A61B51EC6}"/>
    <cellStyle name="Normal 2 4 3 3 3 2 6" xfId="26220" xr:uid="{60D0636F-F4FD-4C0E-878B-1D596162ADE2}"/>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2 2 2" xfId="16115" xr:uid="{F769E34D-2683-4979-AB78-50F0D2EAFEB2}"/>
    <cellStyle name="Normal 2 4 3 3 3 3 2 2 3" xfId="24555" xr:uid="{A2A0E7B8-7441-4E0C-A84C-B2B1661F8C6B}"/>
    <cellStyle name="Normal 2 4 3 3 3 3 2 2 4" xfId="32995" xr:uid="{AAE7FB4D-E254-4260-801E-0642B695F3B7}"/>
    <cellStyle name="Normal 2 4 3 3 3 3 2 3" xfId="11897" xr:uid="{893F5127-E618-4A8A-A99D-D13E397FCFF8}"/>
    <cellStyle name="Normal 2 4 3 3 3 3 2 4" xfId="20338" xr:uid="{0C2D3498-454D-4F2A-9A88-A158B614378D}"/>
    <cellStyle name="Normal 2 4 3 3 3 3 2 5" xfId="28778" xr:uid="{E05DA228-9CBC-4C52-B942-EA3F85DDD0D1}"/>
    <cellStyle name="Normal 2 4 3 3 3 3 3" xfId="5520" xr:uid="{00000000-0005-0000-0000-000001100000}"/>
    <cellStyle name="Normal 2 4 3 3 3 3 3 2" xfId="13970" xr:uid="{891A3398-81C1-4C62-8A44-24207A33617F}"/>
    <cellStyle name="Normal 2 4 3 3 3 3 3 3" xfId="22410" xr:uid="{FA43C710-5779-4345-BC0F-EAEC8071E95B}"/>
    <cellStyle name="Normal 2 4 3 3 3 3 3 4" xfId="30850" xr:uid="{E6867AAC-B06F-4DC7-9657-93FD540A6B8E}"/>
    <cellStyle name="Normal 2 4 3 3 3 3 4" xfId="9752" xr:uid="{B68C30F0-BFF8-4CD3-BB2E-BCE4ABD4E1D3}"/>
    <cellStyle name="Normal 2 4 3 3 3 3 5" xfId="18193" xr:uid="{BA5543DB-E330-40C7-8CC7-F8BC328DEE2D}"/>
    <cellStyle name="Normal 2 4 3 3 3 3 6" xfId="26633" xr:uid="{F6B78D82-B32E-40F5-8129-71AF73C95943}"/>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2 2 2" xfId="16528" xr:uid="{25FE1CED-1402-497A-B09E-FEAFB2DDB278}"/>
    <cellStyle name="Normal 2 4 3 3 3 4 2 2 3" xfId="24968" xr:uid="{9A002F97-7422-4011-A482-2BE1BEC78231}"/>
    <cellStyle name="Normal 2 4 3 3 3 4 2 2 4" xfId="33408" xr:uid="{069AF1DB-4604-4C34-A1BF-BF3424048995}"/>
    <cellStyle name="Normal 2 4 3 3 3 4 2 3" xfId="12310" xr:uid="{7A7C49E4-E3E0-450D-90F9-D0BFBCA4252A}"/>
    <cellStyle name="Normal 2 4 3 3 3 4 2 4" xfId="20751" xr:uid="{A552D026-4269-4D1A-839E-BAD03A92CEF0}"/>
    <cellStyle name="Normal 2 4 3 3 3 4 2 5" xfId="29191" xr:uid="{A1EA826D-E558-4A37-B7EF-BE01EC1FD26A}"/>
    <cellStyle name="Normal 2 4 3 3 3 4 3" xfId="5933" xr:uid="{00000000-0005-0000-0000-000005100000}"/>
    <cellStyle name="Normal 2 4 3 3 3 4 3 2" xfId="14383" xr:uid="{C6F8A9A6-9C98-4BE1-AEB9-29A491C2DBEC}"/>
    <cellStyle name="Normal 2 4 3 3 3 4 3 3" xfId="22823" xr:uid="{CE54FBC9-5292-4D33-AB30-138EF7456197}"/>
    <cellStyle name="Normal 2 4 3 3 3 4 3 4" xfId="31263" xr:uid="{112D85E3-F62B-4899-BA2B-450CD7E95D3D}"/>
    <cellStyle name="Normal 2 4 3 3 3 4 4" xfId="10165" xr:uid="{1D4428B8-41CF-41F0-B0F0-D26ECBD5DD09}"/>
    <cellStyle name="Normal 2 4 3 3 3 4 5" xfId="18606" xr:uid="{09CE580F-338E-4F04-9CCF-93F426FBA19A}"/>
    <cellStyle name="Normal 2 4 3 3 3 4 6" xfId="27046" xr:uid="{35399A5B-7A16-4922-9A86-1C33A1C8A8B6}"/>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2 2 2" xfId="16941" xr:uid="{ECC137EB-6AB9-45B9-9E91-0E2449D7C76A}"/>
    <cellStyle name="Normal 2 4 3 3 3 5 2 2 3" xfId="25381" xr:uid="{EE1AF785-5A0D-4F77-886C-1051F42AF7FD}"/>
    <cellStyle name="Normal 2 4 3 3 3 5 2 2 4" xfId="33821" xr:uid="{6A8A89D7-DB09-4031-87E9-8209513A089A}"/>
    <cellStyle name="Normal 2 4 3 3 3 5 2 3" xfId="12723" xr:uid="{B328C895-3D3C-435B-BEAB-C3FA506B2DA7}"/>
    <cellStyle name="Normal 2 4 3 3 3 5 2 4" xfId="21164" xr:uid="{CA34D3B0-B19C-4E6F-B525-9FA0E9415C23}"/>
    <cellStyle name="Normal 2 4 3 3 3 5 2 5" xfId="29604" xr:uid="{8221159F-9593-46FD-B379-77A2B95F521D}"/>
    <cellStyle name="Normal 2 4 3 3 3 5 3" xfId="6346" xr:uid="{00000000-0005-0000-0000-000009100000}"/>
    <cellStyle name="Normal 2 4 3 3 3 5 3 2" xfId="14796" xr:uid="{E895A4E6-17E3-4191-8813-A05D0414BC09}"/>
    <cellStyle name="Normal 2 4 3 3 3 5 3 3" xfId="23236" xr:uid="{C04EF7A3-163E-4C10-A27B-E45CC0073E29}"/>
    <cellStyle name="Normal 2 4 3 3 3 5 3 4" xfId="31676" xr:uid="{5CA4E8EB-8C0F-4EC8-8570-2DD21F3A42CC}"/>
    <cellStyle name="Normal 2 4 3 3 3 5 4" xfId="10578" xr:uid="{D3621616-27FD-4109-8EBE-3FDEB4E65647}"/>
    <cellStyle name="Normal 2 4 3 3 3 5 5" xfId="19019" xr:uid="{EA0A9428-8BE1-4741-B2E9-1298202D1172}"/>
    <cellStyle name="Normal 2 4 3 3 3 5 6" xfId="27459" xr:uid="{545C5E8D-DFA6-48B7-9D25-82CA58EC60CD}"/>
    <cellStyle name="Normal 2 4 3 3 3 6" xfId="2476" xr:uid="{00000000-0005-0000-0000-00000A100000}"/>
    <cellStyle name="Normal 2 4 3 3 3 6 2" xfId="6759" xr:uid="{00000000-0005-0000-0000-00000B100000}"/>
    <cellStyle name="Normal 2 4 3 3 3 6 2 2" xfId="15209" xr:uid="{23423EB2-FEC3-4B6E-A7D6-B8D667C93E77}"/>
    <cellStyle name="Normal 2 4 3 3 3 6 2 3" xfId="23649" xr:uid="{921F787C-2C8F-4D64-BA05-86374478F338}"/>
    <cellStyle name="Normal 2 4 3 3 3 6 2 4" xfId="32089" xr:uid="{1E44672B-822D-4E74-9869-379F75427629}"/>
    <cellStyle name="Normal 2 4 3 3 3 6 3" xfId="10991" xr:uid="{1F1B805C-8683-4208-BC69-F695CE3E8601}"/>
    <cellStyle name="Normal 2 4 3 3 3 6 4" xfId="19432" xr:uid="{9B6E5B66-629F-4112-BA3A-3E23A3F88EF6}"/>
    <cellStyle name="Normal 2 4 3 3 3 6 5" xfId="27872" xr:uid="{86C6A632-349D-4E6F-92A4-6EF197427646}"/>
    <cellStyle name="Normal 2 4 3 3 3 7" xfId="4693" xr:uid="{00000000-0005-0000-0000-00000C100000}"/>
    <cellStyle name="Normal 2 4 3 3 3 7 2" xfId="13143" xr:uid="{8C114C29-D44C-4179-9776-3485C1866A2F}"/>
    <cellStyle name="Normal 2 4 3 3 3 7 3" xfId="21583" xr:uid="{C0B1BEB6-0366-465A-A375-1FADF92A5638}"/>
    <cellStyle name="Normal 2 4 3 3 3 7 4" xfId="30023" xr:uid="{B197D286-A41C-4C13-9FBB-351EF3ADCC1E}"/>
    <cellStyle name="Normal 2 4 3 3 3 8" xfId="8925" xr:uid="{8B9292C0-038C-46D0-8BE5-4049B0B9E522}"/>
    <cellStyle name="Normal 2 4 3 3 3 9" xfId="17366" xr:uid="{E7502B95-DA9D-4AA7-BB37-35D857FA9800}"/>
    <cellStyle name="Normal 2 4 3 3 4" xfId="788" xr:uid="{00000000-0005-0000-0000-00000D100000}"/>
    <cellStyle name="Normal 2 4 3 3 4 2" xfId="3027" xr:uid="{00000000-0005-0000-0000-00000E100000}"/>
    <cellStyle name="Normal 2 4 3 3 4 2 2" xfId="7249" xr:uid="{00000000-0005-0000-0000-00000F100000}"/>
    <cellStyle name="Normal 2 4 3 3 4 2 2 2" xfId="15699" xr:uid="{DABF8DA8-7EE0-4DD3-B9DB-D6AFDCDE2727}"/>
    <cellStyle name="Normal 2 4 3 3 4 2 2 3" xfId="24139" xr:uid="{FCCB13D7-2C9C-44B3-99D1-9983E9B13A79}"/>
    <cellStyle name="Normal 2 4 3 3 4 2 2 4" xfId="32579" xr:uid="{2908D569-8835-4315-8A1A-82168474A95D}"/>
    <cellStyle name="Normal 2 4 3 3 4 2 3" xfId="11481" xr:uid="{D86A9C2C-86DB-4CAA-9A5C-14761811AAAA}"/>
    <cellStyle name="Normal 2 4 3 3 4 2 4" xfId="19922" xr:uid="{056A4C0C-FDB9-489F-99CF-F079A5D45839}"/>
    <cellStyle name="Normal 2 4 3 3 4 2 5" xfId="28362" xr:uid="{59E7323B-5171-4727-8773-D02664276967}"/>
    <cellStyle name="Normal 2 4 3 3 4 3" xfId="5104" xr:uid="{00000000-0005-0000-0000-000010100000}"/>
    <cellStyle name="Normal 2 4 3 3 4 3 2" xfId="13554" xr:uid="{83129609-14C8-42BF-9527-13B510A58E7C}"/>
    <cellStyle name="Normal 2 4 3 3 4 3 3" xfId="21994" xr:uid="{8DCF3F90-74B6-447A-B17A-F1F8DD675865}"/>
    <cellStyle name="Normal 2 4 3 3 4 3 4" xfId="30434" xr:uid="{0B2FB0F8-63A5-45E3-BA1F-42FCCCE55D0F}"/>
    <cellStyle name="Normal 2 4 3 3 4 4" xfId="9336" xr:uid="{1CAB9C79-C5AF-449B-832F-108ECB51E11E}"/>
    <cellStyle name="Normal 2 4 3 3 4 5" xfId="17777" xr:uid="{2FF7D8FD-B70D-4D55-BBE9-7301F5F5F993}"/>
    <cellStyle name="Normal 2 4 3 3 4 6" xfId="26217" xr:uid="{F30314F9-642A-42A6-B4FD-33EB3FB05A5E}"/>
    <cellStyle name="Normal 2 4 3 3 5" xfId="1210" xr:uid="{00000000-0005-0000-0000-000011100000}"/>
    <cellStyle name="Normal 2 4 3 3 5 2" xfId="3440" xr:uid="{00000000-0005-0000-0000-000012100000}"/>
    <cellStyle name="Normal 2 4 3 3 5 2 2" xfId="7662" xr:uid="{00000000-0005-0000-0000-000013100000}"/>
    <cellStyle name="Normal 2 4 3 3 5 2 2 2" xfId="16112" xr:uid="{945DE5A8-2EFC-492D-A6ED-DA5722A9AE15}"/>
    <cellStyle name="Normal 2 4 3 3 5 2 2 3" xfId="24552" xr:uid="{97A7E920-AD7E-4F55-B52D-CE590040EA8B}"/>
    <cellStyle name="Normal 2 4 3 3 5 2 2 4" xfId="32992" xr:uid="{54390AFA-CA58-4A7F-82C9-907E267FFFD6}"/>
    <cellStyle name="Normal 2 4 3 3 5 2 3" xfId="11894" xr:uid="{CD776FFE-44FE-43DC-B391-4D1B2394BFEB}"/>
    <cellStyle name="Normal 2 4 3 3 5 2 4" xfId="20335" xr:uid="{1CC7CCAD-229E-437B-ACC4-7D7A0EE58467}"/>
    <cellStyle name="Normal 2 4 3 3 5 2 5" xfId="28775" xr:uid="{FC5AC4D8-21AE-439C-8C54-DE8B483D5BF7}"/>
    <cellStyle name="Normal 2 4 3 3 5 3" xfId="5517" xr:uid="{00000000-0005-0000-0000-000014100000}"/>
    <cellStyle name="Normal 2 4 3 3 5 3 2" xfId="13967" xr:uid="{37B91857-E834-422D-BA1F-91183A4D2355}"/>
    <cellStyle name="Normal 2 4 3 3 5 3 3" xfId="22407" xr:uid="{E10784B8-9AE2-4B55-A01F-F4496BCD9506}"/>
    <cellStyle name="Normal 2 4 3 3 5 3 4" xfId="30847" xr:uid="{CB7D92CC-9B2F-4978-AD83-8485245020BF}"/>
    <cellStyle name="Normal 2 4 3 3 5 4" xfId="9749" xr:uid="{E919A1B5-94ED-4C7C-B37D-0C7BD648D0BB}"/>
    <cellStyle name="Normal 2 4 3 3 5 5" xfId="18190" xr:uid="{6343F918-C65F-4AD7-A102-10E3CF6C5BE3}"/>
    <cellStyle name="Normal 2 4 3 3 5 6" xfId="26630" xr:uid="{CA3F8950-6169-4723-A343-E92F5EA7E9F0}"/>
    <cellStyle name="Normal 2 4 3 3 6" xfId="1623" xr:uid="{00000000-0005-0000-0000-000015100000}"/>
    <cellStyle name="Normal 2 4 3 3 6 2" xfId="3853" xr:uid="{00000000-0005-0000-0000-000016100000}"/>
    <cellStyle name="Normal 2 4 3 3 6 2 2" xfId="8075" xr:uid="{00000000-0005-0000-0000-000017100000}"/>
    <cellStyle name="Normal 2 4 3 3 6 2 2 2" xfId="16525" xr:uid="{80261908-C889-409D-9A83-ACA10DF66D07}"/>
    <cellStyle name="Normal 2 4 3 3 6 2 2 3" xfId="24965" xr:uid="{E006D544-3F3D-4941-85F6-E48485AFB0DB}"/>
    <cellStyle name="Normal 2 4 3 3 6 2 2 4" xfId="33405" xr:uid="{3EA9B263-526C-45DA-A81A-BB9AA9AD89B4}"/>
    <cellStyle name="Normal 2 4 3 3 6 2 3" xfId="12307" xr:uid="{BFF82260-1EAA-4B46-A28D-FADE9127FB2B}"/>
    <cellStyle name="Normal 2 4 3 3 6 2 4" xfId="20748" xr:uid="{5402A8C4-6FF3-4720-A58F-126F9CAF6137}"/>
    <cellStyle name="Normal 2 4 3 3 6 2 5" xfId="29188" xr:uid="{971DD8B4-269D-43A3-9716-01C02A0DBC7F}"/>
    <cellStyle name="Normal 2 4 3 3 6 3" xfId="5930" xr:uid="{00000000-0005-0000-0000-000018100000}"/>
    <cellStyle name="Normal 2 4 3 3 6 3 2" xfId="14380" xr:uid="{1CB66605-D2AE-4E27-B6D4-C638254C8865}"/>
    <cellStyle name="Normal 2 4 3 3 6 3 3" xfId="22820" xr:uid="{DA56CEE7-F2F9-4D57-BDEC-6EBFBD4AABB7}"/>
    <cellStyle name="Normal 2 4 3 3 6 3 4" xfId="31260" xr:uid="{50CC39ED-999D-4D16-A727-5EF1ABD188CD}"/>
    <cellStyle name="Normal 2 4 3 3 6 4" xfId="10162" xr:uid="{8494EDB9-785A-431A-AD63-0BDA89339348}"/>
    <cellStyle name="Normal 2 4 3 3 6 5" xfId="18603" xr:uid="{6C4A72EF-7CA9-47C4-AB0E-B9616865F87F}"/>
    <cellStyle name="Normal 2 4 3 3 6 6" xfId="27043" xr:uid="{E9E40D7B-45D3-4FAD-B77D-C08CB74DAE62}"/>
    <cellStyle name="Normal 2 4 3 3 7" xfId="2037" xr:uid="{00000000-0005-0000-0000-000019100000}"/>
    <cellStyle name="Normal 2 4 3 3 7 2" xfId="4266" xr:uid="{00000000-0005-0000-0000-00001A100000}"/>
    <cellStyle name="Normal 2 4 3 3 7 2 2" xfId="8488" xr:uid="{00000000-0005-0000-0000-00001B100000}"/>
    <cellStyle name="Normal 2 4 3 3 7 2 2 2" xfId="16938" xr:uid="{C2D18C83-D313-467B-9D56-0B9FC15274C7}"/>
    <cellStyle name="Normal 2 4 3 3 7 2 2 3" xfId="25378" xr:uid="{D5409425-3405-4E60-8CBF-7456780B4965}"/>
    <cellStyle name="Normal 2 4 3 3 7 2 2 4" xfId="33818" xr:uid="{60E3930A-7D78-4F4D-933D-F549AA1A6CB6}"/>
    <cellStyle name="Normal 2 4 3 3 7 2 3" xfId="12720" xr:uid="{2FEB9993-2631-4AC8-9F98-7088940E121F}"/>
    <cellStyle name="Normal 2 4 3 3 7 2 4" xfId="21161" xr:uid="{9022B26A-7DCE-4E1F-85BF-7D0008E40C53}"/>
    <cellStyle name="Normal 2 4 3 3 7 2 5" xfId="29601" xr:uid="{4561A746-D989-4D99-B794-D88DCE6F1AAB}"/>
    <cellStyle name="Normal 2 4 3 3 7 3" xfId="6343" xr:uid="{00000000-0005-0000-0000-00001C100000}"/>
    <cellStyle name="Normal 2 4 3 3 7 3 2" xfId="14793" xr:uid="{147B1C34-A8B8-463C-A2FD-CF3E109FA59E}"/>
    <cellStyle name="Normal 2 4 3 3 7 3 3" xfId="23233" xr:uid="{004118D3-7A0B-478C-8356-C9F3E894E94B}"/>
    <cellStyle name="Normal 2 4 3 3 7 3 4" xfId="31673" xr:uid="{D1632C60-7EFA-44CF-A80B-BF20480BB696}"/>
    <cellStyle name="Normal 2 4 3 3 7 4" xfId="10575" xr:uid="{8A2321A2-F354-4535-A2FC-73CB84D47F2F}"/>
    <cellStyle name="Normal 2 4 3 3 7 5" xfId="19016" xr:uid="{0E79004D-764C-40C9-9868-434DB5AD646E}"/>
    <cellStyle name="Normal 2 4 3 3 7 6" xfId="27456" xr:uid="{0ED62349-741F-4133-9404-E7D09355A108}"/>
    <cellStyle name="Normal 2 4 3 3 8" xfId="2473" xr:uid="{00000000-0005-0000-0000-00001D100000}"/>
    <cellStyle name="Normal 2 4 3 3 8 2" xfId="6756" xr:uid="{00000000-0005-0000-0000-00001E100000}"/>
    <cellStyle name="Normal 2 4 3 3 8 2 2" xfId="15206" xr:uid="{AF487EB0-F623-4460-A823-0F99B51F3CA4}"/>
    <cellStyle name="Normal 2 4 3 3 8 2 3" xfId="23646" xr:uid="{4093854A-D9E8-4F08-B770-BC4CC1B30CAB}"/>
    <cellStyle name="Normal 2 4 3 3 8 2 4" xfId="32086" xr:uid="{5D62EC7D-1F13-45E6-8770-1900AEDAF55B}"/>
    <cellStyle name="Normal 2 4 3 3 8 3" xfId="10988" xr:uid="{3318DA4E-1E9C-4264-BEF6-32E9D6630BEB}"/>
    <cellStyle name="Normal 2 4 3 3 8 4" xfId="19429" xr:uid="{505E7CF2-AC85-4275-B47F-002878F57380}"/>
    <cellStyle name="Normal 2 4 3 3 8 5" xfId="27869" xr:uid="{7B3EDE6C-04DA-4E77-BAC2-BFE17E91B6FC}"/>
    <cellStyle name="Normal 2 4 3 3 9" xfId="4690" xr:uid="{00000000-0005-0000-0000-00001F100000}"/>
    <cellStyle name="Normal 2 4 3 3 9 2" xfId="13140" xr:uid="{11400347-4DF7-4BA8-826E-1819F045CEE4}"/>
    <cellStyle name="Normal 2 4 3 3 9 3" xfId="21580" xr:uid="{A2BF84BF-39A9-4999-B471-BD7CC6C0CF3C}"/>
    <cellStyle name="Normal 2 4 3 3 9 4" xfId="30020" xr:uid="{E990ABAE-0E21-4A97-B310-F2D06015AF8E}"/>
    <cellStyle name="Normal 2 4 3 4" xfId="787" xr:uid="{00000000-0005-0000-0000-000020100000}"/>
    <cellStyle name="Normal 2 4 3 4 2" xfId="3026" xr:uid="{00000000-0005-0000-0000-000021100000}"/>
    <cellStyle name="Normal 2 4 3 4 2 2" xfId="7248" xr:uid="{00000000-0005-0000-0000-000022100000}"/>
    <cellStyle name="Normal 2 4 3 4 2 2 2" xfId="15698" xr:uid="{D9EDA658-501D-4DF1-BA58-A968C527FCEE}"/>
    <cellStyle name="Normal 2 4 3 4 2 2 3" xfId="24138" xr:uid="{4DB8E6EC-D835-43B6-BB1F-3009AB9764D0}"/>
    <cellStyle name="Normal 2 4 3 4 2 2 4" xfId="32578" xr:uid="{6353519F-E42E-4782-A018-E70293E2D5E4}"/>
    <cellStyle name="Normal 2 4 3 4 2 3" xfId="11480" xr:uid="{1609DD9B-6932-438C-8DC1-3265A05968B3}"/>
    <cellStyle name="Normal 2 4 3 4 2 4" xfId="19921" xr:uid="{24C8D08E-3B4B-4B0A-B480-178E9A43E869}"/>
    <cellStyle name="Normal 2 4 3 4 2 5" xfId="28361" xr:uid="{1B3B2290-6F24-4E5A-8E32-28FF639DC96A}"/>
    <cellStyle name="Normal 2 4 3 4 3" xfId="5103" xr:uid="{00000000-0005-0000-0000-000023100000}"/>
    <cellStyle name="Normal 2 4 3 4 3 2" xfId="13553" xr:uid="{4E7E7ACE-D54D-4EEF-9AAE-87E326950752}"/>
    <cellStyle name="Normal 2 4 3 4 3 3" xfId="21993" xr:uid="{0E2CB18D-12DC-4200-AAB0-C058905DFA3F}"/>
    <cellStyle name="Normal 2 4 3 4 3 4" xfId="30433" xr:uid="{EF0DCA42-C579-4A90-BB5B-330A16A8C430}"/>
    <cellStyle name="Normal 2 4 3 4 4" xfId="9335" xr:uid="{90E92672-DC0C-45CE-8D0F-75D000B26400}"/>
    <cellStyle name="Normal 2 4 3 4 5" xfId="17776" xr:uid="{54F47860-DF32-4673-8C61-D14CBC864D59}"/>
    <cellStyle name="Normal 2 4 3 4 6" xfId="26216" xr:uid="{4818DE69-7951-4AB3-B639-740561C4112F}"/>
    <cellStyle name="Normal 2 4 3 5" xfId="1209" xr:uid="{00000000-0005-0000-0000-000024100000}"/>
    <cellStyle name="Normal 2 4 3 5 2" xfId="3439" xr:uid="{00000000-0005-0000-0000-000025100000}"/>
    <cellStyle name="Normal 2 4 3 5 2 2" xfId="7661" xr:uid="{00000000-0005-0000-0000-000026100000}"/>
    <cellStyle name="Normal 2 4 3 5 2 2 2" xfId="16111" xr:uid="{6AC0749B-B61C-4771-B42B-B78F893806F9}"/>
    <cellStyle name="Normal 2 4 3 5 2 2 3" xfId="24551" xr:uid="{8DB94A95-336E-44A3-88DC-059B5E2EAACE}"/>
    <cellStyle name="Normal 2 4 3 5 2 2 4" xfId="32991" xr:uid="{551D375A-C876-4204-A4AF-46BC3D21E2DD}"/>
    <cellStyle name="Normal 2 4 3 5 2 3" xfId="11893" xr:uid="{8C65E598-18B6-409D-A87C-5DCE7E351803}"/>
    <cellStyle name="Normal 2 4 3 5 2 4" xfId="20334" xr:uid="{2E631A44-73BE-40AC-B037-6C6E0121A31F}"/>
    <cellStyle name="Normal 2 4 3 5 2 5" xfId="28774" xr:uid="{8C9EADAC-8A4C-4A83-989A-6E0A498AA6BB}"/>
    <cellStyle name="Normal 2 4 3 5 3" xfId="5516" xr:uid="{00000000-0005-0000-0000-000027100000}"/>
    <cellStyle name="Normal 2 4 3 5 3 2" xfId="13966" xr:uid="{2134B78A-0225-4867-BFAC-B2C408D9139B}"/>
    <cellStyle name="Normal 2 4 3 5 3 3" xfId="22406" xr:uid="{01FA6B48-14FE-4110-ACD2-C4688479507F}"/>
    <cellStyle name="Normal 2 4 3 5 3 4" xfId="30846" xr:uid="{A2127A30-D7D7-4E22-8F2F-6300FF062F66}"/>
    <cellStyle name="Normal 2 4 3 5 4" xfId="9748" xr:uid="{56FD3A15-944C-46DC-A63E-9FCF14018180}"/>
    <cellStyle name="Normal 2 4 3 5 5" xfId="18189" xr:uid="{8F355169-183E-44C4-8299-6657789F0B78}"/>
    <cellStyle name="Normal 2 4 3 5 6" xfId="26629" xr:uid="{CE0158CB-F1FF-4487-8C3F-14E899FDC770}"/>
    <cellStyle name="Normal 2 4 3 6" xfId="1622" xr:uid="{00000000-0005-0000-0000-000028100000}"/>
    <cellStyle name="Normal 2 4 3 6 2" xfId="3852" xr:uid="{00000000-0005-0000-0000-000029100000}"/>
    <cellStyle name="Normal 2 4 3 6 2 2" xfId="8074" xr:uid="{00000000-0005-0000-0000-00002A100000}"/>
    <cellStyle name="Normal 2 4 3 6 2 2 2" xfId="16524" xr:uid="{9BB3A564-34FB-4A53-BE0A-36F2D033EBDA}"/>
    <cellStyle name="Normal 2 4 3 6 2 2 3" xfId="24964" xr:uid="{533144BE-46EB-4A34-8203-101367C9AA44}"/>
    <cellStyle name="Normal 2 4 3 6 2 2 4" xfId="33404" xr:uid="{D0CA79E3-C4F7-49B8-B55D-85BA444A4019}"/>
    <cellStyle name="Normal 2 4 3 6 2 3" xfId="12306" xr:uid="{E3F33F4E-0735-41BC-AF13-D2CD5319430B}"/>
    <cellStyle name="Normal 2 4 3 6 2 4" xfId="20747" xr:uid="{D83B1B0B-FB5F-4B5C-9658-A4142057ED6F}"/>
    <cellStyle name="Normal 2 4 3 6 2 5" xfId="29187" xr:uid="{39DB410D-68B6-4B4C-BE28-D2509C2B93E5}"/>
    <cellStyle name="Normal 2 4 3 6 3" xfId="5929" xr:uid="{00000000-0005-0000-0000-00002B100000}"/>
    <cellStyle name="Normal 2 4 3 6 3 2" xfId="14379" xr:uid="{94F5C33E-4F0B-4B5E-BEED-9F03C9035FBE}"/>
    <cellStyle name="Normal 2 4 3 6 3 3" xfId="22819" xr:uid="{58D8D739-E743-44E4-A9FC-4D9178846524}"/>
    <cellStyle name="Normal 2 4 3 6 3 4" xfId="31259" xr:uid="{C5E7D9F1-97FB-410D-9326-6AD8125707EE}"/>
    <cellStyle name="Normal 2 4 3 6 4" xfId="10161" xr:uid="{F92A8CEB-0E4C-4538-BA60-FB45B8900565}"/>
    <cellStyle name="Normal 2 4 3 6 5" xfId="18602" xr:uid="{12E0E057-8C1B-4723-8611-AFAC1DC54899}"/>
    <cellStyle name="Normal 2 4 3 6 6" xfId="27042" xr:uid="{BB563057-9C3B-4498-82A7-51FF33F03D61}"/>
    <cellStyle name="Normal 2 4 3 7" xfId="2036" xr:uid="{00000000-0005-0000-0000-00002C100000}"/>
    <cellStyle name="Normal 2 4 3 7 2" xfId="4265" xr:uid="{00000000-0005-0000-0000-00002D100000}"/>
    <cellStyle name="Normal 2 4 3 7 2 2" xfId="8487" xr:uid="{00000000-0005-0000-0000-00002E100000}"/>
    <cellStyle name="Normal 2 4 3 7 2 2 2" xfId="16937" xr:uid="{55671FA8-EAE8-4743-8CF6-D4468AA8BE35}"/>
    <cellStyle name="Normal 2 4 3 7 2 2 3" xfId="25377" xr:uid="{D97574C2-98FA-4058-8975-C9D6119E1274}"/>
    <cellStyle name="Normal 2 4 3 7 2 2 4" xfId="33817" xr:uid="{14EFBFDD-A644-485C-8587-AEBABE426E48}"/>
    <cellStyle name="Normal 2 4 3 7 2 3" xfId="12719" xr:uid="{C47A4302-13DD-4239-B73B-DCB1228AEF7D}"/>
    <cellStyle name="Normal 2 4 3 7 2 4" xfId="21160" xr:uid="{8C9D55B1-50F2-4914-B17C-129D6E54ACA4}"/>
    <cellStyle name="Normal 2 4 3 7 2 5" xfId="29600" xr:uid="{7623734B-C9B3-43A1-930A-C483147CA537}"/>
    <cellStyle name="Normal 2 4 3 7 3" xfId="6342" xr:uid="{00000000-0005-0000-0000-00002F100000}"/>
    <cellStyle name="Normal 2 4 3 7 3 2" xfId="14792" xr:uid="{F20F3454-6051-44C6-A61D-55C8FB10221A}"/>
    <cellStyle name="Normal 2 4 3 7 3 3" xfId="23232" xr:uid="{763638CE-C0BD-48BA-AFC1-D7261D33C919}"/>
    <cellStyle name="Normal 2 4 3 7 3 4" xfId="31672" xr:uid="{AD810F39-BCFF-4C3C-BEEC-673C40FBAF28}"/>
    <cellStyle name="Normal 2 4 3 7 4" xfId="10574" xr:uid="{433492C8-2A41-4DA2-B514-C4BD6317C04C}"/>
    <cellStyle name="Normal 2 4 3 7 5" xfId="19015" xr:uid="{3E4C1D22-39E5-48E1-B881-89C52BC5D43C}"/>
    <cellStyle name="Normal 2 4 3 7 6" xfId="27455" xr:uid="{5AB3CBE0-64BD-42E4-8627-2F388247D53C}"/>
    <cellStyle name="Normal 2 4 3 8" xfId="2472" xr:uid="{00000000-0005-0000-0000-000030100000}"/>
    <cellStyle name="Normal 2 4 3 8 2" xfId="6755" xr:uid="{00000000-0005-0000-0000-000031100000}"/>
    <cellStyle name="Normal 2 4 3 8 2 2" xfId="15205" xr:uid="{C4E68E77-872A-4C32-89A0-61F0687AB843}"/>
    <cellStyle name="Normal 2 4 3 8 2 3" xfId="23645" xr:uid="{50C731ED-57A0-4B47-B2EF-8B2547399741}"/>
    <cellStyle name="Normal 2 4 3 8 2 4" xfId="32085" xr:uid="{3D3CBA88-8A21-4ED3-B5F1-2655A8D1C0CA}"/>
    <cellStyle name="Normal 2 4 3 8 3" xfId="10987" xr:uid="{AF83C853-B440-4593-842A-3A4BE144724E}"/>
    <cellStyle name="Normal 2 4 3 8 4" xfId="19428" xr:uid="{41D87CE5-C016-44BE-B653-E5C3045F65AF}"/>
    <cellStyle name="Normal 2 4 3 8 5" xfId="27868" xr:uid="{DEAEE953-C000-4FA6-AD81-175AE61E7A88}"/>
    <cellStyle name="Normal 2 4 3 9" xfId="4689" xr:uid="{00000000-0005-0000-0000-000032100000}"/>
    <cellStyle name="Normal 2 4 3 9 2" xfId="13139" xr:uid="{FE828B24-5BA3-49E3-9FE3-35FE6D01AB19}"/>
    <cellStyle name="Normal 2 4 3 9 3" xfId="21579" xr:uid="{89F185E4-6027-4021-BB4D-6E14473D86B6}"/>
    <cellStyle name="Normal 2 4 3 9 4" xfId="30019" xr:uid="{2476B3BA-5497-4720-A852-FF37281588FB}"/>
    <cellStyle name="Normal 2 4 4" xfId="302" xr:uid="{00000000-0005-0000-0000-000033100000}"/>
    <cellStyle name="Normal 2 4 5" xfId="303" xr:uid="{00000000-0005-0000-0000-000034100000}"/>
    <cellStyle name="Normal 2 4 5 10" xfId="4694" xr:uid="{00000000-0005-0000-0000-000035100000}"/>
    <cellStyle name="Normal 2 4 5 10 2" xfId="13144" xr:uid="{867EC0B1-2261-43EE-AF83-1A9D3450BBD1}"/>
    <cellStyle name="Normal 2 4 5 10 3" xfId="21584" xr:uid="{51042252-969A-4346-B1AF-940D36787F28}"/>
    <cellStyle name="Normal 2 4 5 10 4" xfId="30024" xr:uid="{4C8006F3-C811-4CC7-9A5A-C4510525C146}"/>
    <cellStyle name="Normal 2 4 5 11" xfId="8926" xr:uid="{FFB34724-1475-42DE-8870-16B73A84C4BA}"/>
    <cellStyle name="Normal 2 4 5 12" xfId="17367" xr:uid="{0537B702-F71F-4878-A4E9-1395EC5B361C}"/>
    <cellStyle name="Normal 2 4 5 13" xfId="25807" xr:uid="{EAC147C0-7E91-4F09-B1C6-CE9F241699C2}"/>
    <cellStyle name="Normal 2 4 5 2" xfId="304" xr:uid="{00000000-0005-0000-0000-000036100000}"/>
    <cellStyle name="Normal 2 4 5 2 10" xfId="8927" xr:uid="{A4D15669-62E7-40B1-82A3-A34E48A623D1}"/>
    <cellStyle name="Normal 2 4 5 2 11" xfId="17368" xr:uid="{FAEC11EB-5D3C-4395-A370-A5868420A799}"/>
    <cellStyle name="Normal 2 4 5 2 12" xfId="25808" xr:uid="{F7C3AF9A-7671-427E-8226-290F69A01252}"/>
    <cellStyle name="Normal 2 4 5 2 2" xfId="305" xr:uid="{00000000-0005-0000-0000-000037100000}"/>
    <cellStyle name="Normal 2 4 5 2 2 10" xfId="17369" xr:uid="{90AD791F-0EFD-4879-AA3D-8DA068611579}"/>
    <cellStyle name="Normal 2 4 5 2 2 11" xfId="25809" xr:uid="{B7450C7B-5692-4911-B07B-4659F02C0D61}"/>
    <cellStyle name="Normal 2 4 5 2 2 2" xfId="306" xr:uid="{00000000-0005-0000-0000-000038100000}"/>
    <cellStyle name="Normal 2 4 5 2 2 2 10" xfId="25810" xr:uid="{B49E75EA-5E05-4537-87EC-24849EC9B22F}"/>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2 2 2" xfId="15706" xr:uid="{46DB8F94-C76C-4C1C-88EE-3490B18B0935}"/>
    <cellStyle name="Normal 2 4 5 2 2 2 2 2 2 3" xfId="24146" xr:uid="{59342062-6639-441B-9167-3903A95BB811}"/>
    <cellStyle name="Normal 2 4 5 2 2 2 2 2 2 4" xfId="32586" xr:uid="{40AA912C-DF92-4454-9A45-F0AFAA4AF074}"/>
    <cellStyle name="Normal 2 4 5 2 2 2 2 2 3" xfId="11488" xr:uid="{AAE8EA89-E51F-4382-885F-F13476BA48DC}"/>
    <cellStyle name="Normal 2 4 5 2 2 2 2 2 4" xfId="19929" xr:uid="{091512C5-831D-4A2C-9240-9FAE5FA5F394}"/>
    <cellStyle name="Normal 2 4 5 2 2 2 2 2 5" xfId="28369" xr:uid="{8828205B-159F-4016-B57A-304258B36CF2}"/>
    <cellStyle name="Normal 2 4 5 2 2 2 2 3" xfId="5111" xr:uid="{00000000-0005-0000-0000-00003C100000}"/>
    <cellStyle name="Normal 2 4 5 2 2 2 2 3 2" xfId="13561" xr:uid="{8AD3CF15-E926-4D88-8068-E8AECB949626}"/>
    <cellStyle name="Normal 2 4 5 2 2 2 2 3 3" xfId="22001" xr:uid="{9E824A05-BE82-455C-B88A-E23353FD16A6}"/>
    <cellStyle name="Normal 2 4 5 2 2 2 2 3 4" xfId="30441" xr:uid="{0B0C7F8D-9198-406C-B9D6-0799A42027B2}"/>
    <cellStyle name="Normal 2 4 5 2 2 2 2 4" xfId="9343" xr:uid="{1AC52931-3967-4412-AD3B-927F0F0D61D3}"/>
    <cellStyle name="Normal 2 4 5 2 2 2 2 5" xfId="17784" xr:uid="{9C3C2D5A-1614-48B0-9A3C-AC5500A5AD15}"/>
    <cellStyle name="Normal 2 4 5 2 2 2 2 6" xfId="26224" xr:uid="{AE620ADA-5839-4A54-9BC5-BEA6EBFA1787}"/>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2 2 2" xfId="16119" xr:uid="{173DB469-4390-45EB-A2E2-E2C8ED77A519}"/>
    <cellStyle name="Normal 2 4 5 2 2 2 3 2 2 3" xfId="24559" xr:uid="{F8064960-73C5-4225-8F3A-68D6EFE4FAFF}"/>
    <cellStyle name="Normal 2 4 5 2 2 2 3 2 2 4" xfId="32999" xr:uid="{8F6C8E15-BAFD-4C80-80B3-0D964939CBB1}"/>
    <cellStyle name="Normal 2 4 5 2 2 2 3 2 3" xfId="11901" xr:uid="{42ACD7F3-2AFA-46D0-97D3-07D5DA64DFBC}"/>
    <cellStyle name="Normal 2 4 5 2 2 2 3 2 4" xfId="20342" xr:uid="{657FAD53-17B1-4CA1-8748-B4C49BB59CB2}"/>
    <cellStyle name="Normal 2 4 5 2 2 2 3 2 5" xfId="28782" xr:uid="{3050CB36-AF78-45CE-BFB2-AB129BF52ABF}"/>
    <cellStyle name="Normal 2 4 5 2 2 2 3 3" xfId="5524" xr:uid="{00000000-0005-0000-0000-000040100000}"/>
    <cellStyle name="Normal 2 4 5 2 2 2 3 3 2" xfId="13974" xr:uid="{0689273C-79B8-4A4A-9621-CE3B7C3AC86C}"/>
    <cellStyle name="Normal 2 4 5 2 2 2 3 3 3" xfId="22414" xr:uid="{D7EE883E-81F7-4A2D-8107-A7D536D14230}"/>
    <cellStyle name="Normal 2 4 5 2 2 2 3 3 4" xfId="30854" xr:uid="{5EE3833E-4DFE-42D7-B7C1-83CCEA07FE02}"/>
    <cellStyle name="Normal 2 4 5 2 2 2 3 4" xfId="9756" xr:uid="{ADB73BE7-43BF-4EB5-861D-387556886BFC}"/>
    <cellStyle name="Normal 2 4 5 2 2 2 3 5" xfId="18197" xr:uid="{2A53E636-A8C7-4178-B34F-2C72ACB42316}"/>
    <cellStyle name="Normal 2 4 5 2 2 2 3 6" xfId="26637" xr:uid="{755F8893-5B35-49E3-9741-6E1E4327A3E7}"/>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2 2 2" xfId="16532" xr:uid="{450FD553-CD19-4983-B596-CC8FCA0AFF16}"/>
    <cellStyle name="Normal 2 4 5 2 2 2 4 2 2 3" xfId="24972" xr:uid="{E0B4EAF4-0355-47DE-8A06-2EC3C756CF01}"/>
    <cellStyle name="Normal 2 4 5 2 2 2 4 2 2 4" xfId="33412" xr:uid="{1ED732E6-1E34-4141-BA8E-1BE7B9650732}"/>
    <cellStyle name="Normal 2 4 5 2 2 2 4 2 3" xfId="12314" xr:uid="{9063FA6D-643F-4593-ABD9-849D711916DA}"/>
    <cellStyle name="Normal 2 4 5 2 2 2 4 2 4" xfId="20755" xr:uid="{D3AF50E1-1937-4608-9AF3-EEE109B3AE81}"/>
    <cellStyle name="Normal 2 4 5 2 2 2 4 2 5" xfId="29195" xr:uid="{75E9673B-A444-4320-AFC5-9C2CEBF6D272}"/>
    <cellStyle name="Normal 2 4 5 2 2 2 4 3" xfId="5937" xr:uid="{00000000-0005-0000-0000-000044100000}"/>
    <cellStyle name="Normal 2 4 5 2 2 2 4 3 2" xfId="14387" xr:uid="{BDE67560-3C57-4AAC-987A-F3ADF7DE5FB2}"/>
    <cellStyle name="Normal 2 4 5 2 2 2 4 3 3" xfId="22827" xr:uid="{DB1CA5DB-BBD7-4E0A-A92C-8DB035F10A5C}"/>
    <cellStyle name="Normal 2 4 5 2 2 2 4 3 4" xfId="31267" xr:uid="{FB9B5940-6CBB-49E9-8AAC-2796F0F2A598}"/>
    <cellStyle name="Normal 2 4 5 2 2 2 4 4" xfId="10169" xr:uid="{6EEB8E15-5755-472C-857A-F641CF7F7ED7}"/>
    <cellStyle name="Normal 2 4 5 2 2 2 4 5" xfId="18610" xr:uid="{436FD077-9DC7-4114-8C1F-C56442A6E0FE}"/>
    <cellStyle name="Normal 2 4 5 2 2 2 4 6" xfId="27050" xr:uid="{655935BA-9A10-4AB7-BBBA-E47A849E7863}"/>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2 2 2" xfId="16945" xr:uid="{DFD18E81-543B-495D-989D-47CADA41E5A6}"/>
    <cellStyle name="Normal 2 4 5 2 2 2 5 2 2 3" xfId="25385" xr:uid="{6A72E751-AE50-489F-9400-BF0EC800B26B}"/>
    <cellStyle name="Normal 2 4 5 2 2 2 5 2 2 4" xfId="33825" xr:uid="{D18134CF-7654-45A2-BCA4-7A48EFF6EDD8}"/>
    <cellStyle name="Normal 2 4 5 2 2 2 5 2 3" xfId="12727" xr:uid="{C1F4E0EE-72A3-4720-B38D-6D4DFDD8E6D9}"/>
    <cellStyle name="Normal 2 4 5 2 2 2 5 2 4" xfId="21168" xr:uid="{1D6A940E-4745-4AA5-AC86-030982294527}"/>
    <cellStyle name="Normal 2 4 5 2 2 2 5 2 5" xfId="29608" xr:uid="{BA6A2F20-9B47-40D6-8A48-12CB5C8135F3}"/>
    <cellStyle name="Normal 2 4 5 2 2 2 5 3" xfId="6350" xr:uid="{00000000-0005-0000-0000-000048100000}"/>
    <cellStyle name="Normal 2 4 5 2 2 2 5 3 2" xfId="14800" xr:uid="{9AD0B1B1-B6A7-468F-BC4F-253EEAD6CB79}"/>
    <cellStyle name="Normal 2 4 5 2 2 2 5 3 3" xfId="23240" xr:uid="{9DACBE08-5C76-4297-8C83-E87373970149}"/>
    <cellStyle name="Normal 2 4 5 2 2 2 5 3 4" xfId="31680" xr:uid="{49FEABEF-362D-4A06-B6C6-709798C299AE}"/>
    <cellStyle name="Normal 2 4 5 2 2 2 5 4" xfId="10582" xr:uid="{CDB7A65D-A2E1-4E20-AE4C-7CF5A89A7C78}"/>
    <cellStyle name="Normal 2 4 5 2 2 2 5 5" xfId="19023" xr:uid="{163FDE4F-60AF-4281-B1ED-CB40DF55026C}"/>
    <cellStyle name="Normal 2 4 5 2 2 2 5 6" xfId="27463" xr:uid="{F9E2CDFF-2DBB-4F40-A71B-596C283505D8}"/>
    <cellStyle name="Normal 2 4 5 2 2 2 6" xfId="2480" xr:uid="{00000000-0005-0000-0000-000049100000}"/>
    <cellStyle name="Normal 2 4 5 2 2 2 6 2" xfId="6763" xr:uid="{00000000-0005-0000-0000-00004A100000}"/>
    <cellStyle name="Normal 2 4 5 2 2 2 6 2 2" xfId="15213" xr:uid="{FFD2D45E-84E4-45BC-AA5D-61E3D24A9900}"/>
    <cellStyle name="Normal 2 4 5 2 2 2 6 2 3" xfId="23653" xr:uid="{889FEF15-53A3-454F-B932-51A358865E80}"/>
    <cellStyle name="Normal 2 4 5 2 2 2 6 2 4" xfId="32093" xr:uid="{3B40F347-62E2-403A-AB31-3A9D1006CCD5}"/>
    <cellStyle name="Normal 2 4 5 2 2 2 6 3" xfId="10995" xr:uid="{03B6810E-774A-4E87-9A24-F78D06D28E4F}"/>
    <cellStyle name="Normal 2 4 5 2 2 2 6 4" xfId="19436" xr:uid="{B42F0564-ABAA-4FAE-84D3-CC2244DAEB8B}"/>
    <cellStyle name="Normal 2 4 5 2 2 2 6 5" xfId="27876" xr:uid="{EAB312D5-7CC1-4A66-8895-B962E16B0B60}"/>
    <cellStyle name="Normal 2 4 5 2 2 2 7" xfId="4697" xr:uid="{00000000-0005-0000-0000-00004B100000}"/>
    <cellStyle name="Normal 2 4 5 2 2 2 7 2" xfId="13147" xr:uid="{40E44C98-C49D-467A-918C-208BA3EC33A4}"/>
    <cellStyle name="Normal 2 4 5 2 2 2 7 3" xfId="21587" xr:uid="{48A2DC88-63F3-4A92-9DF3-9E067AFD9662}"/>
    <cellStyle name="Normal 2 4 5 2 2 2 7 4" xfId="30027" xr:uid="{D8C4BAFA-1853-4C52-BA1E-EDEF3EBD1AD6}"/>
    <cellStyle name="Normal 2 4 5 2 2 2 8" xfId="8929" xr:uid="{67EBCDBA-734F-4569-AB2B-DECBB78766C0}"/>
    <cellStyle name="Normal 2 4 5 2 2 2 9" xfId="17370" xr:uid="{1962C8A7-8D55-478B-956D-58826C66C3AA}"/>
    <cellStyle name="Normal 2 4 5 2 2 3" xfId="794" xr:uid="{00000000-0005-0000-0000-00004C100000}"/>
    <cellStyle name="Normal 2 4 5 2 2 3 2" xfId="3033" xr:uid="{00000000-0005-0000-0000-00004D100000}"/>
    <cellStyle name="Normal 2 4 5 2 2 3 2 2" xfId="7255" xr:uid="{00000000-0005-0000-0000-00004E100000}"/>
    <cellStyle name="Normal 2 4 5 2 2 3 2 2 2" xfId="15705" xr:uid="{13BE6827-530E-472A-9328-D78318F05A30}"/>
    <cellStyle name="Normal 2 4 5 2 2 3 2 2 3" xfId="24145" xr:uid="{283865E4-E20E-4062-B773-4E0D1207CC5A}"/>
    <cellStyle name="Normal 2 4 5 2 2 3 2 2 4" xfId="32585" xr:uid="{43A00CCC-1BC5-459E-8204-0667A7E30BB8}"/>
    <cellStyle name="Normal 2 4 5 2 2 3 2 3" xfId="11487" xr:uid="{08AA3B8B-46DF-45B1-A8F1-2F78BD95E5B3}"/>
    <cellStyle name="Normal 2 4 5 2 2 3 2 4" xfId="19928" xr:uid="{D5A87FAA-DCDC-4ACF-88B7-F3855445DA94}"/>
    <cellStyle name="Normal 2 4 5 2 2 3 2 5" xfId="28368" xr:uid="{7D2F898E-0AEE-419F-95DA-7A49E4E1941E}"/>
    <cellStyle name="Normal 2 4 5 2 2 3 3" xfId="5110" xr:uid="{00000000-0005-0000-0000-00004F100000}"/>
    <cellStyle name="Normal 2 4 5 2 2 3 3 2" xfId="13560" xr:uid="{C3BD7330-7E1B-42BE-AC2D-FFFCED9CD942}"/>
    <cellStyle name="Normal 2 4 5 2 2 3 3 3" xfId="22000" xr:uid="{91A9AB37-643D-4EC9-9B31-3DD1D40731E0}"/>
    <cellStyle name="Normal 2 4 5 2 2 3 3 4" xfId="30440" xr:uid="{B55865B1-EA86-4C68-BEBA-EFBBC05EF22A}"/>
    <cellStyle name="Normal 2 4 5 2 2 3 4" xfId="9342" xr:uid="{D2ED2C02-7F46-476B-A17E-038F3B175E4A}"/>
    <cellStyle name="Normal 2 4 5 2 2 3 5" xfId="17783" xr:uid="{39CC07D5-F7A6-4774-A954-47C36F116C81}"/>
    <cellStyle name="Normal 2 4 5 2 2 3 6" xfId="26223" xr:uid="{7E525FDC-5F71-454E-935A-8284DC46F715}"/>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2 2 2" xfId="16118" xr:uid="{F7B3ABCF-2F2F-4934-A7CC-1373846F34EB}"/>
    <cellStyle name="Normal 2 4 5 2 2 4 2 2 3" xfId="24558" xr:uid="{2A056ECA-060F-4665-8DBA-8E1780F344AD}"/>
    <cellStyle name="Normal 2 4 5 2 2 4 2 2 4" xfId="32998" xr:uid="{6A039FF3-0BDB-44BB-AA8D-D63D844EF02C}"/>
    <cellStyle name="Normal 2 4 5 2 2 4 2 3" xfId="11900" xr:uid="{B808CC53-1F75-42CE-8877-3865AF14C1E6}"/>
    <cellStyle name="Normal 2 4 5 2 2 4 2 4" xfId="20341" xr:uid="{91A581B3-7AE9-4224-A4CB-743F2250B3EC}"/>
    <cellStyle name="Normal 2 4 5 2 2 4 2 5" xfId="28781" xr:uid="{C670538F-852D-4470-A31E-9EDBF6F724E6}"/>
    <cellStyle name="Normal 2 4 5 2 2 4 3" xfId="5523" xr:uid="{00000000-0005-0000-0000-000053100000}"/>
    <cellStyle name="Normal 2 4 5 2 2 4 3 2" xfId="13973" xr:uid="{C68BF6CC-3734-4068-91E0-40E296F06AFE}"/>
    <cellStyle name="Normal 2 4 5 2 2 4 3 3" xfId="22413" xr:uid="{A5215BF3-7D55-4A41-97AA-4E933C679BC6}"/>
    <cellStyle name="Normal 2 4 5 2 2 4 3 4" xfId="30853" xr:uid="{FC687488-6A8D-4917-9DF6-723311148360}"/>
    <cellStyle name="Normal 2 4 5 2 2 4 4" xfId="9755" xr:uid="{CB8D6F49-E2E4-42E3-8B99-D415EB1B0251}"/>
    <cellStyle name="Normal 2 4 5 2 2 4 5" xfId="18196" xr:uid="{A865503F-F5EC-40EF-9506-31526F1860C7}"/>
    <cellStyle name="Normal 2 4 5 2 2 4 6" xfId="26636" xr:uid="{3357FA87-1050-4488-8DDC-6B399A7CD28D}"/>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2 2 2" xfId="16531" xr:uid="{2574BC4F-536B-4B99-9137-3C3C2E936D50}"/>
    <cellStyle name="Normal 2 4 5 2 2 5 2 2 3" xfId="24971" xr:uid="{EC827D28-56B6-4BE0-8BB5-DDED130BB25D}"/>
    <cellStyle name="Normal 2 4 5 2 2 5 2 2 4" xfId="33411" xr:uid="{18055A2E-DA64-45B7-9968-EB9D66721DA2}"/>
    <cellStyle name="Normal 2 4 5 2 2 5 2 3" xfId="12313" xr:uid="{C51B86FE-22F7-4FDF-A82C-5AB8CFA263B7}"/>
    <cellStyle name="Normal 2 4 5 2 2 5 2 4" xfId="20754" xr:uid="{5BE341B4-CB07-4B6D-8467-5A3B22661347}"/>
    <cellStyle name="Normal 2 4 5 2 2 5 2 5" xfId="29194" xr:uid="{9E655AAA-5C56-4B86-BE43-5AE493ED1222}"/>
    <cellStyle name="Normal 2 4 5 2 2 5 3" xfId="5936" xr:uid="{00000000-0005-0000-0000-000057100000}"/>
    <cellStyle name="Normal 2 4 5 2 2 5 3 2" xfId="14386" xr:uid="{4CAB1002-7026-4C09-90C4-1511E2F4790E}"/>
    <cellStyle name="Normal 2 4 5 2 2 5 3 3" xfId="22826" xr:uid="{2830796D-5845-47FE-ABF2-4224F8C93E72}"/>
    <cellStyle name="Normal 2 4 5 2 2 5 3 4" xfId="31266" xr:uid="{8E937985-B5A3-41C2-B931-AB7A832DBD8C}"/>
    <cellStyle name="Normal 2 4 5 2 2 5 4" xfId="10168" xr:uid="{529CE331-F978-4D8D-AD62-42641688CB50}"/>
    <cellStyle name="Normal 2 4 5 2 2 5 5" xfId="18609" xr:uid="{7F244CBB-92D5-4CC2-8CB4-054715B7BCDF}"/>
    <cellStyle name="Normal 2 4 5 2 2 5 6" xfId="27049" xr:uid="{506BF050-11C8-4CF1-B849-2A8C81DBE046}"/>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2 2 2" xfId="16944" xr:uid="{4602C9DD-A0D2-49ED-AEE0-838B87DEB56B}"/>
    <cellStyle name="Normal 2 4 5 2 2 6 2 2 3" xfId="25384" xr:uid="{C5705958-8E2A-4AD0-B694-A4B22200FE32}"/>
    <cellStyle name="Normal 2 4 5 2 2 6 2 2 4" xfId="33824" xr:uid="{9DEAF666-C264-4D77-8FB8-24AECBF0B700}"/>
    <cellStyle name="Normal 2 4 5 2 2 6 2 3" xfId="12726" xr:uid="{F72D0702-7A25-4335-82E3-47B2681FDFA8}"/>
    <cellStyle name="Normal 2 4 5 2 2 6 2 4" xfId="21167" xr:uid="{AB0A10FE-F5CD-4F3A-896C-911955930110}"/>
    <cellStyle name="Normal 2 4 5 2 2 6 2 5" xfId="29607" xr:uid="{74D89292-DC2A-4D81-A922-FB09BE5799F0}"/>
    <cellStyle name="Normal 2 4 5 2 2 6 3" xfId="6349" xr:uid="{00000000-0005-0000-0000-00005B100000}"/>
    <cellStyle name="Normal 2 4 5 2 2 6 3 2" xfId="14799" xr:uid="{28AE07C9-CD4A-42E2-A651-86BBC7B7CB64}"/>
    <cellStyle name="Normal 2 4 5 2 2 6 3 3" xfId="23239" xr:uid="{4C14B1E6-55B2-4486-9EDB-F73DBBD51633}"/>
    <cellStyle name="Normal 2 4 5 2 2 6 3 4" xfId="31679" xr:uid="{9C9048D1-00EB-4C5B-B207-E557115FD76B}"/>
    <cellStyle name="Normal 2 4 5 2 2 6 4" xfId="10581" xr:uid="{96BEC79C-4135-400B-8587-9A67601905B6}"/>
    <cellStyle name="Normal 2 4 5 2 2 6 5" xfId="19022" xr:uid="{C7FCF758-2F7E-4A18-B757-A1DD9811D0DC}"/>
    <cellStyle name="Normal 2 4 5 2 2 6 6" xfId="27462" xr:uid="{5D6C4C87-AAA4-4758-9A60-430AE17B50B8}"/>
    <cellStyle name="Normal 2 4 5 2 2 7" xfId="2479" xr:uid="{00000000-0005-0000-0000-00005C100000}"/>
    <cellStyle name="Normal 2 4 5 2 2 7 2" xfId="6762" xr:uid="{00000000-0005-0000-0000-00005D100000}"/>
    <cellStyle name="Normal 2 4 5 2 2 7 2 2" xfId="15212" xr:uid="{A31D94FC-4D85-4B23-91D4-0A5A413EE930}"/>
    <cellStyle name="Normal 2 4 5 2 2 7 2 3" xfId="23652" xr:uid="{FEAB309A-813B-43A9-BEE1-AF375853B1E0}"/>
    <cellStyle name="Normal 2 4 5 2 2 7 2 4" xfId="32092" xr:uid="{0FD3A10A-6251-48ED-992B-B13F450C4269}"/>
    <cellStyle name="Normal 2 4 5 2 2 7 3" xfId="10994" xr:uid="{259C7193-2DEE-4885-95B3-C66B7319A03F}"/>
    <cellStyle name="Normal 2 4 5 2 2 7 4" xfId="19435" xr:uid="{74595D29-09BA-43DE-BBBE-F8C540A1467F}"/>
    <cellStyle name="Normal 2 4 5 2 2 7 5" xfId="27875" xr:uid="{1E57B259-4BF8-48E4-98D9-948690B08361}"/>
    <cellStyle name="Normal 2 4 5 2 2 8" xfId="4696" xr:uid="{00000000-0005-0000-0000-00005E100000}"/>
    <cellStyle name="Normal 2 4 5 2 2 8 2" xfId="13146" xr:uid="{DDA9E83B-A5C4-464B-98F8-AA0C5F08BCFB}"/>
    <cellStyle name="Normal 2 4 5 2 2 8 3" xfId="21586" xr:uid="{52F0A600-DC10-4971-925F-710D4BFFDA62}"/>
    <cellStyle name="Normal 2 4 5 2 2 8 4" xfId="30026" xr:uid="{E1A80419-7093-4424-BDFF-A1C25C119B47}"/>
    <cellStyle name="Normal 2 4 5 2 2 9" xfId="8928" xr:uid="{236F00A2-B517-4836-BF04-00715B2BF3D7}"/>
    <cellStyle name="Normal 2 4 5 2 3" xfId="307" xr:uid="{00000000-0005-0000-0000-00005F100000}"/>
    <cellStyle name="Normal 2 4 5 2 3 10" xfId="25811" xr:uid="{75CC756A-A7B3-44AB-914C-4C53DE5919D5}"/>
    <cellStyle name="Normal 2 4 5 2 3 2" xfId="796" xr:uid="{00000000-0005-0000-0000-000060100000}"/>
    <cellStyle name="Normal 2 4 5 2 3 2 2" xfId="3035" xr:uid="{00000000-0005-0000-0000-000061100000}"/>
    <cellStyle name="Normal 2 4 5 2 3 2 2 2" xfId="7257" xr:uid="{00000000-0005-0000-0000-000062100000}"/>
    <cellStyle name="Normal 2 4 5 2 3 2 2 2 2" xfId="15707" xr:uid="{655DCB27-0D80-4FA7-8F2A-B73822048F03}"/>
    <cellStyle name="Normal 2 4 5 2 3 2 2 2 3" xfId="24147" xr:uid="{169DBBB3-7E83-4119-951F-110830238C5D}"/>
    <cellStyle name="Normal 2 4 5 2 3 2 2 2 4" xfId="32587" xr:uid="{00320FB1-04B3-4A36-B2A4-CA7A64130D8E}"/>
    <cellStyle name="Normal 2 4 5 2 3 2 2 3" xfId="11489" xr:uid="{2C9020EA-8162-454F-9D6B-1DBBED564895}"/>
    <cellStyle name="Normal 2 4 5 2 3 2 2 4" xfId="19930" xr:uid="{AFED327A-B494-4A22-80D4-3EEF05EEB51E}"/>
    <cellStyle name="Normal 2 4 5 2 3 2 2 5" xfId="28370" xr:uid="{0BA72990-B9F5-41B3-8147-FAB9777A03C1}"/>
    <cellStyle name="Normal 2 4 5 2 3 2 3" xfId="5112" xr:uid="{00000000-0005-0000-0000-000063100000}"/>
    <cellStyle name="Normal 2 4 5 2 3 2 3 2" xfId="13562" xr:uid="{B7FE47F6-EF36-4BA9-B914-4EF4E2008DA8}"/>
    <cellStyle name="Normal 2 4 5 2 3 2 3 3" xfId="22002" xr:uid="{3D4494ED-45CB-49EF-A1AE-203931808C16}"/>
    <cellStyle name="Normal 2 4 5 2 3 2 3 4" xfId="30442" xr:uid="{70D02B27-69AF-4F0D-8216-8306F0B3F565}"/>
    <cellStyle name="Normal 2 4 5 2 3 2 4" xfId="9344" xr:uid="{D737F633-438A-4DC9-A55C-AC29719E488B}"/>
    <cellStyle name="Normal 2 4 5 2 3 2 5" xfId="17785" xr:uid="{8EB1E310-CC98-442E-BC8E-8C73C0667C4F}"/>
    <cellStyle name="Normal 2 4 5 2 3 2 6" xfId="26225" xr:uid="{7A0A4AE4-714E-4FA4-97FD-B281534D8066}"/>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2 2 2" xfId="16120" xr:uid="{7348E213-0981-4A5F-A8C9-E324FDF55B68}"/>
    <cellStyle name="Normal 2 4 5 2 3 3 2 2 3" xfId="24560" xr:uid="{923DE420-A303-4550-8963-9DD71A290764}"/>
    <cellStyle name="Normal 2 4 5 2 3 3 2 2 4" xfId="33000" xr:uid="{33EDBDBD-37BF-4CA6-8CCA-200A88837C05}"/>
    <cellStyle name="Normal 2 4 5 2 3 3 2 3" xfId="11902" xr:uid="{26CCEEE3-DD7A-4BCD-92BB-4B6A8037871A}"/>
    <cellStyle name="Normal 2 4 5 2 3 3 2 4" xfId="20343" xr:uid="{25C413FF-FF09-46F4-8A75-C73E36B5C480}"/>
    <cellStyle name="Normal 2 4 5 2 3 3 2 5" xfId="28783" xr:uid="{3986D5C0-04E2-4698-A1F4-A9A53B2DE6D9}"/>
    <cellStyle name="Normal 2 4 5 2 3 3 3" xfId="5525" xr:uid="{00000000-0005-0000-0000-000067100000}"/>
    <cellStyle name="Normal 2 4 5 2 3 3 3 2" xfId="13975" xr:uid="{BD9B83D8-3E9B-428C-AEA5-4C7E584CB7B9}"/>
    <cellStyle name="Normal 2 4 5 2 3 3 3 3" xfId="22415" xr:uid="{BBBA2FBA-8D1E-4C2F-B617-9E7619F264C3}"/>
    <cellStyle name="Normal 2 4 5 2 3 3 3 4" xfId="30855" xr:uid="{BEDEA440-E9BA-49D8-B57F-267FFC042C3C}"/>
    <cellStyle name="Normal 2 4 5 2 3 3 4" xfId="9757" xr:uid="{CC125B5D-BC86-4E44-899D-28FD8AC7A120}"/>
    <cellStyle name="Normal 2 4 5 2 3 3 5" xfId="18198" xr:uid="{3522E763-C5F7-47BC-8747-9C6B3F210D7D}"/>
    <cellStyle name="Normal 2 4 5 2 3 3 6" xfId="26638" xr:uid="{9E29F682-6E75-42F3-828F-3168899F5149}"/>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2 2 2" xfId="16533" xr:uid="{BD4237A7-3137-496D-B8E0-67F31F4AE756}"/>
    <cellStyle name="Normal 2 4 5 2 3 4 2 2 3" xfId="24973" xr:uid="{78AD88BA-95D7-45E5-8485-FCA1618D10F2}"/>
    <cellStyle name="Normal 2 4 5 2 3 4 2 2 4" xfId="33413" xr:uid="{1BDC6D37-D2EE-40FF-85C2-31CBE2E4A1D0}"/>
    <cellStyle name="Normal 2 4 5 2 3 4 2 3" xfId="12315" xr:uid="{7C7AD867-9381-40DA-9375-1CB636774AD9}"/>
    <cellStyle name="Normal 2 4 5 2 3 4 2 4" xfId="20756" xr:uid="{34CD6A34-3A54-44BE-A6A3-A0B3DF3A5F8D}"/>
    <cellStyle name="Normal 2 4 5 2 3 4 2 5" xfId="29196" xr:uid="{450BF3A8-8791-427D-9DC0-93167B40CE96}"/>
    <cellStyle name="Normal 2 4 5 2 3 4 3" xfId="5938" xr:uid="{00000000-0005-0000-0000-00006B100000}"/>
    <cellStyle name="Normal 2 4 5 2 3 4 3 2" xfId="14388" xr:uid="{3DBDC0A7-9B20-4641-9CBE-6956A55AED18}"/>
    <cellStyle name="Normal 2 4 5 2 3 4 3 3" xfId="22828" xr:uid="{897E335B-AF4B-4EF7-A62F-C1B45ACA1F05}"/>
    <cellStyle name="Normal 2 4 5 2 3 4 3 4" xfId="31268" xr:uid="{157D3B41-DFD2-4D16-B95E-433EE9167456}"/>
    <cellStyle name="Normal 2 4 5 2 3 4 4" xfId="10170" xr:uid="{4F3E3310-9D51-4C88-8FD4-12A92863E461}"/>
    <cellStyle name="Normal 2 4 5 2 3 4 5" xfId="18611" xr:uid="{C0495686-3E2A-4E25-BCD5-E766B7076EF8}"/>
    <cellStyle name="Normal 2 4 5 2 3 4 6" xfId="27051" xr:uid="{41BD1119-E6AF-44C9-BF8B-0D2950D66BEB}"/>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2 2 2" xfId="16946" xr:uid="{6EE44251-9B53-4DFF-AC49-FD345CC62D12}"/>
    <cellStyle name="Normal 2 4 5 2 3 5 2 2 3" xfId="25386" xr:uid="{6FDA6519-4D2E-485C-9B9B-F1DF5FA00D3E}"/>
    <cellStyle name="Normal 2 4 5 2 3 5 2 2 4" xfId="33826" xr:uid="{0DD27194-6ED9-42DB-AA3D-FC3AB18275E2}"/>
    <cellStyle name="Normal 2 4 5 2 3 5 2 3" xfId="12728" xr:uid="{3C415098-BB07-4359-A287-3890CB14981C}"/>
    <cellStyle name="Normal 2 4 5 2 3 5 2 4" xfId="21169" xr:uid="{BF216085-B1B9-4ACA-B1EE-985DF9934044}"/>
    <cellStyle name="Normal 2 4 5 2 3 5 2 5" xfId="29609" xr:uid="{2730FE09-D7C3-42B0-B9AC-11738D9CCB9A}"/>
    <cellStyle name="Normal 2 4 5 2 3 5 3" xfId="6351" xr:uid="{00000000-0005-0000-0000-00006F100000}"/>
    <cellStyle name="Normal 2 4 5 2 3 5 3 2" xfId="14801" xr:uid="{B880E5F2-E1E5-4160-8D09-0E8CB8F12300}"/>
    <cellStyle name="Normal 2 4 5 2 3 5 3 3" xfId="23241" xr:uid="{6C4F5FCB-B560-41B1-B81B-8674CED96FA3}"/>
    <cellStyle name="Normal 2 4 5 2 3 5 3 4" xfId="31681" xr:uid="{517823B9-748E-46AA-8015-FC00DB0D9778}"/>
    <cellStyle name="Normal 2 4 5 2 3 5 4" xfId="10583" xr:uid="{0E212327-17EF-449C-B058-4F40178DA108}"/>
    <cellStyle name="Normal 2 4 5 2 3 5 5" xfId="19024" xr:uid="{A8AC7DFB-F997-4FE0-8B6A-C3589B2346A1}"/>
    <cellStyle name="Normal 2 4 5 2 3 5 6" xfId="27464" xr:uid="{42976304-5859-44F8-80E8-BE157D5F2D6C}"/>
    <cellStyle name="Normal 2 4 5 2 3 6" xfId="2481" xr:uid="{00000000-0005-0000-0000-000070100000}"/>
    <cellStyle name="Normal 2 4 5 2 3 6 2" xfId="6764" xr:uid="{00000000-0005-0000-0000-000071100000}"/>
    <cellStyle name="Normal 2 4 5 2 3 6 2 2" xfId="15214" xr:uid="{ACADE1BF-01C5-4330-8995-A41577482F5C}"/>
    <cellStyle name="Normal 2 4 5 2 3 6 2 3" xfId="23654" xr:uid="{F52983D1-3FEA-4764-A635-20F3A059FEC6}"/>
    <cellStyle name="Normal 2 4 5 2 3 6 2 4" xfId="32094" xr:uid="{87E05C76-FBB6-47B8-81A6-C8C43B906EF8}"/>
    <cellStyle name="Normal 2 4 5 2 3 6 3" xfId="10996" xr:uid="{BD81CB91-F2A8-4667-9774-E187A12A7A64}"/>
    <cellStyle name="Normal 2 4 5 2 3 6 4" xfId="19437" xr:uid="{F2D69965-B3F9-446B-BFAB-8B47DEAE690A}"/>
    <cellStyle name="Normal 2 4 5 2 3 6 5" xfId="27877" xr:uid="{B36B9B9E-CBF2-45C7-A5A8-78780AD361DF}"/>
    <cellStyle name="Normal 2 4 5 2 3 7" xfId="4698" xr:uid="{00000000-0005-0000-0000-000072100000}"/>
    <cellStyle name="Normal 2 4 5 2 3 7 2" xfId="13148" xr:uid="{756867BB-66E6-433D-B9F1-5C87B2B8AB55}"/>
    <cellStyle name="Normal 2 4 5 2 3 7 3" xfId="21588" xr:uid="{2E790B7B-2409-4FE6-B675-0A98C6340D55}"/>
    <cellStyle name="Normal 2 4 5 2 3 7 4" xfId="30028" xr:uid="{95FD0A69-7E3D-4CAE-B157-2852B20C9257}"/>
    <cellStyle name="Normal 2 4 5 2 3 8" xfId="8930" xr:uid="{677B63F6-8571-4CAE-B431-1F25336998DE}"/>
    <cellStyle name="Normal 2 4 5 2 3 9" xfId="17371" xr:uid="{84AC811F-4B04-48AD-8BED-7B904F6ECC9D}"/>
    <cellStyle name="Normal 2 4 5 2 4" xfId="793" xr:uid="{00000000-0005-0000-0000-000073100000}"/>
    <cellStyle name="Normal 2 4 5 2 4 2" xfId="3032" xr:uid="{00000000-0005-0000-0000-000074100000}"/>
    <cellStyle name="Normal 2 4 5 2 4 2 2" xfId="7254" xr:uid="{00000000-0005-0000-0000-000075100000}"/>
    <cellStyle name="Normal 2 4 5 2 4 2 2 2" xfId="15704" xr:uid="{F834ED74-101B-4BF1-BD3F-7F7EC0D4802A}"/>
    <cellStyle name="Normal 2 4 5 2 4 2 2 3" xfId="24144" xr:uid="{61CB43F0-33BA-4E09-9FE8-DB782A9618A4}"/>
    <cellStyle name="Normal 2 4 5 2 4 2 2 4" xfId="32584" xr:uid="{079054B5-50C4-430B-AEB1-114F0B5AF711}"/>
    <cellStyle name="Normal 2 4 5 2 4 2 3" xfId="11486" xr:uid="{010A248A-A4EC-4D0B-B67C-611A6E0943D3}"/>
    <cellStyle name="Normal 2 4 5 2 4 2 4" xfId="19927" xr:uid="{D38215C3-F05E-4B0A-A3CD-4448F0177FAD}"/>
    <cellStyle name="Normal 2 4 5 2 4 2 5" xfId="28367" xr:uid="{40C69501-1AC7-4FE9-98FE-FEC293863623}"/>
    <cellStyle name="Normal 2 4 5 2 4 3" xfId="5109" xr:uid="{00000000-0005-0000-0000-000076100000}"/>
    <cellStyle name="Normal 2 4 5 2 4 3 2" xfId="13559" xr:uid="{5307DDD7-E5A0-46EB-B2C7-FD8FF9FA933F}"/>
    <cellStyle name="Normal 2 4 5 2 4 3 3" xfId="21999" xr:uid="{F3192E12-745F-4819-9F74-D6C06BAD4CA7}"/>
    <cellStyle name="Normal 2 4 5 2 4 3 4" xfId="30439" xr:uid="{4FC363E2-48E5-4827-80C3-E64D1774F2EE}"/>
    <cellStyle name="Normal 2 4 5 2 4 4" xfId="9341" xr:uid="{3D1E2094-C4AA-43BB-B4B7-1C2D9E57F4F3}"/>
    <cellStyle name="Normal 2 4 5 2 4 5" xfId="17782" xr:uid="{069EF5CD-65A7-42DF-BEE3-C450F8F19601}"/>
    <cellStyle name="Normal 2 4 5 2 4 6" xfId="26222" xr:uid="{F09EBD60-C29D-4109-9681-2EE3476C6BA2}"/>
    <cellStyle name="Normal 2 4 5 2 5" xfId="1215" xr:uid="{00000000-0005-0000-0000-000077100000}"/>
    <cellStyle name="Normal 2 4 5 2 5 2" xfId="3445" xr:uid="{00000000-0005-0000-0000-000078100000}"/>
    <cellStyle name="Normal 2 4 5 2 5 2 2" xfId="7667" xr:uid="{00000000-0005-0000-0000-000079100000}"/>
    <cellStyle name="Normal 2 4 5 2 5 2 2 2" xfId="16117" xr:uid="{0064394E-AEC8-4999-8640-6EAA19F072F5}"/>
    <cellStyle name="Normal 2 4 5 2 5 2 2 3" xfId="24557" xr:uid="{B7F1313E-9E65-4868-A382-A26BB7885D04}"/>
    <cellStyle name="Normal 2 4 5 2 5 2 2 4" xfId="32997" xr:uid="{8A23FE64-30B8-4A93-9AE1-2BC9C376E3E2}"/>
    <cellStyle name="Normal 2 4 5 2 5 2 3" xfId="11899" xr:uid="{67279BA8-EB43-4A27-8462-5CED80E48609}"/>
    <cellStyle name="Normal 2 4 5 2 5 2 4" xfId="20340" xr:uid="{849111CA-AAD0-4139-973D-17BD656020CE}"/>
    <cellStyle name="Normal 2 4 5 2 5 2 5" xfId="28780" xr:uid="{49733794-0A8A-4925-8A3C-2C2A5A6D6DB1}"/>
    <cellStyle name="Normal 2 4 5 2 5 3" xfId="5522" xr:uid="{00000000-0005-0000-0000-00007A100000}"/>
    <cellStyle name="Normal 2 4 5 2 5 3 2" xfId="13972" xr:uid="{A07DB043-D182-4F8D-9EB5-2333C718A586}"/>
    <cellStyle name="Normal 2 4 5 2 5 3 3" xfId="22412" xr:uid="{F37BE59B-17EF-4FFC-BC0E-861622371952}"/>
    <cellStyle name="Normal 2 4 5 2 5 3 4" xfId="30852" xr:uid="{2DA40616-305B-4947-B61C-8D44912A1012}"/>
    <cellStyle name="Normal 2 4 5 2 5 4" xfId="9754" xr:uid="{F3FC933D-D0CA-4EA7-8711-A1CC2AA24023}"/>
    <cellStyle name="Normal 2 4 5 2 5 5" xfId="18195" xr:uid="{0FFB65E3-B81F-4AFA-8ECF-6DB93C50C994}"/>
    <cellStyle name="Normal 2 4 5 2 5 6" xfId="26635" xr:uid="{C6B9D771-47D5-455F-8CD3-9C92BD6FF00A}"/>
    <cellStyle name="Normal 2 4 5 2 6" xfId="1628" xr:uid="{00000000-0005-0000-0000-00007B100000}"/>
    <cellStyle name="Normal 2 4 5 2 6 2" xfId="3858" xr:uid="{00000000-0005-0000-0000-00007C100000}"/>
    <cellStyle name="Normal 2 4 5 2 6 2 2" xfId="8080" xr:uid="{00000000-0005-0000-0000-00007D100000}"/>
    <cellStyle name="Normal 2 4 5 2 6 2 2 2" xfId="16530" xr:uid="{9B65D3BA-4905-4FC6-9DE6-C590780C4363}"/>
    <cellStyle name="Normal 2 4 5 2 6 2 2 3" xfId="24970" xr:uid="{3908F703-A006-42F6-AD26-16BA2E3DB57F}"/>
    <cellStyle name="Normal 2 4 5 2 6 2 2 4" xfId="33410" xr:uid="{1719B34F-5939-4E59-9CEE-4A3CE1FD2DF3}"/>
    <cellStyle name="Normal 2 4 5 2 6 2 3" xfId="12312" xr:uid="{857DCE44-3077-4929-9B52-52D04A8D5DBC}"/>
    <cellStyle name="Normal 2 4 5 2 6 2 4" xfId="20753" xr:uid="{97530F12-31C9-4864-A4EE-54308BC4F6C3}"/>
    <cellStyle name="Normal 2 4 5 2 6 2 5" xfId="29193" xr:uid="{F48371E1-2BF0-48EE-99B2-2DEB4DDE5C8E}"/>
    <cellStyle name="Normal 2 4 5 2 6 3" xfId="5935" xr:uid="{00000000-0005-0000-0000-00007E100000}"/>
    <cellStyle name="Normal 2 4 5 2 6 3 2" xfId="14385" xr:uid="{3E568078-AA93-48BA-A956-DF746D20265A}"/>
    <cellStyle name="Normal 2 4 5 2 6 3 3" xfId="22825" xr:uid="{4008358D-38E7-4418-9DCF-C478D1FFE9FD}"/>
    <cellStyle name="Normal 2 4 5 2 6 3 4" xfId="31265" xr:uid="{BA6961E8-43C7-4535-AFCF-799EC0656698}"/>
    <cellStyle name="Normal 2 4 5 2 6 4" xfId="10167" xr:uid="{169ACDA0-A851-470F-B845-43C83FCF525C}"/>
    <cellStyle name="Normal 2 4 5 2 6 5" xfId="18608" xr:uid="{79CEEF70-73AC-4B75-92DB-218387D8CEDA}"/>
    <cellStyle name="Normal 2 4 5 2 6 6" xfId="27048" xr:uid="{246407B1-1FA0-4F67-A859-88F1C191FE5E}"/>
    <cellStyle name="Normal 2 4 5 2 7" xfId="2042" xr:uid="{00000000-0005-0000-0000-00007F100000}"/>
    <cellStyle name="Normal 2 4 5 2 7 2" xfId="4271" xr:uid="{00000000-0005-0000-0000-000080100000}"/>
    <cellStyle name="Normal 2 4 5 2 7 2 2" xfId="8493" xr:uid="{00000000-0005-0000-0000-000081100000}"/>
    <cellStyle name="Normal 2 4 5 2 7 2 2 2" xfId="16943" xr:uid="{7411A6A3-DC05-4302-8003-53E32A3B228A}"/>
    <cellStyle name="Normal 2 4 5 2 7 2 2 3" xfId="25383" xr:uid="{F3910A3D-9EE3-4DFC-9897-72BF7910DF39}"/>
    <cellStyle name="Normal 2 4 5 2 7 2 2 4" xfId="33823" xr:uid="{06E3A602-2B54-4963-82EC-CFAAA61DCF43}"/>
    <cellStyle name="Normal 2 4 5 2 7 2 3" xfId="12725" xr:uid="{2EC081E2-DC10-48E5-AAEC-1926116FC286}"/>
    <cellStyle name="Normal 2 4 5 2 7 2 4" xfId="21166" xr:uid="{865F2A50-616A-44FF-9DC0-5462FB3DE246}"/>
    <cellStyle name="Normal 2 4 5 2 7 2 5" xfId="29606" xr:uid="{E4EB2DBF-5767-4BD6-B5B9-56F8212686C6}"/>
    <cellStyle name="Normal 2 4 5 2 7 3" xfId="6348" xr:uid="{00000000-0005-0000-0000-000082100000}"/>
    <cellStyle name="Normal 2 4 5 2 7 3 2" xfId="14798" xr:uid="{5923E717-9B2D-4698-8DB9-18B0AD3FABD4}"/>
    <cellStyle name="Normal 2 4 5 2 7 3 3" xfId="23238" xr:uid="{CBC7F8DF-BBE4-4647-8447-1536FDD6E192}"/>
    <cellStyle name="Normal 2 4 5 2 7 3 4" xfId="31678" xr:uid="{75728362-6DD0-475F-9E76-FD96DCE511E3}"/>
    <cellStyle name="Normal 2 4 5 2 7 4" xfId="10580" xr:uid="{EA2DF22B-64D4-4207-BECA-0A96864E2D44}"/>
    <cellStyle name="Normal 2 4 5 2 7 5" xfId="19021" xr:uid="{DFB449A6-01E3-4EC6-BA85-468881F95217}"/>
    <cellStyle name="Normal 2 4 5 2 7 6" xfId="27461" xr:uid="{1C57198D-BECF-409A-ACD0-829A3C7AC40A}"/>
    <cellStyle name="Normal 2 4 5 2 8" xfId="2478" xr:uid="{00000000-0005-0000-0000-000083100000}"/>
    <cellStyle name="Normal 2 4 5 2 8 2" xfId="6761" xr:uid="{00000000-0005-0000-0000-000084100000}"/>
    <cellStyle name="Normal 2 4 5 2 8 2 2" xfId="15211" xr:uid="{181C915B-0AF0-47F9-9522-A054A9EE42D0}"/>
    <cellStyle name="Normal 2 4 5 2 8 2 3" xfId="23651" xr:uid="{524F513E-B186-46EA-AB5B-95140C59393D}"/>
    <cellStyle name="Normal 2 4 5 2 8 2 4" xfId="32091" xr:uid="{5730B07B-4BCC-45AB-B365-E240EDCABD4A}"/>
    <cellStyle name="Normal 2 4 5 2 8 3" xfId="10993" xr:uid="{D99CFC0D-C65D-4EDD-BB94-2854481BBE6B}"/>
    <cellStyle name="Normal 2 4 5 2 8 4" xfId="19434" xr:uid="{96623CE2-BDD6-4B41-95A4-3C0396223576}"/>
    <cellStyle name="Normal 2 4 5 2 8 5" xfId="27874" xr:uid="{869AA843-3519-4AEC-8F11-1BD6FF57D225}"/>
    <cellStyle name="Normal 2 4 5 2 9" xfId="4695" xr:uid="{00000000-0005-0000-0000-000085100000}"/>
    <cellStyle name="Normal 2 4 5 2 9 2" xfId="13145" xr:uid="{261117D8-4584-4CE1-B81B-7909F018BFF5}"/>
    <cellStyle name="Normal 2 4 5 2 9 3" xfId="21585" xr:uid="{C7571923-2CFF-4CD9-9D33-B317E0528A76}"/>
    <cellStyle name="Normal 2 4 5 2 9 4" xfId="30025" xr:uid="{E36972E1-F781-47BB-9866-C8BD4D22069F}"/>
    <cellStyle name="Normal 2 4 5 3" xfId="308" xr:uid="{00000000-0005-0000-0000-000086100000}"/>
    <cellStyle name="Normal 2 4 5 3 10" xfId="17372" xr:uid="{6DCE7E7B-5292-4196-A3CF-F2397AFD7EAC}"/>
    <cellStyle name="Normal 2 4 5 3 11" xfId="25812" xr:uid="{8F85002A-4336-4F15-996A-B722830A7E70}"/>
    <cellStyle name="Normal 2 4 5 3 2" xfId="309" xr:uid="{00000000-0005-0000-0000-000087100000}"/>
    <cellStyle name="Normal 2 4 5 3 2 10" xfId="25813" xr:uid="{15E98D4D-D8AB-4E0F-A981-36AAB1DFC3E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2 2 2" xfId="15709" xr:uid="{FA28AEAC-792A-4CE5-A2BF-2512A1B2CEEE}"/>
    <cellStyle name="Normal 2 4 5 3 2 2 2 2 3" xfId="24149" xr:uid="{25AC7B53-F75B-4B0B-9902-CB8914010DF1}"/>
    <cellStyle name="Normal 2 4 5 3 2 2 2 2 4" xfId="32589" xr:uid="{13D110E6-2D01-47C5-81E7-E0682896C097}"/>
    <cellStyle name="Normal 2 4 5 3 2 2 2 3" xfId="11491" xr:uid="{BAF57EF2-E957-421B-BA22-413626FCB3F2}"/>
    <cellStyle name="Normal 2 4 5 3 2 2 2 4" xfId="19932" xr:uid="{259DB1B0-22EA-4455-9AF2-945AA5784753}"/>
    <cellStyle name="Normal 2 4 5 3 2 2 2 5" xfId="28372" xr:uid="{89B1793A-28B1-4032-AAA5-2B4BEFDF05D1}"/>
    <cellStyle name="Normal 2 4 5 3 2 2 3" xfId="5114" xr:uid="{00000000-0005-0000-0000-00008B100000}"/>
    <cellStyle name="Normal 2 4 5 3 2 2 3 2" xfId="13564" xr:uid="{CAB0F9A6-E491-43CF-9169-CCE6EEB72923}"/>
    <cellStyle name="Normal 2 4 5 3 2 2 3 3" xfId="22004" xr:uid="{5ADA337C-806E-4B97-A104-A230C73E57E5}"/>
    <cellStyle name="Normal 2 4 5 3 2 2 3 4" xfId="30444" xr:uid="{B8FB6667-5199-4927-AC91-ECF952A1A1CC}"/>
    <cellStyle name="Normal 2 4 5 3 2 2 4" xfId="9346" xr:uid="{CF1C3FFF-61D6-482E-92E1-13FFA931352A}"/>
    <cellStyle name="Normal 2 4 5 3 2 2 5" xfId="17787" xr:uid="{1259C31A-771D-4CA5-939E-2899DCC6D978}"/>
    <cellStyle name="Normal 2 4 5 3 2 2 6" xfId="26227" xr:uid="{3F9073C5-798C-441B-878E-92678876C076}"/>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2 2 2" xfId="16122" xr:uid="{22469F5C-FF13-44FA-804B-91462A5E606E}"/>
    <cellStyle name="Normal 2 4 5 3 2 3 2 2 3" xfId="24562" xr:uid="{97B46132-CF24-462E-8DD7-F9F11AF2FCEE}"/>
    <cellStyle name="Normal 2 4 5 3 2 3 2 2 4" xfId="33002" xr:uid="{22EAF7B7-E40A-46F9-90B3-4D2D61F19C72}"/>
    <cellStyle name="Normal 2 4 5 3 2 3 2 3" xfId="11904" xr:uid="{D54B6212-8584-4B9F-903D-56C51BE57A39}"/>
    <cellStyle name="Normal 2 4 5 3 2 3 2 4" xfId="20345" xr:uid="{FE29DF17-DB9F-4908-B87B-2C728C140288}"/>
    <cellStyle name="Normal 2 4 5 3 2 3 2 5" xfId="28785" xr:uid="{9B27EF57-CFCB-4B3D-94E7-FF3D32D83E90}"/>
    <cellStyle name="Normal 2 4 5 3 2 3 3" xfId="5527" xr:uid="{00000000-0005-0000-0000-00008F100000}"/>
    <cellStyle name="Normal 2 4 5 3 2 3 3 2" xfId="13977" xr:uid="{89009766-B910-4BE5-BEE7-CF36FE5034D0}"/>
    <cellStyle name="Normal 2 4 5 3 2 3 3 3" xfId="22417" xr:uid="{D06FCEDD-2DFB-4C5D-991F-E0984E3A34C4}"/>
    <cellStyle name="Normal 2 4 5 3 2 3 3 4" xfId="30857" xr:uid="{72A7A576-5B29-48C9-8C28-4C815C69AE33}"/>
    <cellStyle name="Normal 2 4 5 3 2 3 4" xfId="9759" xr:uid="{4C8A9945-2AD8-41B3-AB84-2D3DB4FDAA0C}"/>
    <cellStyle name="Normal 2 4 5 3 2 3 5" xfId="18200" xr:uid="{1B1E7ABA-EE05-4439-9A46-B89D0DBF08A0}"/>
    <cellStyle name="Normal 2 4 5 3 2 3 6" xfId="26640" xr:uid="{D620022C-CA92-4CE9-B60A-1036D62333D5}"/>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2 2 2" xfId="16535" xr:uid="{C423BE92-CEC6-4B10-B6A5-AF2A07717F1B}"/>
    <cellStyle name="Normal 2 4 5 3 2 4 2 2 3" xfId="24975" xr:uid="{67C39BC7-32C4-4766-AAE2-00C0FF5DC53B}"/>
    <cellStyle name="Normal 2 4 5 3 2 4 2 2 4" xfId="33415" xr:uid="{9E8199E8-830F-401E-93A7-6646BC25BC93}"/>
    <cellStyle name="Normal 2 4 5 3 2 4 2 3" xfId="12317" xr:uid="{29B241E3-6677-4F77-A79C-CD7627AA8D3E}"/>
    <cellStyle name="Normal 2 4 5 3 2 4 2 4" xfId="20758" xr:uid="{7DA7066F-34BE-4D2F-97BF-B23B1C4CC7C7}"/>
    <cellStyle name="Normal 2 4 5 3 2 4 2 5" xfId="29198" xr:uid="{661BBCF1-8B5B-42A3-862B-B5CF5D853793}"/>
    <cellStyle name="Normal 2 4 5 3 2 4 3" xfId="5940" xr:uid="{00000000-0005-0000-0000-000093100000}"/>
    <cellStyle name="Normal 2 4 5 3 2 4 3 2" xfId="14390" xr:uid="{37288410-900E-49A0-BF84-82BCF0397D0F}"/>
    <cellStyle name="Normal 2 4 5 3 2 4 3 3" xfId="22830" xr:uid="{12D86914-A034-4D41-83FF-EFE6AA5797A1}"/>
    <cellStyle name="Normal 2 4 5 3 2 4 3 4" xfId="31270" xr:uid="{C9147105-0962-45CA-A587-9DA685878E57}"/>
    <cellStyle name="Normal 2 4 5 3 2 4 4" xfId="10172" xr:uid="{0D57E2C2-7961-4038-8C02-D38587D82569}"/>
    <cellStyle name="Normal 2 4 5 3 2 4 5" xfId="18613" xr:uid="{A46C5EE3-9361-46E2-9E6A-40C0198F7304}"/>
    <cellStyle name="Normal 2 4 5 3 2 4 6" xfId="27053" xr:uid="{FB3201AB-2C08-4615-A53D-9B1FAF9C9025}"/>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2 2 2" xfId="16948" xr:uid="{5496BD87-FC72-476F-95A2-0499172DF20C}"/>
    <cellStyle name="Normal 2 4 5 3 2 5 2 2 3" xfId="25388" xr:uid="{75EE5C82-1967-4A54-ABB9-653F424BB2D6}"/>
    <cellStyle name="Normal 2 4 5 3 2 5 2 2 4" xfId="33828" xr:uid="{49E435B5-67C2-4FAB-8420-613D7B3F78A8}"/>
    <cellStyle name="Normal 2 4 5 3 2 5 2 3" xfId="12730" xr:uid="{90F5EDEA-C3FE-46D0-A280-DC813C49E6A7}"/>
    <cellStyle name="Normal 2 4 5 3 2 5 2 4" xfId="21171" xr:uid="{FB530176-5293-46B5-A949-B3C5CD6D597D}"/>
    <cellStyle name="Normal 2 4 5 3 2 5 2 5" xfId="29611" xr:uid="{24370C0D-E9F1-457F-90C3-CBD2A5D0E927}"/>
    <cellStyle name="Normal 2 4 5 3 2 5 3" xfId="6353" xr:uid="{00000000-0005-0000-0000-000097100000}"/>
    <cellStyle name="Normal 2 4 5 3 2 5 3 2" xfId="14803" xr:uid="{C5E7EA4D-20FC-4A3C-8FF8-5970F25DB6C8}"/>
    <cellStyle name="Normal 2 4 5 3 2 5 3 3" xfId="23243" xr:uid="{52A189E7-1689-4A77-93B8-DD5EF6A76979}"/>
    <cellStyle name="Normal 2 4 5 3 2 5 3 4" xfId="31683" xr:uid="{40CAF2A8-2CC2-423F-8B5F-0484854B6B36}"/>
    <cellStyle name="Normal 2 4 5 3 2 5 4" xfId="10585" xr:uid="{E30F14A3-92FE-4770-BBCA-41C35BC076A9}"/>
    <cellStyle name="Normal 2 4 5 3 2 5 5" xfId="19026" xr:uid="{8EB6559B-A43F-47F3-AE06-3F603F9CDFCD}"/>
    <cellStyle name="Normal 2 4 5 3 2 5 6" xfId="27466" xr:uid="{52331835-C77A-40C2-BE1B-1FB67B931A73}"/>
    <cellStyle name="Normal 2 4 5 3 2 6" xfId="2483" xr:uid="{00000000-0005-0000-0000-000098100000}"/>
    <cellStyle name="Normal 2 4 5 3 2 6 2" xfId="6766" xr:uid="{00000000-0005-0000-0000-000099100000}"/>
    <cellStyle name="Normal 2 4 5 3 2 6 2 2" xfId="15216" xr:uid="{B61451B1-F52F-433D-AABE-A0468FFFC1CE}"/>
    <cellStyle name="Normal 2 4 5 3 2 6 2 3" xfId="23656" xr:uid="{551E456B-777F-4D07-9186-A2A0B0AD32FE}"/>
    <cellStyle name="Normal 2 4 5 3 2 6 2 4" xfId="32096" xr:uid="{92CE067F-E5E1-4CC3-90A1-2B4B389AE781}"/>
    <cellStyle name="Normal 2 4 5 3 2 6 3" xfId="10998" xr:uid="{AA267D62-E5CD-406C-B4BA-D6B5E7ADCB74}"/>
    <cellStyle name="Normal 2 4 5 3 2 6 4" xfId="19439" xr:uid="{51A153CA-742D-4592-82EB-2478663C1EDC}"/>
    <cellStyle name="Normal 2 4 5 3 2 6 5" xfId="27879" xr:uid="{CAF0379B-E882-48FA-AC8D-248A22956D5D}"/>
    <cellStyle name="Normal 2 4 5 3 2 7" xfId="4700" xr:uid="{00000000-0005-0000-0000-00009A100000}"/>
    <cellStyle name="Normal 2 4 5 3 2 7 2" xfId="13150" xr:uid="{5D496F7A-37CE-4A88-8AEC-EB2EB208523D}"/>
    <cellStyle name="Normal 2 4 5 3 2 7 3" xfId="21590" xr:uid="{EE1522AE-485B-4620-8FE8-4D3630C7EA19}"/>
    <cellStyle name="Normal 2 4 5 3 2 7 4" xfId="30030" xr:uid="{B9BAF806-8B40-4984-8C3C-53126DE32788}"/>
    <cellStyle name="Normal 2 4 5 3 2 8" xfId="8932" xr:uid="{CECD3BFB-CEE2-47C5-8712-693B594A4C74}"/>
    <cellStyle name="Normal 2 4 5 3 2 9" xfId="17373" xr:uid="{4545236E-28E1-4CAF-99D8-A636C0E6B410}"/>
    <cellStyle name="Normal 2 4 5 3 3" xfId="797" xr:uid="{00000000-0005-0000-0000-00009B100000}"/>
    <cellStyle name="Normal 2 4 5 3 3 2" xfId="3036" xr:uid="{00000000-0005-0000-0000-00009C100000}"/>
    <cellStyle name="Normal 2 4 5 3 3 2 2" xfId="7258" xr:uid="{00000000-0005-0000-0000-00009D100000}"/>
    <cellStyle name="Normal 2 4 5 3 3 2 2 2" xfId="15708" xr:uid="{E09F9DC4-D7FE-4478-B447-90C24861E8B3}"/>
    <cellStyle name="Normal 2 4 5 3 3 2 2 3" xfId="24148" xr:uid="{7C809430-0096-4B81-B273-E8E31C1F2CE1}"/>
    <cellStyle name="Normal 2 4 5 3 3 2 2 4" xfId="32588" xr:uid="{0524E5AB-4EC3-48A5-8CC5-2E696CA7F7FE}"/>
    <cellStyle name="Normal 2 4 5 3 3 2 3" xfId="11490" xr:uid="{B18F3125-D9BF-4EA6-B9F4-DB9F9E86BED6}"/>
    <cellStyle name="Normal 2 4 5 3 3 2 4" xfId="19931" xr:uid="{8E1BE707-0E33-435A-BABC-C7FC5C142531}"/>
    <cellStyle name="Normal 2 4 5 3 3 2 5" xfId="28371" xr:uid="{16CCB6F4-2F49-4549-81D5-D71DF3CDAA2F}"/>
    <cellStyle name="Normal 2 4 5 3 3 3" xfId="5113" xr:uid="{00000000-0005-0000-0000-00009E100000}"/>
    <cellStyle name="Normal 2 4 5 3 3 3 2" xfId="13563" xr:uid="{3594BB56-1D46-450B-9FE3-476E565E016F}"/>
    <cellStyle name="Normal 2 4 5 3 3 3 3" xfId="22003" xr:uid="{7787CDA7-E177-4EDC-B3B6-95C5A20D889E}"/>
    <cellStyle name="Normal 2 4 5 3 3 3 4" xfId="30443" xr:uid="{40AC6F54-A82E-4CD5-9BBE-B054E02C7A06}"/>
    <cellStyle name="Normal 2 4 5 3 3 4" xfId="9345" xr:uid="{B1C5D578-75DF-4B9B-9F7B-66D5CF186CF5}"/>
    <cellStyle name="Normal 2 4 5 3 3 5" xfId="17786" xr:uid="{AC1DA661-ECF2-49C9-B79B-4029600DB460}"/>
    <cellStyle name="Normal 2 4 5 3 3 6" xfId="26226" xr:uid="{11FF5D92-B661-40F7-9307-0B9DFCCD49FD}"/>
    <cellStyle name="Normal 2 4 5 3 4" xfId="1219" xr:uid="{00000000-0005-0000-0000-00009F100000}"/>
    <cellStyle name="Normal 2 4 5 3 4 2" xfId="3449" xr:uid="{00000000-0005-0000-0000-0000A0100000}"/>
    <cellStyle name="Normal 2 4 5 3 4 2 2" xfId="7671" xr:uid="{00000000-0005-0000-0000-0000A1100000}"/>
    <cellStyle name="Normal 2 4 5 3 4 2 2 2" xfId="16121" xr:uid="{8233DA4F-494F-467D-A735-C34537670C21}"/>
    <cellStyle name="Normal 2 4 5 3 4 2 2 3" xfId="24561" xr:uid="{A45732F0-C44C-4068-8DC1-6BFD283A6E21}"/>
    <cellStyle name="Normal 2 4 5 3 4 2 2 4" xfId="33001" xr:uid="{99A38AA7-3876-4093-940D-F3232717F9AD}"/>
    <cellStyle name="Normal 2 4 5 3 4 2 3" xfId="11903" xr:uid="{7BEA6936-B040-4128-89F6-DFEE089FDCB9}"/>
    <cellStyle name="Normal 2 4 5 3 4 2 4" xfId="20344" xr:uid="{AB27410A-C2ED-48F8-81C1-4BBF54244D33}"/>
    <cellStyle name="Normal 2 4 5 3 4 2 5" xfId="28784" xr:uid="{D2F4A201-96D8-4A79-BA25-1A2934412218}"/>
    <cellStyle name="Normal 2 4 5 3 4 3" xfId="5526" xr:uid="{00000000-0005-0000-0000-0000A2100000}"/>
    <cellStyle name="Normal 2 4 5 3 4 3 2" xfId="13976" xr:uid="{0347DF5A-4478-4757-91F0-BEE05EC582E0}"/>
    <cellStyle name="Normal 2 4 5 3 4 3 3" xfId="22416" xr:uid="{761742E7-CB8D-4FC5-8415-FB782D20D375}"/>
    <cellStyle name="Normal 2 4 5 3 4 3 4" xfId="30856" xr:uid="{BEABF036-2A90-4171-A4A2-22ABA8431F49}"/>
    <cellStyle name="Normal 2 4 5 3 4 4" xfId="9758" xr:uid="{53203DCF-67E2-4897-A6E8-34B71DB72FF1}"/>
    <cellStyle name="Normal 2 4 5 3 4 5" xfId="18199" xr:uid="{5ADB62D4-9168-4F92-A29A-AC13586E263D}"/>
    <cellStyle name="Normal 2 4 5 3 4 6" xfId="26639" xr:uid="{5A8C80DF-B9FA-4E6B-9409-A57033EEF50D}"/>
    <cellStyle name="Normal 2 4 5 3 5" xfId="1632" xr:uid="{00000000-0005-0000-0000-0000A3100000}"/>
    <cellStyle name="Normal 2 4 5 3 5 2" xfId="3862" xr:uid="{00000000-0005-0000-0000-0000A4100000}"/>
    <cellStyle name="Normal 2 4 5 3 5 2 2" xfId="8084" xr:uid="{00000000-0005-0000-0000-0000A5100000}"/>
    <cellStyle name="Normal 2 4 5 3 5 2 2 2" xfId="16534" xr:uid="{F427E79B-0E78-46ED-93B9-DF33EEE9C938}"/>
    <cellStyle name="Normal 2 4 5 3 5 2 2 3" xfId="24974" xr:uid="{F7E6E941-A7CA-4F71-8019-3704D612AEDC}"/>
    <cellStyle name="Normal 2 4 5 3 5 2 2 4" xfId="33414" xr:uid="{D27C7C4B-84FE-443F-B583-F6A76E5EA699}"/>
    <cellStyle name="Normal 2 4 5 3 5 2 3" xfId="12316" xr:uid="{042C5622-043A-468A-919D-F5BE73AB3846}"/>
    <cellStyle name="Normal 2 4 5 3 5 2 4" xfId="20757" xr:uid="{5770903D-930F-4975-A483-335C51ADB74C}"/>
    <cellStyle name="Normal 2 4 5 3 5 2 5" xfId="29197" xr:uid="{C5BCCE0A-FB0E-479D-8A70-C05897B4F912}"/>
    <cellStyle name="Normal 2 4 5 3 5 3" xfId="5939" xr:uid="{00000000-0005-0000-0000-0000A6100000}"/>
    <cellStyle name="Normal 2 4 5 3 5 3 2" xfId="14389" xr:uid="{30EED1A3-C813-407C-A79F-E8C0C2EA31A4}"/>
    <cellStyle name="Normal 2 4 5 3 5 3 3" xfId="22829" xr:uid="{81C3BCAE-60E6-4CA7-BF6C-2D31D4B5E217}"/>
    <cellStyle name="Normal 2 4 5 3 5 3 4" xfId="31269" xr:uid="{A499EBBD-2C9B-4234-9962-5D21E6E2519F}"/>
    <cellStyle name="Normal 2 4 5 3 5 4" xfId="10171" xr:uid="{0321B12D-C112-4CAC-9096-F000825D208E}"/>
    <cellStyle name="Normal 2 4 5 3 5 5" xfId="18612" xr:uid="{831A3D6B-81E1-4F55-8F0B-FBAD25E43C74}"/>
    <cellStyle name="Normal 2 4 5 3 5 6" xfId="27052" xr:uid="{528E5548-7758-49C8-A72E-67842F0E9B44}"/>
    <cellStyle name="Normal 2 4 5 3 6" xfId="2046" xr:uid="{00000000-0005-0000-0000-0000A7100000}"/>
    <cellStyle name="Normal 2 4 5 3 6 2" xfId="4275" xr:uid="{00000000-0005-0000-0000-0000A8100000}"/>
    <cellStyle name="Normal 2 4 5 3 6 2 2" xfId="8497" xr:uid="{00000000-0005-0000-0000-0000A9100000}"/>
    <cellStyle name="Normal 2 4 5 3 6 2 2 2" xfId="16947" xr:uid="{94236C3C-F4D2-4E60-8868-B642C4C2B56F}"/>
    <cellStyle name="Normal 2 4 5 3 6 2 2 3" xfId="25387" xr:uid="{31F78820-64F0-46D9-B5A5-2C4A3F256462}"/>
    <cellStyle name="Normal 2 4 5 3 6 2 2 4" xfId="33827" xr:uid="{E2335197-D72F-4BC3-B5D4-DCFB63BA8201}"/>
    <cellStyle name="Normal 2 4 5 3 6 2 3" xfId="12729" xr:uid="{963846B4-FE60-4B07-96EF-DD6014D9533E}"/>
    <cellStyle name="Normal 2 4 5 3 6 2 4" xfId="21170" xr:uid="{F3B1E9AF-7B55-4239-9FD9-EB9369D40D27}"/>
    <cellStyle name="Normal 2 4 5 3 6 2 5" xfId="29610" xr:uid="{DC81CD24-44FB-42D2-AF30-51C87113E0D3}"/>
    <cellStyle name="Normal 2 4 5 3 6 3" xfId="6352" xr:uid="{00000000-0005-0000-0000-0000AA100000}"/>
    <cellStyle name="Normal 2 4 5 3 6 3 2" xfId="14802" xr:uid="{E24B04B6-CC36-4B30-A6A1-52DCC8FF1DBF}"/>
    <cellStyle name="Normal 2 4 5 3 6 3 3" xfId="23242" xr:uid="{017ECCC9-2136-4782-815F-C9C1C7A00590}"/>
    <cellStyle name="Normal 2 4 5 3 6 3 4" xfId="31682" xr:uid="{92607B4C-2FD4-4120-B47C-DF7D74F6312C}"/>
    <cellStyle name="Normal 2 4 5 3 6 4" xfId="10584" xr:uid="{0013E50C-FDE5-4A26-8A59-1D940C13A973}"/>
    <cellStyle name="Normal 2 4 5 3 6 5" xfId="19025" xr:uid="{76A5906E-ADF2-4AC2-8165-EB244FB44339}"/>
    <cellStyle name="Normal 2 4 5 3 6 6" xfId="27465" xr:uid="{DE40581F-142B-4051-97C7-B0F7CD261171}"/>
    <cellStyle name="Normal 2 4 5 3 7" xfId="2482" xr:uid="{00000000-0005-0000-0000-0000AB100000}"/>
    <cellStyle name="Normal 2 4 5 3 7 2" xfId="6765" xr:uid="{00000000-0005-0000-0000-0000AC100000}"/>
    <cellStyle name="Normal 2 4 5 3 7 2 2" xfId="15215" xr:uid="{6D1ABCAD-0088-45F0-BBA1-2745AD3FF311}"/>
    <cellStyle name="Normal 2 4 5 3 7 2 3" xfId="23655" xr:uid="{721FF765-6A8B-42D1-9006-6E921D02A3B5}"/>
    <cellStyle name="Normal 2 4 5 3 7 2 4" xfId="32095" xr:uid="{A71CE197-AEF2-41D3-8070-A1087FF6EA12}"/>
    <cellStyle name="Normal 2 4 5 3 7 3" xfId="10997" xr:uid="{18AA5DB1-7252-4F35-BDDC-64A01C2010F6}"/>
    <cellStyle name="Normal 2 4 5 3 7 4" xfId="19438" xr:uid="{E36AC72F-5596-4A7A-A614-F1E9F08A4F1F}"/>
    <cellStyle name="Normal 2 4 5 3 7 5" xfId="27878" xr:uid="{6244F83C-C326-4C49-B8D8-6F2E9E1DB178}"/>
    <cellStyle name="Normal 2 4 5 3 8" xfId="4699" xr:uid="{00000000-0005-0000-0000-0000AD100000}"/>
    <cellStyle name="Normal 2 4 5 3 8 2" xfId="13149" xr:uid="{7ECB5448-AB7F-4FCE-A5F0-0CF0CF495DCE}"/>
    <cellStyle name="Normal 2 4 5 3 8 3" xfId="21589" xr:uid="{3112F5CF-A1BC-4AB9-9DC9-A7C12CD3137B}"/>
    <cellStyle name="Normal 2 4 5 3 8 4" xfId="30029" xr:uid="{53D2A9D1-5E8D-491A-A898-D28A67499B0D}"/>
    <cellStyle name="Normal 2 4 5 3 9" xfId="8931" xr:uid="{22BE8952-F4C0-4822-B368-504C7B59FC40}"/>
    <cellStyle name="Normal 2 4 5 4" xfId="310" xr:uid="{00000000-0005-0000-0000-0000AE100000}"/>
    <cellStyle name="Normal 2 4 5 4 10" xfId="25814" xr:uid="{D2C753CA-DF60-499F-8702-6F15C49B0708}"/>
    <cellStyle name="Normal 2 4 5 4 2" xfId="799" xr:uid="{00000000-0005-0000-0000-0000AF100000}"/>
    <cellStyle name="Normal 2 4 5 4 2 2" xfId="3038" xr:uid="{00000000-0005-0000-0000-0000B0100000}"/>
    <cellStyle name="Normal 2 4 5 4 2 2 2" xfId="7260" xr:uid="{00000000-0005-0000-0000-0000B1100000}"/>
    <cellStyle name="Normal 2 4 5 4 2 2 2 2" xfId="15710" xr:uid="{E80B7A54-46A5-4CCC-A3DB-2497F45AEFC8}"/>
    <cellStyle name="Normal 2 4 5 4 2 2 2 3" xfId="24150" xr:uid="{8C5752C9-C1A0-4B35-B43D-4B874209C4E0}"/>
    <cellStyle name="Normal 2 4 5 4 2 2 2 4" xfId="32590" xr:uid="{706BC3EA-52D0-4AD4-81E0-BF5832546882}"/>
    <cellStyle name="Normal 2 4 5 4 2 2 3" xfId="11492" xr:uid="{1E906C31-5D83-42F4-864C-8A47D13E281C}"/>
    <cellStyle name="Normal 2 4 5 4 2 2 4" xfId="19933" xr:uid="{020C1BD5-D3C0-49F0-90B4-F33C1D663C4A}"/>
    <cellStyle name="Normal 2 4 5 4 2 2 5" xfId="28373" xr:uid="{2F932EA1-DD6F-4239-AE7F-D973CD29E2A2}"/>
    <cellStyle name="Normal 2 4 5 4 2 3" xfId="5115" xr:uid="{00000000-0005-0000-0000-0000B2100000}"/>
    <cellStyle name="Normal 2 4 5 4 2 3 2" xfId="13565" xr:uid="{10FE79E6-FC1D-4125-A551-2AE775106E46}"/>
    <cellStyle name="Normal 2 4 5 4 2 3 3" xfId="22005" xr:uid="{E537FA63-7B68-41D1-8D4C-49313A3290E2}"/>
    <cellStyle name="Normal 2 4 5 4 2 3 4" xfId="30445" xr:uid="{DFC88782-DAB3-4EF4-82A4-FFADC055C8D0}"/>
    <cellStyle name="Normal 2 4 5 4 2 4" xfId="9347" xr:uid="{228238E5-B419-4A49-8076-F672D3AE2154}"/>
    <cellStyle name="Normal 2 4 5 4 2 5" xfId="17788" xr:uid="{E0C00F66-55B6-47B2-BB7F-81144A5ADC56}"/>
    <cellStyle name="Normal 2 4 5 4 2 6" xfId="26228" xr:uid="{3E8DC83D-6EC3-4894-8514-00D3FCFAC317}"/>
    <cellStyle name="Normal 2 4 5 4 3" xfId="1221" xr:uid="{00000000-0005-0000-0000-0000B3100000}"/>
    <cellStyle name="Normal 2 4 5 4 3 2" xfId="3451" xr:uid="{00000000-0005-0000-0000-0000B4100000}"/>
    <cellStyle name="Normal 2 4 5 4 3 2 2" xfId="7673" xr:uid="{00000000-0005-0000-0000-0000B5100000}"/>
    <cellStyle name="Normal 2 4 5 4 3 2 2 2" xfId="16123" xr:uid="{63167D7A-317C-4EFD-AD19-1B26049335F4}"/>
    <cellStyle name="Normal 2 4 5 4 3 2 2 3" xfId="24563" xr:uid="{9010B6F0-61B8-4711-8888-250E24295334}"/>
    <cellStyle name="Normal 2 4 5 4 3 2 2 4" xfId="33003" xr:uid="{7244348F-7FFE-4EFA-BAC2-E8B075CF2DC2}"/>
    <cellStyle name="Normal 2 4 5 4 3 2 3" xfId="11905" xr:uid="{3746FC02-CDA8-4CDA-8A48-F76EC2A81E72}"/>
    <cellStyle name="Normal 2 4 5 4 3 2 4" xfId="20346" xr:uid="{94EE4D56-4733-40FF-AAA5-E1BEF883AAEC}"/>
    <cellStyle name="Normal 2 4 5 4 3 2 5" xfId="28786" xr:uid="{2DD996D8-06FA-4CE4-81E6-1D1AA01D8441}"/>
    <cellStyle name="Normal 2 4 5 4 3 3" xfId="5528" xr:uid="{00000000-0005-0000-0000-0000B6100000}"/>
    <cellStyle name="Normal 2 4 5 4 3 3 2" xfId="13978" xr:uid="{9C21E174-F8FC-4476-8BC7-40EDDDF7D2AB}"/>
    <cellStyle name="Normal 2 4 5 4 3 3 3" xfId="22418" xr:uid="{BCD96F6F-AF0A-46C9-A5FA-A734C8F78D55}"/>
    <cellStyle name="Normal 2 4 5 4 3 3 4" xfId="30858" xr:uid="{6A5AEE73-9C2A-4256-AE1B-5671C6B26B2F}"/>
    <cellStyle name="Normal 2 4 5 4 3 4" xfId="9760" xr:uid="{CED205C3-3F9A-4409-8E62-1C4345641AEE}"/>
    <cellStyle name="Normal 2 4 5 4 3 5" xfId="18201" xr:uid="{9BDA357D-9080-4A74-9C23-F3DAC9BEF5AC}"/>
    <cellStyle name="Normal 2 4 5 4 3 6" xfId="26641" xr:uid="{5C7582B7-3C95-4B54-A160-2922B31F53D0}"/>
    <cellStyle name="Normal 2 4 5 4 4" xfId="1634" xr:uid="{00000000-0005-0000-0000-0000B7100000}"/>
    <cellStyle name="Normal 2 4 5 4 4 2" xfId="3864" xr:uid="{00000000-0005-0000-0000-0000B8100000}"/>
    <cellStyle name="Normal 2 4 5 4 4 2 2" xfId="8086" xr:uid="{00000000-0005-0000-0000-0000B9100000}"/>
    <cellStyle name="Normal 2 4 5 4 4 2 2 2" xfId="16536" xr:uid="{C492DEF4-9A10-4B49-8CFC-9627CB9B1EED}"/>
    <cellStyle name="Normal 2 4 5 4 4 2 2 3" xfId="24976" xr:uid="{A9191F8B-735E-4C62-9168-84984EB56DF0}"/>
    <cellStyle name="Normal 2 4 5 4 4 2 2 4" xfId="33416" xr:uid="{CA3A3518-2EB0-4B91-B7DA-8CA9D9F0A1B7}"/>
    <cellStyle name="Normal 2 4 5 4 4 2 3" xfId="12318" xr:uid="{7925D8EB-DEA9-4903-AA95-4660AB99BD5B}"/>
    <cellStyle name="Normal 2 4 5 4 4 2 4" xfId="20759" xr:uid="{4EFD651B-3E14-4427-BF75-21F6486B22AC}"/>
    <cellStyle name="Normal 2 4 5 4 4 2 5" xfId="29199" xr:uid="{434DC235-76AD-42D1-B9D5-658A0FC358B1}"/>
    <cellStyle name="Normal 2 4 5 4 4 3" xfId="5941" xr:uid="{00000000-0005-0000-0000-0000BA100000}"/>
    <cellStyle name="Normal 2 4 5 4 4 3 2" xfId="14391" xr:uid="{0E9170CD-058A-4711-98E3-8041F8968A48}"/>
    <cellStyle name="Normal 2 4 5 4 4 3 3" xfId="22831" xr:uid="{81093CFE-2488-452B-A264-35E341FAFE13}"/>
    <cellStyle name="Normal 2 4 5 4 4 3 4" xfId="31271" xr:uid="{6C497378-BD66-4668-9A6D-B5C89513FC88}"/>
    <cellStyle name="Normal 2 4 5 4 4 4" xfId="10173" xr:uid="{25620C05-CD74-4845-B6C8-0E72FD9153EF}"/>
    <cellStyle name="Normal 2 4 5 4 4 5" xfId="18614" xr:uid="{88CF6112-9A5E-4DB3-86CC-E25EDA56D861}"/>
    <cellStyle name="Normal 2 4 5 4 4 6" xfId="27054" xr:uid="{F2E1E09D-7D64-4FEA-8EC4-0AA059C838B8}"/>
    <cellStyle name="Normal 2 4 5 4 5" xfId="2048" xr:uid="{00000000-0005-0000-0000-0000BB100000}"/>
    <cellStyle name="Normal 2 4 5 4 5 2" xfId="4277" xr:uid="{00000000-0005-0000-0000-0000BC100000}"/>
    <cellStyle name="Normal 2 4 5 4 5 2 2" xfId="8499" xr:uid="{00000000-0005-0000-0000-0000BD100000}"/>
    <cellStyle name="Normal 2 4 5 4 5 2 2 2" xfId="16949" xr:uid="{76C5173D-4766-40C2-BFF8-0E3C5E0AD779}"/>
    <cellStyle name="Normal 2 4 5 4 5 2 2 3" xfId="25389" xr:uid="{28D54207-065E-4DA9-A385-7741839F0ED4}"/>
    <cellStyle name="Normal 2 4 5 4 5 2 2 4" xfId="33829" xr:uid="{D903896F-DB48-4602-867D-613EBF5F1991}"/>
    <cellStyle name="Normal 2 4 5 4 5 2 3" xfId="12731" xr:uid="{91EE7DE7-CA0F-49D7-AB7D-564F65A49657}"/>
    <cellStyle name="Normal 2 4 5 4 5 2 4" xfId="21172" xr:uid="{DD75FE3C-3D3F-49A3-A19E-54A97900D27A}"/>
    <cellStyle name="Normal 2 4 5 4 5 2 5" xfId="29612" xr:uid="{3B7D18FB-4471-4230-B0B8-A4F3D90D0819}"/>
    <cellStyle name="Normal 2 4 5 4 5 3" xfId="6354" xr:uid="{00000000-0005-0000-0000-0000BE100000}"/>
    <cellStyle name="Normal 2 4 5 4 5 3 2" xfId="14804" xr:uid="{255FE95F-2C91-4518-9028-CA06B3A99E55}"/>
    <cellStyle name="Normal 2 4 5 4 5 3 3" xfId="23244" xr:uid="{642C5B24-DBCF-43D9-9FD9-A8A202BFF6E6}"/>
    <cellStyle name="Normal 2 4 5 4 5 3 4" xfId="31684" xr:uid="{30494E62-4546-4368-85A4-03CD687F99EA}"/>
    <cellStyle name="Normal 2 4 5 4 5 4" xfId="10586" xr:uid="{A057A9FB-56EE-4BAF-A5B7-9BA7847F7489}"/>
    <cellStyle name="Normal 2 4 5 4 5 5" xfId="19027" xr:uid="{85F31CB2-5A61-482C-BA9E-950EC386D294}"/>
    <cellStyle name="Normal 2 4 5 4 5 6" xfId="27467" xr:uid="{EC5D8783-D42F-41CB-8371-CA0B8B920063}"/>
    <cellStyle name="Normal 2 4 5 4 6" xfId="2484" xr:uid="{00000000-0005-0000-0000-0000BF100000}"/>
    <cellStyle name="Normal 2 4 5 4 6 2" xfId="6767" xr:uid="{00000000-0005-0000-0000-0000C0100000}"/>
    <cellStyle name="Normal 2 4 5 4 6 2 2" xfId="15217" xr:uid="{D0EA848F-DE96-4A13-A146-89F4C59F1190}"/>
    <cellStyle name="Normal 2 4 5 4 6 2 3" xfId="23657" xr:uid="{304BC682-88B0-4278-9F3C-D8E336745A2A}"/>
    <cellStyle name="Normal 2 4 5 4 6 2 4" xfId="32097" xr:uid="{69E9E776-F420-4DB9-B5DE-896D9FC917BB}"/>
    <cellStyle name="Normal 2 4 5 4 6 3" xfId="10999" xr:uid="{3E075C3C-AE04-46F8-B8FA-F0B14552C1C9}"/>
    <cellStyle name="Normal 2 4 5 4 6 4" xfId="19440" xr:uid="{A90E8DAF-50EF-4D3C-8C2E-DB88E1700C10}"/>
    <cellStyle name="Normal 2 4 5 4 6 5" xfId="27880" xr:uid="{84DCE974-2A0C-4F24-AF1F-F855136726AC}"/>
    <cellStyle name="Normal 2 4 5 4 7" xfId="4701" xr:uid="{00000000-0005-0000-0000-0000C1100000}"/>
    <cellStyle name="Normal 2 4 5 4 7 2" xfId="13151" xr:uid="{D7A16088-5D68-4386-A419-5C7F49CABD32}"/>
    <cellStyle name="Normal 2 4 5 4 7 3" xfId="21591" xr:uid="{F658F4B3-C13D-4E4E-93B6-8E1552C81624}"/>
    <cellStyle name="Normal 2 4 5 4 7 4" xfId="30031" xr:uid="{56871AF0-5269-4D43-92EE-5766B0735CF7}"/>
    <cellStyle name="Normal 2 4 5 4 8" xfId="8933" xr:uid="{746E9D03-D659-478B-A7FD-4714782533A2}"/>
    <cellStyle name="Normal 2 4 5 4 9" xfId="17374" xr:uid="{3365EF92-13F3-455A-B511-5905E0CDBC4A}"/>
    <cellStyle name="Normal 2 4 5 5" xfId="792" xr:uid="{00000000-0005-0000-0000-0000C2100000}"/>
    <cellStyle name="Normal 2 4 5 5 2" xfId="3031" xr:uid="{00000000-0005-0000-0000-0000C3100000}"/>
    <cellStyle name="Normal 2 4 5 5 2 2" xfId="7253" xr:uid="{00000000-0005-0000-0000-0000C4100000}"/>
    <cellStyle name="Normal 2 4 5 5 2 2 2" xfId="15703" xr:uid="{F8E4DF8B-2C1C-476D-91EF-01ECE36CA40E}"/>
    <cellStyle name="Normal 2 4 5 5 2 2 3" xfId="24143" xr:uid="{C2917672-1135-43B8-8F15-A5BFC518C21B}"/>
    <cellStyle name="Normal 2 4 5 5 2 2 4" xfId="32583" xr:uid="{940A2DAD-65FC-46B3-8A0D-55BF78763A5B}"/>
    <cellStyle name="Normal 2 4 5 5 2 3" xfId="11485" xr:uid="{45AF6801-66AA-441C-BFDB-64E7B0451AA5}"/>
    <cellStyle name="Normal 2 4 5 5 2 4" xfId="19926" xr:uid="{EA2C8E8C-910D-44E7-9716-B6E66A0EBB31}"/>
    <cellStyle name="Normal 2 4 5 5 2 5" xfId="28366" xr:uid="{1A741D8A-0462-446E-A400-DCD3BF493DEA}"/>
    <cellStyle name="Normal 2 4 5 5 3" xfId="5108" xr:uid="{00000000-0005-0000-0000-0000C5100000}"/>
    <cellStyle name="Normal 2 4 5 5 3 2" xfId="13558" xr:uid="{28A51B29-11AC-4543-8D76-564DD2CF3A87}"/>
    <cellStyle name="Normal 2 4 5 5 3 3" xfId="21998" xr:uid="{07B4BD20-0DC4-45D1-9BB9-DA415BEC0949}"/>
    <cellStyle name="Normal 2 4 5 5 3 4" xfId="30438" xr:uid="{CF66D372-F0DD-49AF-8F08-576A9E5537D0}"/>
    <cellStyle name="Normal 2 4 5 5 4" xfId="9340" xr:uid="{0D4C779D-6BAF-411A-AD63-4C00BA4FB0C9}"/>
    <cellStyle name="Normal 2 4 5 5 5" xfId="17781" xr:uid="{18B7BB51-C466-44BB-8716-CA2CFF8A727F}"/>
    <cellStyle name="Normal 2 4 5 5 6" xfId="26221" xr:uid="{23C799D2-4CED-489B-B968-961F013BBD69}"/>
    <cellStyle name="Normal 2 4 5 6" xfId="1214" xr:uid="{00000000-0005-0000-0000-0000C6100000}"/>
    <cellStyle name="Normal 2 4 5 6 2" xfId="3444" xr:uid="{00000000-0005-0000-0000-0000C7100000}"/>
    <cellStyle name="Normal 2 4 5 6 2 2" xfId="7666" xr:uid="{00000000-0005-0000-0000-0000C8100000}"/>
    <cellStyle name="Normal 2 4 5 6 2 2 2" xfId="16116" xr:uid="{51F11AB7-BD6E-4765-9662-87DEF39548DB}"/>
    <cellStyle name="Normal 2 4 5 6 2 2 3" xfId="24556" xr:uid="{AFABB917-0D14-4936-9D2E-93010E87C5FA}"/>
    <cellStyle name="Normal 2 4 5 6 2 2 4" xfId="32996" xr:uid="{E1F60DE9-5A0A-421B-8C56-8FC7D9768FC8}"/>
    <cellStyle name="Normal 2 4 5 6 2 3" xfId="11898" xr:uid="{67C0DDF3-5BC3-4F62-88A1-2AC1D328AB41}"/>
    <cellStyle name="Normal 2 4 5 6 2 4" xfId="20339" xr:uid="{643F83FE-3439-4369-97BE-B956FA1E147E}"/>
    <cellStyle name="Normal 2 4 5 6 2 5" xfId="28779" xr:uid="{0D2E7B74-3FF3-440A-83DA-43AFAAACB4A6}"/>
    <cellStyle name="Normal 2 4 5 6 3" xfId="5521" xr:uid="{00000000-0005-0000-0000-0000C9100000}"/>
    <cellStyle name="Normal 2 4 5 6 3 2" xfId="13971" xr:uid="{5092892C-D1C6-4E26-917F-2678E7E9CD66}"/>
    <cellStyle name="Normal 2 4 5 6 3 3" xfId="22411" xr:uid="{36E1B885-70EF-4285-9610-575BCB33F9F6}"/>
    <cellStyle name="Normal 2 4 5 6 3 4" xfId="30851" xr:uid="{2DAED1DC-EF62-453A-89C3-1F5504F0A3D6}"/>
    <cellStyle name="Normal 2 4 5 6 4" xfId="9753" xr:uid="{741DE517-AD06-40FA-99E6-9A6B9604BFB0}"/>
    <cellStyle name="Normal 2 4 5 6 5" xfId="18194" xr:uid="{556B201A-28F6-433D-9915-5D1B4C914DE2}"/>
    <cellStyle name="Normal 2 4 5 6 6" xfId="26634" xr:uid="{A2AD3F79-EA69-4C4F-B5DB-7A4D35A92040}"/>
    <cellStyle name="Normal 2 4 5 7" xfId="1627" xr:uid="{00000000-0005-0000-0000-0000CA100000}"/>
    <cellStyle name="Normal 2 4 5 7 2" xfId="3857" xr:uid="{00000000-0005-0000-0000-0000CB100000}"/>
    <cellStyle name="Normal 2 4 5 7 2 2" xfId="8079" xr:uid="{00000000-0005-0000-0000-0000CC100000}"/>
    <cellStyle name="Normal 2 4 5 7 2 2 2" xfId="16529" xr:uid="{687CC444-85AC-41FD-9C1C-39E720B0DA37}"/>
    <cellStyle name="Normal 2 4 5 7 2 2 3" xfId="24969" xr:uid="{D3EE2235-69F3-4B29-9A82-7ABCE4E38006}"/>
    <cellStyle name="Normal 2 4 5 7 2 2 4" xfId="33409" xr:uid="{B92CD88E-FB7B-4345-9F2D-852FBC73DBBE}"/>
    <cellStyle name="Normal 2 4 5 7 2 3" xfId="12311" xr:uid="{5CAF58AE-B2C1-4424-8353-EA456F78A0D1}"/>
    <cellStyle name="Normal 2 4 5 7 2 4" xfId="20752" xr:uid="{437888DB-EC22-4F75-B969-F14F5FD64676}"/>
    <cellStyle name="Normal 2 4 5 7 2 5" xfId="29192" xr:uid="{56E5395C-AF73-4DA3-AC57-839F1C529D16}"/>
    <cellStyle name="Normal 2 4 5 7 3" xfId="5934" xr:uid="{00000000-0005-0000-0000-0000CD100000}"/>
    <cellStyle name="Normal 2 4 5 7 3 2" xfId="14384" xr:uid="{725485F6-CBB2-4DE2-BE14-3F79F8F51918}"/>
    <cellStyle name="Normal 2 4 5 7 3 3" xfId="22824" xr:uid="{5B9EA836-F294-4EAA-93C6-3C3922F634FD}"/>
    <cellStyle name="Normal 2 4 5 7 3 4" xfId="31264" xr:uid="{FA5EF352-EEE7-4EE8-9923-6D8850878662}"/>
    <cellStyle name="Normal 2 4 5 7 4" xfId="10166" xr:uid="{34E2C9A6-4F7A-43B4-BFC1-5C0026161198}"/>
    <cellStyle name="Normal 2 4 5 7 5" xfId="18607" xr:uid="{3FFF66C5-FC9E-489A-8B75-6A3E0A9101BA}"/>
    <cellStyle name="Normal 2 4 5 7 6" xfId="27047" xr:uid="{795E786D-8F5E-4F0E-B7B6-BECDC54C36BC}"/>
    <cellStyle name="Normal 2 4 5 8" xfId="2041" xr:uid="{00000000-0005-0000-0000-0000CE100000}"/>
    <cellStyle name="Normal 2 4 5 8 2" xfId="4270" xr:uid="{00000000-0005-0000-0000-0000CF100000}"/>
    <cellStyle name="Normal 2 4 5 8 2 2" xfId="8492" xr:uid="{00000000-0005-0000-0000-0000D0100000}"/>
    <cellStyle name="Normal 2 4 5 8 2 2 2" xfId="16942" xr:uid="{CA5AA341-7F27-4B64-B010-90EE133C9DB4}"/>
    <cellStyle name="Normal 2 4 5 8 2 2 3" xfId="25382" xr:uid="{71BC074B-9245-4EAE-9C7B-DB2A29952583}"/>
    <cellStyle name="Normal 2 4 5 8 2 2 4" xfId="33822" xr:uid="{13DA4F1A-F90E-44F2-9039-4C2F5A79B517}"/>
    <cellStyle name="Normal 2 4 5 8 2 3" xfId="12724" xr:uid="{389BF031-F955-433E-919B-0C2FAF6192B4}"/>
    <cellStyle name="Normal 2 4 5 8 2 4" xfId="21165" xr:uid="{4918E565-0DA5-4317-AECE-8C238C9DE4B7}"/>
    <cellStyle name="Normal 2 4 5 8 2 5" xfId="29605" xr:uid="{D15D1714-A872-4F7A-B7FC-87EFD34E695A}"/>
    <cellStyle name="Normal 2 4 5 8 3" xfId="6347" xr:uid="{00000000-0005-0000-0000-0000D1100000}"/>
    <cellStyle name="Normal 2 4 5 8 3 2" xfId="14797" xr:uid="{05A02FE3-8A2B-4D4F-8DB8-8BA1E31A0D7E}"/>
    <cellStyle name="Normal 2 4 5 8 3 3" xfId="23237" xr:uid="{C381EE7B-8805-48EB-BE7B-BA5B0E642BC3}"/>
    <cellStyle name="Normal 2 4 5 8 3 4" xfId="31677" xr:uid="{A742271B-73D3-457C-9B17-FBBFFE3A0D07}"/>
    <cellStyle name="Normal 2 4 5 8 4" xfId="10579" xr:uid="{4BF80C3F-B410-49E5-AFB3-5219D8381010}"/>
    <cellStyle name="Normal 2 4 5 8 5" xfId="19020" xr:uid="{CE80E0CC-4E23-457F-916A-740582B15BBF}"/>
    <cellStyle name="Normal 2 4 5 8 6" xfId="27460" xr:uid="{A2552F14-2DB8-4405-93ED-08AE424B11DC}"/>
    <cellStyle name="Normal 2 4 5 9" xfId="2477" xr:uid="{00000000-0005-0000-0000-0000D2100000}"/>
    <cellStyle name="Normal 2 4 5 9 2" xfId="6760" xr:uid="{00000000-0005-0000-0000-0000D3100000}"/>
    <cellStyle name="Normal 2 4 5 9 2 2" xfId="15210" xr:uid="{A1E8B4D7-165F-44E9-87D0-085B0B71B22A}"/>
    <cellStyle name="Normal 2 4 5 9 2 3" xfId="23650" xr:uid="{EE82F057-1D9A-4A23-B42E-CD22794799F0}"/>
    <cellStyle name="Normal 2 4 5 9 2 4" xfId="32090" xr:uid="{878CFB41-20AF-41B3-8E44-DF4B3ABBA76F}"/>
    <cellStyle name="Normal 2 4 5 9 3" xfId="10992" xr:uid="{2515ED57-6751-4F47-8101-9A43B9FA3D24}"/>
    <cellStyle name="Normal 2 4 5 9 4" xfId="19433" xr:uid="{7D127D19-5540-4B14-9757-07450CE11C15}"/>
    <cellStyle name="Normal 2 4 5 9 5" xfId="27873" xr:uid="{8075BA9E-C68E-4BC6-B047-4809E134CD32}"/>
    <cellStyle name="Normal 2 4 6" xfId="311" xr:uid="{00000000-0005-0000-0000-0000D4100000}"/>
    <cellStyle name="Normal 2 4 7" xfId="312" xr:uid="{00000000-0005-0000-0000-0000D5100000}"/>
    <cellStyle name="Normal 2 4 7 10" xfId="17375" xr:uid="{96B89909-CC92-4407-9BD2-39D366181CA4}"/>
    <cellStyle name="Normal 2 4 7 11" xfId="25815" xr:uid="{C45397E2-ED83-4DAD-BEEC-DA24B1301DF8}"/>
    <cellStyle name="Normal 2 4 7 2" xfId="313" xr:uid="{00000000-0005-0000-0000-0000D6100000}"/>
    <cellStyle name="Normal 2 4 7 2 10" xfId="25816" xr:uid="{D3691E4D-3FC1-47CC-865C-54845866B7BE}"/>
    <cellStyle name="Normal 2 4 7 2 2" xfId="801" xr:uid="{00000000-0005-0000-0000-0000D7100000}"/>
    <cellStyle name="Normal 2 4 7 2 2 2" xfId="3040" xr:uid="{00000000-0005-0000-0000-0000D8100000}"/>
    <cellStyle name="Normal 2 4 7 2 2 2 2" xfId="7262" xr:uid="{00000000-0005-0000-0000-0000D9100000}"/>
    <cellStyle name="Normal 2 4 7 2 2 2 2 2" xfId="15712" xr:uid="{901A52D5-46DF-4C92-8C9A-4A44CD7BC3A0}"/>
    <cellStyle name="Normal 2 4 7 2 2 2 2 3" xfId="24152" xr:uid="{736D4BEE-7760-4D05-B0CC-F0B15F506C54}"/>
    <cellStyle name="Normal 2 4 7 2 2 2 2 4" xfId="32592" xr:uid="{2B598043-D546-4796-9CFF-D861DCCF58D1}"/>
    <cellStyle name="Normal 2 4 7 2 2 2 3" xfId="11494" xr:uid="{3C473E3A-DBCE-49F3-9E9C-CF63C6EFD389}"/>
    <cellStyle name="Normal 2 4 7 2 2 2 4" xfId="19935" xr:uid="{9A168720-F883-42B7-8BA1-E1376093E718}"/>
    <cellStyle name="Normal 2 4 7 2 2 2 5" xfId="28375" xr:uid="{29BF194A-1992-4CFA-9E65-6CAF7B83F10F}"/>
    <cellStyle name="Normal 2 4 7 2 2 3" xfId="5117" xr:uid="{00000000-0005-0000-0000-0000DA100000}"/>
    <cellStyle name="Normal 2 4 7 2 2 3 2" xfId="13567" xr:uid="{FB1C932A-6993-409F-BCA5-02AB022B17B1}"/>
    <cellStyle name="Normal 2 4 7 2 2 3 3" xfId="22007" xr:uid="{94A89722-0205-4BB4-8151-E3593100A1AC}"/>
    <cellStyle name="Normal 2 4 7 2 2 3 4" xfId="30447" xr:uid="{2B49A767-B668-4C7F-AE9C-5D89BAED04AE}"/>
    <cellStyle name="Normal 2 4 7 2 2 4" xfId="9349" xr:uid="{9B9D0861-58C6-48B8-8CCF-3061C48FF369}"/>
    <cellStyle name="Normal 2 4 7 2 2 5" xfId="17790" xr:uid="{408C30DB-24F2-4F83-A627-D8B7EF7F0911}"/>
    <cellStyle name="Normal 2 4 7 2 2 6" xfId="26230" xr:uid="{EEACEC12-1EBE-4E06-A4A6-E2D1D3392FD0}"/>
    <cellStyle name="Normal 2 4 7 2 3" xfId="1223" xr:uid="{00000000-0005-0000-0000-0000DB100000}"/>
    <cellStyle name="Normal 2 4 7 2 3 2" xfId="3453" xr:uid="{00000000-0005-0000-0000-0000DC100000}"/>
    <cellStyle name="Normal 2 4 7 2 3 2 2" xfId="7675" xr:uid="{00000000-0005-0000-0000-0000DD100000}"/>
    <cellStyle name="Normal 2 4 7 2 3 2 2 2" xfId="16125" xr:uid="{04634EDB-96D7-450C-BFBE-2E3011C894F6}"/>
    <cellStyle name="Normal 2 4 7 2 3 2 2 3" xfId="24565" xr:uid="{A7140B63-89DB-4AE8-A7F4-07217939E16B}"/>
    <cellStyle name="Normal 2 4 7 2 3 2 2 4" xfId="33005" xr:uid="{64C3E93D-A25F-4E2C-A6D2-BFAAEEE7DAFD}"/>
    <cellStyle name="Normal 2 4 7 2 3 2 3" xfId="11907" xr:uid="{04B1284B-49CE-46F8-B679-16EF683C54C0}"/>
    <cellStyle name="Normal 2 4 7 2 3 2 4" xfId="20348" xr:uid="{DA1FB46F-455F-4684-9E50-9BC8EC8C970E}"/>
    <cellStyle name="Normal 2 4 7 2 3 2 5" xfId="28788" xr:uid="{412276C1-A77A-4637-807E-2F05880D4F54}"/>
    <cellStyle name="Normal 2 4 7 2 3 3" xfId="5530" xr:uid="{00000000-0005-0000-0000-0000DE100000}"/>
    <cellStyle name="Normal 2 4 7 2 3 3 2" xfId="13980" xr:uid="{8C0A6D35-5A72-400D-9CD9-AF2CCE79D761}"/>
    <cellStyle name="Normal 2 4 7 2 3 3 3" xfId="22420" xr:uid="{7D6B6754-8FDA-4C2C-8C50-3A7EE245D4D8}"/>
    <cellStyle name="Normal 2 4 7 2 3 3 4" xfId="30860" xr:uid="{6714A5BC-1AB4-4014-B594-9275083F27F5}"/>
    <cellStyle name="Normal 2 4 7 2 3 4" xfId="9762" xr:uid="{3225E6DF-2532-49D1-9C7C-18D24C89A3C4}"/>
    <cellStyle name="Normal 2 4 7 2 3 5" xfId="18203" xr:uid="{BB384E33-64C5-45A8-8C74-3CDEF647DF0F}"/>
    <cellStyle name="Normal 2 4 7 2 3 6" xfId="26643" xr:uid="{A37DBD1E-199C-4CCD-BA37-25011B950C48}"/>
    <cellStyle name="Normal 2 4 7 2 4" xfId="1636" xr:uid="{00000000-0005-0000-0000-0000DF100000}"/>
    <cellStyle name="Normal 2 4 7 2 4 2" xfId="3866" xr:uid="{00000000-0005-0000-0000-0000E0100000}"/>
    <cellStyle name="Normal 2 4 7 2 4 2 2" xfId="8088" xr:uid="{00000000-0005-0000-0000-0000E1100000}"/>
    <cellStyle name="Normal 2 4 7 2 4 2 2 2" xfId="16538" xr:uid="{CD8D12FE-0F0F-45D5-AC72-DF30CB4B77C6}"/>
    <cellStyle name="Normal 2 4 7 2 4 2 2 3" xfId="24978" xr:uid="{0C023680-BAA0-4AC1-82C4-B3D301DF663F}"/>
    <cellStyle name="Normal 2 4 7 2 4 2 2 4" xfId="33418" xr:uid="{A43FBF65-AD59-4F0D-86AC-78BC9515DBCF}"/>
    <cellStyle name="Normal 2 4 7 2 4 2 3" xfId="12320" xr:uid="{3F394E69-07AF-41D3-A819-6A2450B84DBA}"/>
    <cellStyle name="Normal 2 4 7 2 4 2 4" xfId="20761" xr:uid="{3C5DD980-96F5-4A9A-A2CC-5C6654275575}"/>
    <cellStyle name="Normal 2 4 7 2 4 2 5" xfId="29201" xr:uid="{C6A3651E-AC63-4857-805B-752B20483B50}"/>
    <cellStyle name="Normal 2 4 7 2 4 3" xfId="5943" xr:uid="{00000000-0005-0000-0000-0000E2100000}"/>
    <cellStyle name="Normal 2 4 7 2 4 3 2" xfId="14393" xr:uid="{B7FD4CCF-3459-4A66-A82F-831BE7B75903}"/>
    <cellStyle name="Normal 2 4 7 2 4 3 3" xfId="22833" xr:uid="{E6E53F56-72A9-4E4C-AF79-1ABD3D2358C6}"/>
    <cellStyle name="Normal 2 4 7 2 4 3 4" xfId="31273" xr:uid="{D0894A8F-E2F5-4B9B-8253-5A48307A3E11}"/>
    <cellStyle name="Normal 2 4 7 2 4 4" xfId="10175" xr:uid="{65C64E1A-0611-4854-9EF6-A50298BE5CE4}"/>
    <cellStyle name="Normal 2 4 7 2 4 5" xfId="18616" xr:uid="{6DA03C5F-20E1-414F-8DA9-881D8AF4AC23}"/>
    <cellStyle name="Normal 2 4 7 2 4 6" xfId="27056" xr:uid="{0A79AC2E-4A35-4182-B8B6-360FD2B4AC8D}"/>
    <cellStyle name="Normal 2 4 7 2 5" xfId="2050" xr:uid="{00000000-0005-0000-0000-0000E3100000}"/>
    <cellStyle name="Normal 2 4 7 2 5 2" xfId="4279" xr:uid="{00000000-0005-0000-0000-0000E4100000}"/>
    <cellStyle name="Normal 2 4 7 2 5 2 2" xfId="8501" xr:uid="{00000000-0005-0000-0000-0000E5100000}"/>
    <cellStyle name="Normal 2 4 7 2 5 2 2 2" xfId="16951" xr:uid="{DDC4601A-A66E-4CAA-AAA0-9F945BB7ACC1}"/>
    <cellStyle name="Normal 2 4 7 2 5 2 2 3" xfId="25391" xr:uid="{0C647496-A7E4-4FE5-B88A-472ABB617248}"/>
    <cellStyle name="Normal 2 4 7 2 5 2 2 4" xfId="33831" xr:uid="{F7A7E669-35F3-4B62-8E88-3DBBB3A31F2C}"/>
    <cellStyle name="Normal 2 4 7 2 5 2 3" xfId="12733" xr:uid="{49171BD3-A345-48F9-BF50-8C037FD270FC}"/>
    <cellStyle name="Normal 2 4 7 2 5 2 4" xfId="21174" xr:uid="{D15A5AEE-E19D-404D-9819-B66549C65CE6}"/>
    <cellStyle name="Normal 2 4 7 2 5 2 5" xfId="29614" xr:uid="{9EEF7B65-0EF8-4DB2-B531-CAB159718AEB}"/>
    <cellStyle name="Normal 2 4 7 2 5 3" xfId="6356" xr:uid="{00000000-0005-0000-0000-0000E6100000}"/>
    <cellStyle name="Normal 2 4 7 2 5 3 2" xfId="14806" xr:uid="{4AD6695C-DE32-4231-91CB-8BCF18C5E096}"/>
    <cellStyle name="Normal 2 4 7 2 5 3 3" xfId="23246" xr:uid="{6834E328-3B2E-4451-A6CE-614A1ECBBBF1}"/>
    <cellStyle name="Normal 2 4 7 2 5 3 4" xfId="31686" xr:uid="{6FE17A63-893C-49E3-A874-1D227CA20EF5}"/>
    <cellStyle name="Normal 2 4 7 2 5 4" xfId="10588" xr:uid="{639AF7B8-6B68-4C1A-9417-A6B4C32015CB}"/>
    <cellStyle name="Normal 2 4 7 2 5 5" xfId="19029" xr:uid="{036E3CA8-9A39-460C-AAA6-90063A26D5EF}"/>
    <cellStyle name="Normal 2 4 7 2 5 6" xfId="27469" xr:uid="{7344F0E6-1B9E-4247-BC01-01A363EE195E}"/>
    <cellStyle name="Normal 2 4 7 2 6" xfId="2486" xr:uid="{00000000-0005-0000-0000-0000E7100000}"/>
    <cellStyle name="Normal 2 4 7 2 6 2" xfId="6769" xr:uid="{00000000-0005-0000-0000-0000E8100000}"/>
    <cellStyle name="Normal 2 4 7 2 6 2 2" xfId="15219" xr:uid="{252F836A-2387-4F57-969E-0FD602CB6CC7}"/>
    <cellStyle name="Normal 2 4 7 2 6 2 3" xfId="23659" xr:uid="{A872DE2A-A327-42B6-BBCB-35FB860175BD}"/>
    <cellStyle name="Normal 2 4 7 2 6 2 4" xfId="32099" xr:uid="{E7FF0F26-CCF1-40C1-9270-600B830BBC36}"/>
    <cellStyle name="Normal 2 4 7 2 6 3" xfId="11001" xr:uid="{F837F3B2-F526-42CC-85C6-4357B80FFDB4}"/>
    <cellStyle name="Normal 2 4 7 2 6 4" xfId="19442" xr:uid="{C026E83D-A7C2-4B26-8D27-7CE830F4BE80}"/>
    <cellStyle name="Normal 2 4 7 2 6 5" xfId="27882" xr:uid="{8B97A696-61A7-4568-904F-C20F0C50B23E}"/>
    <cellStyle name="Normal 2 4 7 2 7" xfId="4703" xr:uid="{00000000-0005-0000-0000-0000E9100000}"/>
    <cellStyle name="Normal 2 4 7 2 7 2" xfId="13153" xr:uid="{C5C05960-D767-44A7-BD68-9F1DBF08B8E9}"/>
    <cellStyle name="Normal 2 4 7 2 7 3" xfId="21593" xr:uid="{E34E0036-5075-4C4C-88FB-E566EA44521E}"/>
    <cellStyle name="Normal 2 4 7 2 7 4" xfId="30033" xr:uid="{B7ED41C6-5EBF-4ACE-B934-844651A104F8}"/>
    <cellStyle name="Normal 2 4 7 2 8" xfId="8935" xr:uid="{E48BD91D-2AAB-4170-AE4B-CE1781D541E7}"/>
    <cellStyle name="Normal 2 4 7 2 9" xfId="17376" xr:uid="{94C38AD7-DE69-4642-9C54-B36D44B41B98}"/>
    <cellStyle name="Normal 2 4 7 3" xfId="800" xr:uid="{00000000-0005-0000-0000-0000EA100000}"/>
    <cellStyle name="Normal 2 4 7 3 2" xfId="3039" xr:uid="{00000000-0005-0000-0000-0000EB100000}"/>
    <cellStyle name="Normal 2 4 7 3 2 2" xfId="7261" xr:uid="{00000000-0005-0000-0000-0000EC100000}"/>
    <cellStyle name="Normal 2 4 7 3 2 2 2" xfId="15711" xr:uid="{4BB3A05C-0193-4978-9026-19A66BE7C51A}"/>
    <cellStyle name="Normal 2 4 7 3 2 2 3" xfId="24151" xr:uid="{9325C771-BAFA-424F-A391-698F913A2B2D}"/>
    <cellStyle name="Normal 2 4 7 3 2 2 4" xfId="32591" xr:uid="{F485524F-0856-4AC7-9009-0EF60F6BBEF9}"/>
    <cellStyle name="Normal 2 4 7 3 2 3" xfId="11493" xr:uid="{3BC94424-E6F9-4D76-BB91-F7A36164B394}"/>
    <cellStyle name="Normal 2 4 7 3 2 4" xfId="19934" xr:uid="{D1437819-2FBC-4E0D-9CAE-E2A50D2663F2}"/>
    <cellStyle name="Normal 2 4 7 3 2 5" xfId="28374" xr:uid="{55B1D3A3-41D3-4AAC-8812-DE9AD992C040}"/>
    <cellStyle name="Normal 2 4 7 3 3" xfId="5116" xr:uid="{00000000-0005-0000-0000-0000ED100000}"/>
    <cellStyle name="Normal 2 4 7 3 3 2" xfId="13566" xr:uid="{E90E0264-065C-4644-BC89-91A59C13E91B}"/>
    <cellStyle name="Normal 2 4 7 3 3 3" xfId="22006" xr:uid="{24A874DE-CB2F-462E-84FC-D04DB92A70FC}"/>
    <cellStyle name="Normal 2 4 7 3 3 4" xfId="30446" xr:uid="{594B95F8-78DE-4008-A4D8-A9229E792790}"/>
    <cellStyle name="Normal 2 4 7 3 4" xfId="9348" xr:uid="{8BF8EAF0-6087-43F4-B5EB-9C3B2F652511}"/>
    <cellStyle name="Normal 2 4 7 3 5" xfId="17789" xr:uid="{479E085B-5740-491D-ADFF-6A2761B4BA36}"/>
    <cellStyle name="Normal 2 4 7 3 6" xfId="26229" xr:uid="{8A46BC46-34B7-481A-9F39-B372DAF0AAD8}"/>
    <cellStyle name="Normal 2 4 7 4" xfId="1222" xr:uid="{00000000-0005-0000-0000-0000EE100000}"/>
    <cellStyle name="Normal 2 4 7 4 2" xfId="3452" xr:uid="{00000000-0005-0000-0000-0000EF100000}"/>
    <cellStyle name="Normal 2 4 7 4 2 2" xfId="7674" xr:uid="{00000000-0005-0000-0000-0000F0100000}"/>
    <cellStyle name="Normal 2 4 7 4 2 2 2" xfId="16124" xr:uid="{E6A72494-B584-4782-A6B9-9C38C1FEF105}"/>
    <cellStyle name="Normal 2 4 7 4 2 2 3" xfId="24564" xr:uid="{49390BF4-B63B-4D7A-BFD1-B86AAB42D447}"/>
    <cellStyle name="Normal 2 4 7 4 2 2 4" xfId="33004" xr:uid="{8DACF9DA-8F55-4F58-9890-592CD9804229}"/>
    <cellStyle name="Normal 2 4 7 4 2 3" xfId="11906" xr:uid="{1F2CF443-997A-4435-BD88-20199F7E331E}"/>
    <cellStyle name="Normal 2 4 7 4 2 4" xfId="20347" xr:uid="{15D7E232-77B6-4A51-982F-96530282510D}"/>
    <cellStyle name="Normal 2 4 7 4 2 5" xfId="28787" xr:uid="{3A61F970-BB06-4DCA-B33F-DCBA4A41CB4C}"/>
    <cellStyle name="Normal 2 4 7 4 3" xfId="5529" xr:uid="{00000000-0005-0000-0000-0000F1100000}"/>
    <cellStyle name="Normal 2 4 7 4 3 2" xfId="13979" xr:uid="{388275DF-7F80-40EF-8173-CF39215ADD12}"/>
    <cellStyle name="Normal 2 4 7 4 3 3" xfId="22419" xr:uid="{A27EB02C-2377-4F0A-B54A-1C385C5AF678}"/>
    <cellStyle name="Normal 2 4 7 4 3 4" xfId="30859" xr:uid="{2FF3AC02-8F10-48FA-BA4A-65A0B6E8D024}"/>
    <cellStyle name="Normal 2 4 7 4 4" xfId="9761" xr:uid="{E8D281F8-F44B-4A4B-BA53-32AB2BC2370B}"/>
    <cellStyle name="Normal 2 4 7 4 5" xfId="18202" xr:uid="{014EC87D-49F8-4342-A84D-351D43D30EAD}"/>
    <cellStyle name="Normal 2 4 7 4 6" xfId="26642" xr:uid="{9D35AF01-8B2C-473D-97B7-E921FDF8694C}"/>
    <cellStyle name="Normal 2 4 7 5" xfId="1635" xr:uid="{00000000-0005-0000-0000-0000F2100000}"/>
    <cellStyle name="Normal 2 4 7 5 2" xfId="3865" xr:uid="{00000000-0005-0000-0000-0000F3100000}"/>
    <cellStyle name="Normal 2 4 7 5 2 2" xfId="8087" xr:uid="{00000000-0005-0000-0000-0000F4100000}"/>
    <cellStyle name="Normal 2 4 7 5 2 2 2" xfId="16537" xr:uid="{E9CD788D-3F2C-4DF4-96D2-B61F9A44F0C6}"/>
    <cellStyle name="Normal 2 4 7 5 2 2 3" xfId="24977" xr:uid="{7DFD3F48-6E77-4BD6-8C84-E41F63E9DCD3}"/>
    <cellStyle name="Normal 2 4 7 5 2 2 4" xfId="33417" xr:uid="{FC0492B3-716B-4ADB-86C5-99D7E575C8EA}"/>
    <cellStyle name="Normal 2 4 7 5 2 3" xfId="12319" xr:uid="{ACF77DB8-796B-4CC7-B926-CDC748006625}"/>
    <cellStyle name="Normal 2 4 7 5 2 4" xfId="20760" xr:uid="{1AD98906-C6B5-4E35-9499-E2A283C6B76A}"/>
    <cellStyle name="Normal 2 4 7 5 2 5" xfId="29200" xr:uid="{9DFE4421-EFA8-4CB7-8638-17946E276946}"/>
    <cellStyle name="Normal 2 4 7 5 3" xfId="5942" xr:uid="{00000000-0005-0000-0000-0000F5100000}"/>
    <cellStyle name="Normal 2 4 7 5 3 2" xfId="14392" xr:uid="{D8E5E227-CFBD-41C7-A3F0-D7D8843B395C}"/>
    <cellStyle name="Normal 2 4 7 5 3 3" xfId="22832" xr:uid="{DFBB13F1-2E1D-4175-8743-0368BF8788C3}"/>
    <cellStyle name="Normal 2 4 7 5 3 4" xfId="31272" xr:uid="{4EBA7F39-DBE6-4673-A558-94EB5A53A458}"/>
    <cellStyle name="Normal 2 4 7 5 4" xfId="10174" xr:uid="{C974BC3A-BA94-4B9F-9CED-4C99DC77C7F7}"/>
    <cellStyle name="Normal 2 4 7 5 5" xfId="18615" xr:uid="{E3E1593E-EAEF-4AE7-9935-41E01E02C8CE}"/>
    <cellStyle name="Normal 2 4 7 5 6" xfId="27055" xr:uid="{05C30095-2378-42B1-BC52-D8B13FF65489}"/>
    <cellStyle name="Normal 2 4 7 6" xfId="2049" xr:uid="{00000000-0005-0000-0000-0000F6100000}"/>
    <cellStyle name="Normal 2 4 7 6 2" xfId="4278" xr:uid="{00000000-0005-0000-0000-0000F7100000}"/>
    <cellStyle name="Normal 2 4 7 6 2 2" xfId="8500" xr:uid="{00000000-0005-0000-0000-0000F8100000}"/>
    <cellStyle name="Normal 2 4 7 6 2 2 2" xfId="16950" xr:uid="{4BDF7859-AD4F-4A37-AB80-31B2EEE24374}"/>
    <cellStyle name="Normal 2 4 7 6 2 2 3" xfId="25390" xr:uid="{CE53E4A5-9A85-4B18-BB06-B406ED9212A0}"/>
    <cellStyle name="Normal 2 4 7 6 2 2 4" xfId="33830" xr:uid="{2EB0174A-4F3D-4549-A46D-025395A03926}"/>
    <cellStyle name="Normal 2 4 7 6 2 3" xfId="12732" xr:uid="{AE78CFAD-8825-4FE8-94B5-C0A034E752C1}"/>
    <cellStyle name="Normal 2 4 7 6 2 4" xfId="21173" xr:uid="{49B0C32C-1022-47D5-9DB4-425627063D94}"/>
    <cellStyle name="Normal 2 4 7 6 2 5" xfId="29613" xr:uid="{8C83D4B6-5F1C-4A6E-A913-C9B5A3E995A3}"/>
    <cellStyle name="Normal 2 4 7 6 3" xfId="6355" xr:uid="{00000000-0005-0000-0000-0000F9100000}"/>
    <cellStyle name="Normal 2 4 7 6 3 2" xfId="14805" xr:uid="{23B523A4-6D3B-44EC-BA28-057ADACA88EC}"/>
    <cellStyle name="Normal 2 4 7 6 3 3" xfId="23245" xr:uid="{F7601E44-A6D8-4F25-81D3-5C702B290FF9}"/>
    <cellStyle name="Normal 2 4 7 6 3 4" xfId="31685" xr:uid="{50D7A240-F59B-4FEA-9BAC-CD730235E1D9}"/>
    <cellStyle name="Normal 2 4 7 6 4" xfId="10587" xr:uid="{7C4022A6-EFB3-43C7-A85E-6C6DC4BDF628}"/>
    <cellStyle name="Normal 2 4 7 6 5" xfId="19028" xr:uid="{4029C6DA-4365-4954-8E53-CC83EC1E879A}"/>
    <cellStyle name="Normal 2 4 7 6 6" xfId="27468" xr:uid="{3DF8DA85-3E99-45D6-8CA0-2EC14780E80C}"/>
    <cellStyle name="Normal 2 4 7 7" xfId="2485" xr:uid="{00000000-0005-0000-0000-0000FA100000}"/>
    <cellStyle name="Normal 2 4 7 7 2" xfId="6768" xr:uid="{00000000-0005-0000-0000-0000FB100000}"/>
    <cellStyle name="Normal 2 4 7 7 2 2" xfId="15218" xr:uid="{687C6B69-73B0-43E5-BEA1-3A1903822F6B}"/>
    <cellStyle name="Normal 2 4 7 7 2 3" xfId="23658" xr:uid="{36F72830-3841-4F51-B5A0-CA7698032174}"/>
    <cellStyle name="Normal 2 4 7 7 2 4" xfId="32098" xr:uid="{4E64BF70-B430-4369-8BFE-C79E40F06056}"/>
    <cellStyle name="Normal 2 4 7 7 3" xfId="11000" xr:uid="{825A6384-B5B6-4794-B45A-7ACD7E5D4772}"/>
    <cellStyle name="Normal 2 4 7 7 4" xfId="19441" xr:uid="{4FFDE264-A46E-4DB5-9472-A83CD629433E}"/>
    <cellStyle name="Normal 2 4 7 7 5" xfId="27881" xr:uid="{73DCC77A-B046-4E78-95AD-5A3EB1BDF79C}"/>
    <cellStyle name="Normal 2 4 7 8" xfId="4702" xr:uid="{00000000-0005-0000-0000-0000FC100000}"/>
    <cellStyle name="Normal 2 4 7 8 2" xfId="13152" xr:uid="{B221474E-274E-4065-9AB7-EAEE932C57DC}"/>
    <cellStyle name="Normal 2 4 7 8 3" xfId="21592" xr:uid="{1FCC6308-C579-4192-BEEB-99504CE68399}"/>
    <cellStyle name="Normal 2 4 7 8 4" xfId="30032" xr:uid="{C7AEB9EA-22ED-49F4-9333-2BA58E11E733}"/>
    <cellStyle name="Normal 2 4 7 9" xfId="8934" xr:uid="{87D65A46-F548-4C71-BEFE-09DF6C918743}"/>
    <cellStyle name="Normal 2 4 8" xfId="314" xr:uid="{00000000-0005-0000-0000-0000FD100000}"/>
    <cellStyle name="Normal 2 4 8 10" xfId="25817" xr:uid="{F4BCB588-DB84-495F-A7C7-A91137465523}"/>
    <cellStyle name="Normal 2 4 8 2" xfId="802" xr:uid="{00000000-0005-0000-0000-0000FE100000}"/>
    <cellStyle name="Normal 2 4 8 2 2" xfId="3041" xr:uid="{00000000-0005-0000-0000-0000FF100000}"/>
    <cellStyle name="Normal 2 4 8 2 2 2" xfId="7263" xr:uid="{00000000-0005-0000-0000-000000110000}"/>
    <cellStyle name="Normal 2 4 8 2 2 2 2" xfId="15713" xr:uid="{EAF81297-68DB-4249-AC1B-D3A42130CF8D}"/>
    <cellStyle name="Normal 2 4 8 2 2 2 3" xfId="24153" xr:uid="{0B5602E6-8F9B-49CA-8192-BFDE6DE88C09}"/>
    <cellStyle name="Normal 2 4 8 2 2 2 4" xfId="32593" xr:uid="{65C57F2A-93FA-46A6-91EB-3864BC01896A}"/>
    <cellStyle name="Normal 2 4 8 2 2 3" xfId="11495" xr:uid="{FA07D0F1-BA2C-46D9-B3C1-BAF09152FC71}"/>
    <cellStyle name="Normal 2 4 8 2 2 4" xfId="19936" xr:uid="{6692D6FD-D2FE-49F8-9039-1DDC377CD7EF}"/>
    <cellStyle name="Normal 2 4 8 2 2 5" xfId="28376" xr:uid="{821CB294-0862-4CF9-AB9C-C34063A36F18}"/>
    <cellStyle name="Normal 2 4 8 2 3" xfId="5118" xr:uid="{00000000-0005-0000-0000-000001110000}"/>
    <cellStyle name="Normal 2 4 8 2 3 2" xfId="13568" xr:uid="{A54F5ABD-5B78-4524-97CE-5CCA14413466}"/>
    <cellStyle name="Normal 2 4 8 2 3 3" xfId="22008" xr:uid="{9088F8D6-EB50-497D-B15F-7F7D298CCC47}"/>
    <cellStyle name="Normal 2 4 8 2 3 4" xfId="30448" xr:uid="{6EE0C3C6-137A-40F9-B059-818245476567}"/>
    <cellStyle name="Normal 2 4 8 2 4" xfId="9350" xr:uid="{631FFEFD-1D12-4A4B-8C68-818EC43A68E7}"/>
    <cellStyle name="Normal 2 4 8 2 5" xfId="17791" xr:uid="{054E0620-E89E-45BC-8444-F507B8F50866}"/>
    <cellStyle name="Normal 2 4 8 2 6" xfId="26231" xr:uid="{4E03781C-B139-4A3D-AD6A-021D20EE42C9}"/>
    <cellStyle name="Normal 2 4 8 3" xfId="1224" xr:uid="{00000000-0005-0000-0000-000002110000}"/>
    <cellStyle name="Normal 2 4 8 3 2" xfId="3454" xr:uid="{00000000-0005-0000-0000-000003110000}"/>
    <cellStyle name="Normal 2 4 8 3 2 2" xfId="7676" xr:uid="{00000000-0005-0000-0000-000004110000}"/>
    <cellStyle name="Normal 2 4 8 3 2 2 2" xfId="16126" xr:uid="{25466DED-325B-4CFA-8272-596B14ECEE74}"/>
    <cellStyle name="Normal 2 4 8 3 2 2 3" xfId="24566" xr:uid="{786AD608-E69F-4279-80A7-0377274A35BA}"/>
    <cellStyle name="Normal 2 4 8 3 2 2 4" xfId="33006" xr:uid="{0814C287-62E2-4DBB-9AED-C12855A9C376}"/>
    <cellStyle name="Normal 2 4 8 3 2 3" xfId="11908" xr:uid="{FF971280-D274-455A-B0E9-B5F2C763DBA8}"/>
    <cellStyle name="Normal 2 4 8 3 2 4" xfId="20349" xr:uid="{F9F7397C-DEE5-40F5-AC52-2EE18050BF18}"/>
    <cellStyle name="Normal 2 4 8 3 2 5" xfId="28789" xr:uid="{B1493DBC-A833-46DA-93E2-B6D9416975B0}"/>
    <cellStyle name="Normal 2 4 8 3 3" xfId="5531" xr:uid="{00000000-0005-0000-0000-000005110000}"/>
    <cellStyle name="Normal 2 4 8 3 3 2" xfId="13981" xr:uid="{2AF37A8A-8E77-4B33-9C5C-DA957C12E670}"/>
    <cellStyle name="Normal 2 4 8 3 3 3" xfId="22421" xr:uid="{ED306C09-B0D3-4AA4-9366-5549B4711EC1}"/>
    <cellStyle name="Normal 2 4 8 3 3 4" xfId="30861" xr:uid="{CC464246-6290-45CB-9309-90B1364F68CB}"/>
    <cellStyle name="Normal 2 4 8 3 4" xfId="9763" xr:uid="{DC83F987-6B50-4BEB-84B2-64B05D592B28}"/>
    <cellStyle name="Normal 2 4 8 3 5" xfId="18204" xr:uid="{95DCCDE6-7FD3-423F-B4C9-51A3D73E1620}"/>
    <cellStyle name="Normal 2 4 8 3 6" xfId="26644" xr:uid="{9E53CF03-9834-45F6-909A-255A04F949AF}"/>
    <cellStyle name="Normal 2 4 8 4" xfId="1637" xr:uid="{00000000-0005-0000-0000-000006110000}"/>
    <cellStyle name="Normal 2 4 8 4 2" xfId="3867" xr:uid="{00000000-0005-0000-0000-000007110000}"/>
    <cellStyle name="Normal 2 4 8 4 2 2" xfId="8089" xr:uid="{00000000-0005-0000-0000-000008110000}"/>
    <cellStyle name="Normal 2 4 8 4 2 2 2" xfId="16539" xr:uid="{1A0B6D58-919C-4804-9785-DB3B900F7F6E}"/>
    <cellStyle name="Normal 2 4 8 4 2 2 3" xfId="24979" xr:uid="{3868A24D-0A8E-495C-8010-19F42DFA881F}"/>
    <cellStyle name="Normal 2 4 8 4 2 2 4" xfId="33419" xr:uid="{70F0FDA3-F9FB-4551-8347-74DA8418F843}"/>
    <cellStyle name="Normal 2 4 8 4 2 3" xfId="12321" xr:uid="{93F526F2-5DED-4297-B2EA-70FA6CB1F794}"/>
    <cellStyle name="Normal 2 4 8 4 2 4" xfId="20762" xr:uid="{58781BE3-9C09-4904-B240-BC4CE2628DEB}"/>
    <cellStyle name="Normal 2 4 8 4 2 5" xfId="29202" xr:uid="{694E9ABE-95BD-4936-819C-C89E0676A8C4}"/>
    <cellStyle name="Normal 2 4 8 4 3" xfId="5944" xr:uid="{00000000-0005-0000-0000-000009110000}"/>
    <cellStyle name="Normal 2 4 8 4 3 2" xfId="14394" xr:uid="{C39A06C6-1B0F-4F4F-B747-85255E7F2CAA}"/>
    <cellStyle name="Normal 2 4 8 4 3 3" xfId="22834" xr:uid="{E791CBDF-4AFE-4551-933D-CE17F97D35DD}"/>
    <cellStyle name="Normal 2 4 8 4 3 4" xfId="31274" xr:uid="{7F43C956-EBBC-482E-98CE-71800AAC8DDC}"/>
    <cellStyle name="Normal 2 4 8 4 4" xfId="10176" xr:uid="{B3ECA45E-8BC6-4380-8B3B-DD7384C23DAE}"/>
    <cellStyle name="Normal 2 4 8 4 5" xfId="18617" xr:uid="{5D06B5B9-BEB5-434A-A561-F8C73A319213}"/>
    <cellStyle name="Normal 2 4 8 4 6" xfId="27057" xr:uid="{AAC5172C-DBB2-45BD-8165-1C1912A84953}"/>
    <cellStyle name="Normal 2 4 8 5" xfId="2051" xr:uid="{00000000-0005-0000-0000-00000A110000}"/>
    <cellStyle name="Normal 2 4 8 5 2" xfId="4280" xr:uid="{00000000-0005-0000-0000-00000B110000}"/>
    <cellStyle name="Normal 2 4 8 5 2 2" xfId="8502" xr:uid="{00000000-0005-0000-0000-00000C110000}"/>
    <cellStyle name="Normal 2 4 8 5 2 2 2" xfId="16952" xr:uid="{12E44C9F-5DD9-42C7-9D11-148511622988}"/>
    <cellStyle name="Normal 2 4 8 5 2 2 3" xfId="25392" xr:uid="{AAABAC9F-64CD-40F6-88F6-0578ECA44BD3}"/>
    <cellStyle name="Normal 2 4 8 5 2 2 4" xfId="33832" xr:uid="{9ECF9B07-DF33-4B8A-872B-C823831D159E}"/>
    <cellStyle name="Normal 2 4 8 5 2 3" xfId="12734" xr:uid="{875A41D4-BE0E-4A8C-AD34-3ADF07664E46}"/>
    <cellStyle name="Normal 2 4 8 5 2 4" xfId="21175" xr:uid="{F9E6F666-FD23-4184-AF23-0186026B6ADE}"/>
    <cellStyle name="Normal 2 4 8 5 2 5" xfId="29615" xr:uid="{76CDA651-4C78-444C-A22F-B9258FAFD9EE}"/>
    <cellStyle name="Normal 2 4 8 5 3" xfId="6357" xr:uid="{00000000-0005-0000-0000-00000D110000}"/>
    <cellStyle name="Normal 2 4 8 5 3 2" xfId="14807" xr:uid="{FA7092E9-9416-4DAE-BDCE-A622FF258181}"/>
    <cellStyle name="Normal 2 4 8 5 3 3" xfId="23247" xr:uid="{5798411D-5231-481B-80DF-82BEF44EFAA0}"/>
    <cellStyle name="Normal 2 4 8 5 3 4" xfId="31687" xr:uid="{02474087-7490-46BB-A7E7-6CE8167ED580}"/>
    <cellStyle name="Normal 2 4 8 5 4" xfId="10589" xr:uid="{CAD4E9B2-EEAD-4B51-B83B-1881D2D23C43}"/>
    <cellStyle name="Normal 2 4 8 5 5" xfId="19030" xr:uid="{EC352577-A267-4A1D-ABE2-6695974EF3E5}"/>
    <cellStyle name="Normal 2 4 8 5 6" xfId="27470" xr:uid="{5E47A822-70F9-4912-8A33-F536EB63CA2B}"/>
    <cellStyle name="Normal 2 4 8 6" xfId="2487" xr:uid="{00000000-0005-0000-0000-00000E110000}"/>
    <cellStyle name="Normal 2 4 8 6 2" xfId="6770" xr:uid="{00000000-0005-0000-0000-00000F110000}"/>
    <cellStyle name="Normal 2 4 8 6 2 2" xfId="15220" xr:uid="{5B5DC9AC-CF06-473C-A846-91AE4253D826}"/>
    <cellStyle name="Normal 2 4 8 6 2 3" xfId="23660" xr:uid="{E9517445-3848-4C89-87CD-C41D5EAD389D}"/>
    <cellStyle name="Normal 2 4 8 6 2 4" xfId="32100" xr:uid="{2A7FCB7B-263F-48D3-96C7-1C4B4639873B}"/>
    <cellStyle name="Normal 2 4 8 6 3" xfId="11002" xr:uid="{E42AF071-8BF8-448B-BD95-B0002FA842FF}"/>
    <cellStyle name="Normal 2 4 8 6 4" xfId="19443" xr:uid="{2C469168-F629-4441-AAC8-535457FD88D3}"/>
    <cellStyle name="Normal 2 4 8 6 5" xfId="27883" xr:uid="{53E84CE7-30EC-4740-91D0-BC9BE70B7C45}"/>
    <cellStyle name="Normal 2 4 8 7" xfId="4704" xr:uid="{00000000-0005-0000-0000-000010110000}"/>
    <cellStyle name="Normal 2 4 8 7 2" xfId="13154" xr:uid="{DB24C64A-C058-48DB-AD71-5E816649ACA9}"/>
    <cellStyle name="Normal 2 4 8 7 3" xfId="21594" xr:uid="{1F624F3F-6429-4D0D-91C6-1223CF8722CD}"/>
    <cellStyle name="Normal 2 4 8 7 4" xfId="30034" xr:uid="{9FF4DE6E-BE6E-458F-88DF-C691236346C8}"/>
    <cellStyle name="Normal 2 4 8 8" xfId="8936" xr:uid="{BC26ECF7-BD9F-4894-A5A9-3785AE4D9D9B}"/>
    <cellStyle name="Normal 2 4 8 9" xfId="17377" xr:uid="{8170B7D2-96B1-4623-819A-89748D31E265}"/>
    <cellStyle name="Normal 2 5" xfId="315" xr:uid="{00000000-0005-0000-0000-000011110000}"/>
    <cellStyle name="Normal 2 5 10" xfId="4705" xr:uid="{00000000-0005-0000-0000-000012110000}"/>
    <cellStyle name="Normal 2 5 10 2" xfId="13155" xr:uid="{75703E24-476C-4B1F-894C-211AD36480B7}"/>
    <cellStyle name="Normal 2 5 10 3" xfId="21595" xr:uid="{7E527738-2654-4696-88B6-255426E6992E}"/>
    <cellStyle name="Normal 2 5 10 4" xfId="30035" xr:uid="{C61CFA35-3DDC-414C-A6ED-2B54A000682C}"/>
    <cellStyle name="Normal 2 5 11" xfId="8937" xr:uid="{9F714E7F-7795-47BC-B9AC-FBA0DD1E87B3}"/>
    <cellStyle name="Normal 2 5 12" xfId="17378" xr:uid="{DC40BE7E-3BC3-49C3-B3C3-C5078E2F9F03}"/>
    <cellStyle name="Normal 2 5 13" xfId="25818" xr:uid="{A5EE93FA-8367-4E5C-A0E2-01BE2D588A54}"/>
    <cellStyle name="Normal 2 5 2" xfId="316" xr:uid="{00000000-0005-0000-0000-000013110000}"/>
    <cellStyle name="Normal 2 5 3" xfId="317" xr:uid="{00000000-0005-0000-0000-000014110000}"/>
    <cellStyle name="Normal 2 5 4" xfId="318" xr:uid="{00000000-0005-0000-0000-000015110000}"/>
    <cellStyle name="Normal 2 5 4 10" xfId="8938" xr:uid="{21D10440-5473-4972-AA3D-E544321615AF}"/>
    <cellStyle name="Normal 2 5 4 11" xfId="17379" xr:uid="{81D8F4E6-E088-4A1C-AC99-3BAB6C7B492A}"/>
    <cellStyle name="Normal 2 5 4 12" xfId="25819" xr:uid="{F3BCE099-2B02-444C-9238-6C96FA33929F}"/>
    <cellStyle name="Normal 2 5 4 2" xfId="319" xr:uid="{00000000-0005-0000-0000-000016110000}"/>
    <cellStyle name="Normal 2 5 4 2 10" xfId="17380" xr:uid="{FFE133E4-B05F-421D-BB5D-831C9F6E0FA4}"/>
    <cellStyle name="Normal 2 5 4 2 11" xfId="25820" xr:uid="{E710CD1C-A3FD-4262-8122-508BB905347A}"/>
    <cellStyle name="Normal 2 5 4 2 2" xfId="320" xr:uid="{00000000-0005-0000-0000-000017110000}"/>
    <cellStyle name="Normal 2 5 4 2 2 10" xfId="25821" xr:uid="{60ABA9C5-4864-4DDB-9C27-06A897A13028}"/>
    <cellStyle name="Normal 2 5 4 2 2 2" xfId="806" xr:uid="{00000000-0005-0000-0000-000018110000}"/>
    <cellStyle name="Normal 2 5 4 2 2 2 2" xfId="3045" xr:uid="{00000000-0005-0000-0000-000019110000}"/>
    <cellStyle name="Normal 2 5 4 2 2 2 2 2" xfId="7267" xr:uid="{00000000-0005-0000-0000-00001A110000}"/>
    <cellStyle name="Normal 2 5 4 2 2 2 2 2 2" xfId="15717" xr:uid="{0602316C-EE5E-456B-8155-25A097D18172}"/>
    <cellStyle name="Normal 2 5 4 2 2 2 2 2 3" xfId="24157" xr:uid="{1EFC217A-C1E0-4E5B-ACA7-3B261F05EB31}"/>
    <cellStyle name="Normal 2 5 4 2 2 2 2 2 4" xfId="32597" xr:uid="{88D6A2B9-E75E-4714-8992-285249BA549D}"/>
    <cellStyle name="Normal 2 5 4 2 2 2 2 3" xfId="11499" xr:uid="{E44468C7-12C9-4BDD-B9F9-C0FD32FFF39B}"/>
    <cellStyle name="Normal 2 5 4 2 2 2 2 4" xfId="19940" xr:uid="{644B756D-B4D9-4457-9731-941018BC6E9F}"/>
    <cellStyle name="Normal 2 5 4 2 2 2 2 5" xfId="28380" xr:uid="{56FA7FFF-FF89-4B3C-B30F-EDC7A1FAF335}"/>
    <cellStyle name="Normal 2 5 4 2 2 2 3" xfId="5122" xr:uid="{00000000-0005-0000-0000-00001B110000}"/>
    <cellStyle name="Normal 2 5 4 2 2 2 3 2" xfId="13572" xr:uid="{AE1B3839-A1F0-4D85-9A24-7F434A41377B}"/>
    <cellStyle name="Normal 2 5 4 2 2 2 3 3" xfId="22012" xr:uid="{7978AF73-1F36-4FEC-B0F4-85700086E032}"/>
    <cellStyle name="Normal 2 5 4 2 2 2 3 4" xfId="30452" xr:uid="{C9B48729-892E-4593-853A-033DD180A6E9}"/>
    <cellStyle name="Normal 2 5 4 2 2 2 4" xfId="9354" xr:uid="{E183409C-E225-491C-AC8C-3A735A58E8A3}"/>
    <cellStyle name="Normal 2 5 4 2 2 2 5" xfId="17795" xr:uid="{D6F86064-26CC-4A37-8EDE-A15C31254202}"/>
    <cellStyle name="Normal 2 5 4 2 2 2 6" xfId="26235" xr:uid="{F8916AA8-09D1-474C-9D48-4B0CF861C751}"/>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2 2 2" xfId="16130" xr:uid="{77B8DFDA-5DE4-4F54-89D3-BA91C502BFAC}"/>
    <cellStyle name="Normal 2 5 4 2 2 3 2 2 3" xfId="24570" xr:uid="{337B33AE-A9C8-4FE2-9404-88F8A98E3148}"/>
    <cellStyle name="Normal 2 5 4 2 2 3 2 2 4" xfId="33010" xr:uid="{31C0019D-F5A7-4BFF-B776-F1782EC40652}"/>
    <cellStyle name="Normal 2 5 4 2 2 3 2 3" xfId="11912" xr:uid="{1195E9B6-DD9B-4F18-8990-8782AB11DF88}"/>
    <cellStyle name="Normal 2 5 4 2 2 3 2 4" xfId="20353" xr:uid="{A54A3284-ADF6-4A27-A9BF-1DC91491DDB3}"/>
    <cellStyle name="Normal 2 5 4 2 2 3 2 5" xfId="28793" xr:uid="{40CFD60F-BA7D-4DEB-938A-530C26A1454F}"/>
    <cellStyle name="Normal 2 5 4 2 2 3 3" xfId="5535" xr:uid="{00000000-0005-0000-0000-00001F110000}"/>
    <cellStyle name="Normal 2 5 4 2 2 3 3 2" xfId="13985" xr:uid="{5F65BB0E-0132-46F5-9497-8B99C89AA9FA}"/>
    <cellStyle name="Normal 2 5 4 2 2 3 3 3" xfId="22425" xr:uid="{F81E96EC-92C5-405B-B6F3-DC38215A9F94}"/>
    <cellStyle name="Normal 2 5 4 2 2 3 3 4" xfId="30865" xr:uid="{F09D04A3-91C1-41D7-AA4A-E7ADAC50D9D5}"/>
    <cellStyle name="Normal 2 5 4 2 2 3 4" xfId="9767" xr:uid="{1B9E6159-59D2-4DE2-8904-818AF16BA540}"/>
    <cellStyle name="Normal 2 5 4 2 2 3 5" xfId="18208" xr:uid="{A760C703-F978-4252-8F26-138EF1CBCFA7}"/>
    <cellStyle name="Normal 2 5 4 2 2 3 6" xfId="26648" xr:uid="{E9D44B98-0402-47AE-9522-A3B85B9175E8}"/>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2 2 2" xfId="16543" xr:uid="{825CEDC8-7372-4E08-8150-8207C7DC3C65}"/>
    <cellStyle name="Normal 2 5 4 2 2 4 2 2 3" xfId="24983" xr:uid="{917D0FC8-5B9C-47D3-B4F1-9AD29BD75825}"/>
    <cellStyle name="Normal 2 5 4 2 2 4 2 2 4" xfId="33423" xr:uid="{B458B92A-BFB7-41FD-A33E-F6D3A810B18B}"/>
    <cellStyle name="Normal 2 5 4 2 2 4 2 3" xfId="12325" xr:uid="{9CD42B12-F52B-4115-B696-38FC7E8BB472}"/>
    <cellStyle name="Normal 2 5 4 2 2 4 2 4" xfId="20766" xr:uid="{FB12E04F-81FD-40CE-8495-B71015263CDA}"/>
    <cellStyle name="Normal 2 5 4 2 2 4 2 5" xfId="29206" xr:uid="{3A150146-218B-4606-B1B8-29192CAA0791}"/>
    <cellStyle name="Normal 2 5 4 2 2 4 3" xfId="5948" xr:uid="{00000000-0005-0000-0000-000023110000}"/>
    <cellStyle name="Normal 2 5 4 2 2 4 3 2" xfId="14398" xr:uid="{30320A8E-AF3B-4835-BA9A-345E90A79F84}"/>
    <cellStyle name="Normal 2 5 4 2 2 4 3 3" xfId="22838" xr:uid="{306BF732-9A71-40A3-86C6-F4A2366C3EBE}"/>
    <cellStyle name="Normal 2 5 4 2 2 4 3 4" xfId="31278" xr:uid="{53A237B4-0C6D-4613-A933-7F6E945A71A4}"/>
    <cellStyle name="Normal 2 5 4 2 2 4 4" xfId="10180" xr:uid="{139A5F84-4708-4E18-9A92-728B1B67440A}"/>
    <cellStyle name="Normal 2 5 4 2 2 4 5" xfId="18621" xr:uid="{5C929D5F-FD20-43C9-9698-79B2215A0970}"/>
    <cellStyle name="Normal 2 5 4 2 2 4 6" xfId="27061" xr:uid="{67C1CE63-3E90-4930-8047-387F59F81702}"/>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2 2 2" xfId="16956" xr:uid="{11E084AD-62D0-4D9A-B2F7-EAEEED82B7B3}"/>
    <cellStyle name="Normal 2 5 4 2 2 5 2 2 3" xfId="25396" xr:uid="{064C1E23-F830-4638-AD0F-35187F118665}"/>
    <cellStyle name="Normal 2 5 4 2 2 5 2 2 4" xfId="33836" xr:uid="{5BD10A97-49FC-4762-BA79-176E1240E6CA}"/>
    <cellStyle name="Normal 2 5 4 2 2 5 2 3" xfId="12738" xr:uid="{A7501971-AD60-478E-AF40-C92620AA871E}"/>
    <cellStyle name="Normal 2 5 4 2 2 5 2 4" xfId="21179" xr:uid="{1FA7475F-56F5-4FC7-98B9-843099379E77}"/>
    <cellStyle name="Normal 2 5 4 2 2 5 2 5" xfId="29619" xr:uid="{17DBE421-340B-447E-966E-4410AFE35C99}"/>
    <cellStyle name="Normal 2 5 4 2 2 5 3" xfId="6361" xr:uid="{00000000-0005-0000-0000-000027110000}"/>
    <cellStyle name="Normal 2 5 4 2 2 5 3 2" xfId="14811" xr:uid="{011A999D-E4AE-4D16-AEF6-A05473D1D9AE}"/>
    <cellStyle name="Normal 2 5 4 2 2 5 3 3" xfId="23251" xr:uid="{0D7F3DB2-95A5-4306-B9D9-0B451210AE2E}"/>
    <cellStyle name="Normal 2 5 4 2 2 5 3 4" xfId="31691" xr:uid="{17A92489-832D-4C64-882F-35FF58D60851}"/>
    <cellStyle name="Normal 2 5 4 2 2 5 4" xfId="10593" xr:uid="{22CFE265-C7A9-4DDD-BA1B-88EAABB94708}"/>
    <cellStyle name="Normal 2 5 4 2 2 5 5" xfId="19034" xr:uid="{B24862D4-1A28-43FE-8C1E-6ED8C9B34603}"/>
    <cellStyle name="Normal 2 5 4 2 2 5 6" xfId="27474" xr:uid="{26948F6C-C5C7-4437-9774-3461A28B5553}"/>
    <cellStyle name="Normal 2 5 4 2 2 6" xfId="2491" xr:uid="{00000000-0005-0000-0000-000028110000}"/>
    <cellStyle name="Normal 2 5 4 2 2 6 2" xfId="6774" xr:uid="{00000000-0005-0000-0000-000029110000}"/>
    <cellStyle name="Normal 2 5 4 2 2 6 2 2" xfId="15224" xr:uid="{94E60617-2D18-414D-8FD8-9FBF3D002DA0}"/>
    <cellStyle name="Normal 2 5 4 2 2 6 2 3" xfId="23664" xr:uid="{6DD68E6C-15C5-4961-8303-3D841625ED95}"/>
    <cellStyle name="Normal 2 5 4 2 2 6 2 4" xfId="32104" xr:uid="{5490F626-2E5E-471A-B611-7D36AE143171}"/>
    <cellStyle name="Normal 2 5 4 2 2 6 3" xfId="11006" xr:uid="{47D1C2BE-DF24-418A-9D2C-A154A022A07E}"/>
    <cellStyle name="Normal 2 5 4 2 2 6 4" xfId="19447" xr:uid="{44AC8C03-369C-4E6E-A41A-A8BA5B32BBB4}"/>
    <cellStyle name="Normal 2 5 4 2 2 6 5" xfId="27887" xr:uid="{3E17F9EE-C093-4ADC-A251-2CAF6F04C33D}"/>
    <cellStyle name="Normal 2 5 4 2 2 7" xfId="4708" xr:uid="{00000000-0005-0000-0000-00002A110000}"/>
    <cellStyle name="Normal 2 5 4 2 2 7 2" xfId="13158" xr:uid="{0C9675FE-23CC-4433-B941-E40D3071175F}"/>
    <cellStyle name="Normal 2 5 4 2 2 7 3" xfId="21598" xr:uid="{F0888C89-BD76-43D2-AB87-2228FF0EC605}"/>
    <cellStyle name="Normal 2 5 4 2 2 7 4" xfId="30038" xr:uid="{AC07D785-4941-49B7-97C1-3C3E2F7D04BF}"/>
    <cellStyle name="Normal 2 5 4 2 2 8" xfId="8940" xr:uid="{C16F0076-2908-4BB3-A7E8-A658BE9F2979}"/>
    <cellStyle name="Normal 2 5 4 2 2 9" xfId="17381" xr:uid="{4FBA8702-D6AE-41FA-B959-99B596ABF90E}"/>
    <cellStyle name="Normal 2 5 4 2 3" xfId="805" xr:uid="{00000000-0005-0000-0000-00002B110000}"/>
    <cellStyle name="Normal 2 5 4 2 3 2" xfId="3044" xr:uid="{00000000-0005-0000-0000-00002C110000}"/>
    <cellStyle name="Normal 2 5 4 2 3 2 2" xfId="7266" xr:uid="{00000000-0005-0000-0000-00002D110000}"/>
    <cellStyle name="Normal 2 5 4 2 3 2 2 2" xfId="15716" xr:uid="{03FD9D6E-9D78-4799-978A-AF6B5AEA377C}"/>
    <cellStyle name="Normal 2 5 4 2 3 2 2 3" xfId="24156" xr:uid="{EC5C2E1F-9028-48B1-9711-F719B8064D6B}"/>
    <cellStyle name="Normal 2 5 4 2 3 2 2 4" xfId="32596" xr:uid="{4C838E7F-C06C-48D6-A16D-DC19532A4BAF}"/>
    <cellStyle name="Normal 2 5 4 2 3 2 3" xfId="11498" xr:uid="{2D332F07-2B21-433B-B3A8-E180E438FB25}"/>
    <cellStyle name="Normal 2 5 4 2 3 2 4" xfId="19939" xr:uid="{F6B078AF-7E62-480E-AD56-24DA534DD284}"/>
    <cellStyle name="Normal 2 5 4 2 3 2 5" xfId="28379" xr:uid="{6C06A4B3-5AC0-49AC-BC45-2F4613E7FCB2}"/>
    <cellStyle name="Normal 2 5 4 2 3 3" xfId="5121" xr:uid="{00000000-0005-0000-0000-00002E110000}"/>
    <cellStyle name="Normal 2 5 4 2 3 3 2" xfId="13571" xr:uid="{D6E55425-E007-493E-BDCD-B06E19A8F759}"/>
    <cellStyle name="Normal 2 5 4 2 3 3 3" xfId="22011" xr:uid="{07B251EA-7C97-49E8-A755-7C9E3DC686DB}"/>
    <cellStyle name="Normal 2 5 4 2 3 3 4" xfId="30451" xr:uid="{366C7ED6-4711-4190-B88A-C940B732BE5A}"/>
    <cellStyle name="Normal 2 5 4 2 3 4" xfId="9353" xr:uid="{C0D8A249-8823-489B-AE8A-89C01F7402BD}"/>
    <cellStyle name="Normal 2 5 4 2 3 5" xfId="17794" xr:uid="{406C4072-82B3-4BA7-929E-3AC5245357F2}"/>
    <cellStyle name="Normal 2 5 4 2 3 6" xfId="26234" xr:uid="{D1FD4DAF-6A78-4054-8DEC-242CF690C7B7}"/>
    <cellStyle name="Normal 2 5 4 2 4" xfId="1227" xr:uid="{00000000-0005-0000-0000-00002F110000}"/>
    <cellStyle name="Normal 2 5 4 2 4 2" xfId="3457" xr:uid="{00000000-0005-0000-0000-000030110000}"/>
    <cellStyle name="Normal 2 5 4 2 4 2 2" xfId="7679" xr:uid="{00000000-0005-0000-0000-000031110000}"/>
    <cellStyle name="Normal 2 5 4 2 4 2 2 2" xfId="16129" xr:uid="{41073490-8B0C-40FE-B4A9-D396A6FB839A}"/>
    <cellStyle name="Normal 2 5 4 2 4 2 2 3" xfId="24569" xr:uid="{A6BA7F4C-2350-40BC-8492-4FD88B76F9BF}"/>
    <cellStyle name="Normal 2 5 4 2 4 2 2 4" xfId="33009" xr:uid="{6F12B244-D131-45A4-9F0D-61B21FC91151}"/>
    <cellStyle name="Normal 2 5 4 2 4 2 3" xfId="11911" xr:uid="{4317A07E-F8C8-451C-B05F-DA37A02EFD82}"/>
    <cellStyle name="Normal 2 5 4 2 4 2 4" xfId="20352" xr:uid="{5FBF6F35-F257-482B-97AE-B678AD14A45F}"/>
    <cellStyle name="Normal 2 5 4 2 4 2 5" xfId="28792" xr:uid="{57CE81FC-065C-4C3F-9B30-51F2FF2C7A96}"/>
    <cellStyle name="Normal 2 5 4 2 4 3" xfId="5534" xr:uid="{00000000-0005-0000-0000-000032110000}"/>
    <cellStyle name="Normal 2 5 4 2 4 3 2" xfId="13984" xr:uid="{E8C5E97B-7019-4AE9-A117-2F16C1017A8A}"/>
    <cellStyle name="Normal 2 5 4 2 4 3 3" xfId="22424" xr:uid="{E2948761-9632-4A89-80D5-6C308EFADE1C}"/>
    <cellStyle name="Normal 2 5 4 2 4 3 4" xfId="30864" xr:uid="{67BC9AD0-242F-4B44-B3F4-CFCFA783AF7D}"/>
    <cellStyle name="Normal 2 5 4 2 4 4" xfId="9766" xr:uid="{51FCC8ED-9F9A-450C-8E1C-2C059C806AF2}"/>
    <cellStyle name="Normal 2 5 4 2 4 5" xfId="18207" xr:uid="{85D88AF5-EA36-4F7B-A88B-E8335CD93D68}"/>
    <cellStyle name="Normal 2 5 4 2 4 6" xfId="26647" xr:uid="{C3181A3E-548E-4183-9CD6-8A9CC16D04BB}"/>
    <cellStyle name="Normal 2 5 4 2 5" xfId="1640" xr:uid="{00000000-0005-0000-0000-000033110000}"/>
    <cellStyle name="Normal 2 5 4 2 5 2" xfId="3870" xr:uid="{00000000-0005-0000-0000-000034110000}"/>
    <cellStyle name="Normal 2 5 4 2 5 2 2" xfId="8092" xr:uid="{00000000-0005-0000-0000-000035110000}"/>
    <cellStyle name="Normal 2 5 4 2 5 2 2 2" xfId="16542" xr:uid="{776BD263-77DE-4FFE-B9C2-B52F2F770E2C}"/>
    <cellStyle name="Normal 2 5 4 2 5 2 2 3" xfId="24982" xr:uid="{3F762FE7-BC8C-4A34-A8AE-2763B8F9FD39}"/>
    <cellStyle name="Normal 2 5 4 2 5 2 2 4" xfId="33422" xr:uid="{97988752-4175-479C-A80D-565373E8819F}"/>
    <cellStyle name="Normal 2 5 4 2 5 2 3" xfId="12324" xr:uid="{72154B99-0E35-4487-AD30-46D4CD0E0CF7}"/>
    <cellStyle name="Normal 2 5 4 2 5 2 4" xfId="20765" xr:uid="{B9D960F1-8BDF-43C7-B65B-1690988ED5D8}"/>
    <cellStyle name="Normal 2 5 4 2 5 2 5" xfId="29205" xr:uid="{86A1C2AA-1881-449F-80CD-246345F3EBA6}"/>
    <cellStyle name="Normal 2 5 4 2 5 3" xfId="5947" xr:uid="{00000000-0005-0000-0000-000036110000}"/>
    <cellStyle name="Normal 2 5 4 2 5 3 2" xfId="14397" xr:uid="{40FE4007-0BC4-4B21-A4B2-079493379C0C}"/>
    <cellStyle name="Normal 2 5 4 2 5 3 3" xfId="22837" xr:uid="{98DC9300-F00F-4248-9F7C-836227C828CC}"/>
    <cellStyle name="Normal 2 5 4 2 5 3 4" xfId="31277" xr:uid="{44031217-9561-4BBF-B5C1-1D53873CFA84}"/>
    <cellStyle name="Normal 2 5 4 2 5 4" xfId="10179" xr:uid="{95969C75-877A-4F84-BA05-9B0AA475F852}"/>
    <cellStyle name="Normal 2 5 4 2 5 5" xfId="18620" xr:uid="{A5F08DE0-7A9F-44EF-A6AB-47E693A1E331}"/>
    <cellStyle name="Normal 2 5 4 2 5 6" xfId="27060" xr:uid="{C5D77C1F-12DC-4C12-B7F3-ED58035DA1B9}"/>
    <cellStyle name="Normal 2 5 4 2 6" xfId="2054" xr:uid="{00000000-0005-0000-0000-000037110000}"/>
    <cellStyle name="Normal 2 5 4 2 6 2" xfId="4283" xr:uid="{00000000-0005-0000-0000-000038110000}"/>
    <cellStyle name="Normal 2 5 4 2 6 2 2" xfId="8505" xr:uid="{00000000-0005-0000-0000-000039110000}"/>
    <cellStyle name="Normal 2 5 4 2 6 2 2 2" xfId="16955" xr:uid="{25E40A9E-808A-41B0-8996-49D53B083319}"/>
    <cellStyle name="Normal 2 5 4 2 6 2 2 3" xfId="25395" xr:uid="{1BE545B2-67CA-453D-A57A-404AB32BDC6C}"/>
    <cellStyle name="Normal 2 5 4 2 6 2 2 4" xfId="33835" xr:uid="{DB9F303B-7AB1-40A7-9B3D-5CD5301E6279}"/>
    <cellStyle name="Normal 2 5 4 2 6 2 3" xfId="12737" xr:uid="{6267C0F9-8C62-41A4-BCD5-67C5D4522A23}"/>
    <cellStyle name="Normal 2 5 4 2 6 2 4" xfId="21178" xr:uid="{25E3BC49-3E11-4004-AE8D-322C87518C68}"/>
    <cellStyle name="Normal 2 5 4 2 6 2 5" xfId="29618" xr:uid="{F24C20CB-B441-4DBB-B5FB-AA35A4F258F4}"/>
    <cellStyle name="Normal 2 5 4 2 6 3" xfId="6360" xr:uid="{00000000-0005-0000-0000-00003A110000}"/>
    <cellStyle name="Normal 2 5 4 2 6 3 2" xfId="14810" xr:uid="{885A388C-307C-4335-8FF8-8804C7E78BA2}"/>
    <cellStyle name="Normal 2 5 4 2 6 3 3" xfId="23250" xr:uid="{92BE2F37-D4BF-43C0-A4BD-9AA552280A58}"/>
    <cellStyle name="Normal 2 5 4 2 6 3 4" xfId="31690" xr:uid="{07D9B16D-A3DF-45D0-968C-B237BC8A2F85}"/>
    <cellStyle name="Normal 2 5 4 2 6 4" xfId="10592" xr:uid="{8C9D82F4-AF81-4CA3-8804-480FEC92F9F8}"/>
    <cellStyle name="Normal 2 5 4 2 6 5" xfId="19033" xr:uid="{C9CECC74-00DE-4D6F-AD5D-D64F6FAA9754}"/>
    <cellStyle name="Normal 2 5 4 2 6 6" xfId="27473" xr:uid="{86B634F1-A90C-4F4E-973D-DC17C117DA14}"/>
    <cellStyle name="Normal 2 5 4 2 7" xfId="2490" xr:uid="{00000000-0005-0000-0000-00003B110000}"/>
    <cellStyle name="Normal 2 5 4 2 7 2" xfId="6773" xr:uid="{00000000-0005-0000-0000-00003C110000}"/>
    <cellStyle name="Normal 2 5 4 2 7 2 2" xfId="15223" xr:uid="{9172BBC1-5602-4CD5-A2FD-AB4D7C11A0B3}"/>
    <cellStyle name="Normal 2 5 4 2 7 2 3" xfId="23663" xr:uid="{70AD0743-7DF4-423D-B948-8347199CE93A}"/>
    <cellStyle name="Normal 2 5 4 2 7 2 4" xfId="32103" xr:uid="{0B58C259-F5F1-427C-90B9-4072928BAA35}"/>
    <cellStyle name="Normal 2 5 4 2 7 3" xfId="11005" xr:uid="{EAF437DA-EEFB-4F88-AA4B-298F97310C21}"/>
    <cellStyle name="Normal 2 5 4 2 7 4" xfId="19446" xr:uid="{7E7038A6-690B-4140-9D08-5160BE8CEBAA}"/>
    <cellStyle name="Normal 2 5 4 2 7 5" xfId="27886" xr:uid="{73642FD3-F0D7-44FC-B855-02427212AA52}"/>
    <cellStyle name="Normal 2 5 4 2 8" xfId="4707" xr:uid="{00000000-0005-0000-0000-00003D110000}"/>
    <cellStyle name="Normal 2 5 4 2 8 2" xfId="13157" xr:uid="{ED45D8B2-0C6E-4563-A409-B22191E45355}"/>
    <cellStyle name="Normal 2 5 4 2 8 3" xfId="21597" xr:uid="{76F1B4D7-4D90-4E38-8B95-DFF450D9AE35}"/>
    <cellStyle name="Normal 2 5 4 2 8 4" xfId="30037" xr:uid="{06A18E59-E18B-437D-A894-D40F340E91FD}"/>
    <cellStyle name="Normal 2 5 4 2 9" xfId="8939" xr:uid="{7FADAB88-D6E1-4A4B-AD35-336D68A9090D}"/>
    <cellStyle name="Normal 2 5 4 3" xfId="321" xr:uid="{00000000-0005-0000-0000-00003E110000}"/>
    <cellStyle name="Normal 2 5 4 3 10" xfId="25822" xr:uid="{70532E29-98F7-4D86-9411-8270D71EE693}"/>
    <cellStyle name="Normal 2 5 4 3 2" xfId="807" xr:uid="{00000000-0005-0000-0000-00003F110000}"/>
    <cellStyle name="Normal 2 5 4 3 2 2" xfId="3046" xr:uid="{00000000-0005-0000-0000-000040110000}"/>
    <cellStyle name="Normal 2 5 4 3 2 2 2" xfId="7268" xr:uid="{00000000-0005-0000-0000-000041110000}"/>
    <cellStyle name="Normal 2 5 4 3 2 2 2 2" xfId="15718" xr:uid="{23FF9882-C063-4209-803A-88864D3EED3E}"/>
    <cellStyle name="Normal 2 5 4 3 2 2 2 3" xfId="24158" xr:uid="{C9649390-D3D1-4DBB-B891-4B65D862B4CB}"/>
    <cellStyle name="Normal 2 5 4 3 2 2 2 4" xfId="32598" xr:uid="{D7BA3173-AA13-498A-8ABC-6BFE0ACA89BF}"/>
    <cellStyle name="Normal 2 5 4 3 2 2 3" xfId="11500" xr:uid="{1A2753C7-9593-4FE5-84BA-175F67896DD8}"/>
    <cellStyle name="Normal 2 5 4 3 2 2 4" xfId="19941" xr:uid="{0AEE7C00-8EA2-4691-A164-A7D1A8BDC96B}"/>
    <cellStyle name="Normal 2 5 4 3 2 2 5" xfId="28381" xr:uid="{32D2D28B-D71F-43B2-BE50-2BA553FECA20}"/>
    <cellStyle name="Normal 2 5 4 3 2 3" xfId="5123" xr:uid="{00000000-0005-0000-0000-000042110000}"/>
    <cellStyle name="Normal 2 5 4 3 2 3 2" xfId="13573" xr:uid="{51E9FF59-1442-46AB-838F-B1F6740C774D}"/>
    <cellStyle name="Normal 2 5 4 3 2 3 3" xfId="22013" xr:uid="{C5031F47-5FC8-477F-A7C4-F9A081D96F7A}"/>
    <cellStyle name="Normal 2 5 4 3 2 3 4" xfId="30453" xr:uid="{344C72BE-B6DD-44C2-A302-869ED7776512}"/>
    <cellStyle name="Normal 2 5 4 3 2 4" xfId="9355" xr:uid="{048E18F7-6E43-4D50-A02D-CC3006E2EC5A}"/>
    <cellStyle name="Normal 2 5 4 3 2 5" xfId="17796" xr:uid="{9A46CD5D-D390-49B3-9A6E-4DAC07E38E61}"/>
    <cellStyle name="Normal 2 5 4 3 2 6" xfId="26236" xr:uid="{B3E7CB89-ED02-49B6-AA61-1BE042EB124E}"/>
    <cellStyle name="Normal 2 5 4 3 3" xfId="1229" xr:uid="{00000000-0005-0000-0000-000043110000}"/>
    <cellStyle name="Normal 2 5 4 3 3 2" xfId="3459" xr:uid="{00000000-0005-0000-0000-000044110000}"/>
    <cellStyle name="Normal 2 5 4 3 3 2 2" xfId="7681" xr:uid="{00000000-0005-0000-0000-000045110000}"/>
    <cellStyle name="Normal 2 5 4 3 3 2 2 2" xfId="16131" xr:uid="{4DA19285-43CB-431D-A67F-33BD5912CACB}"/>
    <cellStyle name="Normal 2 5 4 3 3 2 2 3" xfId="24571" xr:uid="{96EF9E63-A0EC-451B-BEBF-12F6BB88D6C7}"/>
    <cellStyle name="Normal 2 5 4 3 3 2 2 4" xfId="33011" xr:uid="{CA81E1CE-4252-4E76-B85E-1442DDF40415}"/>
    <cellStyle name="Normal 2 5 4 3 3 2 3" xfId="11913" xr:uid="{40463F6C-C1DE-415A-A106-D03ABD4EE781}"/>
    <cellStyle name="Normal 2 5 4 3 3 2 4" xfId="20354" xr:uid="{C19B77CF-3146-4FBD-A2FB-1ABDF807D994}"/>
    <cellStyle name="Normal 2 5 4 3 3 2 5" xfId="28794" xr:uid="{F97C9638-6C24-4D49-B12C-F35CE80A01AE}"/>
    <cellStyle name="Normal 2 5 4 3 3 3" xfId="5536" xr:uid="{00000000-0005-0000-0000-000046110000}"/>
    <cellStyle name="Normal 2 5 4 3 3 3 2" xfId="13986" xr:uid="{683BE8FF-B4B2-451C-B4B8-78CA25C3EFB9}"/>
    <cellStyle name="Normal 2 5 4 3 3 3 3" xfId="22426" xr:uid="{ADD13780-36C5-47D1-80A0-47D790035B04}"/>
    <cellStyle name="Normal 2 5 4 3 3 3 4" xfId="30866" xr:uid="{19F8BEF4-6EAE-4489-B1F8-C4E49AC295E4}"/>
    <cellStyle name="Normal 2 5 4 3 3 4" xfId="9768" xr:uid="{C089E3EB-13EC-46A6-8E8A-BF2F3010EABA}"/>
    <cellStyle name="Normal 2 5 4 3 3 5" xfId="18209" xr:uid="{C184A0A8-73FC-443A-8EE0-F73A2DDF0310}"/>
    <cellStyle name="Normal 2 5 4 3 3 6" xfId="26649" xr:uid="{6CD36599-7AFF-4BFB-AA0F-D3057006ACA6}"/>
    <cellStyle name="Normal 2 5 4 3 4" xfId="1642" xr:uid="{00000000-0005-0000-0000-000047110000}"/>
    <cellStyle name="Normal 2 5 4 3 4 2" xfId="3872" xr:uid="{00000000-0005-0000-0000-000048110000}"/>
    <cellStyle name="Normal 2 5 4 3 4 2 2" xfId="8094" xr:uid="{00000000-0005-0000-0000-000049110000}"/>
    <cellStyle name="Normal 2 5 4 3 4 2 2 2" xfId="16544" xr:uid="{67AC7B8F-0C93-4A9E-83A7-CEC435E79D4A}"/>
    <cellStyle name="Normal 2 5 4 3 4 2 2 3" xfId="24984" xr:uid="{7FA7D08F-F31E-44B1-A078-008AB6ACC487}"/>
    <cellStyle name="Normal 2 5 4 3 4 2 2 4" xfId="33424" xr:uid="{0EE93C2C-F4E0-438C-9662-A96D63DD01D1}"/>
    <cellStyle name="Normal 2 5 4 3 4 2 3" xfId="12326" xr:uid="{B35A19EE-BA34-4057-A69A-7581CEF1B877}"/>
    <cellStyle name="Normal 2 5 4 3 4 2 4" xfId="20767" xr:uid="{A82DA57A-53E7-4E5A-AFE5-C099F6803F0E}"/>
    <cellStyle name="Normal 2 5 4 3 4 2 5" xfId="29207" xr:uid="{A37655E1-5D89-4BD8-8600-6F99BBB51875}"/>
    <cellStyle name="Normal 2 5 4 3 4 3" xfId="5949" xr:uid="{00000000-0005-0000-0000-00004A110000}"/>
    <cellStyle name="Normal 2 5 4 3 4 3 2" xfId="14399" xr:uid="{B6C98A0A-C1EB-4C3B-A29E-C23CFCE82609}"/>
    <cellStyle name="Normal 2 5 4 3 4 3 3" xfId="22839" xr:uid="{5AB948FA-6CA9-45F2-ADDC-E27333A5E467}"/>
    <cellStyle name="Normal 2 5 4 3 4 3 4" xfId="31279" xr:uid="{7B0A5E23-775E-4AF9-89D9-85209B8131DD}"/>
    <cellStyle name="Normal 2 5 4 3 4 4" xfId="10181" xr:uid="{452E6541-E06A-4D86-8B95-3C64105A86C2}"/>
    <cellStyle name="Normal 2 5 4 3 4 5" xfId="18622" xr:uid="{9D5FACF5-A409-4796-839B-5378033CCEC4}"/>
    <cellStyle name="Normal 2 5 4 3 4 6" xfId="27062" xr:uid="{D3FFBBFA-79DB-456C-BE4F-06BE9C38DD7C}"/>
    <cellStyle name="Normal 2 5 4 3 5" xfId="2056" xr:uid="{00000000-0005-0000-0000-00004B110000}"/>
    <cellStyle name="Normal 2 5 4 3 5 2" xfId="4285" xr:uid="{00000000-0005-0000-0000-00004C110000}"/>
    <cellStyle name="Normal 2 5 4 3 5 2 2" xfId="8507" xr:uid="{00000000-0005-0000-0000-00004D110000}"/>
    <cellStyle name="Normal 2 5 4 3 5 2 2 2" xfId="16957" xr:uid="{D7015A27-2F12-450C-B98E-1F698F12FF74}"/>
    <cellStyle name="Normal 2 5 4 3 5 2 2 3" xfId="25397" xr:uid="{A1C758B5-6B8E-458A-86C6-BBC504134ACB}"/>
    <cellStyle name="Normal 2 5 4 3 5 2 2 4" xfId="33837" xr:uid="{FF80406A-75F7-48C5-9FDD-832718080B43}"/>
    <cellStyle name="Normal 2 5 4 3 5 2 3" xfId="12739" xr:uid="{01AA49B5-992D-4627-86AE-22A6B8766B1F}"/>
    <cellStyle name="Normal 2 5 4 3 5 2 4" xfId="21180" xr:uid="{67846624-BC52-476B-A0D0-41887CEC7677}"/>
    <cellStyle name="Normal 2 5 4 3 5 2 5" xfId="29620" xr:uid="{EF0EE79E-9187-4873-90E5-437222406E87}"/>
    <cellStyle name="Normal 2 5 4 3 5 3" xfId="6362" xr:uid="{00000000-0005-0000-0000-00004E110000}"/>
    <cellStyle name="Normal 2 5 4 3 5 3 2" xfId="14812" xr:uid="{85F87356-0B7B-4773-B08E-C27E98E37CFE}"/>
    <cellStyle name="Normal 2 5 4 3 5 3 3" xfId="23252" xr:uid="{669E3BC2-46C1-4F2C-AC9E-3E4AE7A85039}"/>
    <cellStyle name="Normal 2 5 4 3 5 3 4" xfId="31692" xr:uid="{6F29DAB6-5874-44E6-9F8F-24802E2180E1}"/>
    <cellStyle name="Normal 2 5 4 3 5 4" xfId="10594" xr:uid="{9EE61BD6-4892-438F-B208-D4A994683C02}"/>
    <cellStyle name="Normal 2 5 4 3 5 5" xfId="19035" xr:uid="{27B0EFB9-2A49-457A-A7C6-50149F75C382}"/>
    <cellStyle name="Normal 2 5 4 3 5 6" xfId="27475" xr:uid="{FAB0709C-2D6C-4317-8D8F-E96593831FCC}"/>
    <cellStyle name="Normal 2 5 4 3 6" xfId="2492" xr:uid="{00000000-0005-0000-0000-00004F110000}"/>
    <cellStyle name="Normal 2 5 4 3 6 2" xfId="6775" xr:uid="{00000000-0005-0000-0000-000050110000}"/>
    <cellStyle name="Normal 2 5 4 3 6 2 2" xfId="15225" xr:uid="{EA5FDB72-24D3-4856-A7A4-13167CAD6BF6}"/>
    <cellStyle name="Normal 2 5 4 3 6 2 3" xfId="23665" xr:uid="{FF3573C0-EFAC-46DC-BD0B-919CC7863A49}"/>
    <cellStyle name="Normal 2 5 4 3 6 2 4" xfId="32105" xr:uid="{F8846907-FE52-4306-98B0-B004B5898E7B}"/>
    <cellStyle name="Normal 2 5 4 3 6 3" xfId="11007" xr:uid="{ECB67070-6B77-47B2-A6B7-77D0173E8AAB}"/>
    <cellStyle name="Normal 2 5 4 3 6 4" xfId="19448" xr:uid="{60669450-CCB4-44B3-856C-070E83AAC119}"/>
    <cellStyle name="Normal 2 5 4 3 6 5" xfId="27888" xr:uid="{99DC739C-A454-4CD4-9B48-CC8BD44B64E5}"/>
    <cellStyle name="Normal 2 5 4 3 7" xfId="4709" xr:uid="{00000000-0005-0000-0000-000051110000}"/>
    <cellStyle name="Normal 2 5 4 3 7 2" xfId="13159" xr:uid="{E39C1812-2B56-47DB-BD0E-E7E3F1A89C05}"/>
    <cellStyle name="Normal 2 5 4 3 7 3" xfId="21599" xr:uid="{07C2C6D2-16DC-41DA-83D8-245EF5AA6ED2}"/>
    <cellStyle name="Normal 2 5 4 3 7 4" xfId="30039" xr:uid="{B8087F03-F336-4BA1-A9BF-4B0D9973B553}"/>
    <cellStyle name="Normal 2 5 4 3 8" xfId="8941" xr:uid="{D1B35DBB-3928-4880-A5C3-C65F00D811E8}"/>
    <cellStyle name="Normal 2 5 4 3 9" xfId="17382" xr:uid="{6C11D2BA-8539-4EE9-8C5E-49CE71BADBB6}"/>
    <cellStyle name="Normal 2 5 4 4" xfId="804" xr:uid="{00000000-0005-0000-0000-000052110000}"/>
    <cellStyle name="Normal 2 5 4 4 2" xfId="3043" xr:uid="{00000000-0005-0000-0000-000053110000}"/>
    <cellStyle name="Normal 2 5 4 4 2 2" xfId="7265" xr:uid="{00000000-0005-0000-0000-000054110000}"/>
    <cellStyle name="Normal 2 5 4 4 2 2 2" xfId="15715" xr:uid="{4DBC0FB7-D785-452B-A1E3-3F1B15F57D29}"/>
    <cellStyle name="Normal 2 5 4 4 2 2 3" xfId="24155" xr:uid="{2C6817D9-FF0A-41B3-9AFF-2D005EE8D78B}"/>
    <cellStyle name="Normal 2 5 4 4 2 2 4" xfId="32595" xr:uid="{54998C59-5682-4865-846B-0B4AB241BD9E}"/>
    <cellStyle name="Normal 2 5 4 4 2 3" xfId="11497" xr:uid="{9CE99506-335C-474D-99D2-5F7181E26115}"/>
    <cellStyle name="Normal 2 5 4 4 2 4" xfId="19938" xr:uid="{3DB202C5-7F89-427B-ACC5-031EDC70C867}"/>
    <cellStyle name="Normal 2 5 4 4 2 5" xfId="28378" xr:uid="{975590F7-BF38-49F6-B8DD-99CC4A365447}"/>
    <cellStyle name="Normal 2 5 4 4 3" xfId="5120" xr:uid="{00000000-0005-0000-0000-000055110000}"/>
    <cellStyle name="Normal 2 5 4 4 3 2" xfId="13570" xr:uid="{6B533552-B63A-4B1B-A0E9-3D2ACA24708C}"/>
    <cellStyle name="Normal 2 5 4 4 3 3" xfId="22010" xr:uid="{A24DF829-7EE3-4378-ABEA-A1D6A706C40E}"/>
    <cellStyle name="Normal 2 5 4 4 3 4" xfId="30450" xr:uid="{4BDF8741-86B6-40CC-8E5E-27C59B32D6D3}"/>
    <cellStyle name="Normal 2 5 4 4 4" xfId="9352" xr:uid="{03E5AD26-5BF6-4362-AF21-434420685257}"/>
    <cellStyle name="Normal 2 5 4 4 5" xfId="17793" xr:uid="{2AE1547E-4C12-42C1-826C-7C12BE322E69}"/>
    <cellStyle name="Normal 2 5 4 4 6" xfId="26233" xr:uid="{50629313-6BC9-4659-A6D1-B6E6E6E69AAE}"/>
    <cellStyle name="Normal 2 5 4 5" xfId="1226" xr:uid="{00000000-0005-0000-0000-000056110000}"/>
    <cellStyle name="Normal 2 5 4 5 2" xfId="3456" xr:uid="{00000000-0005-0000-0000-000057110000}"/>
    <cellStyle name="Normal 2 5 4 5 2 2" xfId="7678" xr:uid="{00000000-0005-0000-0000-000058110000}"/>
    <cellStyle name="Normal 2 5 4 5 2 2 2" xfId="16128" xr:uid="{409CEEEC-BF68-49A7-A039-DA5158BE473F}"/>
    <cellStyle name="Normal 2 5 4 5 2 2 3" xfId="24568" xr:uid="{76639300-04A3-42B8-873D-6A4DDDFC938E}"/>
    <cellStyle name="Normal 2 5 4 5 2 2 4" xfId="33008" xr:uid="{B6B6D18D-2CF6-4A72-A0F0-6FC047AF9E5A}"/>
    <cellStyle name="Normal 2 5 4 5 2 3" xfId="11910" xr:uid="{1740D3E6-F9D0-490C-9BE6-A28EB2E1C34B}"/>
    <cellStyle name="Normal 2 5 4 5 2 4" xfId="20351" xr:uid="{CC5F7CE0-74F8-4491-9AF3-9FAD78BCC3B2}"/>
    <cellStyle name="Normal 2 5 4 5 2 5" xfId="28791" xr:uid="{BF055D37-63C2-4598-8D0C-5F2E492A5756}"/>
    <cellStyle name="Normal 2 5 4 5 3" xfId="5533" xr:uid="{00000000-0005-0000-0000-000059110000}"/>
    <cellStyle name="Normal 2 5 4 5 3 2" xfId="13983" xr:uid="{4290EA97-22F6-44AB-8C7E-D62C9FC5965B}"/>
    <cellStyle name="Normal 2 5 4 5 3 3" xfId="22423" xr:uid="{D65EAA84-DC21-4AD6-A7B5-1503A7EE914A}"/>
    <cellStyle name="Normal 2 5 4 5 3 4" xfId="30863" xr:uid="{2063F662-1008-4FFE-847D-F2AE8C483E25}"/>
    <cellStyle name="Normal 2 5 4 5 4" xfId="9765" xr:uid="{1B6CBE0E-CF5E-4D63-B7C1-AFC19430F6B0}"/>
    <cellStyle name="Normal 2 5 4 5 5" xfId="18206" xr:uid="{3D07CAD9-3641-4318-9FBF-123CC1B853BC}"/>
    <cellStyle name="Normal 2 5 4 5 6" xfId="26646" xr:uid="{76BB8FF5-9E44-4402-A492-5579008DE134}"/>
    <cellStyle name="Normal 2 5 4 6" xfId="1639" xr:uid="{00000000-0005-0000-0000-00005A110000}"/>
    <cellStyle name="Normal 2 5 4 6 2" xfId="3869" xr:uid="{00000000-0005-0000-0000-00005B110000}"/>
    <cellStyle name="Normal 2 5 4 6 2 2" xfId="8091" xr:uid="{00000000-0005-0000-0000-00005C110000}"/>
    <cellStyle name="Normal 2 5 4 6 2 2 2" xfId="16541" xr:uid="{CE0F2FE0-E82A-43E9-9F41-A119550E806D}"/>
    <cellStyle name="Normal 2 5 4 6 2 2 3" xfId="24981" xr:uid="{06C83722-EF74-4E41-A05A-6ECACA12FF87}"/>
    <cellStyle name="Normal 2 5 4 6 2 2 4" xfId="33421" xr:uid="{EB85697B-5C27-4255-8E9D-8D2A5891295D}"/>
    <cellStyle name="Normal 2 5 4 6 2 3" xfId="12323" xr:uid="{A81C6760-55B1-4266-9CE6-E50A84A1D10D}"/>
    <cellStyle name="Normal 2 5 4 6 2 4" xfId="20764" xr:uid="{0E163CF6-95B8-4E14-B6F9-B56F6DC7BD87}"/>
    <cellStyle name="Normal 2 5 4 6 2 5" xfId="29204" xr:uid="{B1EC62F4-76BD-42EA-870D-9C230380CD1F}"/>
    <cellStyle name="Normal 2 5 4 6 3" xfId="5946" xr:uid="{00000000-0005-0000-0000-00005D110000}"/>
    <cellStyle name="Normal 2 5 4 6 3 2" xfId="14396" xr:uid="{084383C2-3CA4-471E-9AC1-0E711A19E631}"/>
    <cellStyle name="Normal 2 5 4 6 3 3" xfId="22836" xr:uid="{AF3F0797-EDAA-4240-B1C8-E005501BC2B1}"/>
    <cellStyle name="Normal 2 5 4 6 3 4" xfId="31276" xr:uid="{C67EB1C7-F5FB-4727-9B08-4374D59C1204}"/>
    <cellStyle name="Normal 2 5 4 6 4" xfId="10178" xr:uid="{D6C01446-3036-43E2-B93E-A673C0B454C5}"/>
    <cellStyle name="Normal 2 5 4 6 5" xfId="18619" xr:uid="{7445D92B-2465-4902-B609-B01FFA58A068}"/>
    <cellStyle name="Normal 2 5 4 6 6" xfId="27059" xr:uid="{2237A147-8F42-4B40-AAAF-2FD9588535C7}"/>
    <cellStyle name="Normal 2 5 4 7" xfId="2053" xr:uid="{00000000-0005-0000-0000-00005E110000}"/>
    <cellStyle name="Normal 2 5 4 7 2" xfId="4282" xr:uid="{00000000-0005-0000-0000-00005F110000}"/>
    <cellStyle name="Normal 2 5 4 7 2 2" xfId="8504" xr:uid="{00000000-0005-0000-0000-000060110000}"/>
    <cellStyle name="Normal 2 5 4 7 2 2 2" xfId="16954" xr:uid="{82F0B54A-A2C6-4D1D-8598-56F066E98456}"/>
    <cellStyle name="Normal 2 5 4 7 2 2 3" xfId="25394" xr:uid="{40253A3B-FEA3-450D-AD03-7B0DC2362B95}"/>
    <cellStyle name="Normal 2 5 4 7 2 2 4" xfId="33834" xr:uid="{C089D3DA-DFD7-4265-BA67-68A748CDABAF}"/>
    <cellStyle name="Normal 2 5 4 7 2 3" xfId="12736" xr:uid="{F91C150B-2C6C-476D-B56F-7DB0AF7B3148}"/>
    <cellStyle name="Normal 2 5 4 7 2 4" xfId="21177" xr:uid="{FCE6F025-4202-4129-8B57-C683B3C7E3B8}"/>
    <cellStyle name="Normal 2 5 4 7 2 5" xfId="29617" xr:uid="{FCBD5AE7-0EE4-4111-B111-3E33CFF04CB6}"/>
    <cellStyle name="Normal 2 5 4 7 3" xfId="6359" xr:uid="{00000000-0005-0000-0000-000061110000}"/>
    <cellStyle name="Normal 2 5 4 7 3 2" xfId="14809" xr:uid="{E64A96B0-513A-408E-93EE-32D2A55D24D5}"/>
    <cellStyle name="Normal 2 5 4 7 3 3" xfId="23249" xr:uid="{D1B8DE50-7D41-4517-B90A-7F249E5BF052}"/>
    <cellStyle name="Normal 2 5 4 7 3 4" xfId="31689" xr:uid="{A404B82D-2794-48FD-9798-1FF89B2D8242}"/>
    <cellStyle name="Normal 2 5 4 7 4" xfId="10591" xr:uid="{1F72FE14-CE85-4C7D-8F99-3EC761ACC3DB}"/>
    <cellStyle name="Normal 2 5 4 7 5" xfId="19032" xr:uid="{A1B92F62-B546-446F-9409-3B6B54792D9C}"/>
    <cellStyle name="Normal 2 5 4 7 6" xfId="27472" xr:uid="{4ECB80E3-8A0E-4715-A3B5-AFD31B6D5B45}"/>
    <cellStyle name="Normal 2 5 4 8" xfId="2489" xr:uid="{00000000-0005-0000-0000-000062110000}"/>
    <cellStyle name="Normal 2 5 4 8 2" xfId="6772" xr:uid="{00000000-0005-0000-0000-000063110000}"/>
    <cellStyle name="Normal 2 5 4 8 2 2" xfId="15222" xr:uid="{DF85F29C-06B9-45D6-A283-A87B391CC03D}"/>
    <cellStyle name="Normal 2 5 4 8 2 3" xfId="23662" xr:uid="{EC5D55FA-B3E9-489D-AE20-3885C7A26DCC}"/>
    <cellStyle name="Normal 2 5 4 8 2 4" xfId="32102" xr:uid="{750A9919-704B-472E-BF16-F1619794CB18}"/>
    <cellStyle name="Normal 2 5 4 8 3" xfId="11004" xr:uid="{382C7951-8254-4061-AB05-6A9DC404ADDC}"/>
    <cellStyle name="Normal 2 5 4 8 4" xfId="19445" xr:uid="{D9AEB7F4-4838-4C62-9AA6-7F1DA0827D13}"/>
    <cellStyle name="Normal 2 5 4 8 5" xfId="27885" xr:uid="{0A98FA5B-3FFB-46BD-8887-AC84A8697D61}"/>
    <cellStyle name="Normal 2 5 4 9" xfId="4706" xr:uid="{00000000-0005-0000-0000-000064110000}"/>
    <cellStyle name="Normal 2 5 4 9 2" xfId="13156" xr:uid="{90C4C317-3F48-40FD-A28C-17F89DF70466}"/>
    <cellStyle name="Normal 2 5 4 9 3" xfId="21596" xr:uid="{5E47068E-6830-41C4-9CAC-8CDC276F05DB}"/>
    <cellStyle name="Normal 2 5 4 9 4" xfId="30036" xr:uid="{E654F246-2DB2-4A9C-B1F8-0A9401C2E05D}"/>
    <cellStyle name="Normal 2 5 5" xfId="803" xr:uid="{00000000-0005-0000-0000-000065110000}"/>
    <cellStyle name="Normal 2 5 5 2" xfId="3042" xr:uid="{00000000-0005-0000-0000-000066110000}"/>
    <cellStyle name="Normal 2 5 5 2 2" xfId="7264" xr:uid="{00000000-0005-0000-0000-000067110000}"/>
    <cellStyle name="Normal 2 5 5 2 2 2" xfId="15714" xr:uid="{D6A82504-4FF7-4AF6-BDD7-7ECC70A0955A}"/>
    <cellStyle name="Normal 2 5 5 2 2 3" xfId="24154" xr:uid="{DB48BFC6-78C8-4047-A8F0-99DC9EE184CE}"/>
    <cellStyle name="Normal 2 5 5 2 2 4" xfId="32594" xr:uid="{06BC42A5-6B02-4880-B9F3-90E792E4624B}"/>
    <cellStyle name="Normal 2 5 5 2 3" xfId="11496" xr:uid="{D784DDC7-DD7B-4581-962F-C74F39E24782}"/>
    <cellStyle name="Normal 2 5 5 2 4" xfId="19937" xr:uid="{5BE3F45A-943C-4001-A896-29540B3CE8B8}"/>
    <cellStyle name="Normal 2 5 5 2 5" xfId="28377" xr:uid="{987DC361-1A54-4430-859D-5153A1CD62DC}"/>
    <cellStyle name="Normal 2 5 5 3" xfId="5119" xr:uid="{00000000-0005-0000-0000-000068110000}"/>
    <cellStyle name="Normal 2 5 5 3 2" xfId="13569" xr:uid="{C3FF0A19-8F0C-46A7-90E4-22E4C58CE7FD}"/>
    <cellStyle name="Normal 2 5 5 3 3" xfId="22009" xr:uid="{7936641C-6418-4794-BFFE-235212470D6C}"/>
    <cellStyle name="Normal 2 5 5 3 4" xfId="30449" xr:uid="{F104E853-A181-4D99-847A-9555E10838ED}"/>
    <cellStyle name="Normal 2 5 5 4" xfId="9351" xr:uid="{80B8132F-48B3-49D5-A6CF-FC7AFB377F0A}"/>
    <cellStyle name="Normal 2 5 5 5" xfId="17792" xr:uid="{8AE4007A-7CF2-492E-9CC7-46998A7AAE7D}"/>
    <cellStyle name="Normal 2 5 5 6" xfId="26232" xr:uid="{339A971A-14EF-40FC-85E6-7FCC3D52D3F7}"/>
    <cellStyle name="Normal 2 5 6" xfId="1225" xr:uid="{00000000-0005-0000-0000-000069110000}"/>
    <cellStyle name="Normal 2 5 6 2" xfId="3455" xr:uid="{00000000-0005-0000-0000-00006A110000}"/>
    <cellStyle name="Normal 2 5 6 2 2" xfId="7677" xr:uid="{00000000-0005-0000-0000-00006B110000}"/>
    <cellStyle name="Normal 2 5 6 2 2 2" xfId="16127" xr:uid="{0CD54895-DC3D-43D1-8C21-6773C8F3C455}"/>
    <cellStyle name="Normal 2 5 6 2 2 3" xfId="24567" xr:uid="{096549F4-B2A9-4922-8FDC-A08B9024DA03}"/>
    <cellStyle name="Normal 2 5 6 2 2 4" xfId="33007" xr:uid="{2862267D-9C37-4F27-A468-AA7965CC1525}"/>
    <cellStyle name="Normal 2 5 6 2 3" xfId="11909" xr:uid="{F8D7A517-DF4B-4170-A147-8B3F721311DB}"/>
    <cellStyle name="Normal 2 5 6 2 4" xfId="20350" xr:uid="{561D877D-D311-4CCB-AE55-3B048A880B2D}"/>
    <cellStyle name="Normal 2 5 6 2 5" xfId="28790" xr:uid="{654741E3-0218-4ED1-94AB-057CC1075A6C}"/>
    <cellStyle name="Normal 2 5 6 3" xfId="5532" xr:uid="{00000000-0005-0000-0000-00006C110000}"/>
    <cellStyle name="Normal 2 5 6 3 2" xfId="13982" xr:uid="{E58B03B4-6465-4B55-B8E4-F98E33B9DD3F}"/>
    <cellStyle name="Normal 2 5 6 3 3" xfId="22422" xr:uid="{300C268F-4928-47B5-BBB0-1F3DB41EFFFC}"/>
    <cellStyle name="Normal 2 5 6 3 4" xfId="30862" xr:uid="{36F27719-2344-451E-8590-F0084F6AF2F5}"/>
    <cellStyle name="Normal 2 5 6 4" xfId="9764" xr:uid="{E5A375E1-43FD-478D-ACD2-E50168D0D461}"/>
    <cellStyle name="Normal 2 5 6 5" xfId="18205" xr:uid="{59858913-55E1-4AB0-A48A-0B89F3F50F37}"/>
    <cellStyle name="Normal 2 5 6 6" xfId="26645" xr:uid="{1010D4A5-E24B-4239-BDC3-196C808E0809}"/>
    <cellStyle name="Normal 2 5 7" xfId="1638" xr:uid="{00000000-0005-0000-0000-00006D110000}"/>
    <cellStyle name="Normal 2 5 7 2" xfId="3868" xr:uid="{00000000-0005-0000-0000-00006E110000}"/>
    <cellStyle name="Normal 2 5 7 2 2" xfId="8090" xr:uid="{00000000-0005-0000-0000-00006F110000}"/>
    <cellStyle name="Normal 2 5 7 2 2 2" xfId="16540" xr:uid="{FCC1D1A2-CEEE-4376-B5E9-81A9E6B9AFC5}"/>
    <cellStyle name="Normal 2 5 7 2 2 3" xfId="24980" xr:uid="{299CE716-F83F-4B56-A4E0-10707CAF1F25}"/>
    <cellStyle name="Normal 2 5 7 2 2 4" xfId="33420" xr:uid="{D0C4D9F0-E7AA-49A0-BE7D-32A14A3A2D3D}"/>
    <cellStyle name="Normal 2 5 7 2 3" xfId="12322" xr:uid="{599EC161-9639-4607-BB70-FF2967C8EFE1}"/>
    <cellStyle name="Normal 2 5 7 2 4" xfId="20763" xr:uid="{DA01B46C-3748-45F1-A4F7-A7F6A8A7E881}"/>
    <cellStyle name="Normal 2 5 7 2 5" xfId="29203" xr:uid="{29BB5C7E-1000-4B16-91CC-6BDB37AB68E8}"/>
    <cellStyle name="Normal 2 5 7 3" xfId="5945" xr:uid="{00000000-0005-0000-0000-000070110000}"/>
    <cellStyle name="Normal 2 5 7 3 2" xfId="14395" xr:uid="{AF444501-A467-4A70-8AEE-A8786F739BF0}"/>
    <cellStyle name="Normal 2 5 7 3 3" xfId="22835" xr:uid="{F89CB46E-C327-4759-A87D-C7827026BCC8}"/>
    <cellStyle name="Normal 2 5 7 3 4" xfId="31275" xr:uid="{BE73F8D2-533B-4461-A798-5FCC3AB9439A}"/>
    <cellStyle name="Normal 2 5 7 4" xfId="10177" xr:uid="{396D5335-9826-47ED-9DD3-DAFE6D3274CF}"/>
    <cellStyle name="Normal 2 5 7 5" xfId="18618" xr:uid="{FECCAE13-89E0-4C59-BDA9-D35FBC21A634}"/>
    <cellStyle name="Normal 2 5 7 6" xfId="27058" xr:uid="{2E0FB854-BC6C-4C91-9BA8-5BEF6C8E49FA}"/>
    <cellStyle name="Normal 2 5 8" xfId="2052" xr:uid="{00000000-0005-0000-0000-000071110000}"/>
    <cellStyle name="Normal 2 5 8 2" xfId="4281" xr:uid="{00000000-0005-0000-0000-000072110000}"/>
    <cellStyle name="Normal 2 5 8 2 2" xfId="8503" xr:uid="{00000000-0005-0000-0000-000073110000}"/>
    <cellStyle name="Normal 2 5 8 2 2 2" xfId="16953" xr:uid="{32BDAB00-E9F3-4BA7-8A1D-96B100A7E21E}"/>
    <cellStyle name="Normal 2 5 8 2 2 3" xfId="25393" xr:uid="{7C1DEA2A-BAA1-46B2-81E0-1BB4FA7145AF}"/>
    <cellStyle name="Normal 2 5 8 2 2 4" xfId="33833" xr:uid="{C5AEE06C-8F1E-49E9-B447-412A9EF7449C}"/>
    <cellStyle name="Normal 2 5 8 2 3" xfId="12735" xr:uid="{4C731D37-E664-45B8-AA8D-35BBF783B596}"/>
    <cellStyle name="Normal 2 5 8 2 4" xfId="21176" xr:uid="{4E9EDBF7-7353-4C72-AC3B-778B6D5BEB61}"/>
    <cellStyle name="Normal 2 5 8 2 5" xfId="29616" xr:uid="{916EC0FA-B052-4300-9D9C-3C06D01D515B}"/>
    <cellStyle name="Normal 2 5 8 3" xfId="6358" xr:uid="{00000000-0005-0000-0000-000074110000}"/>
    <cellStyle name="Normal 2 5 8 3 2" xfId="14808" xr:uid="{08DE34E6-10DB-4BAF-89D7-034FDF6E7CBB}"/>
    <cellStyle name="Normal 2 5 8 3 3" xfId="23248" xr:uid="{5012A592-76B4-443E-A8F4-4FC1D2863D59}"/>
    <cellStyle name="Normal 2 5 8 3 4" xfId="31688" xr:uid="{1DCF696D-1C27-4B8A-AA13-019068D4908D}"/>
    <cellStyle name="Normal 2 5 8 4" xfId="10590" xr:uid="{B30F52DD-13F7-49F7-8636-6FB6B31C6948}"/>
    <cellStyle name="Normal 2 5 8 5" xfId="19031" xr:uid="{992CA6E1-D420-4FC7-9EC1-7FD4C6345EFD}"/>
    <cellStyle name="Normal 2 5 8 6" xfId="27471" xr:uid="{C904A1D4-7BB7-41EC-9A39-CE094257794D}"/>
    <cellStyle name="Normal 2 5 9" xfId="2488" xr:uid="{00000000-0005-0000-0000-000075110000}"/>
    <cellStyle name="Normal 2 5 9 2" xfId="6771" xr:uid="{00000000-0005-0000-0000-000076110000}"/>
    <cellStyle name="Normal 2 5 9 2 2" xfId="15221" xr:uid="{33C8A915-EBA9-45C5-B256-3AAE80A86083}"/>
    <cellStyle name="Normal 2 5 9 2 3" xfId="23661" xr:uid="{A75BD73D-0AD9-46C8-9957-B31167DECDC0}"/>
    <cellStyle name="Normal 2 5 9 2 4" xfId="32101" xr:uid="{06114CFB-9104-4A5C-BA39-0E49FC3E960E}"/>
    <cellStyle name="Normal 2 5 9 3" xfId="11003" xr:uid="{575F1C9D-5DE6-445B-9B19-20C2B132D22D}"/>
    <cellStyle name="Normal 2 5 9 4" xfId="19444" xr:uid="{0830FBB5-3064-410F-BF2C-EBC0312B7CA5}"/>
    <cellStyle name="Normal 2 5 9 5" xfId="27884" xr:uid="{3F1DC69D-355B-4708-B1BD-7E20E06845B7}"/>
    <cellStyle name="Normal 2 6" xfId="322" xr:uid="{00000000-0005-0000-0000-000077110000}"/>
    <cellStyle name="Normal 2 7" xfId="769" xr:uid="{00000000-0005-0000-0000-000078110000}"/>
    <cellStyle name="Normal 2 8" xfId="4495" xr:uid="{00000000-0005-0000-0000-000079110000}"/>
    <cellStyle name="Normal 2 8 2" xfId="12947" xr:uid="{6D3E3C9C-A835-40E8-B11F-93573E4A71B2}"/>
    <cellStyle name="Normal 3" xfId="323" xr:uid="{00000000-0005-0000-0000-00007A110000}"/>
    <cellStyle name="Normal 3 2" xfId="324" xr:uid="{00000000-0005-0000-0000-00007B110000}"/>
    <cellStyle name="Normal 3 2 10" xfId="8942" xr:uid="{8FFAC301-42DB-4AF8-90AD-A2369DD7D84D}"/>
    <cellStyle name="Normal 3 2 11" xfId="17383" xr:uid="{F176E5F5-6C74-411C-A96C-17A486AB4F82}"/>
    <cellStyle name="Normal 3 2 12" xfId="25823" xr:uid="{720898AD-2299-4342-8FAF-8A4D87D4A60D}"/>
    <cellStyle name="Normal 3 2 2" xfId="325" xr:uid="{00000000-0005-0000-0000-00007C110000}"/>
    <cellStyle name="Normal 3 2 2 2" xfId="810" xr:uid="{00000000-0005-0000-0000-00007D110000}"/>
    <cellStyle name="Normal 3 2 3" xfId="326" xr:uid="{00000000-0005-0000-0000-00007E110000}"/>
    <cellStyle name="Normal 3 2 3 10" xfId="8943" xr:uid="{EAE3F186-D8C2-4205-B8B1-D72EDCADE916}"/>
    <cellStyle name="Normal 3 2 3 11" xfId="17384" xr:uid="{6752EE02-F790-4701-B7B0-BBF8D15A7B0E}"/>
    <cellStyle name="Normal 3 2 3 12" xfId="25824" xr:uid="{B1F9B5BA-71F3-4122-904C-FDEE69FE36EE}"/>
    <cellStyle name="Normal 3 2 3 2" xfId="327" xr:uid="{00000000-0005-0000-0000-00007F110000}"/>
    <cellStyle name="Normal 3 2 3 2 10" xfId="17385" xr:uid="{C24371FA-DC00-4B53-9BA1-3619F6722A6E}"/>
    <cellStyle name="Normal 3 2 3 2 11" xfId="25825" xr:uid="{E756FC29-CA97-4EDE-BC83-FACB8FE764D0}"/>
    <cellStyle name="Normal 3 2 3 2 2" xfId="328" xr:uid="{00000000-0005-0000-0000-000080110000}"/>
    <cellStyle name="Normal 3 2 3 2 2 10" xfId="25826" xr:uid="{128A5E1E-5D63-4B52-87E6-3F1C661DEFD6}"/>
    <cellStyle name="Normal 3 2 3 2 2 2" xfId="813" xr:uid="{00000000-0005-0000-0000-000081110000}"/>
    <cellStyle name="Normal 3 2 3 2 2 2 2" xfId="3050" xr:uid="{00000000-0005-0000-0000-000082110000}"/>
    <cellStyle name="Normal 3 2 3 2 2 2 2 2" xfId="7272" xr:uid="{00000000-0005-0000-0000-000083110000}"/>
    <cellStyle name="Normal 3 2 3 2 2 2 2 2 2" xfId="15722" xr:uid="{99D42576-8BA2-4575-95F3-4866ED2E12A4}"/>
    <cellStyle name="Normal 3 2 3 2 2 2 2 2 3" xfId="24162" xr:uid="{67FD4F63-D5B6-4D29-A568-41ACA51508F6}"/>
    <cellStyle name="Normal 3 2 3 2 2 2 2 2 4" xfId="32602" xr:uid="{CA2AECC5-6AA5-4743-8A4C-8F049E025BA2}"/>
    <cellStyle name="Normal 3 2 3 2 2 2 2 3" xfId="11504" xr:uid="{AC7E3E1B-8E3C-4552-98E3-7CDE2BD797BD}"/>
    <cellStyle name="Normal 3 2 3 2 2 2 2 4" xfId="19945" xr:uid="{FF91706A-839A-4E63-BBC6-DBC74956D6F8}"/>
    <cellStyle name="Normal 3 2 3 2 2 2 2 5" xfId="28385" xr:uid="{2722DCF9-8449-4F99-B14C-B7F3156B11F1}"/>
    <cellStyle name="Normal 3 2 3 2 2 2 3" xfId="5127" xr:uid="{00000000-0005-0000-0000-000084110000}"/>
    <cellStyle name="Normal 3 2 3 2 2 2 3 2" xfId="13577" xr:uid="{F03EDF2B-9434-46BE-817B-0C09B65664C6}"/>
    <cellStyle name="Normal 3 2 3 2 2 2 3 3" xfId="22017" xr:uid="{8BE22F07-6CBD-4586-B163-A394D3A730EB}"/>
    <cellStyle name="Normal 3 2 3 2 2 2 3 4" xfId="30457" xr:uid="{D7AB6710-9ADA-4BB4-984A-85C9285FF680}"/>
    <cellStyle name="Normal 3 2 3 2 2 2 4" xfId="9359" xr:uid="{29124B5D-C721-408B-ABBC-0AE7408B8521}"/>
    <cellStyle name="Normal 3 2 3 2 2 2 5" xfId="17800" xr:uid="{366422C9-7863-439B-979D-D5179E495F4E}"/>
    <cellStyle name="Normal 3 2 3 2 2 2 6" xfId="26240" xr:uid="{9C5B4381-B528-411D-95FE-B3DDD9638FAB}"/>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2 2 2" xfId="16135" xr:uid="{F6F3B5B4-0029-4DE4-B0F9-AB33A879E759}"/>
    <cellStyle name="Normal 3 2 3 2 2 3 2 2 3" xfId="24575" xr:uid="{33CD87B9-C49B-46BD-BD0F-5AFBABA2D351}"/>
    <cellStyle name="Normal 3 2 3 2 2 3 2 2 4" xfId="33015" xr:uid="{770CE93F-BCE1-490B-AC38-4EAABC06A250}"/>
    <cellStyle name="Normal 3 2 3 2 2 3 2 3" xfId="11917" xr:uid="{D654F813-5201-46E5-9CF9-C1A036E68B1D}"/>
    <cellStyle name="Normal 3 2 3 2 2 3 2 4" xfId="20358" xr:uid="{AFDA5CB4-3B98-4CC7-9DDE-9B394BBE4720}"/>
    <cellStyle name="Normal 3 2 3 2 2 3 2 5" xfId="28798" xr:uid="{B946D2FC-3713-4F3D-8951-F2026F9193E7}"/>
    <cellStyle name="Normal 3 2 3 2 2 3 3" xfId="5540" xr:uid="{00000000-0005-0000-0000-000088110000}"/>
    <cellStyle name="Normal 3 2 3 2 2 3 3 2" xfId="13990" xr:uid="{94942AAD-9566-4193-A287-9BCDBC3091A0}"/>
    <cellStyle name="Normal 3 2 3 2 2 3 3 3" xfId="22430" xr:uid="{EADC5859-E2A5-4BBD-BDD7-4BE6503998C4}"/>
    <cellStyle name="Normal 3 2 3 2 2 3 3 4" xfId="30870" xr:uid="{62DF144F-74D6-43ED-9EF3-008B484F58F2}"/>
    <cellStyle name="Normal 3 2 3 2 2 3 4" xfId="9772" xr:uid="{E01BE644-2645-4CB8-AE7A-F423D6C25E32}"/>
    <cellStyle name="Normal 3 2 3 2 2 3 5" xfId="18213" xr:uid="{77F164D0-20B5-419F-8319-1128DCD1EFBE}"/>
    <cellStyle name="Normal 3 2 3 2 2 3 6" xfId="26653" xr:uid="{45039DED-59B0-4F80-8147-C8484FFD593A}"/>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2 2 2" xfId="16548" xr:uid="{61CBF87C-FABE-4374-A82A-28EC0EDA8149}"/>
    <cellStyle name="Normal 3 2 3 2 2 4 2 2 3" xfId="24988" xr:uid="{564ED351-42E6-434A-B1DF-63EE143F6F74}"/>
    <cellStyle name="Normal 3 2 3 2 2 4 2 2 4" xfId="33428" xr:uid="{E35273E1-EB16-4264-9CE9-792012B2B2F8}"/>
    <cellStyle name="Normal 3 2 3 2 2 4 2 3" xfId="12330" xr:uid="{FE012C82-954C-41C2-97D9-302DE4CE0BF9}"/>
    <cellStyle name="Normal 3 2 3 2 2 4 2 4" xfId="20771" xr:uid="{794CB7FD-E597-4CD7-928E-94AE4769BC1C}"/>
    <cellStyle name="Normal 3 2 3 2 2 4 2 5" xfId="29211" xr:uid="{3C63F1BA-DFC2-44C5-96C8-2CF39B117BB7}"/>
    <cellStyle name="Normal 3 2 3 2 2 4 3" xfId="5953" xr:uid="{00000000-0005-0000-0000-00008C110000}"/>
    <cellStyle name="Normal 3 2 3 2 2 4 3 2" xfId="14403" xr:uid="{AE3C3FC3-337F-4B51-ACDA-B2A462D86D7E}"/>
    <cellStyle name="Normal 3 2 3 2 2 4 3 3" xfId="22843" xr:uid="{F7ED43F8-2B24-4BD8-8304-46C6968BAD1F}"/>
    <cellStyle name="Normal 3 2 3 2 2 4 3 4" xfId="31283" xr:uid="{BEE435D3-0EB6-4E11-9B90-66968F25CBE9}"/>
    <cellStyle name="Normal 3 2 3 2 2 4 4" xfId="10185" xr:uid="{29157A17-B5AF-4A18-8E56-A2F99DD24D9A}"/>
    <cellStyle name="Normal 3 2 3 2 2 4 5" xfId="18626" xr:uid="{1A993D87-1B47-4603-914C-D12CB23B9983}"/>
    <cellStyle name="Normal 3 2 3 2 2 4 6" xfId="27066" xr:uid="{3520463B-7797-4AA5-A80A-309991710EB5}"/>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2 2 2" xfId="16961" xr:uid="{0901B6FB-1554-4223-9254-6C3D0F270578}"/>
    <cellStyle name="Normal 3 2 3 2 2 5 2 2 3" xfId="25401" xr:uid="{80CF56C8-4523-48C5-8EAA-B82BD694C8A7}"/>
    <cellStyle name="Normal 3 2 3 2 2 5 2 2 4" xfId="33841" xr:uid="{03BBD6A0-9C6E-4FC5-9549-41A05353164B}"/>
    <cellStyle name="Normal 3 2 3 2 2 5 2 3" xfId="12743" xr:uid="{ABF554C7-9850-4D5C-8E72-9433E098A6A7}"/>
    <cellStyle name="Normal 3 2 3 2 2 5 2 4" xfId="21184" xr:uid="{F274470D-BDA7-48D1-8262-F21CFD0BE0A4}"/>
    <cellStyle name="Normal 3 2 3 2 2 5 2 5" xfId="29624" xr:uid="{22CAFFC6-FE1E-422A-AFBD-30FE108B3A22}"/>
    <cellStyle name="Normal 3 2 3 2 2 5 3" xfId="6366" xr:uid="{00000000-0005-0000-0000-000090110000}"/>
    <cellStyle name="Normal 3 2 3 2 2 5 3 2" xfId="14816" xr:uid="{C566CFC6-C9DC-4015-B1D6-044BA961D122}"/>
    <cellStyle name="Normal 3 2 3 2 2 5 3 3" xfId="23256" xr:uid="{3374F862-BB1C-46F8-AD3A-F0EA7189BDC2}"/>
    <cellStyle name="Normal 3 2 3 2 2 5 3 4" xfId="31696" xr:uid="{0BDDE722-2987-4AA0-9305-2B4C15F616EF}"/>
    <cellStyle name="Normal 3 2 3 2 2 5 4" xfId="10598" xr:uid="{F14E584E-EDD9-434E-A070-555FDAF3AD54}"/>
    <cellStyle name="Normal 3 2 3 2 2 5 5" xfId="19039" xr:uid="{1B679A6E-FF15-4428-9903-0A7DC2F0E86C}"/>
    <cellStyle name="Normal 3 2 3 2 2 5 6" xfId="27479" xr:uid="{74E722D8-2DDB-4733-9F9C-DA66560AE0A3}"/>
    <cellStyle name="Normal 3 2 3 2 2 6" xfId="2496" xr:uid="{00000000-0005-0000-0000-000091110000}"/>
    <cellStyle name="Normal 3 2 3 2 2 6 2" xfId="6779" xr:uid="{00000000-0005-0000-0000-000092110000}"/>
    <cellStyle name="Normal 3 2 3 2 2 6 2 2" xfId="15229" xr:uid="{9D47661F-884B-453C-AE7D-A91B0281072A}"/>
    <cellStyle name="Normal 3 2 3 2 2 6 2 3" xfId="23669" xr:uid="{C061A8EA-C4D0-4013-8FB3-D797EC4E3CA9}"/>
    <cellStyle name="Normal 3 2 3 2 2 6 2 4" xfId="32109" xr:uid="{496F7EAC-F732-4344-858C-C3E9D012E2BB}"/>
    <cellStyle name="Normal 3 2 3 2 2 6 3" xfId="11011" xr:uid="{4544AF5B-9A0D-4D31-B862-AB82D407480A}"/>
    <cellStyle name="Normal 3 2 3 2 2 6 4" xfId="19452" xr:uid="{6AF44511-555C-47B6-9355-4F5C818F520D}"/>
    <cellStyle name="Normal 3 2 3 2 2 6 5" xfId="27892" xr:uid="{718F30DF-4410-401F-A6AF-62B766F7F603}"/>
    <cellStyle name="Normal 3 2 3 2 2 7" xfId="4713" xr:uid="{00000000-0005-0000-0000-000093110000}"/>
    <cellStyle name="Normal 3 2 3 2 2 7 2" xfId="13163" xr:uid="{CAC61B45-8C4F-46FA-812E-9013EE9FCFD6}"/>
    <cellStyle name="Normal 3 2 3 2 2 7 3" xfId="21603" xr:uid="{2304236E-C2CB-48BA-A149-B6B90A0EDA3B}"/>
    <cellStyle name="Normal 3 2 3 2 2 7 4" xfId="30043" xr:uid="{FD60FB0B-A57C-47F8-81FD-B5E4B571EBA3}"/>
    <cellStyle name="Normal 3 2 3 2 2 8" xfId="8945" xr:uid="{A8C53DBE-6249-48C0-9DB9-3DA9850AC14E}"/>
    <cellStyle name="Normal 3 2 3 2 2 9" xfId="17386" xr:uid="{ECF97EC7-9250-4F69-807E-2659E8660CFF}"/>
    <cellStyle name="Normal 3 2 3 2 3" xfId="812" xr:uid="{00000000-0005-0000-0000-000094110000}"/>
    <cellStyle name="Normal 3 2 3 2 3 2" xfId="3049" xr:uid="{00000000-0005-0000-0000-000095110000}"/>
    <cellStyle name="Normal 3 2 3 2 3 2 2" xfId="7271" xr:uid="{00000000-0005-0000-0000-000096110000}"/>
    <cellStyle name="Normal 3 2 3 2 3 2 2 2" xfId="15721" xr:uid="{14674282-53A6-44BE-8307-BAD6BB5238C5}"/>
    <cellStyle name="Normal 3 2 3 2 3 2 2 3" xfId="24161" xr:uid="{DCCBCC3F-2146-4AE5-8D37-5F197A09AE5A}"/>
    <cellStyle name="Normal 3 2 3 2 3 2 2 4" xfId="32601" xr:uid="{B3223328-F51C-449C-90BB-FE740C967406}"/>
    <cellStyle name="Normal 3 2 3 2 3 2 3" xfId="11503" xr:uid="{80AAB278-F887-4E85-89B6-DD1578568BB1}"/>
    <cellStyle name="Normal 3 2 3 2 3 2 4" xfId="19944" xr:uid="{0CC04B35-5F86-4502-8611-E51B7FB101A6}"/>
    <cellStyle name="Normal 3 2 3 2 3 2 5" xfId="28384" xr:uid="{DC0E2FC4-0082-4A9F-A592-3CA6C42405E1}"/>
    <cellStyle name="Normal 3 2 3 2 3 3" xfId="5126" xr:uid="{00000000-0005-0000-0000-000097110000}"/>
    <cellStyle name="Normal 3 2 3 2 3 3 2" xfId="13576" xr:uid="{F18D402E-D1DD-4961-939E-A0A219A32E5B}"/>
    <cellStyle name="Normal 3 2 3 2 3 3 3" xfId="22016" xr:uid="{23F4D9A7-72A9-44A4-80EB-326998276091}"/>
    <cellStyle name="Normal 3 2 3 2 3 3 4" xfId="30456" xr:uid="{9BC7E22C-FE44-40B6-8D99-81B86D58B997}"/>
    <cellStyle name="Normal 3 2 3 2 3 4" xfId="9358" xr:uid="{93CBB897-EDDC-4ADB-B9D3-17CE054F62C0}"/>
    <cellStyle name="Normal 3 2 3 2 3 5" xfId="17799" xr:uid="{ACAA0BFA-EB29-44A6-9445-BAD85A22DC0A}"/>
    <cellStyle name="Normal 3 2 3 2 3 6" xfId="26239" xr:uid="{5BB60F22-9B2B-4124-9C51-DA1B418730A7}"/>
    <cellStyle name="Normal 3 2 3 2 4" xfId="1232" xr:uid="{00000000-0005-0000-0000-000098110000}"/>
    <cellStyle name="Normal 3 2 3 2 4 2" xfId="3462" xr:uid="{00000000-0005-0000-0000-000099110000}"/>
    <cellStyle name="Normal 3 2 3 2 4 2 2" xfId="7684" xr:uid="{00000000-0005-0000-0000-00009A110000}"/>
    <cellStyle name="Normal 3 2 3 2 4 2 2 2" xfId="16134" xr:uid="{772DBF87-4A0F-4F36-9BBE-CB53CB4CB9C4}"/>
    <cellStyle name="Normal 3 2 3 2 4 2 2 3" xfId="24574" xr:uid="{C6A5BB7B-53F1-49B6-BC2A-6F684336FD34}"/>
    <cellStyle name="Normal 3 2 3 2 4 2 2 4" xfId="33014" xr:uid="{8E2B3F76-A526-4F53-97BC-60FA7D5D10BD}"/>
    <cellStyle name="Normal 3 2 3 2 4 2 3" xfId="11916" xr:uid="{C8BAB1DE-12BA-49B4-97DA-4F7BCF39C8A0}"/>
    <cellStyle name="Normal 3 2 3 2 4 2 4" xfId="20357" xr:uid="{FFC948F0-5C02-4D24-AAF2-89FD12AFF5AF}"/>
    <cellStyle name="Normal 3 2 3 2 4 2 5" xfId="28797" xr:uid="{99FF0AE0-AF1D-43EE-A868-6D7A8BECC5CD}"/>
    <cellStyle name="Normal 3 2 3 2 4 3" xfId="5539" xr:uid="{00000000-0005-0000-0000-00009B110000}"/>
    <cellStyle name="Normal 3 2 3 2 4 3 2" xfId="13989" xr:uid="{71C5ED37-7144-41EE-A6FC-E03D39F9C3C2}"/>
    <cellStyle name="Normal 3 2 3 2 4 3 3" xfId="22429" xr:uid="{DB8FDD2D-3005-4E47-9119-2F9DCB72ECCB}"/>
    <cellStyle name="Normal 3 2 3 2 4 3 4" xfId="30869" xr:uid="{FD0E86F9-B492-44EA-B563-EFE1197EA80E}"/>
    <cellStyle name="Normal 3 2 3 2 4 4" xfId="9771" xr:uid="{EC5774E0-46F7-476C-879E-AC0ED46DFDA2}"/>
    <cellStyle name="Normal 3 2 3 2 4 5" xfId="18212" xr:uid="{27B06396-69BA-4193-BB4C-98B0AD923DD3}"/>
    <cellStyle name="Normal 3 2 3 2 4 6" xfId="26652" xr:uid="{41AAAFDC-9F89-4C6A-9E39-B2A285FE4527}"/>
    <cellStyle name="Normal 3 2 3 2 5" xfId="1645" xr:uid="{00000000-0005-0000-0000-00009C110000}"/>
    <cellStyle name="Normal 3 2 3 2 5 2" xfId="3875" xr:uid="{00000000-0005-0000-0000-00009D110000}"/>
    <cellStyle name="Normal 3 2 3 2 5 2 2" xfId="8097" xr:uid="{00000000-0005-0000-0000-00009E110000}"/>
    <cellStyle name="Normal 3 2 3 2 5 2 2 2" xfId="16547" xr:uid="{C8C0DE52-A77E-411B-A3F9-89809D129D5D}"/>
    <cellStyle name="Normal 3 2 3 2 5 2 2 3" xfId="24987" xr:uid="{F169243D-683E-47E3-ADFC-31A696F03B93}"/>
    <cellStyle name="Normal 3 2 3 2 5 2 2 4" xfId="33427" xr:uid="{D9D13CC9-1741-47BC-8DCA-4A7C6A237DCD}"/>
    <cellStyle name="Normal 3 2 3 2 5 2 3" xfId="12329" xr:uid="{62EB6370-418E-4B7C-9B5A-423F7ACF48D4}"/>
    <cellStyle name="Normal 3 2 3 2 5 2 4" xfId="20770" xr:uid="{75ECD0B8-4090-4003-9A61-335AFAABADB1}"/>
    <cellStyle name="Normal 3 2 3 2 5 2 5" xfId="29210" xr:uid="{A6F2BCC6-BEC9-46C6-823F-8DE11C01760C}"/>
    <cellStyle name="Normal 3 2 3 2 5 3" xfId="5952" xr:uid="{00000000-0005-0000-0000-00009F110000}"/>
    <cellStyle name="Normal 3 2 3 2 5 3 2" xfId="14402" xr:uid="{25477719-F3D2-49EF-9B45-A13FF959D629}"/>
    <cellStyle name="Normal 3 2 3 2 5 3 3" xfId="22842" xr:uid="{333BAF38-69A8-4EF0-87B9-3168926ECAAC}"/>
    <cellStyle name="Normal 3 2 3 2 5 3 4" xfId="31282" xr:uid="{D272FFB7-C11D-49AA-8250-E8B29266C032}"/>
    <cellStyle name="Normal 3 2 3 2 5 4" xfId="10184" xr:uid="{54C8D8DE-7539-4CA2-9D0D-6E02506FD865}"/>
    <cellStyle name="Normal 3 2 3 2 5 5" xfId="18625" xr:uid="{DD4A7727-ED55-4952-A471-59CBFA1AA668}"/>
    <cellStyle name="Normal 3 2 3 2 5 6" xfId="27065" xr:uid="{E73270CE-5910-4EE3-B01C-EF210DF957D9}"/>
    <cellStyle name="Normal 3 2 3 2 6" xfId="2059" xr:uid="{00000000-0005-0000-0000-0000A0110000}"/>
    <cellStyle name="Normal 3 2 3 2 6 2" xfId="4288" xr:uid="{00000000-0005-0000-0000-0000A1110000}"/>
    <cellStyle name="Normal 3 2 3 2 6 2 2" xfId="8510" xr:uid="{00000000-0005-0000-0000-0000A2110000}"/>
    <cellStyle name="Normal 3 2 3 2 6 2 2 2" xfId="16960" xr:uid="{4EECCC6B-1009-4F76-B7E7-F0312EE8A73D}"/>
    <cellStyle name="Normal 3 2 3 2 6 2 2 3" xfId="25400" xr:uid="{EFED2375-C4C8-4C9E-B8A6-C254EE9E01CF}"/>
    <cellStyle name="Normal 3 2 3 2 6 2 2 4" xfId="33840" xr:uid="{342B3BDB-29CB-4C76-A7EE-D7EAC944CC92}"/>
    <cellStyle name="Normal 3 2 3 2 6 2 3" xfId="12742" xr:uid="{C28355E6-BCE2-40BD-931B-549240C72AA2}"/>
    <cellStyle name="Normal 3 2 3 2 6 2 4" xfId="21183" xr:uid="{3AFCE968-5F55-4C1A-A521-C285CA57585A}"/>
    <cellStyle name="Normal 3 2 3 2 6 2 5" xfId="29623" xr:uid="{D25A2121-EE20-46E6-8A74-4B091E562DC0}"/>
    <cellStyle name="Normal 3 2 3 2 6 3" xfId="6365" xr:uid="{00000000-0005-0000-0000-0000A3110000}"/>
    <cellStyle name="Normal 3 2 3 2 6 3 2" xfId="14815" xr:uid="{EC9CF4C4-A545-492D-A587-9C128BA14F63}"/>
    <cellStyle name="Normal 3 2 3 2 6 3 3" xfId="23255" xr:uid="{4595E767-18C2-4C2E-9F4D-2635BA8DC566}"/>
    <cellStyle name="Normal 3 2 3 2 6 3 4" xfId="31695" xr:uid="{F5864B02-CDA9-4D57-B840-7A91EF85A7BC}"/>
    <cellStyle name="Normal 3 2 3 2 6 4" xfId="10597" xr:uid="{279533FA-E099-4564-A197-2716B97CCD44}"/>
    <cellStyle name="Normal 3 2 3 2 6 5" xfId="19038" xr:uid="{247510C8-8EF0-445D-8E27-41907E56744A}"/>
    <cellStyle name="Normal 3 2 3 2 6 6" xfId="27478" xr:uid="{E7667906-9CC8-437E-99A0-31439AA6AD10}"/>
    <cellStyle name="Normal 3 2 3 2 7" xfId="2495" xr:uid="{00000000-0005-0000-0000-0000A4110000}"/>
    <cellStyle name="Normal 3 2 3 2 7 2" xfId="6778" xr:uid="{00000000-0005-0000-0000-0000A5110000}"/>
    <cellStyle name="Normal 3 2 3 2 7 2 2" xfId="15228" xr:uid="{F07D8B9F-91A6-4FFF-B913-A917AFD922CE}"/>
    <cellStyle name="Normal 3 2 3 2 7 2 3" xfId="23668" xr:uid="{2A44FC46-BC39-4798-AF4C-586F46F9BC0E}"/>
    <cellStyle name="Normal 3 2 3 2 7 2 4" xfId="32108" xr:uid="{7BD06E2E-AC2C-4AAF-976F-DED3A79C3290}"/>
    <cellStyle name="Normal 3 2 3 2 7 3" xfId="11010" xr:uid="{59DB9D2D-FB2A-4715-8ACC-FCD2873C8BB9}"/>
    <cellStyle name="Normal 3 2 3 2 7 4" xfId="19451" xr:uid="{1FFFE389-73C4-4316-ACB4-0620EEAC90D8}"/>
    <cellStyle name="Normal 3 2 3 2 7 5" xfId="27891" xr:uid="{0FF2B3D0-C774-4DB2-A76A-2E4D86C8522E}"/>
    <cellStyle name="Normal 3 2 3 2 8" xfId="4712" xr:uid="{00000000-0005-0000-0000-0000A6110000}"/>
    <cellStyle name="Normal 3 2 3 2 8 2" xfId="13162" xr:uid="{B693E644-4E2B-47C1-AC0B-DF653CE166D2}"/>
    <cellStyle name="Normal 3 2 3 2 8 3" xfId="21602" xr:uid="{15023348-8232-4592-BFAE-4CAF02230152}"/>
    <cellStyle name="Normal 3 2 3 2 8 4" xfId="30042" xr:uid="{DACA64E7-4764-4D71-90A7-12F74789A688}"/>
    <cellStyle name="Normal 3 2 3 2 9" xfId="8944" xr:uid="{2A6FE495-7208-442E-9E47-B02703032E15}"/>
    <cellStyle name="Normal 3 2 3 3" xfId="329" xr:uid="{00000000-0005-0000-0000-0000A7110000}"/>
    <cellStyle name="Normal 3 2 3 3 10" xfId="25827" xr:uid="{7EE89541-F0B5-4B24-AC8D-17A9D610FC61}"/>
    <cellStyle name="Normal 3 2 3 3 2" xfId="814" xr:uid="{00000000-0005-0000-0000-0000A8110000}"/>
    <cellStyle name="Normal 3 2 3 3 2 2" xfId="3051" xr:uid="{00000000-0005-0000-0000-0000A9110000}"/>
    <cellStyle name="Normal 3 2 3 3 2 2 2" xfId="7273" xr:uid="{00000000-0005-0000-0000-0000AA110000}"/>
    <cellStyle name="Normal 3 2 3 3 2 2 2 2" xfId="15723" xr:uid="{7B41B74C-1E5E-4F45-BCD5-E17929159090}"/>
    <cellStyle name="Normal 3 2 3 3 2 2 2 3" xfId="24163" xr:uid="{17E362D1-DD66-4D7F-920A-6247904831D2}"/>
    <cellStyle name="Normal 3 2 3 3 2 2 2 4" xfId="32603" xr:uid="{1FA90D28-8D73-465D-92F3-DEFE29E30D4A}"/>
    <cellStyle name="Normal 3 2 3 3 2 2 3" xfId="11505" xr:uid="{38CE92C7-6636-4517-845A-9FA79614630D}"/>
    <cellStyle name="Normal 3 2 3 3 2 2 4" xfId="19946" xr:uid="{0B96CB1F-F582-463E-993D-A6430123BE78}"/>
    <cellStyle name="Normal 3 2 3 3 2 2 5" xfId="28386" xr:uid="{9121622C-1063-430D-AFEC-38052DBFF356}"/>
    <cellStyle name="Normal 3 2 3 3 2 3" xfId="5128" xr:uid="{00000000-0005-0000-0000-0000AB110000}"/>
    <cellStyle name="Normal 3 2 3 3 2 3 2" xfId="13578" xr:uid="{E2A95E69-772A-4CD6-B6D8-A87E75AB2147}"/>
    <cellStyle name="Normal 3 2 3 3 2 3 3" xfId="22018" xr:uid="{711CC74A-8D2A-4CF6-AEEB-05CC47FB969E}"/>
    <cellStyle name="Normal 3 2 3 3 2 3 4" xfId="30458" xr:uid="{A9AE4739-0446-498C-BC7F-2F562C04AD7E}"/>
    <cellStyle name="Normal 3 2 3 3 2 4" xfId="9360" xr:uid="{F3DE8B9E-D12D-4ED5-808B-88B46A7DF045}"/>
    <cellStyle name="Normal 3 2 3 3 2 5" xfId="17801" xr:uid="{EDED1B64-02EE-42B8-A0AA-004844A91FB1}"/>
    <cellStyle name="Normal 3 2 3 3 2 6" xfId="26241" xr:uid="{F67EFDD5-7488-4542-BC19-CCD8ED7E54D3}"/>
    <cellStyle name="Normal 3 2 3 3 3" xfId="1234" xr:uid="{00000000-0005-0000-0000-0000AC110000}"/>
    <cellStyle name="Normal 3 2 3 3 3 2" xfId="3464" xr:uid="{00000000-0005-0000-0000-0000AD110000}"/>
    <cellStyle name="Normal 3 2 3 3 3 2 2" xfId="7686" xr:uid="{00000000-0005-0000-0000-0000AE110000}"/>
    <cellStyle name="Normal 3 2 3 3 3 2 2 2" xfId="16136" xr:uid="{36383A83-68D4-4B49-A5BC-20DFAE32C041}"/>
    <cellStyle name="Normal 3 2 3 3 3 2 2 3" xfId="24576" xr:uid="{373BC6B2-C6FA-4D48-B569-78C011C9DE72}"/>
    <cellStyle name="Normal 3 2 3 3 3 2 2 4" xfId="33016" xr:uid="{356832AD-3911-4E1F-BF9B-6331FFB9E673}"/>
    <cellStyle name="Normal 3 2 3 3 3 2 3" xfId="11918" xr:uid="{7FE30563-42DF-4BFA-B0CF-5C4D8D715611}"/>
    <cellStyle name="Normal 3 2 3 3 3 2 4" xfId="20359" xr:uid="{278CB32A-98C2-49E0-9A2B-691F89D9258C}"/>
    <cellStyle name="Normal 3 2 3 3 3 2 5" xfId="28799" xr:uid="{0250391A-93DD-4623-8F16-F0524E0C21D3}"/>
    <cellStyle name="Normal 3 2 3 3 3 3" xfId="5541" xr:uid="{00000000-0005-0000-0000-0000AF110000}"/>
    <cellStyle name="Normal 3 2 3 3 3 3 2" xfId="13991" xr:uid="{A66FB00E-8632-4B4A-8DCB-590B1825B9B3}"/>
    <cellStyle name="Normal 3 2 3 3 3 3 3" xfId="22431" xr:uid="{0314D3D4-0B1B-41CC-9D8A-FC6DDA6A4218}"/>
    <cellStyle name="Normal 3 2 3 3 3 3 4" xfId="30871" xr:uid="{9120B8AC-8BF6-4B1E-9D4D-AF5404D05ADD}"/>
    <cellStyle name="Normal 3 2 3 3 3 4" xfId="9773" xr:uid="{7C5977A0-57C2-4974-BB9A-A78CAF3E2D74}"/>
    <cellStyle name="Normal 3 2 3 3 3 5" xfId="18214" xr:uid="{1C3A72F1-75F2-49D5-A157-FB1C00A1F3EC}"/>
    <cellStyle name="Normal 3 2 3 3 3 6" xfId="26654" xr:uid="{FF2C4B57-F397-4DEB-A103-E688AEB4BF30}"/>
    <cellStyle name="Normal 3 2 3 3 4" xfId="1647" xr:uid="{00000000-0005-0000-0000-0000B0110000}"/>
    <cellStyle name="Normal 3 2 3 3 4 2" xfId="3877" xr:uid="{00000000-0005-0000-0000-0000B1110000}"/>
    <cellStyle name="Normal 3 2 3 3 4 2 2" xfId="8099" xr:uid="{00000000-0005-0000-0000-0000B2110000}"/>
    <cellStyle name="Normal 3 2 3 3 4 2 2 2" xfId="16549" xr:uid="{CC5AAE0D-8EBF-481B-9D16-F82FBEF0F59E}"/>
    <cellStyle name="Normal 3 2 3 3 4 2 2 3" xfId="24989" xr:uid="{4E28044B-FE9C-4B92-8D20-5680F77A827C}"/>
    <cellStyle name="Normal 3 2 3 3 4 2 2 4" xfId="33429" xr:uid="{24C6B230-557B-44FB-BED1-8B68B00DE4D3}"/>
    <cellStyle name="Normal 3 2 3 3 4 2 3" xfId="12331" xr:uid="{5435CC0B-394C-4E7C-8F15-6A47B408A76C}"/>
    <cellStyle name="Normal 3 2 3 3 4 2 4" xfId="20772" xr:uid="{F0FF1D51-62A4-4856-9AD5-09ECC78EA364}"/>
    <cellStyle name="Normal 3 2 3 3 4 2 5" xfId="29212" xr:uid="{9C77A25F-6D6C-4FCD-A54E-4C3552E6E374}"/>
    <cellStyle name="Normal 3 2 3 3 4 3" xfId="5954" xr:uid="{00000000-0005-0000-0000-0000B3110000}"/>
    <cellStyle name="Normal 3 2 3 3 4 3 2" xfId="14404" xr:uid="{676F2EAB-36EF-44FD-ADE3-EDA36B4EA212}"/>
    <cellStyle name="Normal 3 2 3 3 4 3 3" xfId="22844" xr:uid="{0406F483-1A08-471C-984E-5D747B78A1CF}"/>
    <cellStyle name="Normal 3 2 3 3 4 3 4" xfId="31284" xr:uid="{BB74D58F-FAD3-4320-9F3B-AC3925A5E058}"/>
    <cellStyle name="Normal 3 2 3 3 4 4" xfId="10186" xr:uid="{8684F703-4D3E-4ECF-970A-E002EA71FF60}"/>
    <cellStyle name="Normal 3 2 3 3 4 5" xfId="18627" xr:uid="{6F0FDE54-4AE4-4652-B4C9-221F2D9101B4}"/>
    <cellStyle name="Normal 3 2 3 3 4 6" xfId="27067" xr:uid="{69F47972-3975-48E8-A81B-85C5D0ECE577}"/>
    <cellStyle name="Normal 3 2 3 3 5" xfId="2061" xr:uid="{00000000-0005-0000-0000-0000B4110000}"/>
    <cellStyle name="Normal 3 2 3 3 5 2" xfId="4290" xr:uid="{00000000-0005-0000-0000-0000B5110000}"/>
    <cellStyle name="Normal 3 2 3 3 5 2 2" xfId="8512" xr:uid="{00000000-0005-0000-0000-0000B6110000}"/>
    <cellStyle name="Normal 3 2 3 3 5 2 2 2" xfId="16962" xr:uid="{64BC4DD3-598B-46EF-A35E-6AF663CBB0E5}"/>
    <cellStyle name="Normal 3 2 3 3 5 2 2 3" xfId="25402" xr:uid="{1665415F-2021-4B92-89F3-B122535A4B70}"/>
    <cellStyle name="Normal 3 2 3 3 5 2 2 4" xfId="33842" xr:uid="{86945FE2-6F04-4AD8-B805-E467494A6B1D}"/>
    <cellStyle name="Normal 3 2 3 3 5 2 3" xfId="12744" xr:uid="{382AF747-7AF5-4C88-A668-EAC27E25C4D7}"/>
    <cellStyle name="Normal 3 2 3 3 5 2 4" xfId="21185" xr:uid="{B5DF7D26-1B95-4F50-B450-9F13E49AC913}"/>
    <cellStyle name="Normal 3 2 3 3 5 2 5" xfId="29625" xr:uid="{BE35546C-459B-4B77-AD40-07E4BA2632B3}"/>
    <cellStyle name="Normal 3 2 3 3 5 3" xfId="6367" xr:uid="{00000000-0005-0000-0000-0000B7110000}"/>
    <cellStyle name="Normal 3 2 3 3 5 3 2" xfId="14817" xr:uid="{74CDC7E0-5DA9-4F8B-9DAF-18A72A293626}"/>
    <cellStyle name="Normal 3 2 3 3 5 3 3" xfId="23257" xr:uid="{EF34A194-CE19-471A-8730-01BA47EB3596}"/>
    <cellStyle name="Normal 3 2 3 3 5 3 4" xfId="31697" xr:uid="{060DEEAB-A0B0-4A2A-B4C1-CB4101FADF42}"/>
    <cellStyle name="Normal 3 2 3 3 5 4" xfId="10599" xr:uid="{C2088F03-AFD6-407E-9E68-9F6A49A46B1B}"/>
    <cellStyle name="Normal 3 2 3 3 5 5" xfId="19040" xr:uid="{954320A0-C094-4DAD-852F-DE284C2BCEB9}"/>
    <cellStyle name="Normal 3 2 3 3 5 6" xfId="27480" xr:uid="{F270DACA-64C4-4E0C-8AEA-987288B8C462}"/>
    <cellStyle name="Normal 3 2 3 3 6" xfId="2497" xr:uid="{00000000-0005-0000-0000-0000B8110000}"/>
    <cellStyle name="Normal 3 2 3 3 6 2" xfId="6780" xr:uid="{00000000-0005-0000-0000-0000B9110000}"/>
    <cellStyle name="Normal 3 2 3 3 6 2 2" xfId="15230" xr:uid="{FA3421AC-F5E1-4546-AE89-725EBDF522BF}"/>
    <cellStyle name="Normal 3 2 3 3 6 2 3" xfId="23670" xr:uid="{7C87276C-1033-48E2-BB37-D233A90229EF}"/>
    <cellStyle name="Normal 3 2 3 3 6 2 4" xfId="32110" xr:uid="{E5194431-BEC0-4058-9749-2B64A0F7CEE9}"/>
    <cellStyle name="Normal 3 2 3 3 6 3" xfId="11012" xr:uid="{7D6E7EBA-7B92-4083-9D3A-6B8A1CC57C13}"/>
    <cellStyle name="Normal 3 2 3 3 6 4" xfId="19453" xr:uid="{17CC2F2F-795C-453B-83C8-5D8FE5756AEC}"/>
    <cellStyle name="Normal 3 2 3 3 6 5" xfId="27893" xr:uid="{C3C5EE5C-D3B5-4D20-889D-DDB0558DA852}"/>
    <cellStyle name="Normal 3 2 3 3 7" xfId="4714" xr:uid="{00000000-0005-0000-0000-0000BA110000}"/>
    <cellStyle name="Normal 3 2 3 3 7 2" xfId="13164" xr:uid="{58C4FCB7-FA3F-4FA7-9DEB-5C795C5BF4A7}"/>
    <cellStyle name="Normal 3 2 3 3 7 3" xfId="21604" xr:uid="{561426C3-4904-4C4B-B5EF-A96B9EED0AE6}"/>
    <cellStyle name="Normal 3 2 3 3 7 4" xfId="30044" xr:uid="{032D2841-2A7F-4513-9BF8-41AF6538FEFF}"/>
    <cellStyle name="Normal 3 2 3 3 8" xfId="8946" xr:uid="{34030D44-F05D-4764-BC20-3CAEC57744E3}"/>
    <cellStyle name="Normal 3 2 3 3 9" xfId="17387" xr:uid="{0C1EE061-6A16-43AB-AF2A-51E773BABDA5}"/>
    <cellStyle name="Normal 3 2 3 4" xfId="811" xr:uid="{00000000-0005-0000-0000-0000BB110000}"/>
    <cellStyle name="Normal 3 2 3 4 2" xfId="3048" xr:uid="{00000000-0005-0000-0000-0000BC110000}"/>
    <cellStyle name="Normal 3 2 3 4 2 2" xfId="7270" xr:uid="{00000000-0005-0000-0000-0000BD110000}"/>
    <cellStyle name="Normal 3 2 3 4 2 2 2" xfId="15720" xr:uid="{3EBC5715-C9A8-4A0C-A7F0-ACA9DB5695BE}"/>
    <cellStyle name="Normal 3 2 3 4 2 2 3" xfId="24160" xr:uid="{E20BD1CF-0F5B-41E6-9E44-BD80390E0525}"/>
    <cellStyle name="Normal 3 2 3 4 2 2 4" xfId="32600" xr:uid="{02D3DF4F-EFA9-427E-91CB-59F4FB3697C8}"/>
    <cellStyle name="Normal 3 2 3 4 2 3" xfId="11502" xr:uid="{8BE95AC6-2ACC-4CBC-92A4-9B4040909139}"/>
    <cellStyle name="Normal 3 2 3 4 2 4" xfId="19943" xr:uid="{F79C0E8A-0E77-444D-9865-88B15E346E82}"/>
    <cellStyle name="Normal 3 2 3 4 2 5" xfId="28383" xr:uid="{92B7FBA0-F62D-4148-9A52-3F7A8200F70E}"/>
    <cellStyle name="Normal 3 2 3 4 3" xfId="5125" xr:uid="{00000000-0005-0000-0000-0000BE110000}"/>
    <cellStyle name="Normal 3 2 3 4 3 2" xfId="13575" xr:uid="{2337D978-6380-4910-A9DE-629BDA5D5F67}"/>
    <cellStyle name="Normal 3 2 3 4 3 3" xfId="22015" xr:uid="{CEAB522D-B110-4528-8861-6E308B98CDA8}"/>
    <cellStyle name="Normal 3 2 3 4 3 4" xfId="30455" xr:uid="{600CAAD6-712E-4349-A937-EAD02936A65E}"/>
    <cellStyle name="Normal 3 2 3 4 4" xfId="9357" xr:uid="{876B5EA0-3FFA-4F33-86F0-D3E122053B3D}"/>
    <cellStyle name="Normal 3 2 3 4 5" xfId="17798" xr:uid="{6BC256BD-56A2-4C8E-B8A4-DB90848E9A1A}"/>
    <cellStyle name="Normal 3 2 3 4 6" xfId="26238" xr:uid="{CB2F867D-4ACB-4687-87D9-BB153EFC9768}"/>
    <cellStyle name="Normal 3 2 3 5" xfId="1231" xr:uid="{00000000-0005-0000-0000-0000BF110000}"/>
    <cellStyle name="Normal 3 2 3 5 2" xfId="3461" xr:uid="{00000000-0005-0000-0000-0000C0110000}"/>
    <cellStyle name="Normal 3 2 3 5 2 2" xfId="7683" xr:uid="{00000000-0005-0000-0000-0000C1110000}"/>
    <cellStyle name="Normal 3 2 3 5 2 2 2" xfId="16133" xr:uid="{890E8FE4-22B5-49C3-AEA4-201DDD83DF78}"/>
    <cellStyle name="Normal 3 2 3 5 2 2 3" xfId="24573" xr:uid="{59222AFB-7BD2-4BE2-9384-818C6E793C65}"/>
    <cellStyle name="Normal 3 2 3 5 2 2 4" xfId="33013" xr:uid="{0074419C-FFDB-4156-96A2-5A46CB56050A}"/>
    <cellStyle name="Normal 3 2 3 5 2 3" xfId="11915" xr:uid="{DB668E95-548B-4165-8FBF-14A85D754597}"/>
    <cellStyle name="Normal 3 2 3 5 2 4" xfId="20356" xr:uid="{A3C1E615-D584-4BD4-B905-4CFC684CD6AE}"/>
    <cellStyle name="Normal 3 2 3 5 2 5" xfId="28796" xr:uid="{DE6C9ECF-4765-4D48-B4AD-92FA805CE368}"/>
    <cellStyle name="Normal 3 2 3 5 3" xfId="5538" xr:uid="{00000000-0005-0000-0000-0000C2110000}"/>
    <cellStyle name="Normal 3 2 3 5 3 2" xfId="13988" xr:uid="{62493804-124F-42FA-A445-852F69D7C402}"/>
    <cellStyle name="Normal 3 2 3 5 3 3" xfId="22428" xr:uid="{81044DA1-038C-4566-BBCA-508BC6CCBA6D}"/>
    <cellStyle name="Normal 3 2 3 5 3 4" xfId="30868" xr:uid="{ED6D107D-9B5F-4755-A9C5-29CC422D94F0}"/>
    <cellStyle name="Normal 3 2 3 5 4" xfId="9770" xr:uid="{A42684DD-AE94-4773-A949-F7D996EDF1DA}"/>
    <cellStyle name="Normal 3 2 3 5 5" xfId="18211" xr:uid="{DA9AFE5E-F85B-4F8C-A1EB-9041B134FDB5}"/>
    <cellStyle name="Normal 3 2 3 5 6" xfId="26651" xr:uid="{91DE5073-9BD4-4A52-826F-4C0DD580B2FF}"/>
    <cellStyle name="Normal 3 2 3 6" xfId="1644" xr:uid="{00000000-0005-0000-0000-0000C3110000}"/>
    <cellStyle name="Normal 3 2 3 6 2" xfId="3874" xr:uid="{00000000-0005-0000-0000-0000C4110000}"/>
    <cellStyle name="Normal 3 2 3 6 2 2" xfId="8096" xr:uid="{00000000-0005-0000-0000-0000C5110000}"/>
    <cellStyle name="Normal 3 2 3 6 2 2 2" xfId="16546" xr:uid="{2F144DF9-441D-467C-86FB-3342D5FDE4F3}"/>
    <cellStyle name="Normal 3 2 3 6 2 2 3" xfId="24986" xr:uid="{009BBFAF-882D-4F6D-96CB-1DBC094CCF42}"/>
    <cellStyle name="Normal 3 2 3 6 2 2 4" xfId="33426" xr:uid="{C7CA2AD5-81FC-4E7E-8A74-1F2B0694D859}"/>
    <cellStyle name="Normal 3 2 3 6 2 3" xfId="12328" xr:uid="{802C9C70-2A5A-4845-A81C-154A24882261}"/>
    <cellStyle name="Normal 3 2 3 6 2 4" xfId="20769" xr:uid="{733EAFBB-5095-45FD-9C50-E817FE956871}"/>
    <cellStyle name="Normal 3 2 3 6 2 5" xfId="29209" xr:uid="{46E0C5CD-4860-41C6-BAC0-8891120C88BA}"/>
    <cellStyle name="Normal 3 2 3 6 3" xfId="5951" xr:uid="{00000000-0005-0000-0000-0000C6110000}"/>
    <cellStyle name="Normal 3 2 3 6 3 2" xfId="14401" xr:uid="{4D57A184-34F3-48F9-AC81-23D038B33E17}"/>
    <cellStyle name="Normal 3 2 3 6 3 3" xfId="22841" xr:uid="{66E1D60D-A954-4912-973F-26E9695F47F7}"/>
    <cellStyle name="Normal 3 2 3 6 3 4" xfId="31281" xr:uid="{9E04BB30-EFC9-4156-89A8-864EBDDD1DD6}"/>
    <cellStyle name="Normal 3 2 3 6 4" xfId="10183" xr:uid="{17BF9CE9-41B3-4810-921E-ADB380B43418}"/>
    <cellStyle name="Normal 3 2 3 6 5" xfId="18624" xr:uid="{BC87DD6F-2BCA-4F84-87A5-3D240FADB156}"/>
    <cellStyle name="Normal 3 2 3 6 6" xfId="27064" xr:uid="{28FB81D5-49C9-4B06-B041-E5DD85AA6090}"/>
    <cellStyle name="Normal 3 2 3 7" xfId="2058" xr:uid="{00000000-0005-0000-0000-0000C7110000}"/>
    <cellStyle name="Normal 3 2 3 7 2" xfId="4287" xr:uid="{00000000-0005-0000-0000-0000C8110000}"/>
    <cellStyle name="Normal 3 2 3 7 2 2" xfId="8509" xr:uid="{00000000-0005-0000-0000-0000C9110000}"/>
    <cellStyle name="Normal 3 2 3 7 2 2 2" xfId="16959" xr:uid="{CEA9CE41-8DBB-43A1-B0A9-C91ADB495CF8}"/>
    <cellStyle name="Normal 3 2 3 7 2 2 3" xfId="25399" xr:uid="{6C014ADF-93FE-4F0B-8409-D202AB40BE25}"/>
    <cellStyle name="Normal 3 2 3 7 2 2 4" xfId="33839" xr:uid="{51E7FEF3-3D1A-4A8F-A48C-94A0627ED17D}"/>
    <cellStyle name="Normal 3 2 3 7 2 3" xfId="12741" xr:uid="{727ECE87-C08A-480C-A62E-071199C947AC}"/>
    <cellStyle name="Normal 3 2 3 7 2 4" xfId="21182" xr:uid="{D2516FB2-C944-4FD2-85C7-4794B203ADB1}"/>
    <cellStyle name="Normal 3 2 3 7 2 5" xfId="29622" xr:uid="{A9E9FB7B-AA66-4E86-A4C4-4D58661622D5}"/>
    <cellStyle name="Normal 3 2 3 7 3" xfId="6364" xr:uid="{00000000-0005-0000-0000-0000CA110000}"/>
    <cellStyle name="Normal 3 2 3 7 3 2" xfId="14814" xr:uid="{8D0B1E17-0876-43A1-904A-97DA0702B55C}"/>
    <cellStyle name="Normal 3 2 3 7 3 3" xfId="23254" xr:uid="{7C1DB3D1-12EF-492F-B4E7-FA74D6866146}"/>
    <cellStyle name="Normal 3 2 3 7 3 4" xfId="31694" xr:uid="{5C188612-6FF9-4938-A32E-9F38E939136E}"/>
    <cellStyle name="Normal 3 2 3 7 4" xfId="10596" xr:uid="{6ACBA414-8A13-4E21-82A4-02EBC2EA4AB4}"/>
    <cellStyle name="Normal 3 2 3 7 5" xfId="19037" xr:uid="{C36D0AD6-6ACC-4818-900B-7936B62F9F24}"/>
    <cellStyle name="Normal 3 2 3 7 6" xfId="27477" xr:uid="{1E4A8569-4BAF-4C05-972B-22B0E45C58E8}"/>
    <cellStyle name="Normal 3 2 3 8" xfId="2494" xr:uid="{00000000-0005-0000-0000-0000CB110000}"/>
    <cellStyle name="Normal 3 2 3 8 2" xfId="6777" xr:uid="{00000000-0005-0000-0000-0000CC110000}"/>
    <cellStyle name="Normal 3 2 3 8 2 2" xfId="15227" xr:uid="{96BA89F7-061B-4FC0-8D1C-3A364599DA13}"/>
    <cellStyle name="Normal 3 2 3 8 2 3" xfId="23667" xr:uid="{0D0BB11C-78D7-45F6-9AEA-5F1DC5C62843}"/>
    <cellStyle name="Normal 3 2 3 8 2 4" xfId="32107" xr:uid="{48ADDCE6-FF1F-4519-9430-6952BEBCEC18}"/>
    <cellStyle name="Normal 3 2 3 8 3" xfId="11009" xr:uid="{DB3D4EA6-644B-4BC6-981B-852774625709}"/>
    <cellStyle name="Normal 3 2 3 8 4" xfId="19450" xr:uid="{83CF289B-CDB2-4631-8003-B92EA7755610}"/>
    <cellStyle name="Normal 3 2 3 8 5" xfId="27890" xr:uid="{0D62752E-71FC-4377-9AE6-A918862B3FCD}"/>
    <cellStyle name="Normal 3 2 3 9" xfId="4711" xr:uid="{00000000-0005-0000-0000-0000CD110000}"/>
    <cellStyle name="Normal 3 2 3 9 2" xfId="13161" xr:uid="{042184D3-4F9B-43FF-ABDD-08588A003B35}"/>
    <cellStyle name="Normal 3 2 3 9 3" xfId="21601" xr:uid="{07E8009B-5A63-4736-9E20-CD82AC4421DC}"/>
    <cellStyle name="Normal 3 2 3 9 4" xfId="30041" xr:uid="{DFF38EF6-14A1-4A05-ADA1-053968B6D611}"/>
    <cellStyle name="Normal 3 2 4" xfId="809" xr:uid="{00000000-0005-0000-0000-0000CE110000}"/>
    <cellStyle name="Normal 3 2 4 2" xfId="3047" xr:uid="{00000000-0005-0000-0000-0000CF110000}"/>
    <cellStyle name="Normal 3 2 4 2 2" xfId="7269" xr:uid="{00000000-0005-0000-0000-0000D0110000}"/>
    <cellStyle name="Normal 3 2 4 2 2 2" xfId="15719" xr:uid="{093A2F3E-F643-45D2-82E3-CEB8600BFF60}"/>
    <cellStyle name="Normal 3 2 4 2 2 3" xfId="24159" xr:uid="{21782916-80D2-4DFF-8EE8-99AC32B71C8A}"/>
    <cellStyle name="Normal 3 2 4 2 2 4" xfId="32599" xr:uid="{6306180B-1DE4-4A34-880A-8410135B31DF}"/>
    <cellStyle name="Normal 3 2 4 2 3" xfId="11501" xr:uid="{590C1181-4275-42FD-AE73-59226F21BF28}"/>
    <cellStyle name="Normal 3 2 4 2 4" xfId="19942" xr:uid="{F9A2577C-CD32-4BE8-9C2F-63402297EB61}"/>
    <cellStyle name="Normal 3 2 4 2 5" xfId="28382" xr:uid="{C9D6DCB8-8408-4899-87D5-ABB966C3626A}"/>
    <cellStyle name="Normal 3 2 4 3" xfId="5124" xr:uid="{00000000-0005-0000-0000-0000D1110000}"/>
    <cellStyle name="Normal 3 2 4 3 2" xfId="13574" xr:uid="{017DD43D-266A-47EC-B448-EB2DC32D1ED6}"/>
    <cellStyle name="Normal 3 2 4 3 3" xfId="22014" xr:uid="{BAC1C2D0-E4B1-4F85-949A-45163FC7B27E}"/>
    <cellStyle name="Normal 3 2 4 3 4" xfId="30454" xr:uid="{7525B2F3-C4F3-4BB2-A075-3D3C02D4BCCB}"/>
    <cellStyle name="Normal 3 2 4 4" xfId="9356" xr:uid="{C6CDFF27-A70A-47C9-8E5F-A4512AD78164}"/>
    <cellStyle name="Normal 3 2 4 5" xfId="17797" xr:uid="{62407CD0-9DD3-45D0-846D-93134BEC4B46}"/>
    <cellStyle name="Normal 3 2 4 6" xfId="26237" xr:uid="{1224E0DD-4380-4394-B03E-295D06E9B00C}"/>
    <cellStyle name="Normal 3 2 5" xfId="1230" xr:uid="{00000000-0005-0000-0000-0000D2110000}"/>
    <cellStyle name="Normal 3 2 5 2" xfId="3460" xr:uid="{00000000-0005-0000-0000-0000D3110000}"/>
    <cellStyle name="Normal 3 2 5 2 2" xfId="7682" xr:uid="{00000000-0005-0000-0000-0000D4110000}"/>
    <cellStyle name="Normal 3 2 5 2 2 2" xfId="16132" xr:uid="{A409F2FE-30C8-40DE-B600-F378F2C2B6C5}"/>
    <cellStyle name="Normal 3 2 5 2 2 3" xfId="24572" xr:uid="{1928D498-432A-4B55-85F8-118645ABC6F3}"/>
    <cellStyle name="Normal 3 2 5 2 2 4" xfId="33012" xr:uid="{300CC16F-B742-4675-B451-BCF8C25C8683}"/>
    <cellStyle name="Normal 3 2 5 2 3" xfId="11914" xr:uid="{DC91AA23-EBC3-4D56-B388-507F7739D66B}"/>
    <cellStyle name="Normal 3 2 5 2 4" xfId="20355" xr:uid="{F0B48C40-0CE6-4C48-90BE-C8772D9BD329}"/>
    <cellStyle name="Normal 3 2 5 2 5" xfId="28795" xr:uid="{A05B26F9-9D33-49C4-9D18-4F57966B2702}"/>
    <cellStyle name="Normal 3 2 5 3" xfId="5537" xr:uid="{00000000-0005-0000-0000-0000D5110000}"/>
    <cellStyle name="Normal 3 2 5 3 2" xfId="13987" xr:uid="{031243D0-8FC3-4F8D-8EA7-9BD6386E1AA0}"/>
    <cellStyle name="Normal 3 2 5 3 3" xfId="22427" xr:uid="{92B2ABDE-0DC4-4808-92F6-2C7667E16A9C}"/>
    <cellStyle name="Normal 3 2 5 3 4" xfId="30867" xr:uid="{F865ECAF-E0CE-49EC-A30B-505777B10025}"/>
    <cellStyle name="Normal 3 2 5 4" xfId="9769" xr:uid="{CE65E38B-5E38-4129-A0AF-BCFB8DC9AA69}"/>
    <cellStyle name="Normal 3 2 5 5" xfId="18210" xr:uid="{AFE926A5-3668-4FC5-98B4-4DFE250407AD}"/>
    <cellStyle name="Normal 3 2 5 6" xfId="26650" xr:uid="{DC9F43E0-2E1B-4BE9-96A1-052DA8F38E32}"/>
    <cellStyle name="Normal 3 2 6" xfId="1643" xr:uid="{00000000-0005-0000-0000-0000D6110000}"/>
    <cellStyle name="Normal 3 2 6 2" xfId="3873" xr:uid="{00000000-0005-0000-0000-0000D7110000}"/>
    <cellStyle name="Normal 3 2 6 2 2" xfId="8095" xr:uid="{00000000-0005-0000-0000-0000D8110000}"/>
    <cellStyle name="Normal 3 2 6 2 2 2" xfId="16545" xr:uid="{42D13B4C-0435-4C42-8017-C1911ECE0F27}"/>
    <cellStyle name="Normal 3 2 6 2 2 3" xfId="24985" xr:uid="{82959A73-1207-4180-94B1-5445D2C02E54}"/>
    <cellStyle name="Normal 3 2 6 2 2 4" xfId="33425" xr:uid="{D764938E-B580-46DD-921D-57997FB7AAF9}"/>
    <cellStyle name="Normal 3 2 6 2 3" xfId="12327" xr:uid="{1B4DD5E2-9389-443E-AF14-7E6C20D86112}"/>
    <cellStyle name="Normal 3 2 6 2 4" xfId="20768" xr:uid="{776E768D-1458-4957-8A16-1EE004637937}"/>
    <cellStyle name="Normal 3 2 6 2 5" xfId="29208" xr:uid="{31E77AEE-6590-4F79-ADD9-F6F32AF352E1}"/>
    <cellStyle name="Normal 3 2 6 3" xfId="5950" xr:uid="{00000000-0005-0000-0000-0000D9110000}"/>
    <cellStyle name="Normal 3 2 6 3 2" xfId="14400" xr:uid="{7DF26A50-5719-490E-8AC8-5C4ED78386D2}"/>
    <cellStyle name="Normal 3 2 6 3 3" xfId="22840" xr:uid="{7B569A35-5984-41D6-9E80-345D49A5D664}"/>
    <cellStyle name="Normal 3 2 6 3 4" xfId="31280" xr:uid="{3B6D3971-C58B-4140-B7F7-66237F2422C5}"/>
    <cellStyle name="Normal 3 2 6 4" xfId="10182" xr:uid="{1D424D39-3B99-4DC8-9215-8FF894E9CD35}"/>
    <cellStyle name="Normal 3 2 6 5" xfId="18623" xr:uid="{D0F1B7C5-7DF5-48A8-8173-899550061E07}"/>
    <cellStyle name="Normal 3 2 6 6" xfId="27063" xr:uid="{D0F33C54-AF8C-4C8A-BABA-D8FAB6B056E2}"/>
    <cellStyle name="Normal 3 2 7" xfId="2057" xr:uid="{00000000-0005-0000-0000-0000DA110000}"/>
    <cellStyle name="Normal 3 2 7 2" xfId="4286" xr:uid="{00000000-0005-0000-0000-0000DB110000}"/>
    <cellStyle name="Normal 3 2 7 2 2" xfId="8508" xr:uid="{00000000-0005-0000-0000-0000DC110000}"/>
    <cellStyle name="Normal 3 2 7 2 2 2" xfId="16958" xr:uid="{13F2B441-3DBB-41B9-BD0D-7F45E31A42D1}"/>
    <cellStyle name="Normal 3 2 7 2 2 3" xfId="25398" xr:uid="{8E58E6BE-5F01-4E55-8E8F-6D7DA9CA7307}"/>
    <cellStyle name="Normal 3 2 7 2 2 4" xfId="33838" xr:uid="{054D6EBB-394C-418D-B147-370762A8BEDF}"/>
    <cellStyle name="Normal 3 2 7 2 3" xfId="12740" xr:uid="{6F225474-F9ED-4F2A-9E67-4E0CC88EC001}"/>
    <cellStyle name="Normal 3 2 7 2 4" xfId="21181" xr:uid="{476FB917-27B0-4A32-BA13-651CD517026F}"/>
    <cellStyle name="Normal 3 2 7 2 5" xfId="29621" xr:uid="{119E5DFA-0B15-4962-A669-FCCE5E18DE0D}"/>
    <cellStyle name="Normal 3 2 7 3" xfId="6363" xr:uid="{00000000-0005-0000-0000-0000DD110000}"/>
    <cellStyle name="Normal 3 2 7 3 2" xfId="14813" xr:uid="{F3643920-6619-4C85-A2A2-FF7BCCC4499D}"/>
    <cellStyle name="Normal 3 2 7 3 3" xfId="23253" xr:uid="{4283DF74-7D6A-451F-AF7D-847FFD45532D}"/>
    <cellStyle name="Normal 3 2 7 3 4" xfId="31693" xr:uid="{C7927946-5E07-458C-BBD9-1A975FA9A832}"/>
    <cellStyle name="Normal 3 2 7 4" xfId="10595" xr:uid="{E6B74FAB-0178-47F9-86DD-428E39EA70B0}"/>
    <cellStyle name="Normal 3 2 7 5" xfId="19036" xr:uid="{8DD93FF6-3380-4C5C-AE7B-8578DA23AD02}"/>
    <cellStyle name="Normal 3 2 7 6" xfId="27476" xr:uid="{1BF2754B-59D9-4877-A2C8-C9EAE4CD87BD}"/>
    <cellStyle name="Normal 3 2 8" xfId="2493" xr:uid="{00000000-0005-0000-0000-0000DE110000}"/>
    <cellStyle name="Normal 3 2 8 2" xfId="6776" xr:uid="{00000000-0005-0000-0000-0000DF110000}"/>
    <cellStyle name="Normal 3 2 8 2 2" xfId="15226" xr:uid="{7A2E93E3-DDC0-4716-9025-51D747705882}"/>
    <cellStyle name="Normal 3 2 8 2 3" xfId="23666" xr:uid="{4393CD15-107A-4746-94EE-3EF025AEE99D}"/>
    <cellStyle name="Normal 3 2 8 2 4" xfId="32106" xr:uid="{24195285-238F-4032-988C-67274EF5865D}"/>
    <cellStyle name="Normal 3 2 8 3" xfId="11008" xr:uid="{972424D9-96AF-4E97-8716-3C314CF2FA58}"/>
    <cellStyle name="Normal 3 2 8 4" xfId="19449" xr:uid="{7926C07A-EB91-44AE-ACE8-F8D176861858}"/>
    <cellStyle name="Normal 3 2 8 5" xfId="27889" xr:uid="{FB4733EA-A7C2-4F77-9E20-A8947EAD4D8D}"/>
    <cellStyle name="Normal 3 2 9" xfId="4710" xr:uid="{00000000-0005-0000-0000-0000E0110000}"/>
    <cellStyle name="Normal 3 2 9 2" xfId="13160" xr:uid="{2FFE0E9C-9E73-4123-8B0E-70C5F962F696}"/>
    <cellStyle name="Normal 3 2 9 3" xfId="21600" xr:uid="{42BDCF72-16BF-4EBA-9445-D45B505A5F21}"/>
    <cellStyle name="Normal 3 2 9 4" xfId="30040" xr:uid="{35BE63F9-3CB8-4E5F-AF44-0E791D001851}"/>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10" xfId="8947" xr:uid="{ED67F2DF-034E-4934-827D-EDD800DFF0D0}"/>
    <cellStyle name="Normal 4 11" xfId="17388" xr:uid="{F6802A2F-9D45-4EED-B9D4-482513CDA6C0}"/>
    <cellStyle name="Normal 4 12" xfId="25828" xr:uid="{C40FA073-E759-42B2-8D78-AAB8D05B71F2}"/>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2 2 2" xfId="16963" xr:uid="{D0A94A44-DE84-4AE8-A978-DA0C36BEE771}"/>
    <cellStyle name="Normal 4 2 2 10 2 2 3" xfId="25403" xr:uid="{B33061ED-14B6-444E-AEA7-3B5F97A69C37}"/>
    <cellStyle name="Normal 4 2 2 10 2 2 4" xfId="33843" xr:uid="{8A536AB5-2B96-41CF-9D16-419D16D0D354}"/>
    <cellStyle name="Normal 4 2 2 10 2 3" xfId="12745" xr:uid="{3742E3BC-6264-401A-A5F7-6EA13CA845A5}"/>
    <cellStyle name="Normal 4 2 2 10 2 4" xfId="21186" xr:uid="{EB30A770-2F3E-4087-A981-E3AB55D5FDBB}"/>
    <cellStyle name="Normal 4 2 2 10 2 5" xfId="29626" xr:uid="{F59F5A54-5B9D-469A-8309-392F0ADD79F5}"/>
    <cellStyle name="Normal 4 2 2 10 3" xfId="6368" xr:uid="{00000000-0005-0000-0000-0000ED110000}"/>
    <cellStyle name="Normal 4 2 2 10 3 2" xfId="14818" xr:uid="{E6B22AE8-35DC-4AF2-A276-A9B1DA12F846}"/>
    <cellStyle name="Normal 4 2 2 10 3 3" xfId="23258" xr:uid="{20BE4E76-0929-4371-A846-AF5EF96A046F}"/>
    <cellStyle name="Normal 4 2 2 10 3 4" xfId="31698" xr:uid="{13FFAC36-5447-428F-9EBA-69817C140844}"/>
    <cellStyle name="Normal 4 2 2 10 4" xfId="10600" xr:uid="{AE0D58CB-F1A0-46DB-8134-8DA977AD2545}"/>
    <cellStyle name="Normal 4 2 2 10 5" xfId="19041" xr:uid="{76566DD1-94F0-4C71-984A-9DD8F9FE9297}"/>
    <cellStyle name="Normal 4 2 2 10 6" xfId="27481" xr:uid="{BD1CE9B1-E75B-4CF0-A2EA-359488700BDA}"/>
    <cellStyle name="Normal 4 2 2 11" xfId="2498" xr:uid="{00000000-0005-0000-0000-0000EE110000}"/>
    <cellStyle name="Normal 4 2 2 11 2" xfId="6781" xr:uid="{00000000-0005-0000-0000-0000EF110000}"/>
    <cellStyle name="Normal 4 2 2 11 2 2" xfId="15231" xr:uid="{A2B399E6-C23D-4768-B3E6-1E9B356585AE}"/>
    <cellStyle name="Normal 4 2 2 11 2 3" xfId="23671" xr:uid="{E3B38C93-0459-4E5D-9502-7E50AD0FE352}"/>
    <cellStyle name="Normal 4 2 2 11 2 4" xfId="32111" xr:uid="{C791BF25-9D17-4AB1-8360-A4AF7BCE028E}"/>
    <cellStyle name="Normal 4 2 2 11 3" xfId="11013" xr:uid="{5A6B5691-1914-4BB4-9A93-83D09ABDC15D}"/>
    <cellStyle name="Normal 4 2 2 11 4" xfId="19454" xr:uid="{B0A333BA-A496-4A7F-A96F-FEFF32FBB352}"/>
    <cellStyle name="Normal 4 2 2 11 5" xfId="27894" xr:uid="{F921E950-3702-41CD-B138-6B2A8A21C44B}"/>
    <cellStyle name="Normal 4 2 2 12" xfId="4716" xr:uid="{00000000-0005-0000-0000-0000F0110000}"/>
    <cellStyle name="Normal 4 2 2 12 2" xfId="13166" xr:uid="{CC414E2C-10E4-44DA-BFAE-0D136E880F5D}"/>
    <cellStyle name="Normal 4 2 2 12 3" xfId="21606" xr:uid="{90A86ECF-C70B-4B84-99FE-AD229C830F7A}"/>
    <cellStyle name="Normal 4 2 2 12 4" xfId="30046" xr:uid="{7C3524A0-84C3-467E-9D96-44A623A41D1A}"/>
    <cellStyle name="Normal 4 2 2 13" xfId="8948" xr:uid="{19D2348D-B31C-4EFD-A42E-21CF9E4C9BE1}"/>
    <cellStyle name="Normal 4 2 2 14" xfId="17389" xr:uid="{716902DD-C4F8-402D-AD89-A336AC66A078}"/>
    <cellStyle name="Normal 4 2 2 15" xfId="25829" xr:uid="{08061671-7CA9-406E-ABB4-1DD10093C9B6}"/>
    <cellStyle name="Normal 4 2 2 2" xfId="338" xr:uid="{00000000-0005-0000-0000-0000F1110000}"/>
    <cellStyle name="Normal 4 2 2 3" xfId="339" xr:uid="{00000000-0005-0000-0000-0000F2110000}"/>
    <cellStyle name="Normal 4 2 2 3 10" xfId="4717" xr:uid="{00000000-0005-0000-0000-0000F3110000}"/>
    <cellStyle name="Normal 4 2 2 3 10 2" xfId="13167" xr:uid="{6CCDBD52-4AE0-4040-86A5-35BA41506F41}"/>
    <cellStyle name="Normal 4 2 2 3 10 3" xfId="21607" xr:uid="{26227C74-4E4D-428F-81F7-2F2F82296C9F}"/>
    <cellStyle name="Normal 4 2 2 3 10 4" xfId="30047" xr:uid="{7F63A56F-F950-4AC5-A81F-AA50B1E9A7AC}"/>
    <cellStyle name="Normal 4 2 2 3 11" xfId="8949" xr:uid="{CFCBF989-F709-4C4B-B527-829C91AECA72}"/>
    <cellStyle name="Normal 4 2 2 3 12" xfId="17390" xr:uid="{FFB4D671-1686-46CE-8A10-B6E781253980}"/>
    <cellStyle name="Normal 4 2 2 3 13" xfId="25830" xr:uid="{494522B2-49E2-4CA8-A18A-E07879E93BE0}"/>
    <cellStyle name="Normal 4 2 2 3 2" xfId="340" xr:uid="{00000000-0005-0000-0000-0000F4110000}"/>
    <cellStyle name="Normal 4 2 2 3 2 10" xfId="8950" xr:uid="{CD6068CE-4E37-46C0-BBB7-6FEDA8C6673C}"/>
    <cellStyle name="Normal 4 2 2 3 2 11" xfId="17391" xr:uid="{E5370402-8A84-463E-BA34-7E05AA7E7ACA}"/>
    <cellStyle name="Normal 4 2 2 3 2 12" xfId="25831" xr:uid="{65BECE81-D2DD-4065-B105-DE10D0F7710D}"/>
    <cellStyle name="Normal 4 2 2 3 2 2" xfId="341" xr:uid="{00000000-0005-0000-0000-0000F5110000}"/>
    <cellStyle name="Normal 4 2 2 3 2 2 10" xfId="17392" xr:uid="{C5089A20-A2AD-4BDD-9B04-3FA5C8AC003C}"/>
    <cellStyle name="Normal 4 2 2 3 2 2 11" xfId="25832" xr:uid="{C8B0ED91-3C8E-489E-AEFC-BA0CE357DBA7}"/>
    <cellStyle name="Normal 4 2 2 3 2 2 2" xfId="342" xr:uid="{00000000-0005-0000-0000-0000F6110000}"/>
    <cellStyle name="Normal 4 2 2 3 2 2 2 10" xfId="25833" xr:uid="{0E0674A1-4FAB-4E1B-80D1-BC6DBE13A6F2}"/>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2 2 2" xfId="15728" xr:uid="{178144B8-7417-4FA5-B9D5-EB216AA568BB}"/>
    <cellStyle name="Normal 4 2 2 3 2 2 2 2 2 2 3" xfId="24168" xr:uid="{F5B74D52-1E1A-4F0E-9DFF-15D5A3DAF08B}"/>
    <cellStyle name="Normal 4 2 2 3 2 2 2 2 2 2 4" xfId="32608" xr:uid="{99788D99-1F72-457E-A7FB-20CB7FB82086}"/>
    <cellStyle name="Normal 4 2 2 3 2 2 2 2 2 3" xfId="11510" xr:uid="{6B1231D5-DDF7-4AA1-ADA3-004330981EA3}"/>
    <cellStyle name="Normal 4 2 2 3 2 2 2 2 2 4" xfId="19951" xr:uid="{C4B36914-7628-46BE-B984-EFFAC99F6BB4}"/>
    <cellStyle name="Normal 4 2 2 3 2 2 2 2 2 5" xfId="28391" xr:uid="{1339030E-AF63-4E75-A0DA-C585AB3CEA02}"/>
    <cellStyle name="Normal 4 2 2 3 2 2 2 2 3" xfId="5133" xr:uid="{00000000-0005-0000-0000-0000FA110000}"/>
    <cellStyle name="Normal 4 2 2 3 2 2 2 2 3 2" xfId="13583" xr:uid="{C41DBD39-4136-4DFA-A799-4EE6C05F293F}"/>
    <cellStyle name="Normal 4 2 2 3 2 2 2 2 3 3" xfId="22023" xr:uid="{AEFE1622-7E5B-4D7F-9203-1F2F12BDFA83}"/>
    <cellStyle name="Normal 4 2 2 3 2 2 2 2 3 4" xfId="30463" xr:uid="{6B1EC990-136E-441D-AA68-40228A9C2589}"/>
    <cellStyle name="Normal 4 2 2 3 2 2 2 2 4" xfId="9365" xr:uid="{6C8781BA-C177-4644-B6A6-7D3DF1198C53}"/>
    <cellStyle name="Normal 4 2 2 3 2 2 2 2 5" xfId="17806" xr:uid="{4349DFA1-4906-4769-8D31-7B654AE8FDE3}"/>
    <cellStyle name="Normal 4 2 2 3 2 2 2 2 6" xfId="26246" xr:uid="{15C6E060-FB00-4452-8866-68C85812B233}"/>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2 2 2" xfId="16141" xr:uid="{C4565276-95B2-47FF-B3A1-51C1CDC30ABB}"/>
    <cellStyle name="Normal 4 2 2 3 2 2 2 3 2 2 3" xfId="24581" xr:uid="{DB33129E-35E3-455E-B79B-CC9A52FF13AD}"/>
    <cellStyle name="Normal 4 2 2 3 2 2 2 3 2 2 4" xfId="33021" xr:uid="{14693880-0EFE-47E5-B2B2-9302F0746613}"/>
    <cellStyle name="Normal 4 2 2 3 2 2 2 3 2 3" xfId="11923" xr:uid="{115B9ADB-B0B3-4635-88C7-322047709469}"/>
    <cellStyle name="Normal 4 2 2 3 2 2 2 3 2 4" xfId="20364" xr:uid="{0A951A7B-2C0B-4A8A-A950-561178D13C9F}"/>
    <cellStyle name="Normal 4 2 2 3 2 2 2 3 2 5" xfId="28804" xr:uid="{7965DA63-C6F6-4294-8B47-620E793EDE2E}"/>
    <cellStyle name="Normal 4 2 2 3 2 2 2 3 3" xfId="5546" xr:uid="{00000000-0005-0000-0000-0000FE110000}"/>
    <cellStyle name="Normal 4 2 2 3 2 2 2 3 3 2" xfId="13996" xr:uid="{A21156FD-D5B3-4A69-A6BE-3D3A0F85DC08}"/>
    <cellStyle name="Normal 4 2 2 3 2 2 2 3 3 3" xfId="22436" xr:uid="{DBE1D527-809B-49E0-9438-D28457E3A524}"/>
    <cellStyle name="Normal 4 2 2 3 2 2 2 3 3 4" xfId="30876" xr:uid="{A7B0F54D-495D-474C-AEDB-2F1F54578D26}"/>
    <cellStyle name="Normal 4 2 2 3 2 2 2 3 4" xfId="9778" xr:uid="{D37101FC-9D7A-4924-891E-D6C14113345C}"/>
    <cellStyle name="Normal 4 2 2 3 2 2 2 3 5" xfId="18219" xr:uid="{49FD1D5D-1B20-41F7-9946-93392F607379}"/>
    <cellStyle name="Normal 4 2 2 3 2 2 2 3 6" xfId="26659" xr:uid="{BD4EE338-1579-40FE-BC76-B929206295B5}"/>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2 2 2" xfId="16554" xr:uid="{45042EB4-B3FE-4995-A94E-59930EBA81F4}"/>
    <cellStyle name="Normal 4 2 2 3 2 2 2 4 2 2 3" xfId="24994" xr:uid="{872E85D7-ACB2-47B7-A8EF-4CC67B486D45}"/>
    <cellStyle name="Normal 4 2 2 3 2 2 2 4 2 2 4" xfId="33434" xr:uid="{81106A05-E2B2-41FB-AA8F-041D91371CEC}"/>
    <cellStyle name="Normal 4 2 2 3 2 2 2 4 2 3" xfId="12336" xr:uid="{0797CBF6-DAFD-40E2-AEDF-D0EF66B3ABD2}"/>
    <cellStyle name="Normal 4 2 2 3 2 2 2 4 2 4" xfId="20777" xr:uid="{6C6AD4C9-51C3-4B2B-80B2-5BECE1EB470C}"/>
    <cellStyle name="Normal 4 2 2 3 2 2 2 4 2 5" xfId="29217" xr:uid="{28AC550C-DC88-40EA-A795-724D92E850DF}"/>
    <cellStyle name="Normal 4 2 2 3 2 2 2 4 3" xfId="5959" xr:uid="{00000000-0005-0000-0000-000002120000}"/>
    <cellStyle name="Normal 4 2 2 3 2 2 2 4 3 2" xfId="14409" xr:uid="{98A54399-E9C6-4F58-A0A9-1BED8FDF31B8}"/>
    <cellStyle name="Normal 4 2 2 3 2 2 2 4 3 3" xfId="22849" xr:uid="{29E27909-F10A-43C5-BF34-4F874F4C7CE0}"/>
    <cellStyle name="Normal 4 2 2 3 2 2 2 4 3 4" xfId="31289" xr:uid="{7279AFD4-2197-4FC2-B80B-70201C4BDFD5}"/>
    <cellStyle name="Normal 4 2 2 3 2 2 2 4 4" xfId="10191" xr:uid="{E96F4222-467D-4D8F-AEBD-8F9C5C9862A5}"/>
    <cellStyle name="Normal 4 2 2 3 2 2 2 4 5" xfId="18632" xr:uid="{501A2AD8-1216-48CF-922B-FCAAC73228D2}"/>
    <cellStyle name="Normal 4 2 2 3 2 2 2 4 6" xfId="27072" xr:uid="{32245C71-9523-4740-BF30-9FB06DAD3CA3}"/>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2 2 2" xfId="16967" xr:uid="{1EA01316-F86B-47F2-9625-707A8E9F73AE}"/>
    <cellStyle name="Normal 4 2 2 3 2 2 2 5 2 2 3" xfId="25407" xr:uid="{053AE03E-9436-4BCE-9389-66646BB724A3}"/>
    <cellStyle name="Normal 4 2 2 3 2 2 2 5 2 2 4" xfId="33847" xr:uid="{073CED11-0D69-4AB7-9083-F4D53FC446A5}"/>
    <cellStyle name="Normal 4 2 2 3 2 2 2 5 2 3" xfId="12749" xr:uid="{42854D3A-EC4B-403F-A9BE-DF8BD731F2A4}"/>
    <cellStyle name="Normal 4 2 2 3 2 2 2 5 2 4" xfId="21190" xr:uid="{096E9994-7542-44A7-A526-99B68DC275F6}"/>
    <cellStyle name="Normal 4 2 2 3 2 2 2 5 2 5" xfId="29630" xr:uid="{AA6B1C8B-CDD6-4068-9489-397640A3C883}"/>
    <cellStyle name="Normal 4 2 2 3 2 2 2 5 3" xfId="6372" xr:uid="{00000000-0005-0000-0000-000006120000}"/>
    <cellStyle name="Normal 4 2 2 3 2 2 2 5 3 2" xfId="14822" xr:uid="{E4D8BBAD-A694-4CFA-B196-ED0D3800A4AA}"/>
    <cellStyle name="Normal 4 2 2 3 2 2 2 5 3 3" xfId="23262" xr:uid="{A236FE6C-C720-4125-A796-E01F5E853F8A}"/>
    <cellStyle name="Normal 4 2 2 3 2 2 2 5 3 4" xfId="31702" xr:uid="{3DC9963A-1435-487A-AA7A-B751501AB358}"/>
    <cellStyle name="Normal 4 2 2 3 2 2 2 5 4" xfId="10604" xr:uid="{4E693769-7875-4D7F-A2B5-5D15D84A50E9}"/>
    <cellStyle name="Normal 4 2 2 3 2 2 2 5 5" xfId="19045" xr:uid="{9C9F89B7-4380-4A7F-8D33-310151D02B6B}"/>
    <cellStyle name="Normal 4 2 2 3 2 2 2 5 6" xfId="27485" xr:uid="{C096CDAC-3005-4DA2-976D-2EF42A0F351A}"/>
    <cellStyle name="Normal 4 2 2 3 2 2 2 6" xfId="2502" xr:uid="{00000000-0005-0000-0000-000007120000}"/>
    <cellStyle name="Normal 4 2 2 3 2 2 2 6 2" xfId="6785" xr:uid="{00000000-0005-0000-0000-000008120000}"/>
    <cellStyle name="Normal 4 2 2 3 2 2 2 6 2 2" xfId="15235" xr:uid="{103772BF-DFED-4D68-BC65-56D9F68254FD}"/>
    <cellStyle name="Normal 4 2 2 3 2 2 2 6 2 3" xfId="23675" xr:uid="{E96DB627-9CDE-4098-8EA2-9ADE1718109F}"/>
    <cellStyle name="Normal 4 2 2 3 2 2 2 6 2 4" xfId="32115" xr:uid="{1C5B7B15-401A-4264-B470-6CEF14701C38}"/>
    <cellStyle name="Normal 4 2 2 3 2 2 2 6 3" xfId="11017" xr:uid="{ABAA7AEA-CA63-4B4E-978A-D27006EB5809}"/>
    <cellStyle name="Normal 4 2 2 3 2 2 2 6 4" xfId="19458" xr:uid="{CCF702FC-81AB-42D9-A818-2D53FE9B2F40}"/>
    <cellStyle name="Normal 4 2 2 3 2 2 2 6 5" xfId="27898" xr:uid="{EB103F1E-3A3A-4CDB-A9FD-8999E09783F9}"/>
    <cellStyle name="Normal 4 2 2 3 2 2 2 7" xfId="4720" xr:uid="{00000000-0005-0000-0000-000009120000}"/>
    <cellStyle name="Normal 4 2 2 3 2 2 2 7 2" xfId="13170" xr:uid="{8C1D475E-090D-4E91-896A-B9992A120E35}"/>
    <cellStyle name="Normal 4 2 2 3 2 2 2 7 3" xfId="21610" xr:uid="{46467022-ED8C-4985-BC0D-1AD40E20A804}"/>
    <cellStyle name="Normal 4 2 2 3 2 2 2 7 4" xfId="30050" xr:uid="{39AED4AA-C33D-4CA9-8436-E3049A2E6C98}"/>
    <cellStyle name="Normal 4 2 2 3 2 2 2 8" xfId="8952" xr:uid="{D1B98CAB-2921-40B7-9DFB-1EA862D84F38}"/>
    <cellStyle name="Normal 4 2 2 3 2 2 2 9" xfId="17393" xr:uid="{7CE81AEB-3857-4363-98E7-8ABD46B866C6}"/>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2 2 2" xfId="15727" xr:uid="{125065B8-696F-4E03-B8F7-947E16352C30}"/>
    <cellStyle name="Normal 4 2 2 3 2 2 3 2 2 3" xfId="24167" xr:uid="{A6AE80E3-4A91-4FBD-B07D-1BC4F0A728CB}"/>
    <cellStyle name="Normal 4 2 2 3 2 2 3 2 2 4" xfId="32607" xr:uid="{2C363BDE-6FBE-47D1-8BAF-1F002D6B48D0}"/>
    <cellStyle name="Normal 4 2 2 3 2 2 3 2 3" xfId="11509" xr:uid="{C3D066DA-33F9-489A-8BA0-1A6B7DF9258C}"/>
    <cellStyle name="Normal 4 2 2 3 2 2 3 2 4" xfId="19950" xr:uid="{5E6C13F9-2D4D-4B62-BEFF-0D949DA1142C}"/>
    <cellStyle name="Normal 4 2 2 3 2 2 3 2 5" xfId="28390" xr:uid="{735F70FC-4A31-48F4-A454-04C871F93E75}"/>
    <cellStyle name="Normal 4 2 2 3 2 2 3 3" xfId="5132" xr:uid="{00000000-0005-0000-0000-00000D120000}"/>
    <cellStyle name="Normal 4 2 2 3 2 2 3 3 2" xfId="13582" xr:uid="{CDD2D267-7176-422A-8612-D6AC236C19D0}"/>
    <cellStyle name="Normal 4 2 2 3 2 2 3 3 3" xfId="22022" xr:uid="{1EFFA084-0416-41CA-9EA0-4101062DC3BF}"/>
    <cellStyle name="Normal 4 2 2 3 2 2 3 3 4" xfId="30462" xr:uid="{AD6C5550-F9B8-4780-AE9D-ECD525AD7CE2}"/>
    <cellStyle name="Normal 4 2 2 3 2 2 3 4" xfId="9364" xr:uid="{D7829B22-6A79-4161-BE1A-49F1D1DF403F}"/>
    <cellStyle name="Normal 4 2 2 3 2 2 3 5" xfId="17805" xr:uid="{E4A41801-C537-4E05-8AED-253722D18911}"/>
    <cellStyle name="Normal 4 2 2 3 2 2 3 6" xfId="26245" xr:uid="{F5E7FC39-7F62-4E82-8B2E-67B7C5434473}"/>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2 2 2" xfId="16140" xr:uid="{1DAF9A21-5B0E-4444-BC39-A6488EEE95EC}"/>
    <cellStyle name="Normal 4 2 2 3 2 2 4 2 2 3" xfId="24580" xr:uid="{4E62A557-AF9D-4D41-B613-15F25C11DF6B}"/>
    <cellStyle name="Normal 4 2 2 3 2 2 4 2 2 4" xfId="33020" xr:uid="{470C8A0E-2099-46DD-9042-0A4DB02C135E}"/>
    <cellStyle name="Normal 4 2 2 3 2 2 4 2 3" xfId="11922" xr:uid="{AB33F043-E9B1-4025-9255-149F186C4C46}"/>
    <cellStyle name="Normal 4 2 2 3 2 2 4 2 4" xfId="20363" xr:uid="{513199FF-4012-4A04-ACD1-D01AA8ACBDDB}"/>
    <cellStyle name="Normal 4 2 2 3 2 2 4 2 5" xfId="28803" xr:uid="{9AE14722-D27F-47CD-A361-5E6C6D53DBAF}"/>
    <cellStyle name="Normal 4 2 2 3 2 2 4 3" xfId="5545" xr:uid="{00000000-0005-0000-0000-000011120000}"/>
    <cellStyle name="Normal 4 2 2 3 2 2 4 3 2" xfId="13995" xr:uid="{66F7F3FB-F9FB-4D17-BD59-2591C0CACBCA}"/>
    <cellStyle name="Normal 4 2 2 3 2 2 4 3 3" xfId="22435" xr:uid="{D6DAD530-B548-40D2-9C7E-EA29C89E4644}"/>
    <cellStyle name="Normal 4 2 2 3 2 2 4 3 4" xfId="30875" xr:uid="{2B981CC3-15C6-460D-8D60-936FC2F6790A}"/>
    <cellStyle name="Normal 4 2 2 3 2 2 4 4" xfId="9777" xr:uid="{AEB175B6-DDC5-4649-9DF7-C995ED1EB004}"/>
    <cellStyle name="Normal 4 2 2 3 2 2 4 5" xfId="18218" xr:uid="{A3AEB54F-1FFC-4CF3-BD64-9F89C009262F}"/>
    <cellStyle name="Normal 4 2 2 3 2 2 4 6" xfId="26658" xr:uid="{70DB656E-9942-475C-85DB-0020EA18804E}"/>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2 2 2" xfId="16553" xr:uid="{709892EF-B333-432F-BB4B-DA12CEFF95EC}"/>
    <cellStyle name="Normal 4 2 2 3 2 2 5 2 2 3" xfId="24993" xr:uid="{A6C92A83-CEDE-41D0-AC58-1BF7FD8F2D32}"/>
    <cellStyle name="Normal 4 2 2 3 2 2 5 2 2 4" xfId="33433" xr:uid="{B1F41831-C53A-4A6F-90F7-70FC432DCF01}"/>
    <cellStyle name="Normal 4 2 2 3 2 2 5 2 3" xfId="12335" xr:uid="{5A19E71E-37E1-4D99-A5DB-9C8309E9F273}"/>
    <cellStyle name="Normal 4 2 2 3 2 2 5 2 4" xfId="20776" xr:uid="{5F5BB8FF-A0A0-4CA0-AA62-36F9DEB6D79C}"/>
    <cellStyle name="Normal 4 2 2 3 2 2 5 2 5" xfId="29216" xr:uid="{2FE26D71-056D-4C65-B197-F8ACC711B864}"/>
    <cellStyle name="Normal 4 2 2 3 2 2 5 3" xfId="5958" xr:uid="{00000000-0005-0000-0000-000015120000}"/>
    <cellStyle name="Normal 4 2 2 3 2 2 5 3 2" xfId="14408" xr:uid="{8664EDCA-1B72-4204-A60D-D41B17EAF46B}"/>
    <cellStyle name="Normal 4 2 2 3 2 2 5 3 3" xfId="22848" xr:uid="{3B285602-BA85-4E86-8A88-FB23FB33D6BC}"/>
    <cellStyle name="Normal 4 2 2 3 2 2 5 3 4" xfId="31288" xr:uid="{AFB7EB12-E7E8-42E8-8A38-5A44475A2F7D}"/>
    <cellStyle name="Normal 4 2 2 3 2 2 5 4" xfId="10190" xr:uid="{07EEF18C-D623-46AE-810E-61564689BE61}"/>
    <cellStyle name="Normal 4 2 2 3 2 2 5 5" xfId="18631" xr:uid="{52C53E71-BDC6-499E-838A-EC69C75C75C4}"/>
    <cellStyle name="Normal 4 2 2 3 2 2 5 6" xfId="27071" xr:uid="{004B1FFB-FC2A-45C9-AC56-816BFEA02435}"/>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2 2 2" xfId="16966" xr:uid="{626FEDED-243D-4F47-B94D-0F4498813A1C}"/>
    <cellStyle name="Normal 4 2 2 3 2 2 6 2 2 3" xfId="25406" xr:uid="{84F7000F-7FB8-467B-B92B-FE0F144D2B91}"/>
    <cellStyle name="Normal 4 2 2 3 2 2 6 2 2 4" xfId="33846" xr:uid="{9DE11977-533A-4179-A10D-42AEB6292D14}"/>
    <cellStyle name="Normal 4 2 2 3 2 2 6 2 3" xfId="12748" xr:uid="{E4D2065A-AE04-43FD-A2E6-9D4CFBC465CC}"/>
    <cellStyle name="Normal 4 2 2 3 2 2 6 2 4" xfId="21189" xr:uid="{577AE51F-E325-4B72-8AFD-64583A704B88}"/>
    <cellStyle name="Normal 4 2 2 3 2 2 6 2 5" xfId="29629" xr:uid="{AEDAEFD2-78A2-467F-BA1E-308669C9A644}"/>
    <cellStyle name="Normal 4 2 2 3 2 2 6 3" xfId="6371" xr:uid="{00000000-0005-0000-0000-000019120000}"/>
    <cellStyle name="Normal 4 2 2 3 2 2 6 3 2" xfId="14821" xr:uid="{EB6FA660-E0D6-4389-B552-5D2F884812D1}"/>
    <cellStyle name="Normal 4 2 2 3 2 2 6 3 3" xfId="23261" xr:uid="{586519A0-378D-493E-AE44-FC4F46EBF33E}"/>
    <cellStyle name="Normal 4 2 2 3 2 2 6 3 4" xfId="31701" xr:uid="{A6651108-04CF-473A-934A-C984260618B8}"/>
    <cellStyle name="Normal 4 2 2 3 2 2 6 4" xfId="10603" xr:uid="{9BFF7DDB-403C-4FEA-BC90-78FF0E82636E}"/>
    <cellStyle name="Normal 4 2 2 3 2 2 6 5" xfId="19044" xr:uid="{D5470CC0-7E25-4C4F-A10B-7DD9DE74FDF4}"/>
    <cellStyle name="Normal 4 2 2 3 2 2 6 6" xfId="27484" xr:uid="{CEE6ED53-D16B-4889-83B5-F5D8D9E90C5E}"/>
    <cellStyle name="Normal 4 2 2 3 2 2 7" xfId="2501" xr:uid="{00000000-0005-0000-0000-00001A120000}"/>
    <cellStyle name="Normal 4 2 2 3 2 2 7 2" xfId="6784" xr:uid="{00000000-0005-0000-0000-00001B120000}"/>
    <cellStyle name="Normal 4 2 2 3 2 2 7 2 2" xfId="15234" xr:uid="{07AFF24B-E68D-4739-8172-C3C0E4CED0EC}"/>
    <cellStyle name="Normal 4 2 2 3 2 2 7 2 3" xfId="23674" xr:uid="{B76A2876-AFD2-463E-88EC-DFFC8F90AA83}"/>
    <cellStyle name="Normal 4 2 2 3 2 2 7 2 4" xfId="32114" xr:uid="{AF33D58F-FB90-4DE9-AF58-CDA5A32AAA23}"/>
    <cellStyle name="Normal 4 2 2 3 2 2 7 3" xfId="11016" xr:uid="{2070D21C-16D1-4B6C-8AB5-B89248FF5D3F}"/>
    <cellStyle name="Normal 4 2 2 3 2 2 7 4" xfId="19457" xr:uid="{5491B2FC-9952-4F31-ACEC-A5BEA2EBCE37}"/>
    <cellStyle name="Normal 4 2 2 3 2 2 7 5" xfId="27897" xr:uid="{6FECF6D0-74D9-4CB2-A7E5-61B7BF428836}"/>
    <cellStyle name="Normal 4 2 2 3 2 2 8" xfId="4719" xr:uid="{00000000-0005-0000-0000-00001C120000}"/>
    <cellStyle name="Normal 4 2 2 3 2 2 8 2" xfId="13169" xr:uid="{513FA4D2-C5E2-442D-9613-8E4190515BB9}"/>
    <cellStyle name="Normal 4 2 2 3 2 2 8 3" xfId="21609" xr:uid="{1C6CD5ED-5C90-4DC0-86B6-4C579861E5AA}"/>
    <cellStyle name="Normal 4 2 2 3 2 2 8 4" xfId="30049" xr:uid="{48F23EF4-557E-42B1-BBD4-990FCA1520FA}"/>
    <cellStyle name="Normal 4 2 2 3 2 2 9" xfId="8951" xr:uid="{CD9B049B-8792-4D20-9C7D-C70DABC85A12}"/>
    <cellStyle name="Normal 4 2 2 3 2 3" xfId="343" xr:uid="{00000000-0005-0000-0000-00001D120000}"/>
    <cellStyle name="Normal 4 2 2 3 2 3 10" xfId="25834" xr:uid="{0F492647-F95A-4447-A24E-5A728970CCF5}"/>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2 2 2" xfId="15729" xr:uid="{8F0E235A-6129-4355-8CCF-284F903423AE}"/>
    <cellStyle name="Normal 4 2 2 3 2 3 2 2 2 3" xfId="24169" xr:uid="{A148B1F0-3964-4A2E-9BCF-005AF36FE420}"/>
    <cellStyle name="Normal 4 2 2 3 2 3 2 2 2 4" xfId="32609" xr:uid="{18C7912A-E92A-451D-B8DC-33A69AEE3409}"/>
    <cellStyle name="Normal 4 2 2 3 2 3 2 2 3" xfId="11511" xr:uid="{65D7793E-AA5E-4A0F-B4D0-932F83C7D6E8}"/>
    <cellStyle name="Normal 4 2 2 3 2 3 2 2 4" xfId="19952" xr:uid="{A26EADAE-6784-4FA2-8504-84ADFEE8AAAB}"/>
    <cellStyle name="Normal 4 2 2 3 2 3 2 2 5" xfId="28392" xr:uid="{DF246150-918F-4EA6-8EB0-0BC0A080B9D0}"/>
    <cellStyle name="Normal 4 2 2 3 2 3 2 3" xfId="5134" xr:uid="{00000000-0005-0000-0000-000021120000}"/>
    <cellStyle name="Normal 4 2 2 3 2 3 2 3 2" xfId="13584" xr:uid="{72DC0E57-C60C-4874-B7BF-6CA1591F4B38}"/>
    <cellStyle name="Normal 4 2 2 3 2 3 2 3 3" xfId="22024" xr:uid="{F9EDF772-1901-480F-861A-CA5EAAA89953}"/>
    <cellStyle name="Normal 4 2 2 3 2 3 2 3 4" xfId="30464" xr:uid="{042EE370-BC09-4A9C-8BD6-397F58A2BB74}"/>
    <cellStyle name="Normal 4 2 2 3 2 3 2 4" xfId="9366" xr:uid="{89EF0A61-F53E-4A5E-81CA-213224424570}"/>
    <cellStyle name="Normal 4 2 2 3 2 3 2 5" xfId="17807" xr:uid="{0E66F290-62B5-4CF4-970F-64D395094885}"/>
    <cellStyle name="Normal 4 2 2 3 2 3 2 6" xfId="26247" xr:uid="{F418145C-0080-4B01-9B63-36A844F31DB0}"/>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2 2 2" xfId="16142" xr:uid="{515B09FA-C3CA-4B77-A472-415376859CD5}"/>
    <cellStyle name="Normal 4 2 2 3 2 3 3 2 2 3" xfId="24582" xr:uid="{7BC3B5DA-905D-4317-9123-DAD52B6C87DA}"/>
    <cellStyle name="Normal 4 2 2 3 2 3 3 2 2 4" xfId="33022" xr:uid="{3E323197-F296-4E1C-BBF1-2226FE16FB8E}"/>
    <cellStyle name="Normal 4 2 2 3 2 3 3 2 3" xfId="11924" xr:uid="{EC6C5BA0-2AF4-43C9-9690-40E126EAE857}"/>
    <cellStyle name="Normal 4 2 2 3 2 3 3 2 4" xfId="20365" xr:uid="{C7DA0672-6875-4447-B09E-A025E03B05D2}"/>
    <cellStyle name="Normal 4 2 2 3 2 3 3 2 5" xfId="28805" xr:uid="{547378BB-54D0-4798-BB34-33C4493FF625}"/>
    <cellStyle name="Normal 4 2 2 3 2 3 3 3" xfId="5547" xr:uid="{00000000-0005-0000-0000-000025120000}"/>
    <cellStyle name="Normal 4 2 2 3 2 3 3 3 2" xfId="13997" xr:uid="{7A20EF44-B46A-4EA2-A4B9-CBA7EBD3A78A}"/>
    <cellStyle name="Normal 4 2 2 3 2 3 3 3 3" xfId="22437" xr:uid="{1485B09D-9AA0-46A8-92B2-60D0AE6CDBFF}"/>
    <cellStyle name="Normal 4 2 2 3 2 3 3 3 4" xfId="30877" xr:uid="{D911F56D-C014-4A0C-9180-422F521FE4D5}"/>
    <cellStyle name="Normal 4 2 2 3 2 3 3 4" xfId="9779" xr:uid="{F6DB4673-B3CA-4AED-8E6C-522676613C5B}"/>
    <cellStyle name="Normal 4 2 2 3 2 3 3 5" xfId="18220" xr:uid="{88209C98-AB06-4572-A34A-94786FED6275}"/>
    <cellStyle name="Normal 4 2 2 3 2 3 3 6" xfId="26660" xr:uid="{A2B3DDF0-C0FE-48B2-B566-04B1134BE7C5}"/>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2 2 2" xfId="16555" xr:uid="{51D4A991-F185-48BA-87CB-01DE3734C6AA}"/>
    <cellStyle name="Normal 4 2 2 3 2 3 4 2 2 3" xfId="24995" xr:uid="{A8F283E9-D259-4C1E-B90E-9ED8383A1CD0}"/>
    <cellStyle name="Normal 4 2 2 3 2 3 4 2 2 4" xfId="33435" xr:uid="{F68FD78C-C443-4F22-98F0-10CB25E27B90}"/>
    <cellStyle name="Normal 4 2 2 3 2 3 4 2 3" xfId="12337" xr:uid="{67BB8720-CD8C-4106-87B3-5A43CC3F6965}"/>
    <cellStyle name="Normal 4 2 2 3 2 3 4 2 4" xfId="20778" xr:uid="{993CBB71-BB79-466F-A814-21CDC36259AD}"/>
    <cellStyle name="Normal 4 2 2 3 2 3 4 2 5" xfId="29218" xr:uid="{1F7DD481-6DD3-4EFE-BB1B-F6E0C1FA59A3}"/>
    <cellStyle name="Normal 4 2 2 3 2 3 4 3" xfId="5960" xr:uid="{00000000-0005-0000-0000-000029120000}"/>
    <cellStyle name="Normal 4 2 2 3 2 3 4 3 2" xfId="14410" xr:uid="{332EB849-0B09-43B4-A02C-38B5E10A497F}"/>
    <cellStyle name="Normal 4 2 2 3 2 3 4 3 3" xfId="22850" xr:uid="{0DA45554-D3DD-41EF-AE24-22E8F2C0E4E7}"/>
    <cellStyle name="Normal 4 2 2 3 2 3 4 3 4" xfId="31290" xr:uid="{22F4D172-4EBD-4CBA-99BE-94A448634977}"/>
    <cellStyle name="Normal 4 2 2 3 2 3 4 4" xfId="10192" xr:uid="{F0867070-E186-45BC-9276-03A29696EEE5}"/>
    <cellStyle name="Normal 4 2 2 3 2 3 4 5" xfId="18633" xr:uid="{93FA354C-65CB-4EBF-94E3-46F1CEFC80B0}"/>
    <cellStyle name="Normal 4 2 2 3 2 3 4 6" xfId="27073" xr:uid="{320431D3-C6A8-4E69-A35C-830F02ABE6C5}"/>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2 2 2" xfId="16968" xr:uid="{881E0431-238D-4631-AAFA-5B8D27F74817}"/>
    <cellStyle name="Normal 4 2 2 3 2 3 5 2 2 3" xfId="25408" xr:uid="{4D750618-7532-4CA1-9B75-7F7A62CE95A7}"/>
    <cellStyle name="Normal 4 2 2 3 2 3 5 2 2 4" xfId="33848" xr:uid="{ED3DBFAD-8362-4D8E-A7F4-479372CFE3AC}"/>
    <cellStyle name="Normal 4 2 2 3 2 3 5 2 3" xfId="12750" xr:uid="{70B62554-7A8A-4D73-9C11-0593D65F1C00}"/>
    <cellStyle name="Normal 4 2 2 3 2 3 5 2 4" xfId="21191" xr:uid="{DAFC9B7D-E456-43C1-B867-8D2713F5AEDA}"/>
    <cellStyle name="Normal 4 2 2 3 2 3 5 2 5" xfId="29631" xr:uid="{A05B76E6-64F8-48B8-8D3C-2F454B474605}"/>
    <cellStyle name="Normal 4 2 2 3 2 3 5 3" xfId="6373" xr:uid="{00000000-0005-0000-0000-00002D120000}"/>
    <cellStyle name="Normal 4 2 2 3 2 3 5 3 2" xfId="14823" xr:uid="{1EC5D4A2-F216-4317-90C8-ECACE09BF811}"/>
    <cellStyle name="Normal 4 2 2 3 2 3 5 3 3" xfId="23263" xr:uid="{07CD73B1-B043-4849-9748-E4F2409A2B4C}"/>
    <cellStyle name="Normal 4 2 2 3 2 3 5 3 4" xfId="31703" xr:uid="{2B58DC39-144B-4174-AE2F-9561A357AC6B}"/>
    <cellStyle name="Normal 4 2 2 3 2 3 5 4" xfId="10605" xr:uid="{F3E0E356-8680-4C09-8B4D-A0596E7042C2}"/>
    <cellStyle name="Normal 4 2 2 3 2 3 5 5" xfId="19046" xr:uid="{0DD3161A-0E2E-478A-953A-8F9365B6FB26}"/>
    <cellStyle name="Normal 4 2 2 3 2 3 5 6" xfId="27486" xr:uid="{C9981602-0A7E-4103-9459-655D9DD937F4}"/>
    <cellStyle name="Normal 4 2 2 3 2 3 6" xfId="2503" xr:uid="{00000000-0005-0000-0000-00002E120000}"/>
    <cellStyle name="Normal 4 2 2 3 2 3 6 2" xfId="6786" xr:uid="{00000000-0005-0000-0000-00002F120000}"/>
    <cellStyle name="Normal 4 2 2 3 2 3 6 2 2" xfId="15236" xr:uid="{72A887BD-D946-411B-819E-2E1F511D7AD5}"/>
    <cellStyle name="Normal 4 2 2 3 2 3 6 2 3" xfId="23676" xr:uid="{7D24E534-4CD8-4220-9BD8-6A5A5AF6AF07}"/>
    <cellStyle name="Normal 4 2 2 3 2 3 6 2 4" xfId="32116" xr:uid="{CB74FECE-F851-4E10-8DD7-E99909DB04AD}"/>
    <cellStyle name="Normal 4 2 2 3 2 3 6 3" xfId="11018" xr:uid="{FE464B17-2228-4883-8556-D1CA45E5C50A}"/>
    <cellStyle name="Normal 4 2 2 3 2 3 6 4" xfId="19459" xr:uid="{66284C48-AB16-4634-B5A5-9DE9FD71E3AE}"/>
    <cellStyle name="Normal 4 2 2 3 2 3 6 5" xfId="27899" xr:uid="{EB1853C7-15B7-45AE-B54E-703A25D8726E}"/>
    <cellStyle name="Normal 4 2 2 3 2 3 7" xfId="4721" xr:uid="{00000000-0005-0000-0000-000030120000}"/>
    <cellStyle name="Normal 4 2 2 3 2 3 7 2" xfId="13171" xr:uid="{02DD8143-DCCA-4D75-9FDC-8DFE17BAB8DD}"/>
    <cellStyle name="Normal 4 2 2 3 2 3 7 3" xfId="21611" xr:uid="{87A221F2-7813-418E-8760-9B5F29C806DB}"/>
    <cellStyle name="Normal 4 2 2 3 2 3 7 4" xfId="30051" xr:uid="{CB65A4A9-8BDB-4329-84AB-B80115802DD8}"/>
    <cellStyle name="Normal 4 2 2 3 2 3 8" xfId="8953" xr:uid="{DEAF0074-E7E8-48CF-9114-D97668D15255}"/>
    <cellStyle name="Normal 4 2 2 3 2 3 9" xfId="17394" xr:uid="{32EC287D-F7B8-42BE-8A35-1E5C3F04BFD5}"/>
    <cellStyle name="Normal 4 2 2 3 2 4" xfId="817" xr:uid="{00000000-0005-0000-0000-000031120000}"/>
    <cellStyle name="Normal 4 2 2 3 2 4 2" xfId="3054" xr:uid="{00000000-0005-0000-0000-000032120000}"/>
    <cellStyle name="Normal 4 2 2 3 2 4 2 2" xfId="7276" xr:uid="{00000000-0005-0000-0000-000033120000}"/>
    <cellStyle name="Normal 4 2 2 3 2 4 2 2 2" xfId="15726" xr:uid="{2D73930C-F1CF-4244-AEE0-62A8B1C21CB9}"/>
    <cellStyle name="Normal 4 2 2 3 2 4 2 2 3" xfId="24166" xr:uid="{55F787B7-8DE6-42AE-96AA-EB2502EC73B2}"/>
    <cellStyle name="Normal 4 2 2 3 2 4 2 2 4" xfId="32606" xr:uid="{EAEFB775-2CD9-4EDB-BF50-81686D21B30D}"/>
    <cellStyle name="Normal 4 2 2 3 2 4 2 3" xfId="11508" xr:uid="{84B09161-0F5F-4ED2-B394-FD53F375805F}"/>
    <cellStyle name="Normal 4 2 2 3 2 4 2 4" xfId="19949" xr:uid="{712843F6-409D-47CF-94A6-EF4E522C8FE6}"/>
    <cellStyle name="Normal 4 2 2 3 2 4 2 5" xfId="28389" xr:uid="{01055FE1-1E33-4321-B532-7C3B3A07E4A2}"/>
    <cellStyle name="Normal 4 2 2 3 2 4 3" xfId="5131" xr:uid="{00000000-0005-0000-0000-000034120000}"/>
    <cellStyle name="Normal 4 2 2 3 2 4 3 2" xfId="13581" xr:uid="{5F679EC7-C266-4ED6-8432-2D6F6BD732DD}"/>
    <cellStyle name="Normal 4 2 2 3 2 4 3 3" xfId="22021" xr:uid="{9E018698-F9AF-406C-9AD1-247E68E5C063}"/>
    <cellStyle name="Normal 4 2 2 3 2 4 3 4" xfId="30461" xr:uid="{F3DF02C5-7F86-4B55-98D0-C04A0BB4AA7F}"/>
    <cellStyle name="Normal 4 2 2 3 2 4 4" xfId="9363" xr:uid="{A0194024-26DD-41EC-8275-FCB10F97BD2A}"/>
    <cellStyle name="Normal 4 2 2 3 2 4 5" xfId="17804" xr:uid="{CCEC9D84-2D2C-47EE-B54B-1516712DF970}"/>
    <cellStyle name="Normal 4 2 2 3 2 4 6" xfId="26244" xr:uid="{DA9E82B8-0A4D-4656-8E22-27819D47C514}"/>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2 2 2" xfId="16139" xr:uid="{380FB46A-D1D3-4E57-8709-7B8E33F43ADE}"/>
    <cellStyle name="Normal 4 2 2 3 2 5 2 2 3" xfId="24579" xr:uid="{E661CC6A-262E-44D8-B489-41B44A6B75BE}"/>
    <cellStyle name="Normal 4 2 2 3 2 5 2 2 4" xfId="33019" xr:uid="{F0620D21-5D26-45C1-AD2B-7A359AD329A2}"/>
    <cellStyle name="Normal 4 2 2 3 2 5 2 3" xfId="11921" xr:uid="{3519AB97-600D-45AA-BE6B-39EA334FB655}"/>
    <cellStyle name="Normal 4 2 2 3 2 5 2 4" xfId="20362" xr:uid="{6F82D14F-754A-41E3-ACDD-FC56DB8547C0}"/>
    <cellStyle name="Normal 4 2 2 3 2 5 2 5" xfId="28802" xr:uid="{95AB5C37-CCF3-4380-9F80-665B271BF855}"/>
    <cellStyle name="Normal 4 2 2 3 2 5 3" xfId="5544" xr:uid="{00000000-0005-0000-0000-000038120000}"/>
    <cellStyle name="Normal 4 2 2 3 2 5 3 2" xfId="13994" xr:uid="{ACCE8129-766B-4E0D-A5CB-B68F565F0F36}"/>
    <cellStyle name="Normal 4 2 2 3 2 5 3 3" xfId="22434" xr:uid="{D71BBA4B-D690-4444-8E26-D1A957DD5A9D}"/>
    <cellStyle name="Normal 4 2 2 3 2 5 3 4" xfId="30874" xr:uid="{A01C7C0A-4EF9-4B02-9485-518FB6D39BF8}"/>
    <cellStyle name="Normal 4 2 2 3 2 5 4" xfId="9776" xr:uid="{096C7775-2621-4DD9-8C1A-1E3DD96AAB61}"/>
    <cellStyle name="Normal 4 2 2 3 2 5 5" xfId="18217" xr:uid="{8DB16C40-7AA0-4059-AD26-91610C727155}"/>
    <cellStyle name="Normal 4 2 2 3 2 5 6" xfId="26657" xr:uid="{2C7FD0B1-03C1-488B-9F7F-BD0DDF2D0722}"/>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2 2 2" xfId="16552" xr:uid="{C60C137F-BD5B-4047-92E6-A44B16D210B2}"/>
    <cellStyle name="Normal 4 2 2 3 2 6 2 2 3" xfId="24992" xr:uid="{8611ED22-7EFF-4891-923E-B854A520DE66}"/>
    <cellStyle name="Normal 4 2 2 3 2 6 2 2 4" xfId="33432" xr:uid="{17D055C6-0AD9-468E-B6A3-63ACE5700556}"/>
    <cellStyle name="Normal 4 2 2 3 2 6 2 3" xfId="12334" xr:uid="{49A1D01B-FA53-49B2-898D-71523003746F}"/>
    <cellStyle name="Normal 4 2 2 3 2 6 2 4" xfId="20775" xr:uid="{16916B3D-2514-4593-AB6F-1D95FE626469}"/>
    <cellStyle name="Normal 4 2 2 3 2 6 2 5" xfId="29215" xr:uid="{30EAC97B-1898-4752-B5FE-16DF979DE12D}"/>
    <cellStyle name="Normal 4 2 2 3 2 6 3" xfId="5957" xr:uid="{00000000-0005-0000-0000-00003C120000}"/>
    <cellStyle name="Normal 4 2 2 3 2 6 3 2" xfId="14407" xr:uid="{8E38A473-5B90-4F16-82A8-93F3F3A5C70D}"/>
    <cellStyle name="Normal 4 2 2 3 2 6 3 3" xfId="22847" xr:uid="{FD1697EB-652B-45C0-8BD3-90B872FFA456}"/>
    <cellStyle name="Normal 4 2 2 3 2 6 3 4" xfId="31287" xr:uid="{0AD484A9-31CF-449F-87A2-ECB7FDC47C74}"/>
    <cellStyle name="Normal 4 2 2 3 2 6 4" xfId="10189" xr:uid="{1AC44166-0AB6-497B-A6BA-E3CC129FDC44}"/>
    <cellStyle name="Normal 4 2 2 3 2 6 5" xfId="18630" xr:uid="{28454F83-6AFD-4F2F-B29C-D9EDA121DA50}"/>
    <cellStyle name="Normal 4 2 2 3 2 6 6" xfId="27070" xr:uid="{7389977E-6441-4B26-A6B7-D539D4D76683}"/>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2 2 2" xfId="16965" xr:uid="{F06A5C7A-7596-40BE-A194-F509BABE5F12}"/>
    <cellStyle name="Normal 4 2 2 3 2 7 2 2 3" xfId="25405" xr:uid="{7ED76164-0280-40A1-A721-039522337A39}"/>
    <cellStyle name="Normal 4 2 2 3 2 7 2 2 4" xfId="33845" xr:uid="{D6E6C423-3E9D-4E36-8EFF-611C7D114EEB}"/>
    <cellStyle name="Normal 4 2 2 3 2 7 2 3" xfId="12747" xr:uid="{1BB8176D-D10B-487E-A0D9-616AE0695C30}"/>
    <cellStyle name="Normal 4 2 2 3 2 7 2 4" xfId="21188" xr:uid="{AE1F3B8A-0BFA-467F-AC80-59620B7D1C39}"/>
    <cellStyle name="Normal 4 2 2 3 2 7 2 5" xfId="29628" xr:uid="{84306C79-78AE-44D2-A696-D5F71776C3B6}"/>
    <cellStyle name="Normal 4 2 2 3 2 7 3" xfId="6370" xr:uid="{00000000-0005-0000-0000-000040120000}"/>
    <cellStyle name="Normal 4 2 2 3 2 7 3 2" xfId="14820" xr:uid="{79E0F7E2-B567-4954-A514-A3FBAEBAADB0}"/>
    <cellStyle name="Normal 4 2 2 3 2 7 3 3" xfId="23260" xr:uid="{3A4050D8-9A2B-449D-8328-B6FC6337061C}"/>
    <cellStyle name="Normal 4 2 2 3 2 7 3 4" xfId="31700" xr:uid="{8E3160A2-483A-4A95-89C7-80718CA00BAD}"/>
    <cellStyle name="Normal 4 2 2 3 2 7 4" xfId="10602" xr:uid="{D49710C5-DD55-46FA-A0EF-90506B6DE2E4}"/>
    <cellStyle name="Normal 4 2 2 3 2 7 5" xfId="19043" xr:uid="{16D31D7F-426B-45EF-80C8-8BAB5D80E358}"/>
    <cellStyle name="Normal 4 2 2 3 2 7 6" xfId="27483" xr:uid="{8F289116-C4BC-4208-8575-01F4459E0385}"/>
    <cellStyle name="Normal 4 2 2 3 2 8" xfId="2500" xr:uid="{00000000-0005-0000-0000-000041120000}"/>
    <cellStyle name="Normal 4 2 2 3 2 8 2" xfId="6783" xr:uid="{00000000-0005-0000-0000-000042120000}"/>
    <cellStyle name="Normal 4 2 2 3 2 8 2 2" xfId="15233" xr:uid="{58FBD2B8-4ED9-42AB-87FF-2913CA7EF9BA}"/>
    <cellStyle name="Normal 4 2 2 3 2 8 2 3" xfId="23673" xr:uid="{50A5C14F-74B9-47B0-BAF2-6F069EDD13D0}"/>
    <cellStyle name="Normal 4 2 2 3 2 8 2 4" xfId="32113" xr:uid="{037B50B7-C4EF-4CC3-8B49-225082A0EA2A}"/>
    <cellStyle name="Normal 4 2 2 3 2 8 3" xfId="11015" xr:uid="{F8F37962-55A1-4C1A-A040-A090EC5DE430}"/>
    <cellStyle name="Normal 4 2 2 3 2 8 4" xfId="19456" xr:uid="{F59CA23F-5880-4D5D-ABB6-79F5F0B5571D}"/>
    <cellStyle name="Normal 4 2 2 3 2 8 5" xfId="27896" xr:uid="{78998EE2-230B-4B2B-8AD7-286C04B18E7F}"/>
    <cellStyle name="Normal 4 2 2 3 2 9" xfId="4718" xr:uid="{00000000-0005-0000-0000-000043120000}"/>
    <cellStyle name="Normal 4 2 2 3 2 9 2" xfId="13168" xr:uid="{BAE35A99-10E2-498C-88A2-548EAE212223}"/>
    <cellStyle name="Normal 4 2 2 3 2 9 3" xfId="21608" xr:uid="{B206AFDE-6BBB-4A74-97D9-D28F479E7AAC}"/>
    <cellStyle name="Normal 4 2 2 3 2 9 4" xfId="30048" xr:uid="{8668E8A8-051A-40AB-9416-396C3D55F576}"/>
    <cellStyle name="Normal 4 2 2 3 3" xfId="344" xr:uid="{00000000-0005-0000-0000-000044120000}"/>
    <cellStyle name="Normal 4 2 2 3 3 10" xfId="17395" xr:uid="{BD9E37DD-8A68-4C17-B878-7E6350CDCE4A}"/>
    <cellStyle name="Normal 4 2 2 3 3 11" xfId="25835" xr:uid="{79132EF0-B8A1-4FDB-99CB-7A7138226964}"/>
    <cellStyle name="Normal 4 2 2 3 3 2" xfId="345" xr:uid="{00000000-0005-0000-0000-000045120000}"/>
    <cellStyle name="Normal 4 2 2 3 3 2 10" xfId="25836" xr:uid="{A4CBD04E-228D-43C1-A2EA-CA40391C2FC3}"/>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2 2 2" xfId="15731" xr:uid="{73AD689D-377A-4A2F-9AE5-62DABA9E259E}"/>
    <cellStyle name="Normal 4 2 2 3 3 2 2 2 2 3" xfId="24171" xr:uid="{28280DFF-25B8-4932-B903-EC3C024FCC8B}"/>
    <cellStyle name="Normal 4 2 2 3 3 2 2 2 2 4" xfId="32611" xr:uid="{00088DB4-5201-42F7-AC91-B80677D99556}"/>
    <cellStyle name="Normal 4 2 2 3 3 2 2 2 3" xfId="11513" xr:uid="{1B639676-4840-45B9-9BF4-E4F608148F27}"/>
    <cellStyle name="Normal 4 2 2 3 3 2 2 2 4" xfId="19954" xr:uid="{53EC5256-0E0B-492A-AB1B-EC0A6DD74DA0}"/>
    <cellStyle name="Normal 4 2 2 3 3 2 2 2 5" xfId="28394" xr:uid="{800168DD-E4F2-46C8-B007-04D7C5CDB44F}"/>
    <cellStyle name="Normal 4 2 2 3 3 2 2 3" xfId="5136" xr:uid="{00000000-0005-0000-0000-000049120000}"/>
    <cellStyle name="Normal 4 2 2 3 3 2 2 3 2" xfId="13586" xr:uid="{DE504CA9-B007-4DF5-A3EA-5008643D139D}"/>
    <cellStyle name="Normal 4 2 2 3 3 2 2 3 3" xfId="22026" xr:uid="{5AD9894A-CAA0-45EF-B55A-1D8CF448B056}"/>
    <cellStyle name="Normal 4 2 2 3 3 2 2 3 4" xfId="30466" xr:uid="{C543ED0B-7F91-4CCF-A41C-6190CD2D1832}"/>
    <cellStyle name="Normal 4 2 2 3 3 2 2 4" xfId="9368" xr:uid="{DD7CD721-A212-4FB4-B85F-079D0E6004A0}"/>
    <cellStyle name="Normal 4 2 2 3 3 2 2 5" xfId="17809" xr:uid="{0140556A-E13E-4806-A8E4-DD8E48C18551}"/>
    <cellStyle name="Normal 4 2 2 3 3 2 2 6" xfId="26249" xr:uid="{B7CE074E-7DDA-409F-8442-F0B7DFBB9D1E}"/>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2 2 2" xfId="16144" xr:uid="{6DC024A0-6C29-4D5F-8D2F-7B3F3DE6D746}"/>
    <cellStyle name="Normal 4 2 2 3 3 2 3 2 2 3" xfId="24584" xr:uid="{0AA05891-8BE2-46B0-BB05-925A8E7FE5B8}"/>
    <cellStyle name="Normal 4 2 2 3 3 2 3 2 2 4" xfId="33024" xr:uid="{A9E65DE0-EF75-494B-A082-E42EC9291D2B}"/>
    <cellStyle name="Normal 4 2 2 3 3 2 3 2 3" xfId="11926" xr:uid="{131925CB-5BA8-40B4-9CD1-5B83752386BE}"/>
    <cellStyle name="Normal 4 2 2 3 3 2 3 2 4" xfId="20367" xr:uid="{22D09782-5895-477C-82CF-2FF549C4A0D0}"/>
    <cellStyle name="Normal 4 2 2 3 3 2 3 2 5" xfId="28807" xr:uid="{D349ABCD-DFF1-4936-9CED-C9545A1C6119}"/>
    <cellStyle name="Normal 4 2 2 3 3 2 3 3" xfId="5549" xr:uid="{00000000-0005-0000-0000-00004D120000}"/>
    <cellStyle name="Normal 4 2 2 3 3 2 3 3 2" xfId="13999" xr:uid="{3A879AF4-4911-4CFB-B7CC-652D6C3B01F0}"/>
    <cellStyle name="Normal 4 2 2 3 3 2 3 3 3" xfId="22439" xr:uid="{72BA3454-9476-4A3F-AEA0-E7E02864E430}"/>
    <cellStyle name="Normal 4 2 2 3 3 2 3 3 4" xfId="30879" xr:uid="{880CEDF9-0ACC-4B93-8D90-E8CD01EDDCC0}"/>
    <cellStyle name="Normal 4 2 2 3 3 2 3 4" xfId="9781" xr:uid="{C79CE797-9EAA-427F-95B9-E1686155F66F}"/>
    <cellStyle name="Normal 4 2 2 3 3 2 3 5" xfId="18222" xr:uid="{EE965E8B-9240-4B30-9DFB-0D68CB4B06A7}"/>
    <cellStyle name="Normal 4 2 2 3 3 2 3 6" xfId="26662" xr:uid="{DD2B6082-542C-44D3-9CAF-3A10FE782DA2}"/>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2 2 2" xfId="16557" xr:uid="{CA342AC3-AF8B-44BD-B506-5A376CB17492}"/>
    <cellStyle name="Normal 4 2 2 3 3 2 4 2 2 3" xfId="24997" xr:uid="{8ED9FF1D-5E58-4A98-93B7-B595E9DFFE83}"/>
    <cellStyle name="Normal 4 2 2 3 3 2 4 2 2 4" xfId="33437" xr:uid="{4BF95974-F443-4401-8221-875F081EBE4F}"/>
    <cellStyle name="Normal 4 2 2 3 3 2 4 2 3" xfId="12339" xr:uid="{A99BFA3A-132C-4BE7-B502-52769DB43FF4}"/>
    <cellStyle name="Normal 4 2 2 3 3 2 4 2 4" xfId="20780" xr:uid="{2BA22828-4933-4409-A730-FA4AAB0B2F49}"/>
    <cellStyle name="Normal 4 2 2 3 3 2 4 2 5" xfId="29220" xr:uid="{85FAC5CD-24FF-4854-88B1-579386D0E74F}"/>
    <cellStyle name="Normal 4 2 2 3 3 2 4 3" xfId="5962" xr:uid="{00000000-0005-0000-0000-000051120000}"/>
    <cellStyle name="Normal 4 2 2 3 3 2 4 3 2" xfId="14412" xr:uid="{92856FFC-BEE4-42E7-8FFD-135EC7B216E9}"/>
    <cellStyle name="Normal 4 2 2 3 3 2 4 3 3" xfId="22852" xr:uid="{63D303D9-EB44-46A0-9083-F850494466AC}"/>
    <cellStyle name="Normal 4 2 2 3 3 2 4 3 4" xfId="31292" xr:uid="{DB91B047-7F9C-4225-BB83-2484755DC353}"/>
    <cellStyle name="Normal 4 2 2 3 3 2 4 4" xfId="10194" xr:uid="{5E4653C7-5B32-46EE-AC01-29D13A79226D}"/>
    <cellStyle name="Normal 4 2 2 3 3 2 4 5" xfId="18635" xr:uid="{5B5D0265-3864-494E-ACC3-4D27DD38DC0B}"/>
    <cellStyle name="Normal 4 2 2 3 3 2 4 6" xfId="27075" xr:uid="{C7AD1AF4-75A4-45FF-8246-C7FE3F97C11B}"/>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2 2 2" xfId="16970" xr:uid="{F3A3AE57-8F43-4E6F-850F-9024CCE9E157}"/>
    <cellStyle name="Normal 4 2 2 3 3 2 5 2 2 3" xfId="25410" xr:uid="{0DBECE73-5850-4CEC-8141-FC1542A164CE}"/>
    <cellStyle name="Normal 4 2 2 3 3 2 5 2 2 4" xfId="33850" xr:uid="{84D02A13-D5DE-41A9-B7E3-7F2DE768C713}"/>
    <cellStyle name="Normal 4 2 2 3 3 2 5 2 3" xfId="12752" xr:uid="{DF7C93BC-81AB-4366-B2A7-66A88613BCAE}"/>
    <cellStyle name="Normal 4 2 2 3 3 2 5 2 4" xfId="21193" xr:uid="{DC3CF0DB-7A1B-4D4A-8638-500DB7C2F82B}"/>
    <cellStyle name="Normal 4 2 2 3 3 2 5 2 5" xfId="29633" xr:uid="{E9FA7F74-E1F1-43A9-95D6-87BD3083259E}"/>
    <cellStyle name="Normal 4 2 2 3 3 2 5 3" xfId="6375" xr:uid="{00000000-0005-0000-0000-000055120000}"/>
    <cellStyle name="Normal 4 2 2 3 3 2 5 3 2" xfId="14825" xr:uid="{7C438803-A5DE-4493-91D0-B317C6236917}"/>
    <cellStyle name="Normal 4 2 2 3 3 2 5 3 3" xfId="23265" xr:uid="{6AE22F90-4B16-45B9-8D69-587F5186CBAB}"/>
    <cellStyle name="Normal 4 2 2 3 3 2 5 3 4" xfId="31705" xr:uid="{4E83AB13-6AA0-4FB8-9CB1-407269706ECD}"/>
    <cellStyle name="Normal 4 2 2 3 3 2 5 4" xfId="10607" xr:uid="{0AD53332-6E4B-4FE0-8BA5-46DC3301CECA}"/>
    <cellStyle name="Normal 4 2 2 3 3 2 5 5" xfId="19048" xr:uid="{C31939A2-132E-424F-8ECD-ECDF2569DFF9}"/>
    <cellStyle name="Normal 4 2 2 3 3 2 5 6" xfId="27488" xr:uid="{B4D5134C-0E21-4D1C-932C-E8E12867F656}"/>
    <cellStyle name="Normal 4 2 2 3 3 2 6" xfId="2505" xr:uid="{00000000-0005-0000-0000-000056120000}"/>
    <cellStyle name="Normal 4 2 2 3 3 2 6 2" xfId="6788" xr:uid="{00000000-0005-0000-0000-000057120000}"/>
    <cellStyle name="Normal 4 2 2 3 3 2 6 2 2" xfId="15238" xr:uid="{8C374469-3DFD-49EE-96D6-A9E989385669}"/>
    <cellStyle name="Normal 4 2 2 3 3 2 6 2 3" xfId="23678" xr:uid="{42635E62-1B7D-4EE4-9533-334ED310D9D8}"/>
    <cellStyle name="Normal 4 2 2 3 3 2 6 2 4" xfId="32118" xr:uid="{5A88BB63-C074-4EBA-BD73-26F01C2942F2}"/>
    <cellStyle name="Normal 4 2 2 3 3 2 6 3" xfId="11020" xr:uid="{1E5E6EBA-F7FE-424E-9059-0F53C38D405E}"/>
    <cellStyle name="Normal 4 2 2 3 3 2 6 4" xfId="19461" xr:uid="{F751086F-6909-4BA8-806B-9DD65FAA6A8B}"/>
    <cellStyle name="Normal 4 2 2 3 3 2 6 5" xfId="27901" xr:uid="{4318DD46-9103-4E10-9F5D-8629B6909849}"/>
    <cellStyle name="Normal 4 2 2 3 3 2 7" xfId="4723" xr:uid="{00000000-0005-0000-0000-000058120000}"/>
    <cellStyle name="Normal 4 2 2 3 3 2 7 2" xfId="13173" xr:uid="{CFDBC65F-47DA-420B-9765-A65B72CAB262}"/>
    <cellStyle name="Normal 4 2 2 3 3 2 7 3" xfId="21613" xr:uid="{E3E83B80-5B66-4E2D-821D-92CF2F4DF2B8}"/>
    <cellStyle name="Normal 4 2 2 3 3 2 7 4" xfId="30053" xr:uid="{301CA9DA-1AAC-4AB9-9297-10A786C5E3B2}"/>
    <cellStyle name="Normal 4 2 2 3 3 2 8" xfId="8955" xr:uid="{4A1A8959-2631-4A9E-936A-269C0665309E}"/>
    <cellStyle name="Normal 4 2 2 3 3 2 9" xfId="17396" xr:uid="{89CAC969-60F7-44D6-BBE6-213495A1FB81}"/>
    <cellStyle name="Normal 4 2 2 3 3 3" xfId="821" xr:uid="{00000000-0005-0000-0000-000059120000}"/>
    <cellStyle name="Normal 4 2 2 3 3 3 2" xfId="3058" xr:uid="{00000000-0005-0000-0000-00005A120000}"/>
    <cellStyle name="Normal 4 2 2 3 3 3 2 2" xfId="7280" xr:uid="{00000000-0005-0000-0000-00005B120000}"/>
    <cellStyle name="Normal 4 2 2 3 3 3 2 2 2" xfId="15730" xr:uid="{A5A2DF05-5A05-4B02-91AB-847B6AA3A1A0}"/>
    <cellStyle name="Normal 4 2 2 3 3 3 2 2 3" xfId="24170" xr:uid="{92D1AA82-41F2-4E89-9C2A-76E40AD918A9}"/>
    <cellStyle name="Normal 4 2 2 3 3 3 2 2 4" xfId="32610" xr:uid="{D3CE3C2B-916C-49A2-B06E-E3745BF70B37}"/>
    <cellStyle name="Normal 4 2 2 3 3 3 2 3" xfId="11512" xr:uid="{1A4C26A4-F509-40EE-B777-8DF83C54B4B1}"/>
    <cellStyle name="Normal 4 2 2 3 3 3 2 4" xfId="19953" xr:uid="{492E06C9-FF65-49CC-8DB5-90AF089C96EF}"/>
    <cellStyle name="Normal 4 2 2 3 3 3 2 5" xfId="28393" xr:uid="{328FEE84-0086-4D31-9705-E893DACE399E}"/>
    <cellStyle name="Normal 4 2 2 3 3 3 3" xfId="5135" xr:uid="{00000000-0005-0000-0000-00005C120000}"/>
    <cellStyle name="Normal 4 2 2 3 3 3 3 2" xfId="13585" xr:uid="{795ED229-1A80-499F-8A86-5CB26FBBBA1D}"/>
    <cellStyle name="Normal 4 2 2 3 3 3 3 3" xfId="22025" xr:uid="{859E2587-CDFD-4AC3-B83A-1ABE78EAF8EC}"/>
    <cellStyle name="Normal 4 2 2 3 3 3 3 4" xfId="30465" xr:uid="{4E75A038-ADD8-427C-BA4D-B229EBC5902B}"/>
    <cellStyle name="Normal 4 2 2 3 3 3 4" xfId="9367" xr:uid="{6B392144-F8A3-4396-BA6B-FD6309CDF88F}"/>
    <cellStyle name="Normal 4 2 2 3 3 3 5" xfId="17808" xr:uid="{B590A4AF-81F3-4CC8-BC2A-0EF6B317F61E}"/>
    <cellStyle name="Normal 4 2 2 3 3 3 6" xfId="26248" xr:uid="{6FF33A94-59F1-47BA-BF59-1D2AC25A38CD}"/>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2 2 2" xfId="16143" xr:uid="{0ED3FEE2-AB27-441D-8344-F5D6C4FA5676}"/>
    <cellStyle name="Normal 4 2 2 3 3 4 2 2 3" xfId="24583" xr:uid="{6CECCAB8-3F1E-4CE0-B67D-5014A057C717}"/>
    <cellStyle name="Normal 4 2 2 3 3 4 2 2 4" xfId="33023" xr:uid="{E99467BF-9178-4C6C-8CDD-74360A84BE01}"/>
    <cellStyle name="Normal 4 2 2 3 3 4 2 3" xfId="11925" xr:uid="{21098C65-BB2A-41AB-AA57-8F7157826BCE}"/>
    <cellStyle name="Normal 4 2 2 3 3 4 2 4" xfId="20366" xr:uid="{68420156-5721-4D54-AA5E-8D9FED3D0241}"/>
    <cellStyle name="Normal 4 2 2 3 3 4 2 5" xfId="28806" xr:uid="{E733CA10-BBB0-43A2-9995-21C1DFC45CE8}"/>
    <cellStyle name="Normal 4 2 2 3 3 4 3" xfId="5548" xr:uid="{00000000-0005-0000-0000-000060120000}"/>
    <cellStyle name="Normal 4 2 2 3 3 4 3 2" xfId="13998" xr:uid="{467FB712-216B-4808-B6B3-E41AA916C207}"/>
    <cellStyle name="Normal 4 2 2 3 3 4 3 3" xfId="22438" xr:uid="{314A56A9-A92A-4399-92A7-A6ADC75BF4E8}"/>
    <cellStyle name="Normal 4 2 2 3 3 4 3 4" xfId="30878" xr:uid="{A807D35B-5835-4B83-A0F1-135D833652FD}"/>
    <cellStyle name="Normal 4 2 2 3 3 4 4" xfId="9780" xr:uid="{EBCD2F59-C999-460E-9667-8CEBFC6486EF}"/>
    <cellStyle name="Normal 4 2 2 3 3 4 5" xfId="18221" xr:uid="{1C4D1452-0C1B-4614-A916-F3FD6753BDE7}"/>
    <cellStyle name="Normal 4 2 2 3 3 4 6" xfId="26661" xr:uid="{53AE2F8C-5C1D-4A7B-94E5-66C524149C18}"/>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2 2 2" xfId="16556" xr:uid="{3D792384-0D07-47FA-93B5-44CB403E8C56}"/>
    <cellStyle name="Normal 4 2 2 3 3 5 2 2 3" xfId="24996" xr:uid="{3DE377D7-AC23-4CB2-BF0B-A5BED19BA946}"/>
    <cellStyle name="Normal 4 2 2 3 3 5 2 2 4" xfId="33436" xr:uid="{00446D17-CBC3-4602-95D5-FF851CC1AE2A}"/>
    <cellStyle name="Normal 4 2 2 3 3 5 2 3" xfId="12338" xr:uid="{93E77973-3EAD-494F-828F-B3756F6EA916}"/>
    <cellStyle name="Normal 4 2 2 3 3 5 2 4" xfId="20779" xr:uid="{36BF5DD0-06CF-42B1-855B-0D79DC95A7EE}"/>
    <cellStyle name="Normal 4 2 2 3 3 5 2 5" xfId="29219" xr:uid="{19609670-14E9-428E-9764-53A2725FE032}"/>
    <cellStyle name="Normal 4 2 2 3 3 5 3" xfId="5961" xr:uid="{00000000-0005-0000-0000-000064120000}"/>
    <cellStyle name="Normal 4 2 2 3 3 5 3 2" xfId="14411" xr:uid="{5F4EB9AD-25E6-463A-9208-E41FB4CCFB1D}"/>
    <cellStyle name="Normal 4 2 2 3 3 5 3 3" xfId="22851" xr:uid="{BEAC760F-7692-4C47-944D-C78FC9B4109F}"/>
    <cellStyle name="Normal 4 2 2 3 3 5 3 4" xfId="31291" xr:uid="{EDFC9295-93E7-4459-A555-A676CB995644}"/>
    <cellStyle name="Normal 4 2 2 3 3 5 4" xfId="10193" xr:uid="{6E0F63C1-1116-4C6D-8885-BFB308B8D5EC}"/>
    <cellStyle name="Normal 4 2 2 3 3 5 5" xfId="18634" xr:uid="{A52B41FC-09C8-40D8-B0A2-53662EA05F14}"/>
    <cellStyle name="Normal 4 2 2 3 3 5 6" xfId="27074" xr:uid="{C45E54A6-9428-464E-A6DF-2F880BA11327}"/>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2 2 2" xfId="16969" xr:uid="{5D8AD3F3-F6CE-464C-9C4D-E3EC7FADC91E}"/>
    <cellStyle name="Normal 4 2 2 3 3 6 2 2 3" xfId="25409" xr:uid="{BF26AC5A-AF55-4835-BAEE-1703714C09CE}"/>
    <cellStyle name="Normal 4 2 2 3 3 6 2 2 4" xfId="33849" xr:uid="{1145E6AB-CBFC-40C9-8604-98C250E686E1}"/>
    <cellStyle name="Normal 4 2 2 3 3 6 2 3" xfId="12751" xr:uid="{B59B72D3-A480-414F-B08A-C71045A8999A}"/>
    <cellStyle name="Normal 4 2 2 3 3 6 2 4" xfId="21192" xr:uid="{B5A63478-5282-4A2E-BD3E-714F5D680D1F}"/>
    <cellStyle name="Normal 4 2 2 3 3 6 2 5" xfId="29632" xr:uid="{D6A6CDB7-87E6-461B-B670-E0B1497A9019}"/>
    <cellStyle name="Normal 4 2 2 3 3 6 3" xfId="6374" xr:uid="{00000000-0005-0000-0000-000068120000}"/>
    <cellStyle name="Normal 4 2 2 3 3 6 3 2" xfId="14824" xr:uid="{9CFFB8CF-4BCF-47CF-866C-4C1B9EDC239A}"/>
    <cellStyle name="Normal 4 2 2 3 3 6 3 3" xfId="23264" xr:uid="{AF2C09C4-C202-417E-836A-8FCF57D359D7}"/>
    <cellStyle name="Normal 4 2 2 3 3 6 3 4" xfId="31704" xr:uid="{668673BF-D8CD-44D9-8B59-4DD1847F65D5}"/>
    <cellStyle name="Normal 4 2 2 3 3 6 4" xfId="10606" xr:uid="{BF4667A5-B0A6-4E14-9957-55CE3CD61B41}"/>
    <cellStyle name="Normal 4 2 2 3 3 6 5" xfId="19047" xr:uid="{92049934-0ABE-469E-94E0-3C5EC96B9AE0}"/>
    <cellStyle name="Normal 4 2 2 3 3 6 6" xfId="27487" xr:uid="{45434577-9F0A-4821-9411-0DD3D2DF0CFE}"/>
    <cellStyle name="Normal 4 2 2 3 3 7" xfId="2504" xr:uid="{00000000-0005-0000-0000-000069120000}"/>
    <cellStyle name="Normal 4 2 2 3 3 7 2" xfId="6787" xr:uid="{00000000-0005-0000-0000-00006A120000}"/>
    <cellStyle name="Normal 4 2 2 3 3 7 2 2" xfId="15237" xr:uid="{D936F935-DA54-4478-A20A-1B2AAD23FA17}"/>
    <cellStyle name="Normal 4 2 2 3 3 7 2 3" xfId="23677" xr:uid="{2A344A30-5122-4C38-836E-8E67CCBE6EFC}"/>
    <cellStyle name="Normal 4 2 2 3 3 7 2 4" xfId="32117" xr:uid="{5CC6A342-AD55-436A-BBEB-5F724F0152E3}"/>
    <cellStyle name="Normal 4 2 2 3 3 7 3" xfId="11019" xr:uid="{2A0BBE9A-89AB-4D07-994D-8D941BC7B1E5}"/>
    <cellStyle name="Normal 4 2 2 3 3 7 4" xfId="19460" xr:uid="{DF8A5EF7-9CD1-47B7-AFBC-AFFE12086A58}"/>
    <cellStyle name="Normal 4 2 2 3 3 7 5" xfId="27900" xr:uid="{5EF2D75A-45F8-45EF-96ED-D9609FBF1B4B}"/>
    <cellStyle name="Normal 4 2 2 3 3 8" xfId="4722" xr:uid="{00000000-0005-0000-0000-00006B120000}"/>
    <cellStyle name="Normal 4 2 2 3 3 8 2" xfId="13172" xr:uid="{7DA26715-42E5-47C4-847C-38B7A42B75C3}"/>
    <cellStyle name="Normal 4 2 2 3 3 8 3" xfId="21612" xr:uid="{497EF885-1C6B-4357-A76C-57D5A7F87200}"/>
    <cellStyle name="Normal 4 2 2 3 3 8 4" xfId="30052" xr:uid="{B8790EB1-A8DD-4429-A718-2842B0F5001B}"/>
    <cellStyle name="Normal 4 2 2 3 3 9" xfId="8954" xr:uid="{E2FFE1E5-58C8-4D7C-991C-8F5E50EF76CB}"/>
    <cellStyle name="Normal 4 2 2 3 4" xfId="346" xr:uid="{00000000-0005-0000-0000-00006C120000}"/>
    <cellStyle name="Normal 4 2 2 3 4 10" xfId="25837" xr:uid="{519A8D68-D718-44E1-BB02-159936A02A63}"/>
    <cellStyle name="Normal 4 2 2 3 4 2" xfId="823" xr:uid="{00000000-0005-0000-0000-00006D120000}"/>
    <cellStyle name="Normal 4 2 2 3 4 2 2" xfId="3060" xr:uid="{00000000-0005-0000-0000-00006E120000}"/>
    <cellStyle name="Normal 4 2 2 3 4 2 2 2" xfId="7282" xr:uid="{00000000-0005-0000-0000-00006F120000}"/>
    <cellStyle name="Normal 4 2 2 3 4 2 2 2 2" xfId="15732" xr:uid="{F5FF0AA7-FBFC-487A-A2BA-AACE64743B6E}"/>
    <cellStyle name="Normal 4 2 2 3 4 2 2 2 3" xfId="24172" xr:uid="{BDBD704E-2C84-4549-B2F3-87992B9506DD}"/>
    <cellStyle name="Normal 4 2 2 3 4 2 2 2 4" xfId="32612" xr:uid="{FC7814F0-55F2-49E6-A970-D8AB0F9FEA20}"/>
    <cellStyle name="Normal 4 2 2 3 4 2 2 3" xfId="11514" xr:uid="{B40AEC6C-308E-4D25-B7C8-22D29B813EF7}"/>
    <cellStyle name="Normal 4 2 2 3 4 2 2 4" xfId="19955" xr:uid="{AE4F93BC-5107-43FD-AF67-1988B73324CE}"/>
    <cellStyle name="Normal 4 2 2 3 4 2 2 5" xfId="28395" xr:uid="{4E8ABD4A-FC1A-4DFC-BAE1-08ECF82D278A}"/>
    <cellStyle name="Normal 4 2 2 3 4 2 3" xfId="5137" xr:uid="{00000000-0005-0000-0000-000070120000}"/>
    <cellStyle name="Normal 4 2 2 3 4 2 3 2" xfId="13587" xr:uid="{B5B05DB6-84DC-4487-9C2E-80067A90CB43}"/>
    <cellStyle name="Normal 4 2 2 3 4 2 3 3" xfId="22027" xr:uid="{A882EF2E-1EE3-4714-8658-A7CB372F9658}"/>
    <cellStyle name="Normal 4 2 2 3 4 2 3 4" xfId="30467" xr:uid="{A005D5F8-7BA4-44F3-BB31-CFFD917CED20}"/>
    <cellStyle name="Normal 4 2 2 3 4 2 4" xfId="9369" xr:uid="{DAA8F05A-9D60-4AE4-9F13-6233D5B90FFF}"/>
    <cellStyle name="Normal 4 2 2 3 4 2 5" xfId="17810" xr:uid="{746B1248-73B6-4271-AC1C-404E678DBB0E}"/>
    <cellStyle name="Normal 4 2 2 3 4 2 6" xfId="26250" xr:uid="{5AC6F1DF-63DA-415C-9BA1-EA9EE4644D44}"/>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2 2 2" xfId="16145" xr:uid="{98A3B34D-AE75-4204-A265-942720D46F60}"/>
    <cellStyle name="Normal 4 2 2 3 4 3 2 2 3" xfId="24585" xr:uid="{6CA63861-45E2-4D77-9ECA-D93A229451A3}"/>
    <cellStyle name="Normal 4 2 2 3 4 3 2 2 4" xfId="33025" xr:uid="{A46708EA-7DE3-4810-A499-E61D4E58AC64}"/>
    <cellStyle name="Normal 4 2 2 3 4 3 2 3" xfId="11927" xr:uid="{4A6E24A2-F2F2-4D2C-9D7E-800F4868A17D}"/>
    <cellStyle name="Normal 4 2 2 3 4 3 2 4" xfId="20368" xr:uid="{9721B96A-1091-4548-B6DE-D32080E8C2EF}"/>
    <cellStyle name="Normal 4 2 2 3 4 3 2 5" xfId="28808" xr:uid="{CB46D317-CD05-45B9-A182-F2EA7A806E4F}"/>
    <cellStyle name="Normal 4 2 2 3 4 3 3" xfId="5550" xr:uid="{00000000-0005-0000-0000-000074120000}"/>
    <cellStyle name="Normal 4 2 2 3 4 3 3 2" xfId="14000" xr:uid="{B0E96857-3597-4EF8-9736-0A6311B074F4}"/>
    <cellStyle name="Normal 4 2 2 3 4 3 3 3" xfId="22440" xr:uid="{778873F1-51FB-44BF-9E8F-AC257E3C8AFD}"/>
    <cellStyle name="Normal 4 2 2 3 4 3 3 4" xfId="30880" xr:uid="{3530FBDF-77EC-4A37-B61D-3212D0EB336D}"/>
    <cellStyle name="Normal 4 2 2 3 4 3 4" xfId="9782" xr:uid="{F7EBA6E0-5D95-4C15-9DC8-E13664D84FE3}"/>
    <cellStyle name="Normal 4 2 2 3 4 3 5" xfId="18223" xr:uid="{0BAD1913-D6B3-48FD-B22E-1D6880624AC5}"/>
    <cellStyle name="Normal 4 2 2 3 4 3 6" xfId="26663" xr:uid="{0C7765E3-B616-42E0-A1FF-D1B49C056B16}"/>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2 2 2" xfId="16558" xr:uid="{624D29F0-EA09-4C9E-9915-3195CAFB896F}"/>
    <cellStyle name="Normal 4 2 2 3 4 4 2 2 3" xfId="24998" xr:uid="{80ED02FB-819F-465A-8311-8BC8BED064D7}"/>
    <cellStyle name="Normal 4 2 2 3 4 4 2 2 4" xfId="33438" xr:uid="{61C17367-2A2D-4FCC-BE71-EA6638D35A52}"/>
    <cellStyle name="Normal 4 2 2 3 4 4 2 3" xfId="12340" xr:uid="{435748E6-CE11-45B2-A1E0-B2D704A66C50}"/>
    <cellStyle name="Normal 4 2 2 3 4 4 2 4" xfId="20781" xr:uid="{7A5EB24E-5C36-405D-BE09-625A8DFF37B3}"/>
    <cellStyle name="Normal 4 2 2 3 4 4 2 5" xfId="29221" xr:uid="{F06E851C-F549-477F-A649-012D587C0C8A}"/>
    <cellStyle name="Normal 4 2 2 3 4 4 3" xfId="5963" xr:uid="{00000000-0005-0000-0000-000078120000}"/>
    <cellStyle name="Normal 4 2 2 3 4 4 3 2" xfId="14413" xr:uid="{50E86FCD-6FB6-44BD-B417-6F90E839F8E9}"/>
    <cellStyle name="Normal 4 2 2 3 4 4 3 3" xfId="22853" xr:uid="{FD5E4470-1706-4E73-AF7A-7168044D8F20}"/>
    <cellStyle name="Normal 4 2 2 3 4 4 3 4" xfId="31293" xr:uid="{27C67EFC-BD92-4A31-9D42-2F420BE92658}"/>
    <cellStyle name="Normal 4 2 2 3 4 4 4" xfId="10195" xr:uid="{0A6C4BFD-AC41-44D9-A00F-CEED441E2D80}"/>
    <cellStyle name="Normal 4 2 2 3 4 4 5" xfId="18636" xr:uid="{1C6939E4-CF05-4331-B719-7738D062E52A}"/>
    <cellStyle name="Normal 4 2 2 3 4 4 6" xfId="27076" xr:uid="{7D9D33DE-F2DE-47E1-A7F6-B5F4582758CE}"/>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2 2 2" xfId="16971" xr:uid="{09767554-B656-4CB9-80DC-0469EE4E6890}"/>
    <cellStyle name="Normal 4 2 2 3 4 5 2 2 3" xfId="25411" xr:uid="{7E1D7AF2-39C0-42E9-9726-ECECFEE9B7E2}"/>
    <cellStyle name="Normal 4 2 2 3 4 5 2 2 4" xfId="33851" xr:uid="{8535F93C-51A1-443A-B1C5-3789968AB91E}"/>
    <cellStyle name="Normal 4 2 2 3 4 5 2 3" xfId="12753" xr:uid="{0AA9E651-DC64-4506-BB0D-3724458F948B}"/>
    <cellStyle name="Normal 4 2 2 3 4 5 2 4" xfId="21194" xr:uid="{09883498-1F9A-4816-9BCF-5E6FA1D1EA30}"/>
    <cellStyle name="Normal 4 2 2 3 4 5 2 5" xfId="29634" xr:uid="{BDA31D2A-0328-4F91-ADB2-CB0A9988E283}"/>
    <cellStyle name="Normal 4 2 2 3 4 5 3" xfId="6376" xr:uid="{00000000-0005-0000-0000-00007C120000}"/>
    <cellStyle name="Normal 4 2 2 3 4 5 3 2" xfId="14826" xr:uid="{94D5E6BC-6582-4563-9037-2D35AF3557D8}"/>
    <cellStyle name="Normal 4 2 2 3 4 5 3 3" xfId="23266" xr:uid="{C2D9A9C8-5BBB-4014-9CB5-183D36BBD922}"/>
    <cellStyle name="Normal 4 2 2 3 4 5 3 4" xfId="31706" xr:uid="{64426EDA-56A6-48AC-BD73-617BD1454BC9}"/>
    <cellStyle name="Normal 4 2 2 3 4 5 4" xfId="10608" xr:uid="{0D770864-C9DD-40A9-B468-61D94105325A}"/>
    <cellStyle name="Normal 4 2 2 3 4 5 5" xfId="19049" xr:uid="{4375897A-6C03-4C9A-9FE5-CED685ED8893}"/>
    <cellStyle name="Normal 4 2 2 3 4 5 6" xfId="27489" xr:uid="{35FDAB09-0F31-404F-9783-B9030ABE09AE}"/>
    <cellStyle name="Normal 4 2 2 3 4 6" xfId="2506" xr:uid="{00000000-0005-0000-0000-00007D120000}"/>
    <cellStyle name="Normal 4 2 2 3 4 6 2" xfId="6789" xr:uid="{00000000-0005-0000-0000-00007E120000}"/>
    <cellStyle name="Normal 4 2 2 3 4 6 2 2" xfId="15239" xr:uid="{9E1F797B-87AA-486C-93C9-0D7101535C52}"/>
    <cellStyle name="Normal 4 2 2 3 4 6 2 3" xfId="23679" xr:uid="{287794FD-64B1-4A32-9EB1-09D9432FFEF3}"/>
    <cellStyle name="Normal 4 2 2 3 4 6 2 4" xfId="32119" xr:uid="{882B80F3-1F27-495A-BADB-F1946677E111}"/>
    <cellStyle name="Normal 4 2 2 3 4 6 3" xfId="11021" xr:uid="{186F08C0-1143-479E-BDAA-63573726536E}"/>
    <cellStyle name="Normal 4 2 2 3 4 6 4" xfId="19462" xr:uid="{7DA07E95-61A6-4C1F-B325-F54DFB9787D2}"/>
    <cellStyle name="Normal 4 2 2 3 4 6 5" xfId="27902" xr:uid="{BAC96F07-AB50-4221-BD37-1D4D3786218F}"/>
    <cellStyle name="Normal 4 2 2 3 4 7" xfId="4724" xr:uid="{00000000-0005-0000-0000-00007F120000}"/>
    <cellStyle name="Normal 4 2 2 3 4 7 2" xfId="13174" xr:uid="{085F063A-5562-406E-A410-5EFC1E77615A}"/>
    <cellStyle name="Normal 4 2 2 3 4 7 3" xfId="21614" xr:uid="{FFB62C29-4D0E-4114-8598-642B05F3B63B}"/>
    <cellStyle name="Normal 4 2 2 3 4 7 4" xfId="30054" xr:uid="{24E7BF7C-EBE5-460D-BD0A-6BB669993B03}"/>
    <cellStyle name="Normal 4 2 2 3 4 8" xfId="8956" xr:uid="{8F2F7A0D-8CCE-4040-A871-99AE03176201}"/>
    <cellStyle name="Normal 4 2 2 3 4 9" xfId="17397" xr:uid="{E1F5C534-BD3C-4C80-9349-8B203ADE071C}"/>
    <cellStyle name="Normal 4 2 2 3 5" xfId="816" xr:uid="{00000000-0005-0000-0000-000080120000}"/>
    <cellStyle name="Normal 4 2 2 3 5 2" xfId="3053" xr:uid="{00000000-0005-0000-0000-000081120000}"/>
    <cellStyle name="Normal 4 2 2 3 5 2 2" xfId="7275" xr:uid="{00000000-0005-0000-0000-000082120000}"/>
    <cellStyle name="Normal 4 2 2 3 5 2 2 2" xfId="15725" xr:uid="{D7A8095E-0EC2-43B8-9982-2E01C60AB1B4}"/>
    <cellStyle name="Normal 4 2 2 3 5 2 2 3" xfId="24165" xr:uid="{08C062D5-D289-4A7C-AD6B-311BF984E5D1}"/>
    <cellStyle name="Normal 4 2 2 3 5 2 2 4" xfId="32605" xr:uid="{D1AF70CF-FD43-470E-BA79-6425153848E9}"/>
    <cellStyle name="Normal 4 2 2 3 5 2 3" xfId="11507" xr:uid="{C1EE9A10-DC2E-4D09-A063-4346668DFC82}"/>
    <cellStyle name="Normal 4 2 2 3 5 2 4" xfId="19948" xr:uid="{F24F3D6B-4508-461D-BC93-02C5BBBC2EDE}"/>
    <cellStyle name="Normal 4 2 2 3 5 2 5" xfId="28388" xr:uid="{B498F32D-EF25-443F-93C7-74EBCDC5EA34}"/>
    <cellStyle name="Normal 4 2 2 3 5 3" xfId="5130" xr:uid="{00000000-0005-0000-0000-000083120000}"/>
    <cellStyle name="Normal 4 2 2 3 5 3 2" xfId="13580" xr:uid="{420C9876-1CE3-471C-9A0B-93C70760A76F}"/>
    <cellStyle name="Normal 4 2 2 3 5 3 3" xfId="22020" xr:uid="{2A6E21A4-8829-4286-9E14-231CADBEAA0E}"/>
    <cellStyle name="Normal 4 2 2 3 5 3 4" xfId="30460" xr:uid="{8F581A4E-7C95-4A5D-A4C4-0C71B6B9893A}"/>
    <cellStyle name="Normal 4 2 2 3 5 4" xfId="9362" xr:uid="{DF88B48A-5038-4993-A78F-634635E6798F}"/>
    <cellStyle name="Normal 4 2 2 3 5 5" xfId="17803" xr:uid="{1EF2EB51-CBB1-41A8-ACAE-4C99322F1F87}"/>
    <cellStyle name="Normal 4 2 2 3 5 6" xfId="26243" xr:uid="{30EB820D-FFFD-4CE8-BEB3-BB746B08577C}"/>
    <cellStyle name="Normal 4 2 2 3 6" xfId="1236" xr:uid="{00000000-0005-0000-0000-000084120000}"/>
    <cellStyle name="Normal 4 2 2 3 6 2" xfId="3466" xr:uid="{00000000-0005-0000-0000-000085120000}"/>
    <cellStyle name="Normal 4 2 2 3 6 2 2" xfId="7688" xr:uid="{00000000-0005-0000-0000-000086120000}"/>
    <cellStyle name="Normal 4 2 2 3 6 2 2 2" xfId="16138" xr:uid="{98E09C2A-84C8-4E07-973E-515B24BA19D5}"/>
    <cellStyle name="Normal 4 2 2 3 6 2 2 3" xfId="24578" xr:uid="{81A43CD7-6B94-46F8-B34B-610D2B23E3EB}"/>
    <cellStyle name="Normal 4 2 2 3 6 2 2 4" xfId="33018" xr:uid="{4E55488D-9640-40FF-BD12-CE09E499CA70}"/>
    <cellStyle name="Normal 4 2 2 3 6 2 3" xfId="11920" xr:uid="{71D2B18C-E23A-424A-9A82-4A3927520BCA}"/>
    <cellStyle name="Normal 4 2 2 3 6 2 4" xfId="20361" xr:uid="{D1A53540-CF03-40B3-A5F2-907922A25218}"/>
    <cellStyle name="Normal 4 2 2 3 6 2 5" xfId="28801" xr:uid="{FFAAD911-A629-4370-ACEF-F328A77E44B7}"/>
    <cellStyle name="Normal 4 2 2 3 6 3" xfId="5543" xr:uid="{00000000-0005-0000-0000-000087120000}"/>
    <cellStyle name="Normal 4 2 2 3 6 3 2" xfId="13993" xr:uid="{E10F2893-40D7-4BC7-BBF8-8337B857DD4C}"/>
    <cellStyle name="Normal 4 2 2 3 6 3 3" xfId="22433" xr:uid="{968094C0-7D42-4B7F-8C5C-4F11F4B7E2A8}"/>
    <cellStyle name="Normal 4 2 2 3 6 3 4" xfId="30873" xr:uid="{6BFED418-3379-4E20-80C3-4F7C71A5BE7C}"/>
    <cellStyle name="Normal 4 2 2 3 6 4" xfId="9775" xr:uid="{AFC4C836-C302-4AC5-B902-E3AECEA4EFCD}"/>
    <cellStyle name="Normal 4 2 2 3 6 5" xfId="18216" xr:uid="{1EAED412-5622-4CDE-ACB8-F205734D23BA}"/>
    <cellStyle name="Normal 4 2 2 3 6 6" xfId="26656" xr:uid="{ECC56CD3-5749-4554-8D68-1B4A8BCD52DC}"/>
    <cellStyle name="Normal 4 2 2 3 7" xfId="1649" xr:uid="{00000000-0005-0000-0000-000088120000}"/>
    <cellStyle name="Normal 4 2 2 3 7 2" xfId="3879" xr:uid="{00000000-0005-0000-0000-000089120000}"/>
    <cellStyle name="Normal 4 2 2 3 7 2 2" xfId="8101" xr:uid="{00000000-0005-0000-0000-00008A120000}"/>
    <cellStyle name="Normal 4 2 2 3 7 2 2 2" xfId="16551" xr:uid="{2865D43F-EAFF-4FE4-B200-29F5A2B73E21}"/>
    <cellStyle name="Normal 4 2 2 3 7 2 2 3" xfId="24991" xr:uid="{8914B8E7-5FD7-40CF-B015-9735B2C9439A}"/>
    <cellStyle name="Normal 4 2 2 3 7 2 2 4" xfId="33431" xr:uid="{BAD44B14-ADA7-462C-8102-8DCAFD9F4A4E}"/>
    <cellStyle name="Normal 4 2 2 3 7 2 3" xfId="12333" xr:uid="{5302C620-EAA2-4257-9176-A5F8240B6FF2}"/>
    <cellStyle name="Normal 4 2 2 3 7 2 4" xfId="20774" xr:uid="{4C8A71F0-B673-4601-8D9D-0967224DD41E}"/>
    <cellStyle name="Normal 4 2 2 3 7 2 5" xfId="29214" xr:uid="{FB34F5D9-1BE6-42E6-8482-83BE5DD5D7B9}"/>
    <cellStyle name="Normal 4 2 2 3 7 3" xfId="5956" xr:uid="{00000000-0005-0000-0000-00008B120000}"/>
    <cellStyle name="Normal 4 2 2 3 7 3 2" xfId="14406" xr:uid="{57ED0FE3-56A2-4D1A-B7B3-FFC7864A3FF3}"/>
    <cellStyle name="Normal 4 2 2 3 7 3 3" xfId="22846" xr:uid="{97CA489D-4EE9-4CCB-8590-A40D43C58224}"/>
    <cellStyle name="Normal 4 2 2 3 7 3 4" xfId="31286" xr:uid="{2F1BA578-7E40-4A7D-BDB3-80B2F82B6C4D}"/>
    <cellStyle name="Normal 4 2 2 3 7 4" xfId="10188" xr:uid="{4A6B8C6F-C2E6-4A9C-AB52-DD4169915BE9}"/>
    <cellStyle name="Normal 4 2 2 3 7 5" xfId="18629" xr:uid="{385EDA35-05F6-4BB4-A293-79C194F55058}"/>
    <cellStyle name="Normal 4 2 2 3 7 6" xfId="27069" xr:uid="{C8C390D2-A047-4393-9C67-CBB06D5D1B63}"/>
    <cellStyle name="Normal 4 2 2 3 8" xfId="2063" xr:uid="{00000000-0005-0000-0000-00008C120000}"/>
    <cellStyle name="Normal 4 2 2 3 8 2" xfId="4292" xr:uid="{00000000-0005-0000-0000-00008D120000}"/>
    <cellStyle name="Normal 4 2 2 3 8 2 2" xfId="8514" xr:uid="{00000000-0005-0000-0000-00008E120000}"/>
    <cellStyle name="Normal 4 2 2 3 8 2 2 2" xfId="16964" xr:uid="{8FAC5435-6EC8-4A29-B4CF-9D68A6FAADC6}"/>
    <cellStyle name="Normal 4 2 2 3 8 2 2 3" xfId="25404" xr:uid="{2D376487-EF43-4F2D-B23D-FCE0CCA5E183}"/>
    <cellStyle name="Normal 4 2 2 3 8 2 2 4" xfId="33844" xr:uid="{455E7F96-8BFE-43DB-9E7A-F5EBE7377AC4}"/>
    <cellStyle name="Normal 4 2 2 3 8 2 3" xfId="12746" xr:uid="{1A9BE18C-7368-4578-94CD-7DA90BC8E32F}"/>
    <cellStyle name="Normal 4 2 2 3 8 2 4" xfId="21187" xr:uid="{35D8381A-9F3B-4150-8509-A8F0609EFDE0}"/>
    <cellStyle name="Normal 4 2 2 3 8 2 5" xfId="29627" xr:uid="{2EF8E3CC-A79C-46AD-9C79-BF93F45379C5}"/>
    <cellStyle name="Normal 4 2 2 3 8 3" xfId="6369" xr:uid="{00000000-0005-0000-0000-00008F120000}"/>
    <cellStyle name="Normal 4 2 2 3 8 3 2" xfId="14819" xr:uid="{61508244-1F51-45A8-9987-C7AFC15BEEB8}"/>
    <cellStyle name="Normal 4 2 2 3 8 3 3" xfId="23259" xr:uid="{D302A05A-CB64-44C7-97DE-67AF8D962C0F}"/>
    <cellStyle name="Normal 4 2 2 3 8 3 4" xfId="31699" xr:uid="{D32DCA31-601C-4F1B-92F8-4D79AC17ACDE}"/>
    <cellStyle name="Normal 4 2 2 3 8 4" xfId="10601" xr:uid="{422F1FBC-ACDE-44A3-AE12-9E33DE801A41}"/>
    <cellStyle name="Normal 4 2 2 3 8 5" xfId="19042" xr:uid="{9C0EEF80-A534-482E-9FEA-151F3046D8A6}"/>
    <cellStyle name="Normal 4 2 2 3 8 6" xfId="27482" xr:uid="{3938DE0B-3B66-487C-BEF5-B1185E25E57A}"/>
    <cellStyle name="Normal 4 2 2 3 9" xfId="2499" xr:uid="{00000000-0005-0000-0000-000090120000}"/>
    <cellStyle name="Normal 4 2 2 3 9 2" xfId="6782" xr:uid="{00000000-0005-0000-0000-000091120000}"/>
    <cellStyle name="Normal 4 2 2 3 9 2 2" xfId="15232" xr:uid="{4627D60A-1748-46C0-ACC7-6BAFF475A022}"/>
    <cellStyle name="Normal 4 2 2 3 9 2 3" xfId="23672" xr:uid="{F58A9E1B-B362-434F-A509-CF55B0873A85}"/>
    <cellStyle name="Normal 4 2 2 3 9 2 4" xfId="32112" xr:uid="{132CEF04-50A6-425F-943D-9DBE705CB985}"/>
    <cellStyle name="Normal 4 2 2 3 9 3" xfId="11014" xr:uid="{1569E481-EDC2-4D4C-A660-B89F95771E31}"/>
    <cellStyle name="Normal 4 2 2 3 9 4" xfId="19455" xr:uid="{606941FC-EE7C-4BB2-B12E-99968C0E21AF}"/>
    <cellStyle name="Normal 4 2 2 3 9 5" xfId="27895" xr:uid="{9B801A50-2F26-4E95-B425-6E1A1AE0715E}"/>
    <cellStyle name="Normal 4 2 2 4" xfId="347" xr:uid="{00000000-0005-0000-0000-000092120000}"/>
    <cellStyle name="Normal 4 2 2 4 10" xfId="8957" xr:uid="{1E52B449-B02B-4943-BC7F-084ADF3D5922}"/>
    <cellStyle name="Normal 4 2 2 4 11" xfId="17398" xr:uid="{F6A6E8B6-00F8-460D-9BC7-A4FDA1B57916}"/>
    <cellStyle name="Normal 4 2 2 4 12" xfId="25838" xr:uid="{94964FB5-4F04-415C-8CDF-19D6119356F6}"/>
    <cellStyle name="Normal 4 2 2 4 2" xfId="348" xr:uid="{00000000-0005-0000-0000-000093120000}"/>
    <cellStyle name="Normal 4 2 2 4 2 10" xfId="17399" xr:uid="{725D5853-E5F3-402F-AA88-BD9CB2245CA5}"/>
    <cellStyle name="Normal 4 2 2 4 2 11" xfId="25839" xr:uid="{AAA85ED7-E3B1-4539-AA7C-320CD017B773}"/>
    <cellStyle name="Normal 4 2 2 4 2 2" xfId="349" xr:uid="{00000000-0005-0000-0000-000094120000}"/>
    <cellStyle name="Normal 4 2 2 4 2 2 10" xfId="25840" xr:uid="{2DC89A61-4E48-4090-ABB5-DBD2CDDBA255}"/>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2 2 2" xfId="15735" xr:uid="{5BA0FFAE-DD24-4321-B49D-4354A0F364CD}"/>
    <cellStyle name="Normal 4 2 2 4 2 2 2 2 2 3" xfId="24175" xr:uid="{6AEC7693-C33C-41D5-847A-C73EA2F5D811}"/>
    <cellStyle name="Normal 4 2 2 4 2 2 2 2 2 4" xfId="32615" xr:uid="{441008A3-9041-4C8F-A0BC-69BCA246A345}"/>
    <cellStyle name="Normal 4 2 2 4 2 2 2 2 3" xfId="11517" xr:uid="{B2B442ED-5DCC-49AD-90EE-92DA51181110}"/>
    <cellStyle name="Normal 4 2 2 4 2 2 2 2 4" xfId="19958" xr:uid="{B758016D-16E7-4273-AF11-73542E07C391}"/>
    <cellStyle name="Normal 4 2 2 4 2 2 2 2 5" xfId="28398" xr:uid="{A642FE11-1DAC-4773-8AC3-B842D4FCF6DB}"/>
    <cellStyle name="Normal 4 2 2 4 2 2 2 3" xfId="5140" xr:uid="{00000000-0005-0000-0000-000098120000}"/>
    <cellStyle name="Normal 4 2 2 4 2 2 2 3 2" xfId="13590" xr:uid="{08F32AE8-A25E-496D-B2DA-E388E62D0F75}"/>
    <cellStyle name="Normal 4 2 2 4 2 2 2 3 3" xfId="22030" xr:uid="{9E1DB55B-5CAC-4F18-B721-3BD1BD8655BF}"/>
    <cellStyle name="Normal 4 2 2 4 2 2 2 3 4" xfId="30470" xr:uid="{005627BF-94B2-4582-B952-3A214E1C4D20}"/>
    <cellStyle name="Normal 4 2 2 4 2 2 2 4" xfId="9372" xr:uid="{F1488B02-DC15-4FE6-85EA-F81E962463EC}"/>
    <cellStyle name="Normal 4 2 2 4 2 2 2 5" xfId="17813" xr:uid="{F766180D-F2EC-4E6B-9C8C-B57FC53E604E}"/>
    <cellStyle name="Normal 4 2 2 4 2 2 2 6" xfId="26253" xr:uid="{198722DD-F223-4BE7-9798-3CE90306A687}"/>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2 2 2" xfId="16148" xr:uid="{A7523F51-F4CE-49B5-AFD3-745F807BA92F}"/>
    <cellStyle name="Normal 4 2 2 4 2 2 3 2 2 3" xfId="24588" xr:uid="{250F5A0F-F11C-4F7B-8DDF-FA1FF4AD18C7}"/>
    <cellStyle name="Normal 4 2 2 4 2 2 3 2 2 4" xfId="33028" xr:uid="{D11F4439-9FAC-489C-8246-50802563C69B}"/>
    <cellStyle name="Normal 4 2 2 4 2 2 3 2 3" xfId="11930" xr:uid="{939348A9-B606-4B1A-B35C-9C1E98969662}"/>
    <cellStyle name="Normal 4 2 2 4 2 2 3 2 4" xfId="20371" xr:uid="{D7B6258C-6442-4C4D-97A2-6DAE6BA01B70}"/>
    <cellStyle name="Normal 4 2 2 4 2 2 3 2 5" xfId="28811" xr:uid="{81DB1C80-006D-418B-ABF3-B399D65ABE7A}"/>
    <cellStyle name="Normal 4 2 2 4 2 2 3 3" xfId="5553" xr:uid="{00000000-0005-0000-0000-00009C120000}"/>
    <cellStyle name="Normal 4 2 2 4 2 2 3 3 2" xfId="14003" xr:uid="{3994C084-8506-4F72-B93C-FFFF9E0C1348}"/>
    <cellStyle name="Normal 4 2 2 4 2 2 3 3 3" xfId="22443" xr:uid="{86BBA3B7-20FE-456C-97D4-0C0331C03B4A}"/>
    <cellStyle name="Normal 4 2 2 4 2 2 3 3 4" xfId="30883" xr:uid="{61B7432F-3816-4939-A7F6-0711A95F9FA5}"/>
    <cellStyle name="Normal 4 2 2 4 2 2 3 4" xfId="9785" xr:uid="{18CC90FD-7E0B-4F27-94E2-A0DB097A814D}"/>
    <cellStyle name="Normal 4 2 2 4 2 2 3 5" xfId="18226" xr:uid="{70884430-CEF8-4B85-9E0F-0E5FF277A7FD}"/>
    <cellStyle name="Normal 4 2 2 4 2 2 3 6" xfId="26666" xr:uid="{F9168142-E28B-439A-97E2-57036DD6A69E}"/>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2 2 2" xfId="16561" xr:uid="{A6B42114-8682-4387-AEB2-1650413553DC}"/>
    <cellStyle name="Normal 4 2 2 4 2 2 4 2 2 3" xfId="25001" xr:uid="{7746F18F-FD3B-43EF-9699-9BBFA329094D}"/>
    <cellStyle name="Normal 4 2 2 4 2 2 4 2 2 4" xfId="33441" xr:uid="{ED18E058-8530-446F-B1FB-943138DA959B}"/>
    <cellStyle name="Normal 4 2 2 4 2 2 4 2 3" xfId="12343" xr:uid="{5648021E-1A4F-4ED2-A2C9-F9B3AC1F211E}"/>
    <cellStyle name="Normal 4 2 2 4 2 2 4 2 4" xfId="20784" xr:uid="{1B802ED0-6F7F-4C57-86BB-E87DF521DEF9}"/>
    <cellStyle name="Normal 4 2 2 4 2 2 4 2 5" xfId="29224" xr:uid="{3E06EFBE-2E32-48E3-A042-8CBC51E344E0}"/>
    <cellStyle name="Normal 4 2 2 4 2 2 4 3" xfId="5966" xr:uid="{00000000-0005-0000-0000-0000A0120000}"/>
    <cellStyle name="Normal 4 2 2 4 2 2 4 3 2" xfId="14416" xr:uid="{D9E2C338-38B6-4D24-B015-5E3B093E6C57}"/>
    <cellStyle name="Normal 4 2 2 4 2 2 4 3 3" xfId="22856" xr:uid="{938F87B8-B2B9-41A2-942A-0A29505438C9}"/>
    <cellStyle name="Normal 4 2 2 4 2 2 4 3 4" xfId="31296" xr:uid="{FD1E1F21-B1D8-476C-BC4C-CAAD0CAEC2D6}"/>
    <cellStyle name="Normal 4 2 2 4 2 2 4 4" xfId="10198" xr:uid="{78060BF7-69B2-4BBD-8985-222E0C17A931}"/>
    <cellStyle name="Normal 4 2 2 4 2 2 4 5" xfId="18639" xr:uid="{DF68B238-C78B-497F-97E1-C4981BBDA75D}"/>
    <cellStyle name="Normal 4 2 2 4 2 2 4 6" xfId="27079" xr:uid="{06803B59-9670-4172-831F-63449147ED4D}"/>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2 2 2" xfId="16974" xr:uid="{B0D1ED38-2D94-4CAB-9E64-C55C7C4D16D6}"/>
    <cellStyle name="Normal 4 2 2 4 2 2 5 2 2 3" xfId="25414" xr:uid="{85201790-D99F-4182-80E9-D2AD52B66C48}"/>
    <cellStyle name="Normal 4 2 2 4 2 2 5 2 2 4" xfId="33854" xr:uid="{BB23B56B-8008-47FB-9784-EA8730F45670}"/>
    <cellStyle name="Normal 4 2 2 4 2 2 5 2 3" xfId="12756" xr:uid="{AA68C77A-422F-4743-B216-74531DD5E268}"/>
    <cellStyle name="Normal 4 2 2 4 2 2 5 2 4" xfId="21197" xr:uid="{0A5A1D46-0E07-4962-BF53-67161F4D33BE}"/>
    <cellStyle name="Normal 4 2 2 4 2 2 5 2 5" xfId="29637" xr:uid="{2F482FB3-53EF-427A-9C98-5128B0C861F1}"/>
    <cellStyle name="Normal 4 2 2 4 2 2 5 3" xfId="6379" xr:uid="{00000000-0005-0000-0000-0000A4120000}"/>
    <cellStyle name="Normal 4 2 2 4 2 2 5 3 2" xfId="14829" xr:uid="{2C6E2707-EB5F-45AD-9020-D99C44ADDA25}"/>
    <cellStyle name="Normal 4 2 2 4 2 2 5 3 3" xfId="23269" xr:uid="{1813328C-C26E-4411-AB51-3C8E0E5FB5FC}"/>
    <cellStyle name="Normal 4 2 2 4 2 2 5 3 4" xfId="31709" xr:uid="{48714531-4D3C-4808-95B0-24C67A2AC0F3}"/>
    <cellStyle name="Normal 4 2 2 4 2 2 5 4" xfId="10611" xr:uid="{2039CB6D-444A-441D-800A-48010D0C3AAC}"/>
    <cellStyle name="Normal 4 2 2 4 2 2 5 5" xfId="19052" xr:uid="{F7AF06C1-08C7-4969-8614-36E34C3BA7EB}"/>
    <cellStyle name="Normal 4 2 2 4 2 2 5 6" xfId="27492" xr:uid="{49BA76CF-AE11-4308-8A49-BE996028600E}"/>
    <cellStyle name="Normal 4 2 2 4 2 2 6" xfId="2509" xr:uid="{00000000-0005-0000-0000-0000A5120000}"/>
    <cellStyle name="Normal 4 2 2 4 2 2 6 2" xfId="6792" xr:uid="{00000000-0005-0000-0000-0000A6120000}"/>
    <cellStyle name="Normal 4 2 2 4 2 2 6 2 2" xfId="15242" xr:uid="{DB7B61ED-1F41-4ADD-B9D4-565CAD072010}"/>
    <cellStyle name="Normal 4 2 2 4 2 2 6 2 3" xfId="23682" xr:uid="{272BDC6C-A073-44C9-97A9-1E8DCBEDBBB0}"/>
    <cellStyle name="Normal 4 2 2 4 2 2 6 2 4" xfId="32122" xr:uid="{BC060898-0EAC-48B8-8C0E-8B8B24185A39}"/>
    <cellStyle name="Normal 4 2 2 4 2 2 6 3" xfId="11024" xr:uid="{776AA3DA-AA1F-48BC-844D-A705E497B46E}"/>
    <cellStyle name="Normal 4 2 2 4 2 2 6 4" xfId="19465" xr:uid="{49A7A26D-A4B1-4305-B0C4-B47B85879394}"/>
    <cellStyle name="Normal 4 2 2 4 2 2 6 5" xfId="27905" xr:uid="{ED25490F-98A0-4AAC-B7FC-6AF1D49534AE}"/>
    <cellStyle name="Normal 4 2 2 4 2 2 7" xfId="4727" xr:uid="{00000000-0005-0000-0000-0000A7120000}"/>
    <cellStyle name="Normal 4 2 2 4 2 2 7 2" xfId="13177" xr:uid="{DA186D57-A76C-4621-BE67-B1790CE75496}"/>
    <cellStyle name="Normal 4 2 2 4 2 2 7 3" xfId="21617" xr:uid="{BC461B58-E58B-4385-AE88-46A16308FFBA}"/>
    <cellStyle name="Normal 4 2 2 4 2 2 7 4" xfId="30057" xr:uid="{5FF1BA1C-1DE3-4442-8DEB-18C9D25E6566}"/>
    <cellStyle name="Normal 4 2 2 4 2 2 8" xfId="8959" xr:uid="{D14CEF77-0A49-4AA9-A2A4-8642733F972F}"/>
    <cellStyle name="Normal 4 2 2 4 2 2 9" xfId="17400" xr:uid="{82710259-4E1B-42FF-9993-FC1A3AD742D3}"/>
    <cellStyle name="Normal 4 2 2 4 2 3" xfId="825" xr:uid="{00000000-0005-0000-0000-0000A8120000}"/>
    <cellStyle name="Normal 4 2 2 4 2 3 2" xfId="3062" xr:uid="{00000000-0005-0000-0000-0000A9120000}"/>
    <cellStyle name="Normal 4 2 2 4 2 3 2 2" xfId="7284" xr:uid="{00000000-0005-0000-0000-0000AA120000}"/>
    <cellStyle name="Normal 4 2 2 4 2 3 2 2 2" xfId="15734" xr:uid="{D88D4671-2569-4E4B-9DC8-9F33572BE280}"/>
    <cellStyle name="Normal 4 2 2 4 2 3 2 2 3" xfId="24174" xr:uid="{CF243DE4-39E8-4323-9E9F-477C5ECE514F}"/>
    <cellStyle name="Normal 4 2 2 4 2 3 2 2 4" xfId="32614" xr:uid="{6F32734E-16DB-4FF0-8EFF-69E163D81B10}"/>
    <cellStyle name="Normal 4 2 2 4 2 3 2 3" xfId="11516" xr:uid="{81BBBDD1-84FD-4859-B4C3-BECD8D6C9E16}"/>
    <cellStyle name="Normal 4 2 2 4 2 3 2 4" xfId="19957" xr:uid="{16BF6810-E5D4-424F-88A0-296127F266CB}"/>
    <cellStyle name="Normal 4 2 2 4 2 3 2 5" xfId="28397" xr:uid="{F205DE8F-86B5-4B7F-8388-E5CCFCCC0517}"/>
    <cellStyle name="Normal 4 2 2 4 2 3 3" xfId="5139" xr:uid="{00000000-0005-0000-0000-0000AB120000}"/>
    <cellStyle name="Normal 4 2 2 4 2 3 3 2" xfId="13589" xr:uid="{D20262E3-BD1C-4CC4-B27D-F22E06611232}"/>
    <cellStyle name="Normal 4 2 2 4 2 3 3 3" xfId="22029" xr:uid="{7D3A8382-CC0E-4200-9BCD-54A514764EB9}"/>
    <cellStyle name="Normal 4 2 2 4 2 3 3 4" xfId="30469" xr:uid="{C135C469-AA75-4586-9F56-B6CB7656001A}"/>
    <cellStyle name="Normal 4 2 2 4 2 3 4" xfId="9371" xr:uid="{D4EB4297-3345-4C57-B3AC-4BE2FD80753B}"/>
    <cellStyle name="Normal 4 2 2 4 2 3 5" xfId="17812" xr:uid="{1C2FB2C5-88FC-41CC-9C96-02AD28FD8D23}"/>
    <cellStyle name="Normal 4 2 2 4 2 3 6" xfId="26252" xr:uid="{22D042B7-D599-4785-87EB-87BD55065876}"/>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2 2 2" xfId="16147" xr:uid="{FE4605E1-C022-481A-BB08-416735C262E6}"/>
    <cellStyle name="Normal 4 2 2 4 2 4 2 2 3" xfId="24587" xr:uid="{F550358C-7586-4D66-B577-DFABBB0D5218}"/>
    <cellStyle name="Normal 4 2 2 4 2 4 2 2 4" xfId="33027" xr:uid="{C258EAD2-ADDE-4293-998B-A8A49A4EB77B}"/>
    <cellStyle name="Normal 4 2 2 4 2 4 2 3" xfId="11929" xr:uid="{211AAC3B-A46B-4274-804A-14623043DD5D}"/>
    <cellStyle name="Normal 4 2 2 4 2 4 2 4" xfId="20370" xr:uid="{67B854F3-4EAA-4DB1-BAC1-957D6E69156F}"/>
    <cellStyle name="Normal 4 2 2 4 2 4 2 5" xfId="28810" xr:uid="{D4F0D45E-6846-4B99-97DE-5561A5375FA2}"/>
    <cellStyle name="Normal 4 2 2 4 2 4 3" xfId="5552" xr:uid="{00000000-0005-0000-0000-0000AF120000}"/>
    <cellStyle name="Normal 4 2 2 4 2 4 3 2" xfId="14002" xr:uid="{619BB820-928F-4CAF-A1BA-9EAD4598DF32}"/>
    <cellStyle name="Normal 4 2 2 4 2 4 3 3" xfId="22442" xr:uid="{8709F9D6-D817-4B9E-9830-534EF7C1FB93}"/>
    <cellStyle name="Normal 4 2 2 4 2 4 3 4" xfId="30882" xr:uid="{DEA26F7E-53FC-4113-9C5F-D28F12FD5D26}"/>
    <cellStyle name="Normal 4 2 2 4 2 4 4" xfId="9784" xr:uid="{CDD9EDF9-E34B-4868-A2BA-B5E0C36A1BE6}"/>
    <cellStyle name="Normal 4 2 2 4 2 4 5" xfId="18225" xr:uid="{D1900AC7-6FFD-4F36-952F-39C90E4DCC43}"/>
    <cellStyle name="Normal 4 2 2 4 2 4 6" xfId="26665" xr:uid="{5B45AC89-15C4-4F74-AD98-528080C799F7}"/>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2 2 2" xfId="16560" xr:uid="{51F44077-5CE1-4FF4-9565-8DE9B35E3D04}"/>
    <cellStyle name="Normal 4 2 2 4 2 5 2 2 3" xfId="25000" xr:uid="{8ED5A48C-0C3C-455F-BEDF-00C5A930B977}"/>
    <cellStyle name="Normal 4 2 2 4 2 5 2 2 4" xfId="33440" xr:uid="{ECDBC9EF-E498-4007-8B00-3AA1AF38DA59}"/>
    <cellStyle name="Normal 4 2 2 4 2 5 2 3" xfId="12342" xr:uid="{5BBAD913-E69E-4183-809C-2025B4C4B85D}"/>
    <cellStyle name="Normal 4 2 2 4 2 5 2 4" xfId="20783" xr:uid="{AE93B764-0B92-43FC-A033-DCA34B955B0D}"/>
    <cellStyle name="Normal 4 2 2 4 2 5 2 5" xfId="29223" xr:uid="{31C50213-149C-4D51-A2E3-F8FCB809CB98}"/>
    <cellStyle name="Normal 4 2 2 4 2 5 3" xfId="5965" xr:uid="{00000000-0005-0000-0000-0000B3120000}"/>
    <cellStyle name="Normal 4 2 2 4 2 5 3 2" xfId="14415" xr:uid="{0689E361-E0DC-4354-B86B-E056A1820731}"/>
    <cellStyle name="Normal 4 2 2 4 2 5 3 3" xfId="22855" xr:uid="{8572CCA4-EB23-44DF-940C-27841E4D72BA}"/>
    <cellStyle name="Normal 4 2 2 4 2 5 3 4" xfId="31295" xr:uid="{925D6AE1-60DB-42C3-B25B-865FD4B3AD69}"/>
    <cellStyle name="Normal 4 2 2 4 2 5 4" xfId="10197" xr:uid="{26961977-55C4-4D9B-AEE4-5A56C0E1EEB0}"/>
    <cellStyle name="Normal 4 2 2 4 2 5 5" xfId="18638" xr:uid="{74BD6CFA-7476-420E-925E-044F0107D240}"/>
    <cellStyle name="Normal 4 2 2 4 2 5 6" xfId="27078" xr:uid="{69047AA8-3221-4C54-8A38-E0DDD6A26469}"/>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2 2 2" xfId="16973" xr:uid="{77876562-E7F7-4C15-BA5C-24B03D91687E}"/>
    <cellStyle name="Normal 4 2 2 4 2 6 2 2 3" xfId="25413" xr:uid="{A18A4FE2-5332-4F77-A98B-12DBD1180F8F}"/>
    <cellStyle name="Normal 4 2 2 4 2 6 2 2 4" xfId="33853" xr:uid="{2D4749C6-61F4-4081-85EC-D6680083C1CA}"/>
    <cellStyle name="Normal 4 2 2 4 2 6 2 3" xfId="12755" xr:uid="{A8DD7B70-FAEC-4E53-A4F4-E6F9566ACCBE}"/>
    <cellStyle name="Normal 4 2 2 4 2 6 2 4" xfId="21196" xr:uid="{A32CAE30-B859-45BA-A0E9-C86DA8F7865E}"/>
    <cellStyle name="Normal 4 2 2 4 2 6 2 5" xfId="29636" xr:uid="{6D2B12E1-8224-467B-8AF0-56562957636A}"/>
    <cellStyle name="Normal 4 2 2 4 2 6 3" xfId="6378" xr:uid="{00000000-0005-0000-0000-0000B7120000}"/>
    <cellStyle name="Normal 4 2 2 4 2 6 3 2" xfId="14828" xr:uid="{DA9C2B14-E1C0-4FE7-AB1D-E88E291111EB}"/>
    <cellStyle name="Normal 4 2 2 4 2 6 3 3" xfId="23268" xr:uid="{A089CC57-DE26-42A0-B107-6CF58B2382AB}"/>
    <cellStyle name="Normal 4 2 2 4 2 6 3 4" xfId="31708" xr:uid="{9DEF4B21-97EE-472D-80C7-499CADF21AEE}"/>
    <cellStyle name="Normal 4 2 2 4 2 6 4" xfId="10610" xr:uid="{63A9ED59-EBF5-4EC7-ADB7-0316C60CAF7A}"/>
    <cellStyle name="Normal 4 2 2 4 2 6 5" xfId="19051" xr:uid="{D9E523A9-185B-4E7B-AC34-C5D8AA48D05D}"/>
    <cellStyle name="Normal 4 2 2 4 2 6 6" xfId="27491" xr:uid="{E80B434A-A679-4371-86F2-23E50EB84775}"/>
    <cellStyle name="Normal 4 2 2 4 2 7" xfId="2508" xr:uid="{00000000-0005-0000-0000-0000B8120000}"/>
    <cellStyle name="Normal 4 2 2 4 2 7 2" xfId="6791" xr:uid="{00000000-0005-0000-0000-0000B9120000}"/>
    <cellStyle name="Normal 4 2 2 4 2 7 2 2" xfId="15241" xr:uid="{0763D827-8D7C-4EAA-BCF0-B30D8800C475}"/>
    <cellStyle name="Normal 4 2 2 4 2 7 2 3" xfId="23681" xr:uid="{C725460D-FE57-47A3-B367-D9923F01B640}"/>
    <cellStyle name="Normal 4 2 2 4 2 7 2 4" xfId="32121" xr:uid="{2FABEF0E-A883-4D21-90C0-F63DAC4C4CA5}"/>
    <cellStyle name="Normal 4 2 2 4 2 7 3" xfId="11023" xr:uid="{87198936-FF2F-4567-8A7B-DFE29B82DF96}"/>
    <cellStyle name="Normal 4 2 2 4 2 7 4" xfId="19464" xr:uid="{E48C57C0-01A1-4EE0-BB89-97726DEDED77}"/>
    <cellStyle name="Normal 4 2 2 4 2 7 5" xfId="27904" xr:uid="{A89A9EF0-ECDD-4CD6-AD68-3743AF702668}"/>
    <cellStyle name="Normal 4 2 2 4 2 8" xfId="4726" xr:uid="{00000000-0005-0000-0000-0000BA120000}"/>
    <cellStyle name="Normal 4 2 2 4 2 8 2" xfId="13176" xr:uid="{F3BCCB06-B27E-4B65-B9EB-5CD45C846E05}"/>
    <cellStyle name="Normal 4 2 2 4 2 8 3" xfId="21616" xr:uid="{38DFDC50-6E87-4626-9722-728DFB20B1A6}"/>
    <cellStyle name="Normal 4 2 2 4 2 8 4" xfId="30056" xr:uid="{CD29ED59-6EB1-4EF2-BB4E-459CABC5CD19}"/>
    <cellStyle name="Normal 4 2 2 4 2 9" xfId="8958" xr:uid="{0FE93B7B-E1D8-4922-BD34-8CF2373CC333}"/>
    <cellStyle name="Normal 4 2 2 4 3" xfId="350" xr:uid="{00000000-0005-0000-0000-0000BB120000}"/>
    <cellStyle name="Normal 4 2 2 4 3 10" xfId="25841" xr:uid="{B13CAD14-5F64-471F-9A8A-33EA20CE8184}"/>
    <cellStyle name="Normal 4 2 2 4 3 2" xfId="827" xr:uid="{00000000-0005-0000-0000-0000BC120000}"/>
    <cellStyle name="Normal 4 2 2 4 3 2 2" xfId="3064" xr:uid="{00000000-0005-0000-0000-0000BD120000}"/>
    <cellStyle name="Normal 4 2 2 4 3 2 2 2" xfId="7286" xr:uid="{00000000-0005-0000-0000-0000BE120000}"/>
    <cellStyle name="Normal 4 2 2 4 3 2 2 2 2" xfId="15736" xr:uid="{7A1F803A-308A-44A4-9ED3-6093B548C1AA}"/>
    <cellStyle name="Normal 4 2 2 4 3 2 2 2 3" xfId="24176" xr:uid="{8F03CABD-6E94-4DF0-ACC5-87AF2B621035}"/>
    <cellStyle name="Normal 4 2 2 4 3 2 2 2 4" xfId="32616" xr:uid="{49ABB595-1266-43D1-B886-21192FADE9B9}"/>
    <cellStyle name="Normal 4 2 2 4 3 2 2 3" xfId="11518" xr:uid="{1D61AB15-E757-462C-9544-4FBFDFE33879}"/>
    <cellStyle name="Normal 4 2 2 4 3 2 2 4" xfId="19959" xr:uid="{3347AB5A-A0EE-41AB-829F-193E9E473DED}"/>
    <cellStyle name="Normal 4 2 2 4 3 2 2 5" xfId="28399" xr:uid="{F93DA45A-CB57-4E5E-8F35-D96894E6BE5A}"/>
    <cellStyle name="Normal 4 2 2 4 3 2 3" xfId="5141" xr:uid="{00000000-0005-0000-0000-0000BF120000}"/>
    <cellStyle name="Normal 4 2 2 4 3 2 3 2" xfId="13591" xr:uid="{C0B50550-56D4-40A5-BDDB-B72281F12C26}"/>
    <cellStyle name="Normal 4 2 2 4 3 2 3 3" xfId="22031" xr:uid="{EA881951-43BF-4F9F-8EAA-AE48048604A1}"/>
    <cellStyle name="Normal 4 2 2 4 3 2 3 4" xfId="30471" xr:uid="{B1BDD853-479B-4F47-B111-C374A44186C8}"/>
    <cellStyle name="Normal 4 2 2 4 3 2 4" xfId="9373" xr:uid="{8A8ACC98-F792-4FFF-802A-CB970786635B}"/>
    <cellStyle name="Normal 4 2 2 4 3 2 5" xfId="17814" xr:uid="{CD16DB72-4C20-4F12-8F14-71517692B02B}"/>
    <cellStyle name="Normal 4 2 2 4 3 2 6" xfId="26254" xr:uid="{65C3EA39-58BB-47D7-9596-C8521AC4E3A1}"/>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2 2 2" xfId="16149" xr:uid="{AB00F7E4-7EB2-4CF3-8DFD-F0E065FD082C}"/>
    <cellStyle name="Normal 4 2 2 4 3 3 2 2 3" xfId="24589" xr:uid="{9331B55B-32B1-41EB-B4F3-AC25A595F4A6}"/>
    <cellStyle name="Normal 4 2 2 4 3 3 2 2 4" xfId="33029" xr:uid="{EBF504DC-2914-4F47-AA25-A47A9314E044}"/>
    <cellStyle name="Normal 4 2 2 4 3 3 2 3" xfId="11931" xr:uid="{CAC645E2-ACDC-4BD0-93DE-7F4705108B76}"/>
    <cellStyle name="Normal 4 2 2 4 3 3 2 4" xfId="20372" xr:uid="{C21A015E-2CD1-4694-914B-D03BAAD6808C}"/>
    <cellStyle name="Normal 4 2 2 4 3 3 2 5" xfId="28812" xr:uid="{67DF3ECC-01EA-4D40-852E-345310380ED0}"/>
    <cellStyle name="Normal 4 2 2 4 3 3 3" xfId="5554" xr:uid="{00000000-0005-0000-0000-0000C3120000}"/>
    <cellStyle name="Normal 4 2 2 4 3 3 3 2" xfId="14004" xr:uid="{D319E27C-261D-4821-9704-773058A55680}"/>
    <cellStyle name="Normal 4 2 2 4 3 3 3 3" xfId="22444" xr:uid="{2797781A-911C-493A-BB3E-09768DA2A00D}"/>
    <cellStyle name="Normal 4 2 2 4 3 3 3 4" xfId="30884" xr:uid="{2220522B-6ADF-4A05-A1C1-9CA7FE7C9659}"/>
    <cellStyle name="Normal 4 2 2 4 3 3 4" xfId="9786" xr:uid="{8B547FBC-F48E-4E57-B7FA-E8DA3239C8E0}"/>
    <cellStyle name="Normal 4 2 2 4 3 3 5" xfId="18227" xr:uid="{01228A72-FB21-477A-9956-C3A059CAFEA4}"/>
    <cellStyle name="Normal 4 2 2 4 3 3 6" xfId="26667" xr:uid="{A5A6822C-A73A-4469-BB05-595A78CFD1A9}"/>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2 2 2" xfId="16562" xr:uid="{86ACBC1B-2AEF-47A6-B614-5C88944CE2FA}"/>
    <cellStyle name="Normal 4 2 2 4 3 4 2 2 3" xfId="25002" xr:uid="{AC4292B6-10DC-46F3-A7CC-BFB1AC8DA704}"/>
    <cellStyle name="Normal 4 2 2 4 3 4 2 2 4" xfId="33442" xr:uid="{85F0403F-7721-4181-8836-8E48AB693374}"/>
    <cellStyle name="Normal 4 2 2 4 3 4 2 3" xfId="12344" xr:uid="{66FBCC14-89F6-41D3-997F-A96FCF90A76B}"/>
    <cellStyle name="Normal 4 2 2 4 3 4 2 4" xfId="20785" xr:uid="{C3390E05-7A1D-4D6B-91C5-20DAF77FECBA}"/>
    <cellStyle name="Normal 4 2 2 4 3 4 2 5" xfId="29225" xr:uid="{5C99BF84-10CB-41E9-A51C-925F6CC4B5C1}"/>
    <cellStyle name="Normal 4 2 2 4 3 4 3" xfId="5967" xr:uid="{00000000-0005-0000-0000-0000C7120000}"/>
    <cellStyle name="Normal 4 2 2 4 3 4 3 2" xfId="14417" xr:uid="{EB2834C2-DBAA-4CDD-85DC-DD3D0D2235DE}"/>
    <cellStyle name="Normal 4 2 2 4 3 4 3 3" xfId="22857" xr:uid="{9B75270E-7A60-4901-8CB4-B5DFEC4D1211}"/>
    <cellStyle name="Normal 4 2 2 4 3 4 3 4" xfId="31297" xr:uid="{ED535B14-A86B-4EBD-BF5B-A0CA85FF17D9}"/>
    <cellStyle name="Normal 4 2 2 4 3 4 4" xfId="10199" xr:uid="{F629DBEC-7C72-4E71-A844-1D3F397B2CDC}"/>
    <cellStyle name="Normal 4 2 2 4 3 4 5" xfId="18640" xr:uid="{E96CA451-7EB6-4AE2-A126-859A9437BE37}"/>
    <cellStyle name="Normal 4 2 2 4 3 4 6" xfId="27080" xr:uid="{A23DF5FE-F271-4D92-AC0A-E81B57E769AA}"/>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2 2 2" xfId="16975" xr:uid="{FD998DB1-64CA-45BE-9EFD-596CC9D15DE1}"/>
    <cellStyle name="Normal 4 2 2 4 3 5 2 2 3" xfId="25415" xr:uid="{8571E964-1122-4517-B48B-E4E041A8B25C}"/>
    <cellStyle name="Normal 4 2 2 4 3 5 2 2 4" xfId="33855" xr:uid="{AB6AEB7A-7F97-434E-81AD-D9BFEF8B44EF}"/>
    <cellStyle name="Normal 4 2 2 4 3 5 2 3" xfId="12757" xr:uid="{9F85E976-DED0-499F-8DE4-B121454F8724}"/>
    <cellStyle name="Normal 4 2 2 4 3 5 2 4" xfId="21198" xr:uid="{4B6E0B51-84DB-439C-B4A6-5FFE7D76E03A}"/>
    <cellStyle name="Normal 4 2 2 4 3 5 2 5" xfId="29638" xr:uid="{6C062FDC-6FD7-4FB3-A307-27A5BC3B6157}"/>
    <cellStyle name="Normal 4 2 2 4 3 5 3" xfId="6380" xr:uid="{00000000-0005-0000-0000-0000CB120000}"/>
    <cellStyle name="Normal 4 2 2 4 3 5 3 2" xfId="14830" xr:uid="{0C3E26C0-EC3F-4C86-B5E5-1AF121B5B6BE}"/>
    <cellStyle name="Normal 4 2 2 4 3 5 3 3" xfId="23270" xr:uid="{4DDB808B-B106-4DF4-B282-11E154990290}"/>
    <cellStyle name="Normal 4 2 2 4 3 5 3 4" xfId="31710" xr:uid="{35884D82-048F-4126-9188-F04900A5F1D1}"/>
    <cellStyle name="Normal 4 2 2 4 3 5 4" xfId="10612" xr:uid="{BE0D8662-37EF-452B-8188-CF571F846D7E}"/>
    <cellStyle name="Normal 4 2 2 4 3 5 5" xfId="19053" xr:uid="{C0618133-4626-42B3-B578-384DC6680D11}"/>
    <cellStyle name="Normal 4 2 2 4 3 5 6" xfId="27493" xr:uid="{BFE5557C-6B62-41CF-8F2B-8B9036D243EF}"/>
    <cellStyle name="Normal 4 2 2 4 3 6" xfId="2510" xr:uid="{00000000-0005-0000-0000-0000CC120000}"/>
    <cellStyle name="Normal 4 2 2 4 3 6 2" xfId="6793" xr:uid="{00000000-0005-0000-0000-0000CD120000}"/>
    <cellStyle name="Normal 4 2 2 4 3 6 2 2" xfId="15243" xr:uid="{42D8C8BC-68CA-400D-81DC-4E4650BBD123}"/>
    <cellStyle name="Normal 4 2 2 4 3 6 2 3" xfId="23683" xr:uid="{03FB0360-53AB-4B9B-B54B-BAA5295F44EA}"/>
    <cellStyle name="Normal 4 2 2 4 3 6 2 4" xfId="32123" xr:uid="{D1FF91C1-93D3-4941-848F-5B3E24E9B77C}"/>
    <cellStyle name="Normal 4 2 2 4 3 6 3" xfId="11025" xr:uid="{FA97742D-F8BA-4EB5-A5EB-CCE79270BAFB}"/>
    <cellStyle name="Normal 4 2 2 4 3 6 4" xfId="19466" xr:uid="{138DBC6E-480E-4E73-8F9A-2CAA5B15803A}"/>
    <cellStyle name="Normal 4 2 2 4 3 6 5" xfId="27906" xr:uid="{8CD6E577-3CEA-4C3B-A188-BF5A3807D0AA}"/>
    <cellStyle name="Normal 4 2 2 4 3 7" xfId="4728" xr:uid="{00000000-0005-0000-0000-0000CE120000}"/>
    <cellStyle name="Normal 4 2 2 4 3 7 2" xfId="13178" xr:uid="{E5BCCB7C-58AA-4C7F-877A-E72A089526D3}"/>
    <cellStyle name="Normal 4 2 2 4 3 7 3" xfId="21618" xr:uid="{5F12F662-5142-4AC8-8A04-E6B4EB3517CF}"/>
    <cellStyle name="Normal 4 2 2 4 3 7 4" xfId="30058" xr:uid="{6F834E0D-BF6E-49DA-A667-A848597C7C19}"/>
    <cellStyle name="Normal 4 2 2 4 3 8" xfId="8960" xr:uid="{0EEF89A7-6366-4FED-8333-92BBC8AFA226}"/>
    <cellStyle name="Normal 4 2 2 4 3 9" xfId="17401" xr:uid="{3C521F32-AF99-4852-9DB1-85C3927F3B88}"/>
    <cellStyle name="Normal 4 2 2 4 4" xfId="824" xr:uid="{00000000-0005-0000-0000-0000CF120000}"/>
    <cellStyle name="Normal 4 2 2 4 4 2" xfId="3061" xr:uid="{00000000-0005-0000-0000-0000D0120000}"/>
    <cellStyle name="Normal 4 2 2 4 4 2 2" xfId="7283" xr:uid="{00000000-0005-0000-0000-0000D1120000}"/>
    <cellStyle name="Normal 4 2 2 4 4 2 2 2" xfId="15733" xr:uid="{E1D24994-AB8E-4561-B932-FC78A2ABCEA2}"/>
    <cellStyle name="Normal 4 2 2 4 4 2 2 3" xfId="24173" xr:uid="{266340D8-3475-4043-8D86-D098AEC9DB10}"/>
    <cellStyle name="Normal 4 2 2 4 4 2 2 4" xfId="32613" xr:uid="{35661C0F-0DDF-4AAB-8B76-B4B21EB52C15}"/>
    <cellStyle name="Normal 4 2 2 4 4 2 3" xfId="11515" xr:uid="{5FEBDB65-B413-4961-A86E-B47629227D0A}"/>
    <cellStyle name="Normal 4 2 2 4 4 2 4" xfId="19956" xr:uid="{F8B02836-C29E-4BBE-8DBB-122A8AD282E7}"/>
    <cellStyle name="Normal 4 2 2 4 4 2 5" xfId="28396" xr:uid="{E83CEDDF-819B-4B6E-B8B1-F09B3DEDB842}"/>
    <cellStyle name="Normal 4 2 2 4 4 3" xfId="5138" xr:uid="{00000000-0005-0000-0000-0000D2120000}"/>
    <cellStyle name="Normal 4 2 2 4 4 3 2" xfId="13588" xr:uid="{81CA24FE-7D77-4655-97A5-E289393231AD}"/>
    <cellStyle name="Normal 4 2 2 4 4 3 3" xfId="22028" xr:uid="{58B06C00-28F0-4501-AE62-4BC84F693D28}"/>
    <cellStyle name="Normal 4 2 2 4 4 3 4" xfId="30468" xr:uid="{A3E0E005-FE67-4F48-AC89-0EFA5BFC5A13}"/>
    <cellStyle name="Normal 4 2 2 4 4 4" xfId="9370" xr:uid="{1442CE26-6C54-43F8-821D-0B1B512B5C2E}"/>
    <cellStyle name="Normal 4 2 2 4 4 5" xfId="17811" xr:uid="{0852FB74-2395-4D06-941C-5F4CEA61BBAB}"/>
    <cellStyle name="Normal 4 2 2 4 4 6" xfId="26251" xr:uid="{7E57275E-1015-42C5-9AAB-95417ADF651E}"/>
    <cellStyle name="Normal 4 2 2 4 5" xfId="1244" xr:uid="{00000000-0005-0000-0000-0000D3120000}"/>
    <cellStyle name="Normal 4 2 2 4 5 2" xfId="3474" xr:uid="{00000000-0005-0000-0000-0000D4120000}"/>
    <cellStyle name="Normal 4 2 2 4 5 2 2" xfId="7696" xr:uid="{00000000-0005-0000-0000-0000D5120000}"/>
    <cellStyle name="Normal 4 2 2 4 5 2 2 2" xfId="16146" xr:uid="{77EB7B1F-1FE6-4D7F-A7ED-09826AD89085}"/>
    <cellStyle name="Normal 4 2 2 4 5 2 2 3" xfId="24586" xr:uid="{B36E862A-45F4-4791-91B7-AC4B9BC5642A}"/>
    <cellStyle name="Normal 4 2 2 4 5 2 2 4" xfId="33026" xr:uid="{4636DB44-656A-4BEA-8585-7A8472848815}"/>
    <cellStyle name="Normal 4 2 2 4 5 2 3" xfId="11928" xr:uid="{D8AC6484-D51D-440A-B22B-DB81C2AC5BEC}"/>
    <cellStyle name="Normal 4 2 2 4 5 2 4" xfId="20369" xr:uid="{2FE19374-B3A8-44B2-9A64-82817AD6E0D5}"/>
    <cellStyle name="Normal 4 2 2 4 5 2 5" xfId="28809" xr:uid="{E3A8762F-A99E-418B-9A2F-5CA85186B6A7}"/>
    <cellStyle name="Normal 4 2 2 4 5 3" xfId="5551" xr:uid="{00000000-0005-0000-0000-0000D6120000}"/>
    <cellStyle name="Normal 4 2 2 4 5 3 2" xfId="14001" xr:uid="{D3F46BFC-CD1F-47CD-8781-DDD9396F8A5D}"/>
    <cellStyle name="Normal 4 2 2 4 5 3 3" xfId="22441" xr:uid="{CAC590BB-B894-49C4-84D4-8ED4E047254F}"/>
    <cellStyle name="Normal 4 2 2 4 5 3 4" xfId="30881" xr:uid="{AF34D41B-70A8-4C93-8FF7-D4EF79434444}"/>
    <cellStyle name="Normal 4 2 2 4 5 4" xfId="9783" xr:uid="{7B0D0120-7D0D-4E99-B0FB-BEAC35408053}"/>
    <cellStyle name="Normal 4 2 2 4 5 5" xfId="18224" xr:uid="{530F0AF9-8E0E-407B-901E-B2FA58999A2E}"/>
    <cellStyle name="Normal 4 2 2 4 5 6" xfId="26664" xr:uid="{424A4294-2470-4234-A32B-3976EE6E424A}"/>
    <cellStyle name="Normal 4 2 2 4 6" xfId="1657" xr:uid="{00000000-0005-0000-0000-0000D7120000}"/>
    <cellStyle name="Normal 4 2 2 4 6 2" xfId="3887" xr:uid="{00000000-0005-0000-0000-0000D8120000}"/>
    <cellStyle name="Normal 4 2 2 4 6 2 2" xfId="8109" xr:uid="{00000000-0005-0000-0000-0000D9120000}"/>
    <cellStyle name="Normal 4 2 2 4 6 2 2 2" xfId="16559" xr:uid="{93D06C58-1115-4FED-AB64-83013C10CB72}"/>
    <cellStyle name="Normal 4 2 2 4 6 2 2 3" xfId="24999" xr:uid="{9092DA0B-352C-4D7D-BDD6-BA09D39A55AE}"/>
    <cellStyle name="Normal 4 2 2 4 6 2 2 4" xfId="33439" xr:uid="{59527A18-459A-4168-A533-7EC3C6FF0B2B}"/>
    <cellStyle name="Normal 4 2 2 4 6 2 3" xfId="12341" xr:uid="{61CD8E6E-4C20-49CA-9553-2F239FB499B0}"/>
    <cellStyle name="Normal 4 2 2 4 6 2 4" xfId="20782" xr:uid="{604CAE16-71E3-4BD7-850E-63E1BD98970F}"/>
    <cellStyle name="Normal 4 2 2 4 6 2 5" xfId="29222" xr:uid="{79D6FE3D-3B64-49AF-97BF-7647E3ED60E5}"/>
    <cellStyle name="Normal 4 2 2 4 6 3" xfId="5964" xr:uid="{00000000-0005-0000-0000-0000DA120000}"/>
    <cellStyle name="Normal 4 2 2 4 6 3 2" xfId="14414" xr:uid="{7C79A4D6-26D1-45A4-A6FD-6D7233AA27B6}"/>
    <cellStyle name="Normal 4 2 2 4 6 3 3" xfId="22854" xr:uid="{62D271E9-1854-40FA-BCA1-B3F3EE357346}"/>
    <cellStyle name="Normal 4 2 2 4 6 3 4" xfId="31294" xr:uid="{2186D59D-4639-4629-9E2A-BA4BFC85FE89}"/>
    <cellStyle name="Normal 4 2 2 4 6 4" xfId="10196" xr:uid="{0C8C0D1B-B047-4C9E-8023-1CE7A83ECFA0}"/>
    <cellStyle name="Normal 4 2 2 4 6 5" xfId="18637" xr:uid="{BCBEA99E-31F5-4CFC-B3E0-38ED856934E0}"/>
    <cellStyle name="Normal 4 2 2 4 6 6" xfId="27077" xr:uid="{AB3FE769-3138-4FEA-8BA4-4310E30BAAD9}"/>
    <cellStyle name="Normal 4 2 2 4 7" xfId="2071" xr:uid="{00000000-0005-0000-0000-0000DB120000}"/>
    <cellStyle name="Normal 4 2 2 4 7 2" xfId="4300" xr:uid="{00000000-0005-0000-0000-0000DC120000}"/>
    <cellStyle name="Normal 4 2 2 4 7 2 2" xfId="8522" xr:uid="{00000000-0005-0000-0000-0000DD120000}"/>
    <cellStyle name="Normal 4 2 2 4 7 2 2 2" xfId="16972" xr:uid="{9073731D-CE15-4D23-A250-0ADCBFC66C9A}"/>
    <cellStyle name="Normal 4 2 2 4 7 2 2 3" xfId="25412" xr:uid="{67BD486A-ECCF-4029-8F17-D8777A9A8845}"/>
    <cellStyle name="Normal 4 2 2 4 7 2 2 4" xfId="33852" xr:uid="{79AE3F14-2657-4719-8EC6-99BB3D6976B5}"/>
    <cellStyle name="Normal 4 2 2 4 7 2 3" xfId="12754" xr:uid="{AFA1444A-26BD-4220-B838-E32894EF2F9A}"/>
    <cellStyle name="Normal 4 2 2 4 7 2 4" xfId="21195" xr:uid="{CD86BB42-145E-45CF-AB46-977DF107B13B}"/>
    <cellStyle name="Normal 4 2 2 4 7 2 5" xfId="29635" xr:uid="{2D217685-5512-48EA-AACD-0500975D8872}"/>
    <cellStyle name="Normal 4 2 2 4 7 3" xfId="6377" xr:uid="{00000000-0005-0000-0000-0000DE120000}"/>
    <cellStyle name="Normal 4 2 2 4 7 3 2" xfId="14827" xr:uid="{7DC212E6-9F2C-4D16-8F13-A784E47E986E}"/>
    <cellStyle name="Normal 4 2 2 4 7 3 3" xfId="23267" xr:uid="{7E78B7F0-5A20-4801-A24E-47B1A7901E2F}"/>
    <cellStyle name="Normal 4 2 2 4 7 3 4" xfId="31707" xr:uid="{73170B3E-105F-4367-B590-F21FE31EB622}"/>
    <cellStyle name="Normal 4 2 2 4 7 4" xfId="10609" xr:uid="{4A7E2079-2A40-4CA9-984C-51B57B523F1A}"/>
    <cellStyle name="Normal 4 2 2 4 7 5" xfId="19050" xr:uid="{AE2DBBFF-E57F-4525-8DBB-45DFEC099451}"/>
    <cellStyle name="Normal 4 2 2 4 7 6" xfId="27490" xr:uid="{AF62CEB5-91D0-4885-954F-6C304A3F8A6A}"/>
    <cellStyle name="Normal 4 2 2 4 8" xfId="2507" xr:uid="{00000000-0005-0000-0000-0000DF120000}"/>
    <cellStyle name="Normal 4 2 2 4 8 2" xfId="6790" xr:uid="{00000000-0005-0000-0000-0000E0120000}"/>
    <cellStyle name="Normal 4 2 2 4 8 2 2" xfId="15240" xr:uid="{69BA1DF0-0ADB-45D7-A0FC-011912D846B9}"/>
    <cellStyle name="Normal 4 2 2 4 8 2 3" xfId="23680" xr:uid="{161B0D15-0089-48FE-8AFE-745D159D53A4}"/>
    <cellStyle name="Normal 4 2 2 4 8 2 4" xfId="32120" xr:uid="{AF2422C5-9F38-417B-A6C4-E256186D832D}"/>
    <cellStyle name="Normal 4 2 2 4 8 3" xfId="11022" xr:uid="{FB62001D-7A06-4B0B-BBDD-CB3A7209C1F5}"/>
    <cellStyle name="Normal 4 2 2 4 8 4" xfId="19463" xr:uid="{F83DC5F4-8AD6-4E8B-9446-16B2B14D4C9C}"/>
    <cellStyle name="Normal 4 2 2 4 8 5" xfId="27903" xr:uid="{0B40392D-3DB6-4BCA-81E3-DB0CA6BB95D2}"/>
    <cellStyle name="Normal 4 2 2 4 9" xfId="4725" xr:uid="{00000000-0005-0000-0000-0000E1120000}"/>
    <cellStyle name="Normal 4 2 2 4 9 2" xfId="13175" xr:uid="{B59C5C7E-5C8D-4DE5-A660-9225C8FE8C77}"/>
    <cellStyle name="Normal 4 2 2 4 9 3" xfId="21615" xr:uid="{6DD5283B-6EDF-43A7-BDF6-F503D87CC673}"/>
    <cellStyle name="Normal 4 2 2 4 9 4" xfId="30055" xr:uid="{6CB50FFB-C99E-4B46-BEB0-AB3D3E84265C}"/>
    <cellStyle name="Normal 4 2 2 5" xfId="351" xr:uid="{00000000-0005-0000-0000-0000E2120000}"/>
    <cellStyle name="Normal 4 2 2 5 10" xfId="17402" xr:uid="{67959800-C020-4D3E-9B49-7BD525BDDCE6}"/>
    <cellStyle name="Normal 4 2 2 5 11" xfId="25842" xr:uid="{AF7FD7C3-D697-43B2-81D2-2CC37096101E}"/>
    <cellStyle name="Normal 4 2 2 5 2" xfId="352" xr:uid="{00000000-0005-0000-0000-0000E3120000}"/>
    <cellStyle name="Normal 4 2 2 5 2 10" xfId="25843" xr:uid="{72DC477D-A953-4BDF-BFCC-254CCB8881D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2 2 2" xfId="15738" xr:uid="{617A439A-B25E-462D-96D9-1368FDC51C42}"/>
    <cellStyle name="Normal 4 2 2 5 2 2 2 2 3" xfId="24178" xr:uid="{03AC0C40-9FE5-493E-921C-98D58E343FF5}"/>
    <cellStyle name="Normal 4 2 2 5 2 2 2 2 4" xfId="32618" xr:uid="{57337BFF-5C2E-40BC-B17F-EA46649135BB}"/>
    <cellStyle name="Normal 4 2 2 5 2 2 2 3" xfId="11520" xr:uid="{C6F7C315-1CED-4377-990F-F72F05045DFD}"/>
    <cellStyle name="Normal 4 2 2 5 2 2 2 4" xfId="19961" xr:uid="{BD28189B-0293-47C2-9429-E4D7D308F575}"/>
    <cellStyle name="Normal 4 2 2 5 2 2 2 5" xfId="28401" xr:uid="{0C34AEFC-3B86-420F-B0EE-77FFC15961BB}"/>
    <cellStyle name="Normal 4 2 2 5 2 2 3" xfId="5143" xr:uid="{00000000-0005-0000-0000-0000E7120000}"/>
    <cellStyle name="Normal 4 2 2 5 2 2 3 2" xfId="13593" xr:uid="{D13CD001-01A3-4890-9132-555F2BF15D53}"/>
    <cellStyle name="Normal 4 2 2 5 2 2 3 3" xfId="22033" xr:uid="{A2EF670B-2CCB-4319-8A6E-0E95002E579F}"/>
    <cellStyle name="Normal 4 2 2 5 2 2 3 4" xfId="30473" xr:uid="{50A4BCF1-7AFE-4289-B58E-C72EFAEAC655}"/>
    <cellStyle name="Normal 4 2 2 5 2 2 4" xfId="9375" xr:uid="{278FAEBF-6089-4C19-841D-2C005401DF62}"/>
    <cellStyle name="Normal 4 2 2 5 2 2 5" xfId="17816" xr:uid="{8249EF10-98C9-45AF-BCE6-9F62C1A9DA9C}"/>
    <cellStyle name="Normal 4 2 2 5 2 2 6" xfId="26256" xr:uid="{B4235A61-0088-4F32-9FD1-ED6748710031}"/>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2 2 2" xfId="16151" xr:uid="{199B94EE-FED6-49CC-B344-07BC24AD6F40}"/>
    <cellStyle name="Normal 4 2 2 5 2 3 2 2 3" xfId="24591" xr:uid="{88EC4A27-2A38-4F49-9668-B00312BE9B73}"/>
    <cellStyle name="Normal 4 2 2 5 2 3 2 2 4" xfId="33031" xr:uid="{D09EEDD8-DB34-4697-9DF2-21F61BF2320E}"/>
    <cellStyle name="Normal 4 2 2 5 2 3 2 3" xfId="11933" xr:uid="{25609318-CBB4-46F1-82CA-611C8542EEF3}"/>
    <cellStyle name="Normal 4 2 2 5 2 3 2 4" xfId="20374" xr:uid="{3A6C3DEC-1DCD-46E8-9508-60D48C6BD8B6}"/>
    <cellStyle name="Normal 4 2 2 5 2 3 2 5" xfId="28814" xr:uid="{E26FED8B-AC42-41DB-8BCC-EDE568E20096}"/>
    <cellStyle name="Normal 4 2 2 5 2 3 3" xfId="5556" xr:uid="{00000000-0005-0000-0000-0000EB120000}"/>
    <cellStyle name="Normal 4 2 2 5 2 3 3 2" xfId="14006" xr:uid="{AC07AA60-5833-4DDF-8089-E9DBF0798274}"/>
    <cellStyle name="Normal 4 2 2 5 2 3 3 3" xfId="22446" xr:uid="{D47404D4-6B0A-4F83-A635-EF07B8DBA1BD}"/>
    <cellStyle name="Normal 4 2 2 5 2 3 3 4" xfId="30886" xr:uid="{39BEAD3E-EF11-434D-A00E-86C6410AF0E1}"/>
    <cellStyle name="Normal 4 2 2 5 2 3 4" xfId="9788" xr:uid="{5D5FEF44-FAB2-43CC-A2CC-52385B645AA8}"/>
    <cellStyle name="Normal 4 2 2 5 2 3 5" xfId="18229" xr:uid="{BA6F57A4-B996-495F-93A2-86E139D68E64}"/>
    <cellStyle name="Normal 4 2 2 5 2 3 6" xfId="26669" xr:uid="{963DE11F-0DEC-4370-9DBE-A7F696DB0B4D}"/>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2 2 2" xfId="16564" xr:uid="{02E2B74C-0C5F-43AD-A5CF-899D3FAC2E8C}"/>
    <cellStyle name="Normal 4 2 2 5 2 4 2 2 3" xfId="25004" xr:uid="{D68BFB5B-AA68-4BF4-A053-2F40E7D56689}"/>
    <cellStyle name="Normal 4 2 2 5 2 4 2 2 4" xfId="33444" xr:uid="{85F71212-A659-4155-9162-E91B3C43E7C8}"/>
    <cellStyle name="Normal 4 2 2 5 2 4 2 3" xfId="12346" xr:uid="{4C1C9328-C34B-4BBE-93A6-31FDE597E9EA}"/>
    <cellStyle name="Normal 4 2 2 5 2 4 2 4" xfId="20787" xr:uid="{D25136E9-DB8B-4EDE-932D-84D107E662C5}"/>
    <cellStyle name="Normal 4 2 2 5 2 4 2 5" xfId="29227" xr:uid="{4EDA3010-5425-45E2-A319-CEB5FC1341A2}"/>
    <cellStyle name="Normal 4 2 2 5 2 4 3" xfId="5969" xr:uid="{00000000-0005-0000-0000-0000EF120000}"/>
    <cellStyle name="Normal 4 2 2 5 2 4 3 2" xfId="14419" xr:uid="{1813C6CC-091B-4669-92A0-333E04B3B286}"/>
    <cellStyle name="Normal 4 2 2 5 2 4 3 3" xfId="22859" xr:uid="{8A67D82A-5596-4114-A5F3-9CAEAACF68B1}"/>
    <cellStyle name="Normal 4 2 2 5 2 4 3 4" xfId="31299" xr:uid="{9A671A2F-B09A-4A3A-AA7A-FD0E10B85E31}"/>
    <cellStyle name="Normal 4 2 2 5 2 4 4" xfId="10201" xr:uid="{A0867CFF-0929-4780-9155-0F28426A3111}"/>
    <cellStyle name="Normal 4 2 2 5 2 4 5" xfId="18642" xr:uid="{80B8DD8F-B480-41B7-A9B7-2A761EC03734}"/>
    <cellStyle name="Normal 4 2 2 5 2 4 6" xfId="27082" xr:uid="{18E1FB84-473A-421A-B6B3-37DF64BAED58}"/>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2 2 2" xfId="16977" xr:uid="{35B67D9C-070E-47B8-80E6-648D9693C977}"/>
    <cellStyle name="Normal 4 2 2 5 2 5 2 2 3" xfId="25417" xr:uid="{9E03E9AC-FAE0-4106-9359-42064A6B2B63}"/>
    <cellStyle name="Normal 4 2 2 5 2 5 2 2 4" xfId="33857" xr:uid="{065D0499-2AA4-4858-AB8F-0B1F37FDCFC1}"/>
    <cellStyle name="Normal 4 2 2 5 2 5 2 3" xfId="12759" xr:uid="{E84F659A-3F72-4AB4-8E9C-7F775D71FD1C}"/>
    <cellStyle name="Normal 4 2 2 5 2 5 2 4" xfId="21200" xr:uid="{8B881E87-05E5-4F47-94F1-1B8EE7AEB6F2}"/>
    <cellStyle name="Normal 4 2 2 5 2 5 2 5" xfId="29640" xr:uid="{02D28F24-59B4-4B2D-AB92-DA80E062B338}"/>
    <cellStyle name="Normal 4 2 2 5 2 5 3" xfId="6382" xr:uid="{00000000-0005-0000-0000-0000F3120000}"/>
    <cellStyle name="Normal 4 2 2 5 2 5 3 2" xfId="14832" xr:uid="{3AFEFB6A-2E45-404A-893F-2519D42FAC0E}"/>
    <cellStyle name="Normal 4 2 2 5 2 5 3 3" xfId="23272" xr:uid="{26E87C33-B690-4A2F-8541-56882453C12E}"/>
    <cellStyle name="Normal 4 2 2 5 2 5 3 4" xfId="31712" xr:uid="{CA38D348-7A4F-4DFC-93A6-373B228712A4}"/>
    <cellStyle name="Normal 4 2 2 5 2 5 4" xfId="10614" xr:uid="{37E84792-43B0-422D-A16E-6EFF10B50096}"/>
    <cellStyle name="Normal 4 2 2 5 2 5 5" xfId="19055" xr:uid="{F708B8C8-FC50-479F-8726-6BB6A8747DA0}"/>
    <cellStyle name="Normal 4 2 2 5 2 5 6" xfId="27495" xr:uid="{F05CAC1C-E239-49C5-BACD-EBDEA59E28D0}"/>
    <cellStyle name="Normal 4 2 2 5 2 6" xfId="2512" xr:uid="{00000000-0005-0000-0000-0000F4120000}"/>
    <cellStyle name="Normal 4 2 2 5 2 6 2" xfId="6795" xr:uid="{00000000-0005-0000-0000-0000F5120000}"/>
    <cellStyle name="Normal 4 2 2 5 2 6 2 2" xfId="15245" xr:uid="{E276F2C3-4154-4BFB-8850-1CB871E45E02}"/>
    <cellStyle name="Normal 4 2 2 5 2 6 2 3" xfId="23685" xr:uid="{2F2A0ADA-58B7-4788-8ED1-FAEFFD5BCE16}"/>
    <cellStyle name="Normal 4 2 2 5 2 6 2 4" xfId="32125" xr:uid="{DD0DD8FB-1198-41C2-9606-5FDD20DE8E81}"/>
    <cellStyle name="Normal 4 2 2 5 2 6 3" xfId="11027" xr:uid="{1D44E29C-F87B-469F-BFC8-24A8520E0604}"/>
    <cellStyle name="Normal 4 2 2 5 2 6 4" xfId="19468" xr:uid="{47A084D8-3576-409F-AE2A-36DE318E3636}"/>
    <cellStyle name="Normal 4 2 2 5 2 6 5" xfId="27908" xr:uid="{3E07707E-E87F-410C-AD81-21192DD24438}"/>
    <cellStyle name="Normal 4 2 2 5 2 7" xfId="4730" xr:uid="{00000000-0005-0000-0000-0000F6120000}"/>
    <cellStyle name="Normal 4 2 2 5 2 7 2" xfId="13180" xr:uid="{B62C8245-364C-4643-BCDD-F0AA7A69A40B}"/>
    <cellStyle name="Normal 4 2 2 5 2 7 3" xfId="21620" xr:uid="{86A54F5D-BB6E-4926-A2FB-F779395A91D5}"/>
    <cellStyle name="Normal 4 2 2 5 2 7 4" xfId="30060" xr:uid="{2CD95B9D-8AFB-40F2-B076-CD8019B2E83E}"/>
    <cellStyle name="Normal 4 2 2 5 2 8" xfId="8962" xr:uid="{923726E4-C0FA-4136-A113-A258BA1A74B6}"/>
    <cellStyle name="Normal 4 2 2 5 2 9" xfId="17403" xr:uid="{96640368-C8D0-45E3-A8D5-151EB38FE219}"/>
    <cellStyle name="Normal 4 2 2 5 3" xfId="828" xr:uid="{00000000-0005-0000-0000-0000F7120000}"/>
    <cellStyle name="Normal 4 2 2 5 3 2" xfId="3065" xr:uid="{00000000-0005-0000-0000-0000F8120000}"/>
    <cellStyle name="Normal 4 2 2 5 3 2 2" xfId="7287" xr:uid="{00000000-0005-0000-0000-0000F9120000}"/>
    <cellStyle name="Normal 4 2 2 5 3 2 2 2" xfId="15737" xr:uid="{023CB120-BAA4-4442-BCC6-3F1D75954950}"/>
    <cellStyle name="Normal 4 2 2 5 3 2 2 3" xfId="24177" xr:uid="{C46DCA6B-81BB-4187-A0F0-72E7AEAF4A23}"/>
    <cellStyle name="Normal 4 2 2 5 3 2 2 4" xfId="32617" xr:uid="{706A13C0-0E2D-4443-8CFA-7252F5B7EA9F}"/>
    <cellStyle name="Normal 4 2 2 5 3 2 3" xfId="11519" xr:uid="{F0573059-FB13-471F-9A13-AA337FF8E554}"/>
    <cellStyle name="Normal 4 2 2 5 3 2 4" xfId="19960" xr:uid="{D06CCD75-2F79-4BE7-9CCC-2FC3410523AF}"/>
    <cellStyle name="Normal 4 2 2 5 3 2 5" xfId="28400" xr:uid="{4DD9110D-692C-41AB-A9FB-E5BDC92042DB}"/>
    <cellStyle name="Normal 4 2 2 5 3 3" xfId="5142" xr:uid="{00000000-0005-0000-0000-0000FA120000}"/>
    <cellStyle name="Normal 4 2 2 5 3 3 2" xfId="13592" xr:uid="{E8284D58-3133-4CF2-8A8E-3D5AD350836A}"/>
    <cellStyle name="Normal 4 2 2 5 3 3 3" xfId="22032" xr:uid="{F39FF259-4D77-4F55-9E93-541643BA92B1}"/>
    <cellStyle name="Normal 4 2 2 5 3 3 4" xfId="30472" xr:uid="{6435B61B-12C2-496B-9554-CD516ED6CA54}"/>
    <cellStyle name="Normal 4 2 2 5 3 4" xfId="9374" xr:uid="{DCFE8F38-DB21-486A-912B-8A9FFE41B623}"/>
    <cellStyle name="Normal 4 2 2 5 3 5" xfId="17815" xr:uid="{F4A9E463-0CE7-4637-A22E-60F13523C3FB}"/>
    <cellStyle name="Normal 4 2 2 5 3 6" xfId="26255" xr:uid="{8A61F150-F992-45FA-BD4A-DE253F38F8F6}"/>
    <cellStyle name="Normal 4 2 2 5 4" xfId="1248" xr:uid="{00000000-0005-0000-0000-0000FB120000}"/>
    <cellStyle name="Normal 4 2 2 5 4 2" xfId="3478" xr:uid="{00000000-0005-0000-0000-0000FC120000}"/>
    <cellStyle name="Normal 4 2 2 5 4 2 2" xfId="7700" xr:uid="{00000000-0005-0000-0000-0000FD120000}"/>
    <cellStyle name="Normal 4 2 2 5 4 2 2 2" xfId="16150" xr:uid="{750245CD-241B-47EE-9F3D-46D6EC9465AD}"/>
    <cellStyle name="Normal 4 2 2 5 4 2 2 3" xfId="24590" xr:uid="{CC24794C-63F0-4835-8CEF-3896D4A7C78E}"/>
    <cellStyle name="Normal 4 2 2 5 4 2 2 4" xfId="33030" xr:uid="{B88C0A26-FB6A-43E6-87A8-DF86533560B3}"/>
    <cellStyle name="Normal 4 2 2 5 4 2 3" xfId="11932" xr:uid="{AD40D81E-9ACA-4DF0-979E-3228EB083E86}"/>
    <cellStyle name="Normal 4 2 2 5 4 2 4" xfId="20373" xr:uid="{7C2E7CC2-B2E8-4925-9850-39D22CEC0F08}"/>
    <cellStyle name="Normal 4 2 2 5 4 2 5" xfId="28813" xr:uid="{149F90D9-DA76-44FF-96AC-A06CD0DD62B9}"/>
    <cellStyle name="Normal 4 2 2 5 4 3" xfId="5555" xr:uid="{00000000-0005-0000-0000-0000FE120000}"/>
    <cellStyle name="Normal 4 2 2 5 4 3 2" xfId="14005" xr:uid="{CB39D760-C62F-4A53-B60A-B76538B55FA8}"/>
    <cellStyle name="Normal 4 2 2 5 4 3 3" xfId="22445" xr:uid="{C15BCC97-CA63-4D24-BDF2-38B78C969565}"/>
    <cellStyle name="Normal 4 2 2 5 4 3 4" xfId="30885" xr:uid="{633A4EFE-964B-4983-9396-15F6AC5A27F2}"/>
    <cellStyle name="Normal 4 2 2 5 4 4" xfId="9787" xr:uid="{EEC5A270-2F8C-4E84-B9AA-99735DB7B5C4}"/>
    <cellStyle name="Normal 4 2 2 5 4 5" xfId="18228" xr:uid="{C2F856E2-C9BB-4100-9A3E-AB7E7FF68529}"/>
    <cellStyle name="Normal 4 2 2 5 4 6" xfId="26668" xr:uid="{BD345D94-7BE1-4CD7-A545-FA92B3BCC189}"/>
    <cellStyle name="Normal 4 2 2 5 5" xfId="1661" xr:uid="{00000000-0005-0000-0000-0000FF120000}"/>
    <cellStyle name="Normal 4 2 2 5 5 2" xfId="3891" xr:uid="{00000000-0005-0000-0000-000000130000}"/>
    <cellStyle name="Normal 4 2 2 5 5 2 2" xfId="8113" xr:uid="{00000000-0005-0000-0000-000001130000}"/>
    <cellStyle name="Normal 4 2 2 5 5 2 2 2" xfId="16563" xr:uid="{F463B9D3-CD2E-4DB2-8832-63FC5C0D42FD}"/>
    <cellStyle name="Normal 4 2 2 5 5 2 2 3" xfId="25003" xr:uid="{B690A94E-B49C-43E2-A937-BE280000D2FB}"/>
    <cellStyle name="Normal 4 2 2 5 5 2 2 4" xfId="33443" xr:uid="{AAA09A43-E5AD-45CA-A8D7-863F60173A33}"/>
    <cellStyle name="Normal 4 2 2 5 5 2 3" xfId="12345" xr:uid="{044FAAF6-224A-4890-AF89-74719CAB328B}"/>
    <cellStyle name="Normal 4 2 2 5 5 2 4" xfId="20786" xr:uid="{E0A91654-A4E5-42CE-8598-33E52E0B5150}"/>
    <cellStyle name="Normal 4 2 2 5 5 2 5" xfId="29226" xr:uid="{FC4DCA89-D175-464F-8984-F5F9B5247C9B}"/>
    <cellStyle name="Normal 4 2 2 5 5 3" xfId="5968" xr:uid="{00000000-0005-0000-0000-000002130000}"/>
    <cellStyle name="Normal 4 2 2 5 5 3 2" xfId="14418" xr:uid="{2BF6834C-77C7-4A15-83F2-123235D22740}"/>
    <cellStyle name="Normal 4 2 2 5 5 3 3" xfId="22858" xr:uid="{3C2F4650-6201-4472-9E88-1DDDC9B96530}"/>
    <cellStyle name="Normal 4 2 2 5 5 3 4" xfId="31298" xr:uid="{C20E5C3B-4885-4A57-B893-18DA5199664C}"/>
    <cellStyle name="Normal 4 2 2 5 5 4" xfId="10200" xr:uid="{96FA5424-2BAC-4355-B05E-9C08E1CDBD18}"/>
    <cellStyle name="Normal 4 2 2 5 5 5" xfId="18641" xr:uid="{DA7DC6FB-E373-42FA-82F1-82EBB4AD8EA0}"/>
    <cellStyle name="Normal 4 2 2 5 5 6" xfId="27081" xr:uid="{3FA88CD3-A56C-4B3E-8DA1-C5BE9F07ABE0}"/>
    <cellStyle name="Normal 4 2 2 5 6" xfId="2075" xr:uid="{00000000-0005-0000-0000-000003130000}"/>
    <cellStyle name="Normal 4 2 2 5 6 2" xfId="4304" xr:uid="{00000000-0005-0000-0000-000004130000}"/>
    <cellStyle name="Normal 4 2 2 5 6 2 2" xfId="8526" xr:uid="{00000000-0005-0000-0000-000005130000}"/>
    <cellStyle name="Normal 4 2 2 5 6 2 2 2" xfId="16976" xr:uid="{82AF9EEB-FA16-4734-AEC8-8E22872D3A61}"/>
    <cellStyle name="Normal 4 2 2 5 6 2 2 3" xfId="25416" xr:uid="{DAFC7C4E-E8B6-4906-8B8B-546F62C2F1A5}"/>
    <cellStyle name="Normal 4 2 2 5 6 2 2 4" xfId="33856" xr:uid="{3E86D56E-D84B-4EEB-9E76-7F1B324F43F0}"/>
    <cellStyle name="Normal 4 2 2 5 6 2 3" xfId="12758" xr:uid="{F483420B-1B07-4163-B5EB-D104EDB490E7}"/>
    <cellStyle name="Normal 4 2 2 5 6 2 4" xfId="21199" xr:uid="{1751DB5D-5264-404C-AC01-7370797F40BE}"/>
    <cellStyle name="Normal 4 2 2 5 6 2 5" xfId="29639" xr:uid="{7DE84D07-8E03-4916-AA6C-179C2A44BA42}"/>
    <cellStyle name="Normal 4 2 2 5 6 3" xfId="6381" xr:uid="{00000000-0005-0000-0000-000006130000}"/>
    <cellStyle name="Normal 4 2 2 5 6 3 2" xfId="14831" xr:uid="{9432B732-C719-423B-A354-E3AD425465B2}"/>
    <cellStyle name="Normal 4 2 2 5 6 3 3" xfId="23271" xr:uid="{8EF4136B-805F-4B97-886A-68245AC9F5E1}"/>
    <cellStyle name="Normal 4 2 2 5 6 3 4" xfId="31711" xr:uid="{14BF788C-A873-412C-A65A-F8646BBAA20B}"/>
    <cellStyle name="Normal 4 2 2 5 6 4" xfId="10613" xr:uid="{EAC7D71B-28E9-49F6-B321-8646D8161FDA}"/>
    <cellStyle name="Normal 4 2 2 5 6 5" xfId="19054" xr:uid="{0830A428-06DE-4EDF-AFE9-028DBD1FF65C}"/>
    <cellStyle name="Normal 4 2 2 5 6 6" xfId="27494" xr:uid="{2E1CC798-1E74-49B6-892C-D0D71441B46C}"/>
    <cellStyle name="Normal 4 2 2 5 7" xfId="2511" xr:uid="{00000000-0005-0000-0000-000007130000}"/>
    <cellStyle name="Normal 4 2 2 5 7 2" xfId="6794" xr:uid="{00000000-0005-0000-0000-000008130000}"/>
    <cellStyle name="Normal 4 2 2 5 7 2 2" xfId="15244" xr:uid="{5EB6BB30-7606-4338-B61A-3C537B670AA6}"/>
    <cellStyle name="Normal 4 2 2 5 7 2 3" xfId="23684" xr:uid="{20E466A7-1CDB-4BD5-BD2C-1A0C06655B37}"/>
    <cellStyle name="Normal 4 2 2 5 7 2 4" xfId="32124" xr:uid="{8F82E9DA-9FAE-4315-B464-3BBA90F77611}"/>
    <cellStyle name="Normal 4 2 2 5 7 3" xfId="11026" xr:uid="{0BB98FBD-50FC-4571-9B3B-31631F2EBA09}"/>
    <cellStyle name="Normal 4 2 2 5 7 4" xfId="19467" xr:uid="{46B13BE2-A9EA-458F-B530-187F3D7EAB09}"/>
    <cellStyle name="Normal 4 2 2 5 7 5" xfId="27907" xr:uid="{0741A24C-22AF-40D6-B22E-95DF46312495}"/>
    <cellStyle name="Normal 4 2 2 5 8" xfId="4729" xr:uid="{00000000-0005-0000-0000-000009130000}"/>
    <cellStyle name="Normal 4 2 2 5 8 2" xfId="13179" xr:uid="{0ABBE357-1E2B-409C-AFD1-76CA7207F916}"/>
    <cellStyle name="Normal 4 2 2 5 8 3" xfId="21619" xr:uid="{F6919C35-FCC8-4844-B9F1-2074BF106C37}"/>
    <cellStyle name="Normal 4 2 2 5 8 4" xfId="30059" xr:uid="{33816237-0588-48F7-A883-84350B37D596}"/>
    <cellStyle name="Normal 4 2 2 5 9" xfId="8961" xr:uid="{6544EEC1-ACE7-4091-800A-C1310D2D737A}"/>
    <cellStyle name="Normal 4 2 2 6" xfId="353" xr:uid="{00000000-0005-0000-0000-00000A130000}"/>
    <cellStyle name="Normal 4 2 2 6 10" xfId="25844" xr:uid="{4FA8D684-CD2D-4405-9676-FE24E3C683FF}"/>
    <cellStyle name="Normal 4 2 2 6 2" xfId="830" xr:uid="{00000000-0005-0000-0000-00000B130000}"/>
    <cellStyle name="Normal 4 2 2 6 2 2" xfId="3067" xr:uid="{00000000-0005-0000-0000-00000C130000}"/>
    <cellStyle name="Normal 4 2 2 6 2 2 2" xfId="7289" xr:uid="{00000000-0005-0000-0000-00000D130000}"/>
    <cellStyle name="Normal 4 2 2 6 2 2 2 2" xfId="15739" xr:uid="{46EFBFBD-02B7-48AF-96EF-157F17C755CE}"/>
    <cellStyle name="Normal 4 2 2 6 2 2 2 3" xfId="24179" xr:uid="{31A907B1-95CC-405C-A766-078465D23695}"/>
    <cellStyle name="Normal 4 2 2 6 2 2 2 4" xfId="32619" xr:uid="{7BF587A2-70E5-4520-9480-C89A18C6FBB9}"/>
    <cellStyle name="Normal 4 2 2 6 2 2 3" xfId="11521" xr:uid="{049E4289-B26E-460B-B187-B7787CA708F2}"/>
    <cellStyle name="Normal 4 2 2 6 2 2 4" xfId="19962" xr:uid="{A6460B32-1D59-45D0-9B12-1A3C9DED6FB1}"/>
    <cellStyle name="Normal 4 2 2 6 2 2 5" xfId="28402" xr:uid="{FDFD66E5-2406-45A2-86D7-38B6ECDF5912}"/>
    <cellStyle name="Normal 4 2 2 6 2 3" xfId="5144" xr:uid="{00000000-0005-0000-0000-00000E130000}"/>
    <cellStyle name="Normal 4 2 2 6 2 3 2" xfId="13594" xr:uid="{F91F8D9A-2454-46BF-BF82-953961167C54}"/>
    <cellStyle name="Normal 4 2 2 6 2 3 3" xfId="22034" xr:uid="{A45E4DCA-5D89-4BD4-BC4F-60111E24DEC6}"/>
    <cellStyle name="Normal 4 2 2 6 2 3 4" xfId="30474" xr:uid="{E72059A4-7B57-4830-A4AB-8D3DE226E604}"/>
    <cellStyle name="Normal 4 2 2 6 2 4" xfId="9376" xr:uid="{8F34FB3B-C0B1-436C-8E35-04FE0768A78A}"/>
    <cellStyle name="Normal 4 2 2 6 2 5" xfId="17817" xr:uid="{00DB50B0-2F99-41EE-85B3-C23497F4C536}"/>
    <cellStyle name="Normal 4 2 2 6 2 6" xfId="26257" xr:uid="{8E076F5F-51C7-4DEA-A198-5AC4EE09527C}"/>
    <cellStyle name="Normal 4 2 2 6 3" xfId="1250" xr:uid="{00000000-0005-0000-0000-00000F130000}"/>
    <cellStyle name="Normal 4 2 2 6 3 2" xfId="3480" xr:uid="{00000000-0005-0000-0000-000010130000}"/>
    <cellStyle name="Normal 4 2 2 6 3 2 2" xfId="7702" xr:uid="{00000000-0005-0000-0000-000011130000}"/>
    <cellStyle name="Normal 4 2 2 6 3 2 2 2" xfId="16152" xr:uid="{3A2A0A54-B3B3-4DFD-95BE-7DBE491D1E7B}"/>
    <cellStyle name="Normal 4 2 2 6 3 2 2 3" xfId="24592" xr:uid="{CD93C8F4-984B-4BE3-ACF9-BD2ECC3E1140}"/>
    <cellStyle name="Normal 4 2 2 6 3 2 2 4" xfId="33032" xr:uid="{B01A1A79-FB6C-4548-BEEB-7685DF598C32}"/>
    <cellStyle name="Normal 4 2 2 6 3 2 3" xfId="11934" xr:uid="{B657D22E-FAAE-4E56-8F07-319D3545BE2B}"/>
    <cellStyle name="Normal 4 2 2 6 3 2 4" xfId="20375" xr:uid="{8A9851DF-A03B-4A53-ACF9-73AF6EC651F8}"/>
    <cellStyle name="Normal 4 2 2 6 3 2 5" xfId="28815" xr:uid="{4389C438-E718-4E47-8CDC-B0747CF16463}"/>
    <cellStyle name="Normal 4 2 2 6 3 3" xfId="5557" xr:uid="{00000000-0005-0000-0000-000012130000}"/>
    <cellStyle name="Normal 4 2 2 6 3 3 2" xfId="14007" xr:uid="{BC40BBB5-C50D-46E5-B376-355D31EAC618}"/>
    <cellStyle name="Normal 4 2 2 6 3 3 3" xfId="22447" xr:uid="{8A270CF9-7726-4CF5-B903-9C1FACA84E37}"/>
    <cellStyle name="Normal 4 2 2 6 3 3 4" xfId="30887" xr:uid="{0179E0D0-15E4-44D7-B74C-0EBE6E4C9FE8}"/>
    <cellStyle name="Normal 4 2 2 6 3 4" xfId="9789" xr:uid="{1DA71DED-17E1-4F19-86E3-B5077405DCD7}"/>
    <cellStyle name="Normal 4 2 2 6 3 5" xfId="18230" xr:uid="{BD81F249-6D56-460D-B879-FB3FDC7F7591}"/>
    <cellStyle name="Normal 4 2 2 6 3 6" xfId="26670" xr:uid="{578C3515-7740-4FFF-A2BD-3AD8C3BE4B85}"/>
    <cellStyle name="Normal 4 2 2 6 4" xfId="1663" xr:uid="{00000000-0005-0000-0000-000013130000}"/>
    <cellStyle name="Normal 4 2 2 6 4 2" xfId="3893" xr:uid="{00000000-0005-0000-0000-000014130000}"/>
    <cellStyle name="Normal 4 2 2 6 4 2 2" xfId="8115" xr:uid="{00000000-0005-0000-0000-000015130000}"/>
    <cellStyle name="Normal 4 2 2 6 4 2 2 2" xfId="16565" xr:uid="{25E8F0A5-84B4-4A93-B507-2E8E3C6EA150}"/>
    <cellStyle name="Normal 4 2 2 6 4 2 2 3" xfId="25005" xr:uid="{B05B97B2-FCAA-4868-B1C6-F15C71A833AE}"/>
    <cellStyle name="Normal 4 2 2 6 4 2 2 4" xfId="33445" xr:uid="{6F1F6D4A-58A8-4AA7-9883-AEAA04A96BD9}"/>
    <cellStyle name="Normal 4 2 2 6 4 2 3" xfId="12347" xr:uid="{E0BE9225-4D53-425B-B415-D3FB73736B94}"/>
    <cellStyle name="Normal 4 2 2 6 4 2 4" xfId="20788" xr:uid="{233302B8-6C2F-4BDB-81B9-D756DFCAF908}"/>
    <cellStyle name="Normal 4 2 2 6 4 2 5" xfId="29228" xr:uid="{06D37166-D719-41E2-8CB8-8675535BAAE4}"/>
    <cellStyle name="Normal 4 2 2 6 4 3" xfId="5970" xr:uid="{00000000-0005-0000-0000-000016130000}"/>
    <cellStyle name="Normal 4 2 2 6 4 3 2" xfId="14420" xr:uid="{BED87DBF-F11B-4A28-9F74-F3D67AEC14DE}"/>
    <cellStyle name="Normal 4 2 2 6 4 3 3" xfId="22860" xr:uid="{D9A8C5BA-2A37-4969-9775-2B01BE6E1477}"/>
    <cellStyle name="Normal 4 2 2 6 4 3 4" xfId="31300" xr:uid="{C2247674-9AB2-4C3D-BCD4-2FB286F3C386}"/>
    <cellStyle name="Normal 4 2 2 6 4 4" xfId="10202" xr:uid="{2D37ABE4-9373-423B-9CB0-BAFCDC5BAA3D}"/>
    <cellStyle name="Normal 4 2 2 6 4 5" xfId="18643" xr:uid="{E995699A-4BF2-46B2-8360-804A85B6F23B}"/>
    <cellStyle name="Normal 4 2 2 6 4 6" xfId="27083" xr:uid="{A35E7C81-5FEE-4990-9D39-6EB80F893682}"/>
    <cellStyle name="Normal 4 2 2 6 5" xfId="2077" xr:uid="{00000000-0005-0000-0000-000017130000}"/>
    <cellStyle name="Normal 4 2 2 6 5 2" xfId="4306" xr:uid="{00000000-0005-0000-0000-000018130000}"/>
    <cellStyle name="Normal 4 2 2 6 5 2 2" xfId="8528" xr:uid="{00000000-0005-0000-0000-000019130000}"/>
    <cellStyle name="Normal 4 2 2 6 5 2 2 2" xfId="16978" xr:uid="{1CBE2EB6-B8A3-4C63-A4CC-ECE4ADAA0CCE}"/>
    <cellStyle name="Normal 4 2 2 6 5 2 2 3" xfId="25418" xr:uid="{EFC321C3-682B-4152-9CE6-EA8B0B0F562C}"/>
    <cellStyle name="Normal 4 2 2 6 5 2 2 4" xfId="33858" xr:uid="{73BB0617-0BC1-4557-B2F0-885EBBB26230}"/>
    <cellStyle name="Normal 4 2 2 6 5 2 3" xfId="12760" xr:uid="{5EA882FF-B240-4696-B491-4B6D2DED553B}"/>
    <cellStyle name="Normal 4 2 2 6 5 2 4" xfId="21201" xr:uid="{938235DC-CCDB-481D-A211-EE537A09C72E}"/>
    <cellStyle name="Normal 4 2 2 6 5 2 5" xfId="29641" xr:uid="{F5E1F08E-C0D3-441D-B8B9-B60FEB8C60BC}"/>
    <cellStyle name="Normal 4 2 2 6 5 3" xfId="6383" xr:uid="{00000000-0005-0000-0000-00001A130000}"/>
    <cellStyle name="Normal 4 2 2 6 5 3 2" xfId="14833" xr:uid="{47C6A0E9-0671-4FAA-A06C-64FC9A7E08FA}"/>
    <cellStyle name="Normal 4 2 2 6 5 3 3" xfId="23273" xr:uid="{3AB24BF3-D31B-4DF5-9FDA-4D82728E122D}"/>
    <cellStyle name="Normal 4 2 2 6 5 3 4" xfId="31713" xr:uid="{9B92F0B6-5569-4D5D-8897-1CAC95E8C49D}"/>
    <cellStyle name="Normal 4 2 2 6 5 4" xfId="10615" xr:uid="{A75745E7-9B11-4E86-885C-F50D60AF19DD}"/>
    <cellStyle name="Normal 4 2 2 6 5 5" xfId="19056" xr:uid="{D4A79981-9B93-43B2-9B45-FCB3B9B86CD8}"/>
    <cellStyle name="Normal 4 2 2 6 5 6" xfId="27496" xr:uid="{1A355057-609A-41E0-8A45-451DABA49084}"/>
    <cellStyle name="Normal 4 2 2 6 6" xfId="2513" xr:uid="{00000000-0005-0000-0000-00001B130000}"/>
    <cellStyle name="Normal 4 2 2 6 6 2" xfId="6796" xr:uid="{00000000-0005-0000-0000-00001C130000}"/>
    <cellStyle name="Normal 4 2 2 6 6 2 2" xfId="15246" xr:uid="{B0315E84-A934-48F7-953A-0EB95501BF74}"/>
    <cellStyle name="Normal 4 2 2 6 6 2 3" xfId="23686" xr:uid="{74D3E760-77B5-4B10-932D-022F8A61002D}"/>
    <cellStyle name="Normal 4 2 2 6 6 2 4" xfId="32126" xr:uid="{5240D8AB-A6F1-4A3C-B117-A9CF0950E4B0}"/>
    <cellStyle name="Normal 4 2 2 6 6 3" xfId="11028" xr:uid="{53368DCD-1CA7-4937-B7A2-A7A9526454B8}"/>
    <cellStyle name="Normal 4 2 2 6 6 4" xfId="19469" xr:uid="{0C9056E1-B2A6-4ADC-8488-7EC8A3FCCE5D}"/>
    <cellStyle name="Normal 4 2 2 6 6 5" xfId="27909" xr:uid="{2E27C19B-ADF1-4D04-A28C-034D31B17BA0}"/>
    <cellStyle name="Normal 4 2 2 6 7" xfId="4731" xr:uid="{00000000-0005-0000-0000-00001D130000}"/>
    <cellStyle name="Normal 4 2 2 6 7 2" xfId="13181" xr:uid="{CA6FFB03-ECD6-4AA2-8662-1E611A3936E9}"/>
    <cellStyle name="Normal 4 2 2 6 7 3" xfId="21621" xr:uid="{490ADC79-0F6B-45CF-9340-F79778FFCF1E}"/>
    <cellStyle name="Normal 4 2 2 6 7 4" xfId="30061" xr:uid="{90EE9321-31FF-4AD5-90AF-44D9EC2F9473}"/>
    <cellStyle name="Normal 4 2 2 6 8" xfId="8963" xr:uid="{D155EA04-EEE3-46F6-9113-86AD2E51BE19}"/>
    <cellStyle name="Normal 4 2 2 6 9" xfId="17404" xr:uid="{2F6804D2-7461-4E15-BC5B-AF4BEBFC811C}"/>
    <cellStyle name="Normal 4 2 2 7" xfId="815" xr:uid="{00000000-0005-0000-0000-00001E130000}"/>
    <cellStyle name="Normal 4 2 2 7 2" xfId="3052" xr:uid="{00000000-0005-0000-0000-00001F130000}"/>
    <cellStyle name="Normal 4 2 2 7 2 2" xfId="7274" xr:uid="{00000000-0005-0000-0000-000020130000}"/>
    <cellStyle name="Normal 4 2 2 7 2 2 2" xfId="15724" xr:uid="{6FA295A8-1A48-4F53-8E21-2521FE77140D}"/>
    <cellStyle name="Normal 4 2 2 7 2 2 3" xfId="24164" xr:uid="{E8062023-877F-42DE-9D2C-E790F3AD95F1}"/>
    <cellStyle name="Normal 4 2 2 7 2 2 4" xfId="32604" xr:uid="{BCE89800-79FA-434D-9DC7-E106020C351B}"/>
    <cellStyle name="Normal 4 2 2 7 2 3" xfId="11506" xr:uid="{87D450D5-FD7B-403A-A581-231536DB0696}"/>
    <cellStyle name="Normal 4 2 2 7 2 4" xfId="19947" xr:uid="{20914C25-4111-4807-9C4E-DC0F8B4AE00A}"/>
    <cellStyle name="Normal 4 2 2 7 2 5" xfId="28387" xr:uid="{E5222179-63C7-4FD7-B62B-6953C426FC12}"/>
    <cellStyle name="Normal 4 2 2 7 3" xfId="5129" xr:uid="{00000000-0005-0000-0000-000021130000}"/>
    <cellStyle name="Normal 4 2 2 7 3 2" xfId="13579" xr:uid="{D814C09D-9AD3-48D9-AF50-71F9B2718DE0}"/>
    <cellStyle name="Normal 4 2 2 7 3 3" xfId="22019" xr:uid="{97FA83EF-12E8-4ECA-80D8-93B3736CBB7C}"/>
    <cellStyle name="Normal 4 2 2 7 3 4" xfId="30459" xr:uid="{A00A6A38-4143-495A-9258-9602A9ABDD69}"/>
    <cellStyle name="Normal 4 2 2 7 4" xfId="9361" xr:uid="{B15DCFF3-6E85-4D1D-89AF-9EF3E2C676AA}"/>
    <cellStyle name="Normal 4 2 2 7 5" xfId="17802" xr:uid="{CE749430-FECF-45FB-B545-40DA23CE29B2}"/>
    <cellStyle name="Normal 4 2 2 7 6" xfId="26242" xr:uid="{730DF58C-1398-4DE6-90A1-12F4D5731E6D}"/>
    <cellStyle name="Normal 4 2 2 8" xfId="1235" xr:uid="{00000000-0005-0000-0000-000022130000}"/>
    <cellStyle name="Normal 4 2 2 8 2" xfId="3465" xr:uid="{00000000-0005-0000-0000-000023130000}"/>
    <cellStyle name="Normal 4 2 2 8 2 2" xfId="7687" xr:uid="{00000000-0005-0000-0000-000024130000}"/>
    <cellStyle name="Normal 4 2 2 8 2 2 2" xfId="16137" xr:uid="{2F9943A2-E15B-413E-9DC4-483449BDCB4C}"/>
    <cellStyle name="Normal 4 2 2 8 2 2 3" xfId="24577" xr:uid="{C3F0F3EF-D613-4F88-8213-DF5BA2DEEF87}"/>
    <cellStyle name="Normal 4 2 2 8 2 2 4" xfId="33017" xr:uid="{6D3E83E3-6A9D-41A4-A085-D2BD4BACC7C2}"/>
    <cellStyle name="Normal 4 2 2 8 2 3" xfId="11919" xr:uid="{E966741B-11DE-4877-A74C-79AC97BEEB5A}"/>
    <cellStyle name="Normal 4 2 2 8 2 4" xfId="20360" xr:uid="{6BB98E41-4017-49E8-A9FF-87328C155679}"/>
    <cellStyle name="Normal 4 2 2 8 2 5" xfId="28800" xr:uid="{3C8FE2F5-D7BA-4C3E-A743-58A218023304}"/>
    <cellStyle name="Normal 4 2 2 8 3" xfId="5542" xr:uid="{00000000-0005-0000-0000-000025130000}"/>
    <cellStyle name="Normal 4 2 2 8 3 2" xfId="13992" xr:uid="{C50DC95A-593E-4F0E-A1B3-E7D544AAD7FA}"/>
    <cellStyle name="Normal 4 2 2 8 3 3" xfId="22432" xr:uid="{F0BE83E4-7460-4891-9FAB-6C7C04951D5D}"/>
    <cellStyle name="Normal 4 2 2 8 3 4" xfId="30872" xr:uid="{5BC31A2B-F376-441C-9534-7870E3C19C46}"/>
    <cellStyle name="Normal 4 2 2 8 4" xfId="9774" xr:uid="{999C6A67-8608-4929-8875-52E6CD2B9600}"/>
    <cellStyle name="Normal 4 2 2 8 5" xfId="18215" xr:uid="{FC73CBA4-29D1-460D-B77C-E8C45143B974}"/>
    <cellStyle name="Normal 4 2 2 8 6" xfId="26655" xr:uid="{1932DE68-B225-4B82-99EC-154F78CE2856}"/>
    <cellStyle name="Normal 4 2 2 9" xfId="1648" xr:uid="{00000000-0005-0000-0000-000026130000}"/>
    <cellStyle name="Normal 4 2 2 9 2" xfId="3878" xr:uid="{00000000-0005-0000-0000-000027130000}"/>
    <cellStyle name="Normal 4 2 2 9 2 2" xfId="8100" xr:uid="{00000000-0005-0000-0000-000028130000}"/>
    <cellStyle name="Normal 4 2 2 9 2 2 2" xfId="16550" xr:uid="{550D68DB-CF59-4031-AC29-D57F74F665B8}"/>
    <cellStyle name="Normal 4 2 2 9 2 2 3" xfId="24990" xr:uid="{5D08EF56-8E7D-43B0-A11D-91105E9DA46A}"/>
    <cellStyle name="Normal 4 2 2 9 2 2 4" xfId="33430" xr:uid="{8B7FF42E-9F4C-4BFC-B0C1-FB0F7EB5E6CF}"/>
    <cellStyle name="Normal 4 2 2 9 2 3" xfId="12332" xr:uid="{304413FE-3730-4620-9913-25466C2EAB57}"/>
    <cellStyle name="Normal 4 2 2 9 2 4" xfId="20773" xr:uid="{665C6E1C-9060-40D3-8FCB-0985D59B8EA7}"/>
    <cellStyle name="Normal 4 2 2 9 2 5" xfId="29213" xr:uid="{560AA940-ABFF-494A-AD7A-5EB56097ACE9}"/>
    <cellStyle name="Normal 4 2 2 9 3" xfId="5955" xr:uid="{00000000-0005-0000-0000-000029130000}"/>
    <cellStyle name="Normal 4 2 2 9 3 2" xfId="14405" xr:uid="{839BACE6-9C1A-4F15-AFD8-71C92506D545}"/>
    <cellStyle name="Normal 4 2 2 9 3 3" xfId="22845" xr:uid="{C7011FCB-9B3E-4273-AB3E-777F856BA19A}"/>
    <cellStyle name="Normal 4 2 2 9 3 4" xfId="31285" xr:uid="{0E7C0E90-EF4E-4083-8DFD-73E69371389F}"/>
    <cellStyle name="Normal 4 2 2 9 4" xfId="10187" xr:uid="{E9B41433-26C3-4E66-8EFF-226EB09EDDFD}"/>
    <cellStyle name="Normal 4 2 2 9 5" xfId="18628" xr:uid="{D321092A-9CCB-4B58-8597-80937796746F}"/>
    <cellStyle name="Normal 4 2 2 9 6" xfId="27068" xr:uid="{5C986F88-80A7-4B77-86DC-E2234B367EB3}"/>
    <cellStyle name="Normal 4 2 3" xfId="354" xr:uid="{00000000-0005-0000-0000-00002A130000}"/>
    <cellStyle name="Normal 4 2 4" xfId="355" xr:uid="{00000000-0005-0000-0000-00002B130000}"/>
    <cellStyle name="Normal 4 2 4 10" xfId="4732" xr:uid="{00000000-0005-0000-0000-00002C130000}"/>
    <cellStyle name="Normal 4 2 4 10 2" xfId="13182" xr:uid="{0C10841D-01FC-4D68-B002-78E4DF3B9D4D}"/>
    <cellStyle name="Normal 4 2 4 10 3" xfId="21622" xr:uid="{C467F972-239F-42B9-9F3B-C055638AA814}"/>
    <cellStyle name="Normal 4 2 4 10 4" xfId="30062" xr:uid="{11BCBF29-A78C-411C-90C1-A640E9E1B068}"/>
    <cellStyle name="Normal 4 2 4 11" xfId="8964" xr:uid="{4CFD80FC-2FE3-4584-AF9D-41855FF6C4A0}"/>
    <cellStyle name="Normal 4 2 4 12" xfId="17405" xr:uid="{C544B61F-5F31-41C7-BEFA-89BC52A7344E}"/>
    <cellStyle name="Normal 4 2 4 13" xfId="25845" xr:uid="{0F7F1E94-7500-403D-8046-1913B671B028}"/>
    <cellStyle name="Normal 4 2 4 2" xfId="356" xr:uid="{00000000-0005-0000-0000-00002D130000}"/>
    <cellStyle name="Normal 4 2 4 2 10" xfId="8965" xr:uid="{AF7DA970-9219-4653-9AFF-1CE52EC3B8E2}"/>
    <cellStyle name="Normal 4 2 4 2 11" xfId="17406" xr:uid="{91A5E895-4976-407D-A149-480A67EEFD00}"/>
    <cellStyle name="Normal 4 2 4 2 12" xfId="25846" xr:uid="{E4BEF6B3-8BEC-4942-B429-33106C1F0446}"/>
    <cellStyle name="Normal 4 2 4 2 2" xfId="357" xr:uid="{00000000-0005-0000-0000-00002E130000}"/>
    <cellStyle name="Normal 4 2 4 2 2 10" xfId="17407" xr:uid="{127428B5-2A3F-4C0D-A5E6-6B89B2B1219C}"/>
    <cellStyle name="Normal 4 2 4 2 2 11" xfId="25847" xr:uid="{5B407EC2-23CA-4A5C-8E52-1D04C4F3F7E5}"/>
    <cellStyle name="Normal 4 2 4 2 2 2" xfId="358" xr:uid="{00000000-0005-0000-0000-00002F130000}"/>
    <cellStyle name="Normal 4 2 4 2 2 2 10" xfId="25848" xr:uid="{884850BC-D5EA-4A4D-88EB-46604642A715}"/>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2 2 2" xfId="15743" xr:uid="{3CE6F159-E269-4F5A-8732-A519859FA1E6}"/>
    <cellStyle name="Normal 4 2 4 2 2 2 2 2 2 3" xfId="24183" xr:uid="{E13411A3-230A-4A52-90C1-0BF54E2919F4}"/>
    <cellStyle name="Normal 4 2 4 2 2 2 2 2 2 4" xfId="32623" xr:uid="{181AB5B1-14CA-47EA-B262-6A81EDD99014}"/>
    <cellStyle name="Normal 4 2 4 2 2 2 2 2 3" xfId="11525" xr:uid="{522F46AB-C755-43AC-B2D6-00FA8CBFBE10}"/>
    <cellStyle name="Normal 4 2 4 2 2 2 2 2 4" xfId="19966" xr:uid="{B28A7ADA-0D63-459F-BDF1-AAAA5BFF4A0D}"/>
    <cellStyle name="Normal 4 2 4 2 2 2 2 2 5" xfId="28406" xr:uid="{70D7C46F-E2A8-4162-8D5E-0E99CEB4CEE9}"/>
    <cellStyle name="Normal 4 2 4 2 2 2 2 3" xfId="5148" xr:uid="{00000000-0005-0000-0000-000033130000}"/>
    <cellStyle name="Normal 4 2 4 2 2 2 2 3 2" xfId="13598" xr:uid="{61D097F3-F68A-41F0-976F-8A2E27F8DB2D}"/>
    <cellStyle name="Normal 4 2 4 2 2 2 2 3 3" xfId="22038" xr:uid="{EA000960-085C-4738-B9D0-18413350A805}"/>
    <cellStyle name="Normal 4 2 4 2 2 2 2 3 4" xfId="30478" xr:uid="{68FE26D4-0DA1-4C4D-8D47-FEFEFB46E72D}"/>
    <cellStyle name="Normal 4 2 4 2 2 2 2 4" xfId="9380" xr:uid="{94A9F801-C647-454C-9DFE-46C5BF213F25}"/>
    <cellStyle name="Normal 4 2 4 2 2 2 2 5" xfId="17821" xr:uid="{A5B3BC65-C5B7-4157-A34F-1E59C57439FB}"/>
    <cellStyle name="Normal 4 2 4 2 2 2 2 6" xfId="26261" xr:uid="{3EA54C7B-B13D-4389-BC7F-79F5A714119A}"/>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2 2 2" xfId="16156" xr:uid="{2FA1A751-61F0-4EA2-A968-22BC310FF545}"/>
    <cellStyle name="Normal 4 2 4 2 2 2 3 2 2 3" xfId="24596" xr:uid="{B86F33D1-2CFB-4ABB-8E29-1A30B2E0DA6B}"/>
    <cellStyle name="Normal 4 2 4 2 2 2 3 2 2 4" xfId="33036" xr:uid="{F16BCDD4-8718-4919-BD87-D490E47A5221}"/>
    <cellStyle name="Normal 4 2 4 2 2 2 3 2 3" xfId="11938" xr:uid="{09EF4E17-E4E6-4638-B5D1-07BF67B82663}"/>
    <cellStyle name="Normal 4 2 4 2 2 2 3 2 4" xfId="20379" xr:uid="{D3875B12-397F-45BE-BCF4-D980D1B63599}"/>
    <cellStyle name="Normal 4 2 4 2 2 2 3 2 5" xfId="28819" xr:uid="{51D0C7CE-4085-4E5D-8522-A52396E10EA8}"/>
    <cellStyle name="Normal 4 2 4 2 2 2 3 3" xfId="5561" xr:uid="{00000000-0005-0000-0000-000037130000}"/>
    <cellStyle name="Normal 4 2 4 2 2 2 3 3 2" xfId="14011" xr:uid="{6685EB13-EAA2-48BB-B396-9B3D2ACA8F64}"/>
    <cellStyle name="Normal 4 2 4 2 2 2 3 3 3" xfId="22451" xr:uid="{05CF7AFF-6827-469B-8427-7DF0DECFC916}"/>
    <cellStyle name="Normal 4 2 4 2 2 2 3 3 4" xfId="30891" xr:uid="{7D4E2AD0-29EC-4EEE-92CD-FCF3B73B0FC5}"/>
    <cellStyle name="Normal 4 2 4 2 2 2 3 4" xfId="9793" xr:uid="{C3DE6ED7-AA99-47FF-8C7A-759F99B23828}"/>
    <cellStyle name="Normal 4 2 4 2 2 2 3 5" xfId="18234" xr:uid="{08E1E987-34F2-4E8C-8E53-4392639592A7}"/>
    <cellStyle name="Normal 4 2 4 2 2 2 3 6" xfId="26674" xr:uid="{79C8F45F-C427-41B2-BAB9-C6FC5097BC6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2 2 2" xfId="16569" xr:uid="{1DACCBA5-E48A-42E1-B25D-82A7F1A98E8A}"/>
    <cellStyle name="Normal 4 2 4 2 2 2 4 2 2 3" xfId="25009" xr:uid="{A4C8AE36-354C-46AE-B145-1B7B5E00BF77}"/>
    <cellStyle name="Normal 4 2 4 2 2 2 4 2 2 4" xfId="33449" xr:uid="{FAE94602-AC54-4D90-B84F-A0DF1BBE5B0A}"/>
    <cellStyle name="Normal 4 2 4 2 2 2 4 2 3" xfId="12351" xr:uid="{C7871312-D53F-4A11-A476-55BE0F486FBC}"/>
    <cellStyle name="Normal 4 2 4 2 2 2 4 2 4" xfId="20792" xr:uid="{8A0BED24-8B13-495D-9119-8DA0337AAB14}"/>
    <cellStyle name="Normal 4 2 4 2 2 2 4 2 5" xfId="29232" xr:uid="{345B0914-4803-46CD-9AED-5CED11EE5842}"/>
    <cellStyle name="Normal 4 2 4 2 2 2 4 3" xfId="5974" xr:uid="{00000000-0005-0000-0000-00003B130000}"/>
    <cellStyle name="Normal 4 2 4 2 2 2 4 3 2" xfId="14424" xr:uid="{70A7B2A2-52A6-4431-A595-B1457589D202}"/>
    <cellStyle name="Normal 4 2 4 2 2 2 4 3 3" xfId="22864" xr:uid="{9B03C3A1-751F-429F-90BD-6A94B7BA96D3}"/>
    <cellStyle name="Normal 4 2 4 2 2 2 4 3 4" xfId="31304" xr:uid="{FC0BC68B-B670-408F-957E-9870F4AE2652}"/>
    <cellStyle name="Normal 4 2 4 2 2 2 4 4" xfId="10206" xr:uid="{7B1860BB-ED5D-4D7E-871D-BBC29DC64E2F}"/>
    <cellStyle name="Normal 4 2 4 2 2 2 4 5" xfId="18647" xr:uid="{A1C7CE3C-40A5-46C4-8B24-5F5895D534B5}"/>
    <cellStyle name="Normal 4 2 4 2 2 2 4 6" xfId="27087" xr:uid="{856CD083-261B-4591-8173-A42F0C180DF9}"/>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2 2 2" xfId="16982" xr:uid="{0E43931B-126F-496C-905F-03901A3B3E83}"/>
    <cellStyle name="Normal 4 2 4 2 2 2 5 2 2 3" xfId="25422" xr:uid="{A469AAF1-60D7-4DA3-A099-9C763AEA267A}"/>
    <cellStyle name="Normal 4 2 4 2 2 2 5 2 2 4" xfId="33862" xr:uid="{D22538D8-698B-4CDF-83A9-DCD8A9E3C15F}"/>
    <cellStyle name="Normal 4 2 4 2 2 2 5 2 3" xfId="12764" xr:uid="{F4E399D8-FC9F-4FAB-A4D9-3DDD386ED4B1}"/>
    <cellStyle name="Normal 4 2 4 2 2 2 5 2 4" xfId="21205" xr:uid="{FF70F138-F812-458C-BC2F-A048ECBF12C1}"/>
    <cellStyle name="Normal 4 2 4 2 2 2 5 2 5" xfId="29645" xr:uid="{0F286399-49EC-4357-8C23-F5F3AECCC7C7}"/>
    <cellStyle name="Normal 4 2 4 2 2 2 5 3" xfId="6387" xr:uid="{00000000-0005-0000-0000-00003F130000}"/>
    <cellStyle name="Normal 4 2 4 2 2 2 5 3 2" xfId="14837" xr:uid="{5BDA60A0-9DCC-4064-8873-D2F666C8CBE4}"/>
    <cellStyle name="Normal 4 2 4 2 2 2 5 3 3" xfId="23277" xr:uid="{B96F4446-C006-4916-92B8-B2DA363E0FCE}"/>
    <cellStyle name="Normal 4 2 4 2 2 2 5 3 4" xfId="31717" xr:uid="{A76391E6-087A-41C9-A71E-8E78D910600F}"/>
    <cellStyle name="Normal 4 2 4 2 2 2 5 4" xfId="10619" xr:uid="{5A114FE6-E9B6-4CEE-866B-3A7C2B7D5933}"/>
    <cellStyle name="Normal 4 2 4 2 2 2 5 5" xfId="19060" xr:uid="{A070AB96-0F6A-4339-B2CD-31497F0FDB60}"/>
    <cellStyle name="Normal 4 2 4 2 2 2 5 6" xfId="27500" xr:uid="{3F56AE2B-E61B-46A0-8778-CFAA70DAD4F0}"/>
    <cellStyle name="Normal 4 2 4 2 2 2 6" xfId="2517" xr:uid="{00000000-0005-0000-0000-000040130000}"/>
    <cellStyle name="Normal 4 2 4 2 2 2 6 2" xfId="6800" xr:uid="{00000000-0005-0000-0000-000041130000}"/>
    <cellStyle name="Normal 4 2 4 2 2 2 6 2 2" xfId="15250" xr:uid="{C62B2DAC-48A8-4DBC-9250-0DDD27369119}"/>
    <cellStyle name="Normal 4 2 4 2 2 2 6 2 3" xfId="23690" xr:uid="{150F5D53-C534-4914-A227-D934FF075481}"/>
    <cellStyle name="Normal 4 2 4 2 2 2 6 2 4" xfId="32130" xr:uid="{99AB6B20-E342-44DD-878A-FD36F1B820CC}"/>
    <cellStyle name="Normal 4 2 4 2 2 2 6 3" xfId="11032" xr:uid="{20C2093E-BCBB-485D-89A1-10B38190661F}"/>
    <cellStyle name="Normal 4 2 4 2 2 2 6 4" xfId="19473" xr:uid="{77E452D5-DB38-45AD-8050-A52421487410}"/>
    <cellStyle name="Normal 4 2 4 2 2 2 6 5" xfId="27913" xr:uid="{3D1ADC80-A7B1-4205-8AFA-C51DB6D805BC}"/>
    <cellStyle name="Normal 4 2 4 2 2 2 7" xfId="4735" xr:uid="{00000000-0005-0000-0000-000042130000}"/>
    <cellStyle name="Normal 4 2 4 2 2 2 7 2" xfId="13185" xr:uid="{AC5D7A8A-D2FC-473F-A0DE-9933255E8965}"/>
    <cellStyle name="Normal 4 2 4 2 2 2 7 3" xfId="21625" xr:uid="{06FC0D9C-90DC-42CB-8B60-B7D1FE3F395B}"/>
    <cellStyle name="Normal 4 2 4 2 2 2 7 4" xfId="30065" xr:uid="{F475F60C-251A-488D-A5B6-AC109DD51646}"/>
    <cellStyle name="Normal 4 2 4 2 2 2 8" xfId="8967" xr:uid="{B1E2ACBD-24BA-4319-AD41-AA678B975767}"/>
    <cellStyle name="Normal 4 2 4 2 2 2 9" xfId="17408" xr:uid="{7F4DB812-82B2-43EA-A582-5754211A5345}"/>
    <cellStyle name="Normal 4 2 4 2 2 3" xfId="833" xr:uid="{00000000-0005-0000-0000-000043130000}"/>
    <cellStyle name="Normal 4 2 4 2 2 3 2" xfId="3070" xr:uid="{00000000-0005-0000-0000-000044130000}"/>
    <cellStyle name="Normal 4 2 4 2 2 3 2 2" xfId="7292" xr:uid="{00000000-0005-0000-0000-000045130000}"/>
    <cellStyle name="Normal 4 2 4 2 2 3 2 2 2" xfId="15742" xr:uid="{E8E647B8-B62F-41BD-8BE6-8069E6CE6CBE}"/>
    <cellStyle name="Normal 4 2 4 2 2 3 2 2 3" xfId="24182" xr:uid="{05F1E706-6C31-4C0D-8DDE-AE7B0030B52F}"/>
    <cellStyle name="Normal 4 2 4 2 2 3 2 2 4" xfId="32622" xr:uid="{EC25F334-B37E-4429-9390-99066DEFA519}"/>
    <cellStyle name="Normal 4 2 4 2 2 3 2 3" xfId="11524" xr:uid="{01BCA512-E48B-4585-8062-50F2EF3EC9DA}"/>
    <cellStyle name="Normal 4 2 4 2 2 3 2 4" xfId="19965" xr:uid="{C47BD790-3A27-42C6-8CF9-8AE234201D85}"/>
    <cellStyle name="Normal 4 2 4 2 2 3 2 5" xfId="28405" xr:uid="{B4AE3C5B-E6AC-43E7-ADA7-7060ECDA4273}"/>
    <cellStyle name="Normal 4 2 4 2 2 3 3" xfId="5147" xr:uid="{00000000-0005-0000-0000-000046130000}"/>
    <cellStyle name="Normal 4 2 4 2 2 3 3 2" xfId="13597" xr:uid="{DCA581C5-0E7A-4CA5-9108-0AF7BD241CF2}"/>
    <cellStyle name="Normal 4 2 4 2 2 3 3 3" xfId="22037" xr:uid="{0ED2A5AA-D717-459B-AF1E-F4F0CF8DE693}"/>
    <cellStyle name="Normal 4 2 4 2 2 3 3 4" xfId="30477" xr:uid="{96A1CC96-72FC-4915-84B8-AF5CE9936753}"/>
    <cellStyle name="Normal 4 2 4 2 2 3 4" xfId="9379" xr:uid="{871EC596-4995-4B78-8945-15522A554C56}"/>
    <cellStyle name="Normal 4 2 4 2 2 3 5" xfId="17820" xr:uid="{7F5C83C7-3ECD-40E0-B5C2-C07097410FDE}"/>
    <cellStyle name="Normal 4 2 4 2 2 3 6" xfId="26260" xr:uid="{EF9584FC-62BD-4C40-84D9-FAE705150AE1}"/>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2 2 2" xfId="16155" xr:uid="{730C58A2-8034-4166-8543-21423AE1B2DA}"/>
    <cellStyle name="Normal 4 2 4 2 2 4 2 2 3" xfId="24595" xr:uid="{F745508C-7B1C-44FB-93FA-92DD0F5F75F2}"/>
    <cellStyle name="Normal 4 2 4 2 2 4 2 2 4" xfId="33035" xr:uid="{0976F7BA-44B1-40BD-8223-5C0C0DC40E4F}"/>
    <cellStyle name="Normal 4 2 4 2 2 4 2 3" xfId="11937" xr:uid="{0C1DAEEA-9A62-4E15-A182-B116C601BBD9}"/>
    <cellStyle name="Normal 4 2 4 2 2 4 2 4" xfId="20378" xr:uid="{B7F94C91-62DA-4A8D-A4C1-31433CCD2FBC}"/>
    <cellStyle name="Normal 4 2 4 2 2 4 2 5" xfId="28818" xr:uid="{269916E1-62F9-4C78-BFCA-3D30CC89FE86}"/>
    <cellStyle name="Normal 4 2 4 2 2 4 3" xfId="5560" xr:uid="{00000000-0005-0000-0000-00004A130000}"/>
    <cellStyle name="Normal 4 2 4 2 2 4 3 2" xfId="14010" xr:uid="{ED1F67C1-0289-423E-9343-39A170F8F502}"/>
    <cellStyle name="Normal 4 2 4 2 2 4 3 3" xfId="22450" xr:uid="{D5EC4DD5-387E-4C71-9595-BB1E022C7165}"/>
    <cellStyle name="Normal 4 2 4 2 2 4 3 4" xfId="30890" xr:uid="{296815D6-9590-48CD-BFFB-7CFF5FA3A27F}"/>
    <cellStyle name="Normal 4 2 4 2 2 4 4" xfId="9792" xr:uid="{990CC90F-207C-4CA8-A76F-3B54F6647867}"/>
    <cellStyle name="Normal 4 2 4 2 2 4 5" xfId="18233" xr:uid="{174A55F9-6932-4E93-844A-613162EB5AEA}"/>
    <cellStyle name="Normal 4 2 4 2 2 4 6" xfId="26673" xr:uid="{92BF6FBD-5986-44A9-8EE6-6A7421FB3E3E}"/>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2 2 2" xfId="16568" xr:uid="{A11D786F-9CB0-4E0B-A5D9-E0C038273B40}"/>
    <cellStyle name="Normal 4 2 4 2 2 5 2 2 3" xfId="25008" xr:uid="{34361538-5BE3-4C68-83FD-52CF0C74F305}"/>
    <cellStyle name="Normal 4 2 4 2 2 5 2 2 4" xfId="33448" xr:uid="{6A34CC27-7869-4B70-9C44-E9497B368BB6}"/>
    <cellStyle name="Normal 4 2 4 2 2 5 2 3" xfId="12350" xr:uid="{C4B75D7C-65FC-40D1-8624-C44B103EDC86}"/>
    <cellStyle name="Normal 4 2 4 2 2 5 2 4" xfId="20791" xr:uid="{D2F8DEFD-A90A-48CB-BDDC-41346C2D14C3}"/>
    <cellStyle name="Normal 4 2 4 2 2 5 2 5" xfId="29231" xr:uid="{03512CDD-1F86-481F-BE3A-FA388370B5E2}"/>
    <cellStyle name="Normal 4 2 4 2 2 5 3" xfId="5973" xr:uid="{00000000-0005-0000-0000-00004E130000}"/>
    <cellStyle name="Normal 4 2 4 2 2 5 3 2" xfId="14423" xr:uid="{8D113CE2-C796-42BA-B98D-9C74EB87FCCE}"/>
    <cellStyle name="Normal 4 2 4 2 2 5 3 3" xfId="22863" xr:uid="{CD08199E-E20D-488A-B146-BFF4CEB1769E}"/>
    <cellStyle name="Normal 4 2 4 2 2 5 3 4" xfId="31303" xr:uid="{14DA50B9-6059-4648-9D21-ADA8100D4B69}"/>
    <cellStyle name="Normal 4 2 4 2 2 5 4" xfId="10205" xr:uid="{343F002F-6045-40D7-B430-A3FD67B356D2}"/>
    <cellStyle name="Normal 4 2 4 2 2 5 5" xfId="18646" xr:uid="{A7905068-5D4D-4CF9-A4C1-EF2960EA87B6}"/>
    <cellStyle name="Normal 4 2 4 2 2 5 6" xfId="27086" xr:uid="{42B2E361-921E-4B7B-9322-79067E0CF4BE}"/>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2 2 2" xfId="16981" xr:uid="{8945918D-2046-4CC2-B0A1-4292BE6A9952}"/>
    <cellStyle name="Normal 4 2 4 2 2 6 2 2 3" xfId="25421" xr:uid="{B457E714-25DD-4473-A50F-B6B138778E2B}"/>
    <cellStyle name="Normal 4 2 4 2 2 6 2 2 4" xfId="33861" xr:uid="{A3A0BBFA-3B60-4B77-ADFD-F0DBC0BF14B6}"/>
    <cellStyle name="Normal 4 2 4 2 2 6 2 3" xfId="12763" xr:uid="{345FA0A9-2D9E-420D-9A7D-C1BDE8CD2AC3}"/>
    <cellStyle name="Normal 4 2 4 2 2 6 2 4" xfId="21204" xr:uid="{A52781CA-C012-4A82-8755-2BC5B2D97DED}"/>
    <cellStyle name="Normal 4 2 4 2 2 6 2 5" xfId="29644" xr:uid="{5C57EDB0-D6AF-4B5B-9405-F4F234EF8BA8}"/>
    <cellStyle name="Normal 4 2 4 2 2 6 3" xfId="6386" xr:uid="{00000000-0005-0000-0000-000052130000}"/>
    <cellStyle name="Normal 4 2 4 2 2 6 3 2" xfId="14836" xr:uid="{91FBFDC1-2B2E-4A73-9052-B6CEFF8AA395}"/>
    <cellStyle name="Normal 4 2 4 2 2 6 3 3" xfId="23276" xr:uid="{F1755AB0-F9BC-438B-B649-9CCE84B93732}"/>
    <cellStyle name="Normal 4 2 4 2 2 6 3 4" xfId="31716" xr:uid="{B0B435BB-A1C1-43E5-8D89-FBDE30961380}"/>
    <cellStyle name="Normal 4 2 4 2 2 6 4" xfId="10618" xr:uid="{3F07B676-C302-41DD-BE82-93C3A03AC00F}"/>
    <cellStyle name="Normal 4 2 4 2 2 6 5" xfId="19059" xr:uid="{89B68511-FC1A-46FD-A5A8-33D39F9DCAAD}"/>
    <cellStyle name="Normal 4 2 4 2 2 6 6" xfId="27499" xr:uid="{6B50B6DA-C350-4320-AC72-990EA036FAE1}"/>
    <cellStyle name="Normal 4 2 4 2 2 7" xfId="2516" xr:uid="{00000000-0005-0000-0000-000053130000}"/>
    <cellStyle name="Normal 4 2 4 2 2 7 2" xfId="6799" xr:uid="{00000000-0005-0000-0000-000054130000}"/>
    <cellStyle name="Normal 4 2 4 2 2 7 2 2" xfId="15249" xr:uid="{04D2B70B-147D-4F0C-A7DD-489ECA42EF91}"/>
    <cellStyle name="Normal 4 2 4 2 2 7 2 3" xfId="23689" xr:uid="{21F64F53-94F5-4382-B4DE-BE5A943C1855}"/>
    <cellStyle name="Normal 4 2 4 2 2 7 2 4" xfId="32129" xr:uid="{B55C0D06-0105-49FF-970C-65AEF8531835}"/>
    <cellStyle name="Normal 4 2 4 2 2 7 3" xfId="11031" xr:uid="{4D047147-3471-421F-ADCA-76C094E4262A}"/>
    <cellStyle name="Normal 4 2 4 2 2 7 4" xfId="19472" xr:uid="{806B74B7-14EF-4FE2-A06C-78796A77CD6C}"/>
    <cellStyle name="Normal 4 2 4 2 2 7 5" xfId="27912" xr:uid="{B6CCCF9A-4455-491E-AD62-EDE58ED7ECCC}"/>
    <cellStyle name="Normal 4 2 4 2 2 8" xfId="4734" xr:uid="{00000000-0005-0000-0000-000055130000}"/>
    <cellStyle name="Normal 4 2 4 2 2 8 2" xfId="13184" xr:uid="{887F7EDA-4329-450A-8D6A-53689B7B8D87}"/>
    <cellStyle name="Normal 4 2 4 2 2 8 3" xfId="21624" xr:uid="{824EFDB7-0C3D-4E57-A074-525C526C3477}"/>
    <cellStyle name="Normal 4 2 4 2 2 8 4" xfId="30064" xr:uid="{2C9B18F4-302C-4F72-802F-DCA51C720E7F}"/>
    <cellStyle name="Normal 4 2 4 2 2 9" xfId="8966" xr:uid="{11060E9D-439E-43D4-9DB2-74345BACF2F8}"/>
    <cellStyle name="Normal 4 2 4 2 3" xfId="359" xr:uid="{00000000-0005-0000-0000-000056130000}"/>
    <cellStyle name="Normal 4 2 4 2 3 10" xfId="25849" xr:uid="{25FAE85E-9C85-44D4-B920-DE60B68F7661}"/>
    <cellStyle name="Normal 4 2 4 2 3 2" xfId="835" xr:uid="{00000000-0005-0000-0000-000057130000}"/>
    <cellStyle name="Normal 4 2 4 2 3 2 2" xfId="3072" xr:uid="{00000000-0005-0000-0000-000058130000}"/>
    <cellStyle name="Normal 4 2 4 2 3 2 2 2" xfId="7294" xr:uid="{00000000-0005-0000-0000-000059130000}"/>
    <cellStyle name="Normal 4 2 4 2 3 2 2 2 2" xfId="15744" xr:uid="{5E1352B3-4E18-407A-9FD8-26CD29D001F9}"/>
    <cellStyle name="Normal 4 2 4 2 3 2 2 2 3" xfId="24184" xr:uid="{747FD31D-69F8-4011-B1FF-594F70D46EE3}"/>
    <cellStyle name="Normal 4 2 4 2 3 2 2 2 4" xfId="32624" xr:uid="{CE610150-E937-48BB-AEFD-20A9B8E0E4A0}"/>
    <cellStyle name="Normal 4 2 4 2 3 2 2 3" xfId="11526" xr:uid="{677517F2-AF76-45C5-AF1C-01DE476E18C5}"/>
    <cellStyle name="Normal 4 2 4 2 3 2 2 4" xfId="19967" xr:uid="{B0FB14F1-E4E9-4D6E-B74B-E3AB07C10CD0}"/>
    <cellStyle name="Normal 4 2 4 2 3 2 2 5" xfId="28407" xr:uid="{78BDB10F-E3A6-400E-995C-B2C2FFFE1009}"/>
    <cellStyle name="Normal 4 2 4 2 3 2 3" xfId="5149" xr:uid="{00000000-0005-0000-0000-00005A130000}"/>
    <cellStyle name="Normal 4 2 4 2 3 2 3 2" xfId="13599" xr:uid="{4776D18F-6E33-4F07-BC39-BE40115BDC4E}"/>
    <cellStyle name="Normal 4 2 4 2 3 2 3 3" xfId="22039" xr:uid="{486490C8-46A4-4A14-A0C5-FBAA1752B173}"/>
    <cellStyle name="Normal 4 2 4 2 3 2 3 4" xfId="30479" xr:uid="{79DBA4D0-C6EF-4372-A75A-9BA3CB9AC896}"/>
    <cellStyle name="Normal 4 2 4 2 3 2 4" xfId="9381" xr:uid="{949431F2-39BB-47C1-A71B-DE915B9E0116}"/>
    <cellStyle name="Normal 4 2 4 2 3 2 5" xfId="17822" xr:uid="{F028DA06-C268-4E28-AA13-00499167616C}"/>
    <cellStyle name="Normal 4 2 4 2 3 2 6" xfId="26262" xr:uid="{D11EEC05-7145-44C4-90CA-188EEE17344B}"/>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2 2 2" xfId="16157" xr:uid="{BE2122B3-142E-4ADE-BA72-8722746D94F6}"/>
    <cellStyle name="Normal 4 2 4 2 3 3 2 2 3" xfId="24597" xr:uid="{16E5BC5B-5D11-49A6-AD6D-426AFDD32F00}"/>
    <cellStyle name="Normal 4 2 4 2 3 3 2 2 4" xfId="33037" xr:uid="{4E513114-BD8A-41D6-94A2-A653A754E416}"/>
    <cellStyle name="Normal 4 2 4 2 3 3 2 3" xfId="11939" xr:uid="{833A8822-1023-4389-80D6-FDE6225C9924}"/>
    <cellStyle name="Normal 4 2 4 2 3 3 2 4" xfId="20380" xr:uid="{E0738C5B-44C3-46BB-A3A7-07E7502F5CA6}"/>
    <cellStyle name="Normal 4 2 4 2 3 3 2 5" xfId="28820" xr:uid="{32A5BE7C-04F0-4FA2-9F45-17B142220D77}"/>
    <cellStyle name="Normal 4 2 4 2 3 3 3" xfId="5562" xr:uid="{00000000-0005-0000-0000-00005E130000}"/>
    <cellStyle name="Normal 4 2 4 2 3 3 3 2" xfId="14012" xr:uid="{6D0A5C43-5ECB-40EE-9456-ADCCCC36CD2B}"/>
    <cellStyle name="Normal 4 2 4 2 3 3 3 3" xfId="22452" xr:uid="{ECE82643-93DF-4A1B-B950-2106316650D6}"/>
    <cellStyle name="Normal 4 2 4 2 3 3 3 4" xfId="30892" xr:uid="{B6676A55-2908-4EAE-9155-2607B37F51F5}"/>
    <cellStyle name="Normal 4 2 4 2 3 3 4" xfId="9794" xr:uid="{D0011111-4614-49D5-A895-2E974C93F859}"/>
    <cellStyle name="Normal 4 2 4 2 3 3 5" xfId="18235" xr:uid="{85C21CB8-F994-4802-A456-D8A9176D62E9}"/>
    <cellStyle name="Normal 4 2 4 2 3 3 6" xfId="26675" xr:uid="{7F5C4DD8-C3F2-47C8-B457-C6733A0E08DE}"/>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2 2 2" xfId="16570" xr:uid="{B8573922-4946-4AEE-BFC0-E53DC8D831CC}"/>
    <cellStyle name="Normal 4 2 4 2 3 4 2 2 3" xfId="25010" xr:uid="{682DCA0B-8937-4F33-88E8-477BB5261227}"/>
    <cellStyle name="Normal 4 2 4 2 3 4 2 2 4" xfId="33450" xr:uid="{B793BEC1-F919-45FA-A773-2A0E33A6F732}"/>
    <cellStyle name="Normal 4 2 4 2 3 4 2 3" xfId="12352" xr:uid="{8B4C7A76-5A6E-4294-890E-3652BBCA6D50}"/>
    <cellStyle name="Normal 4 2 4 2 3 4 2 4" xfId="20793" xr:uid="{10527660-D95F-47CB-B87C-AE296E6BC459}"/>
    <cellStyle name="Normal 4 2 4 2 3 4 2 5" xfId="29233" xr:uid="{A42C4116-176B-4D8B-8E63-AAA68A10281F}"/>
    <cellStyle name="Normal 4 2 4 2 3 4 3" xfId="5975" xr:uid="{00000000-0005-0000-0000-000062130000}"/>
    <cellStyle name="Normal 4 2 4 2 3 4 3 2" xfId="14425" xr:uid="{1785E647-7277-44A1-9712-E571702C7DD8}"/>
    <cellStyle name="Normal 4 2 4 2 3 4 3 3" xfId="22865" xr:uid="{A5933956-7534-4C43-96F5-05E330DB5CC3}"/>
    <cellStyle name="Normal 4 2 4 2 3 4 3 4" xfId="31305" xr:uid="{B500A1F6-26B9-4914-AADF-2DDF587E5168}"/>
    <cellStyle name="Normal 4 2 4 2 3 4 4" xfId="10207" xr:uid="{54C2744A-8601-49E6-92BF-28CE269B0F75}"/>
    <cellStyle name="Normal 4 2 4 2 3 4 5" xfId="18648" xr:uid="{8A565D5F-6739-48A3-BD09-CE74F2B7762C}"/>
    <cellStyle name="Normal 4 2 4 2 3 4 6" xfId="27088" xr:uid="{AFD2027A-8618-4CA4-B54B-17C277963BE5}"/>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2 2 2" xfId="16983" xr:uid="{BC84457A-2582-44AC-A24F-1422C2D2FE71}"/>
    <cellStyle name="Normal 4 2 4 2 3 5 2 2 3" xfId="25423" xr:uid="{B73B8B2B-C326-417B-A09A-FB932853C278}"/>
    <cellStyle name="Normal 4 2 4 2 3 5 2 2 4" xfId="33863" xr:uid="{CBBD88F1-A89A-4738-A873-60F02EC6187F}"/>
    <cellStyle name="Normal 4 2 4 2 3 5 2 3" xfId="12765" xr:uid="{DCCCCBB9-475F-4544-8DB5-C2B1EEC0B53E}"/>
    <cellStyle name="Normal 4 2 4 2 3 5 2 4" xfId="21206" xr:uid="{DD87179A-CA46-4DE2-9C2A-512611BBDE19}"/>
    <cellStyle name="Normal 4 2 4 2 3 5 2 5" xfId="29646" xr:uid="{01C25297-252D-450C-960E-30067DF56B47}"/>
    <cellStyle name="Normal 4 2 4 2 3 5 3" xfId="6388" xr:uid="{00000000-0005-0000-0000-000066130000}"/>
    <cellStyle name="Normal 4 2 4 2 3 5 3 2" xfId="14838" xr:uid="{4617DA4A-528F-4840-AC71-99EB44763934}"/>
    <cellStyle name="Normal 4 2 4 2 3 5 3 3" xfId="23278" xr:uid="{7C73483E-6C77-4B30-8841-C0A917EA94A0}"/>
    <cellStyle name="Normal 4 2 4 2 3 5 3 4" xfId="31718" xr:uid="{EE767585-37EA-425C-A565-9E99ED90BA1D}"/>
    <cellStyle name="Normal 4 2 4 2 3 5 4" xfId="10620" xr:uid="{BFD31684-E3AC-467B-9BC0-6AE98474D471}"/>
    <cellStyle name="Normal 4 2 4 2 3 5 5" xfId="19061" xr:uid="{765A9A8D-2EC6-47B9-9706-4E4772EC6EE4}"/>
    <cellStyle name="Normal 4 2 4 2 3 5 6" xfId="27501" xr:uid="{1DA0A20A-A3CE-4DA6-AB4D-5480BFF95692}"/>
    <cellStyle name="Normal 4 2 4 2 3 6" xfId="2518" xr:uid="{00000000-0005-0000-0000-000067130000}"/>
    <cellStyle name="Normal 4 2 4 2 3 6 2" xfId="6801" xr:uid="{00000000-0005-0000-0000-000068130000}"/>
    <cellStyle name="Normal 4 2 4 2 3 6 2 2" xfId="15251" xr:uid="{845D4B95-B25F-400F-BE93-86943BEE5549}"/>
    <cellStyle name="Normal 4 2 4 2 3 6 2 3" xfId="23691" xr:uid="{F119623A-FD53-4A85-9029-8B468B8299D7}"/>
    <cellStyle name="Normal 4 2 4 2 3 6 2 4" xfId="32131" xr:uid="{6786C122-DFBE-4043-BD67-4B625117B881}"/>
    <cellStyle name="Normal 4 2 4 2 3 6 3" xfId="11033" xr:uid="{A44B84C5-2D77-4448-BD8C-26DB177F24B7}"/>
    <cellStyle name="Normal 4 2 4 2 3 6 4" xfId="19474" xr:uid="{8EA4E407-2CD2-481C-8665-652C6517AACE}"/>
    <cellStyle name="Normal 4 2 4 2 3 6 5" xfId="27914" xr:uid="{942E23F8-85C5-4966-A4CB-CD5F29DA4AF3}"/>
    <cellStyle name="Normal 4 2 4 2 3 7" xfId="4736" xr:uid="{00000000-0005-0000-0000-000069130000}"/>
    <cellStyle name="Normal 4 2 4 2 3 7 2" xfId="13186" xr:uid="{94A1EB9F-A58B-4552-8062-888136BA7070}"/>
    <cellStyle name="Normal 4 2 4 2 3 7 3" xfId="21626" xr:uid="{0919B485-4D4F-4D3A-8675-412685161CBB}"/>
    <cellStyle name="Normal 4 2 4 2 3 7 4" xfId="30066" xr:uid="{13BDFB68-C161-4982-B421-2FA40BF10260}"/>
    <cellStyle name="Normal 4 2 4 2 3 8" xfId="8968" xr:uid="{A50F951C-ADF6-4293-B1EF-FB680BB80E19}"/>
    <cellStyle name="Normal 4 2 4 2 3 9" xfId="17409" xr:uid="{FB612DD2-F5F0-4E34-9778-CA0AA1A769D5}"/>
    <cellStyle name="Normal 4 2 4 2 4" xfId="832" xr:uid="{00000000-0005-0000-0000-00006A130000}"/>
    <cellStyle name="Normal 4 2 4 2 4 2" xfId="3069" xr:uid="{00000000-0005-0000-0000-00006B130000}"/>
    <cellStyle name="Normal 4 2 4 2 4 2 2" xfId="7291" xr:uid="{00000000-0005-0000-0000-00006C130000}"/>
    <cellStyle name="Normal 4 2 4 2 4 2 2 2" xfId="15741" xr:uid="{E123B724-DA02-4613-B2F5-FD641D43EB91}"/>
    <cellStyle name="Normal 4 2 4 2 4 2 2 3" xfId="24181" xr:uid="{54464116-ED80-454C-9606-6DFF4710B005}"/>
    <cellStyle name="Normal 4 2 4 2 4 2 2 4" xfId="32621" xr:uid="{7690B73A-08EE-4F91-990B-95799E248AF0}"/>
    <cellStyle name="Normal 4 2 4 2 4 2 3" xfId="11523" xr:uid="{FC072850-62D3-4788-9036-77DA08D04141}"/>
    <cellStyle name="Normal 4 2 4 2 4 2 4" xfId="19964" xr:uid="{6409CAA3-A2D1-4B5F-BD77-BCBD8F68ED96}"/>
    <cellStyle name="Normal 4 2 4 2 4 2 5" xfId="28404" xr:uid="{A615AB0F-8F6C-4EC0-BD8B-5BE96D6B4573}"/>
    <cellStyle name="Normal 4 2 4 2 4 3" xfId="5146" xr:uid="{00000000-0005-0000-0000-00006D130000}"/>
    <cellStyle name="Normal 4 2 4 2 4 3 2" xfId="13596" xr:uid="{8686C79B-87EF-47E0-BB4B-639656A1BC0B}"/>
    <cellStyle name="Normal 4 2 4 2 4 3 3" xfId="22036" xr:uid="{F399466C-DEE4-4413-8B17-07259EB902C2}"/>
    <cellStyle name="Normal 4 2 4 2 4 3 4" xfId="30476" xr:uid="{FAFC204A-B004-448B-B28B-E6F275AA03D3}"/>
    <cellStyle name="Normal 4 2 4 2 4 4" xfId="9378" xr:uid="{A562BCC3-032A-452A-957F-94EEF3415154}"/>
    <cellStyle name="Normal 4 2 4 2 4 5" xfId="17819" xr:uid="{F11B3153-AD19-4154-8E49-D5FB8D350984}"/>
    <cellStyle name="Normal 4 2 4 2 4 6" xfId="26259" xr:uid="{85D7E78D-26D4-4ECD-8288-767EDFDCD76F}"/>
    <cellStyle name="Normal 4 2 4 2 5" xfId="1252" xr:uid="{00000000-0005-0000-0000-00006E130000}"/>
    <cellStyle name="Normal 4 2 4 2 5 2" xfId="3482" xr:uid="{00000000-0005-0000-0000-00006F130000}"/>
    <cellStyle name="Normal 4 2 4 2 5 2 2" xfId="7704" xr:uid="{00000000-0005-0000-0000-000070130000}"/>
    <cellStyle name="Normal 4 2 4 2 5 2 2 2" xfId="16154" xr:uid="{6EEFFCE8-0EF1-401E-B268-CB8E6CCBE55F}"/>
    <cellStyle name="Normal 4 2 4 2 5 2 2 3" xfId="24594" xr:uid="{97395441-10C4-46C4-BB05-F1C5A56B3156}"/>
    <cellStyle name="Normal 4 2 4 2 5 2 2 4" xfId="33034" xr:uid="{CC28CF69-0729-4EFB-800F-FE513B4DA420}"/>
    <cellStyle name="Normal 4 2 4 2 5 2 3" xfId="11936" xr:uid="{7868C1B8-A2FA-4960-8314-2C433CB09775}"/>
    <cellStyle name="Normal 4 2 4 2 5 2 4" xfId="20377" xr:uid="{381AC54B-42E9-40B6-9479-F5AE7314E8AD}"/>
    <cellStyle name="Normal 4 2 4 2 5 2 5" xfId="28817" xr:uid="{0AF0C885-688A-46F5-98E8-5C726970F74F}"/>
    <cellStyle name="Normal 4 2 4 2 5 3" xfId="5559" xr:uid="{00000000-0005-0000-0000-000071130000}"/>
    <cellStyle name="Normal 4 2 4 2 5 3 2" xfId="14009" xr:uid="{04488691-37B9-4C08-8D83-7ABB620C056C}"/>
    <cellStyle name="Normal 4 2 4 2 5 3 3" xfId="22449" xr:uid="{E4AB9FEB-C567-45AE-8295-A0C38FC22B6C}"/>
    <cellStyle name="Normal 4 2 4 2 5 3 4" xfId="30889" xr:uid="{4D9E2A86-B24B-4443-916D-227BDA4A8117}"/>
    <cellStyle name="Normal 4 2 4 2 5 4" xfId="9791" xr:uid="{4919CE97-14D1-4E06-867B-4F6C04CD1F90}"/>
    <cellStyle name="Normal 4 2 4 2 5 5" xfId="18232" xr:uid="{882DD6F9-EAF1-4D22-A3DD-A0DA7F452474}"/>
    <cellStyle name="Normal 4 2 4 2 5 6" xfId="26672" xr:uid="{AAB68EA5-E86C-4505-88C1-3D2FBC4B350C}"/>
    <cellStyle name="Normal 4 2 4 2 6" xfId="1665" xr:uid="{00000000-0005-0000-0000-000072130000}"/>
    <cellStyle name="Normal 4 2 4 2 6 2" xfId="3895" xr:uid="{00000000-0005-0000-0000-000073130000}"/>
    <cellStyle name="Normal 4 2 4 2 6 2 2" xfId="8117" xr:uid="{00000000-0005-0000-0000-000074130000}"/>
    <cellStyle name="Normal 4 2 4 2 6 2 2 2" xfId="16567" xr:uid="{9296048D-5E2D-4C81-96D9-FF3593A6E5F3}"/>
    <cellStyle name="Normal 4 2 4 2 6 2 2 3" xfId="25007" xr:uid="{CA7D3C5C-0A89-43D5-800E-98D20106072C}"/>
    <cellStyle name="Normal 4 2 4 2 6 2 2 4" xfId="33447" xr:uid="{9F343BCB-711E-45A9-AFBF-D4DF9CED5B7D}"/>
    <cellStyle name="Normal 4 2 4 2 6 2 3" xfId="12349" xr:uid="{FC14E9DF-70C1-49EF-BCE4-C6A7AB48AAFB}"/>
    <cellStyle name="Normal 4 2 4 2 6 2 4" xfId="20790" xr:uid="{6FE8F3FD-3DF8-400E-8181-6EBDE817DD4F}"/>
    <cellStyle name="Normal 4 2 4 2 6 2 5" xfId="29230" xr:uid="{5FFBE9B3-AE6E-4CD9-8D97-2E9B32FBA193}"/>
    <cellStyle name="Normal 4 2 4 2 6 3" xfId="5972" xr:uid="{00000000-0005-0000-0000-000075130000}"/>
    <cellStyle name="Normal 4 2 4 2 6 3 2" xfId="14422" xr:uid="{E988B737-0688-4EF7-9DFF-840D52BBA621}"/>
    <cellStyle name="Normal 4 2 4 2 6 3 3" xfId="22862" xr:uid="{2E1F0153-4F5E-4F42-AC17-C621295D03D4}"/>
    <cellStyle name="Normal 4 2 4 2 6 3 4" xfId="31302" xr:uid="{2AC6905C-5F3D-4022-907B-32DC7D619495}"/>
    <cellStyle name="Normal 4 2 4 2 6 4" xfId="10204" xr:uid="{219C0AE4-BF19-4887-B0E3-68FC7FD9A318}"/>
    <cellStyle name="Normal 4 2 4 2 6 5" xfId="18645" xr:uid="{95FAE7B7-D021-44EE-B6C5-080D5769E88C}"/>
    <cellStyle name="Normal 4 2 4 2 6 6" xfId="27085" xr:uid="{C81A4A18-DA9D-4434-BE1D-27C2D9EF10BB}"/>
    <cellStyle name="Normal 4 2 4 2 7" xfId="2079" xr:uid="{00000000-0005-0000-0000-000076130000}"/>
    <cellStyle name="Normal 4 2 4 2 7 2" xfId="4308" xr:uid="{00000000-0005-0000-0000-000077130000}"/>
    <cellStyle name="Normal 4 2 4 2 7 2 2" xfId="8530" xr:uid="{00000000-0005-0000-0000-000078130000}"/>
    <cellStyle name="Normal 4 2 4 2 7 2 2 2" xfId="16980" xr:uid="{9C626E2F-E386-4855-A939-FA84E4654079}"/>
    <cellStyle name="Normal 4 2 4 2 7 2 2 3" xfId="25420" xr:uid="{269AF3FA-D5AA-4734-A2B1-2D2E8316188C}"/>
    <cellStyle name="Normal 4 2 4 2 7 2 2 4" xfId="33860" xr:uid="{B5D8E6CC-D3FD-4D1B-B4A1-87CC2DE621BD}"/>
    <cellStyle name="Normal 4 2 4 2 7 2 3" xfId="12762" xr:uid="{10B36882-F02F-41BD-B32A-36DC60722853}"/>
    <cellStyle name="Normal 4 2 4 2 7 2 4" xfId="21203" xr:uid="{4279BE62-8BDB-4CB7-B853-A1432F17838E}"/>
    <cellStyle name="Normal 4 2 4 2 7 2 5" xfId="29643" xr:uid="{F3C35CBA-9ED3-416B-93E3-BE7BC1AB6A7F}"/>
    <cellStyle name="Normal 4 2 4 2 7 3" xfId="6385" xr:uid="{00000000-0005-0000-0000-000079130000}"/>
    <cellStyle name="Normal 4 2 4 2 7 3 2" xfId="14835" xr:uid="{645647B8-C3C4-41F9-98EA-76FF6590ADF5}"/>
    <cellStyle name="Normal 4 2 4 2 7 3 3" xfId="23275" xr:uid="{C3C8862D-FDBD-4043-A41E-C2E966110B34}"/>
    <cellStyle name="Normal 4 2 4 2 7 3 4" xfId="31715" xr:uid="{D20620CC-3350-4925-8FE7-EA7773378C97}"/>
    <cellStyle name="Normal 4 2 4 2 7 4" xfId="10617" xr:uid="{61EF51FE-ABFA-4BCA-A0CC-59CD0A27817E}"/>
    <cellStyle name="Normal 4 2 4 2 7 5" xfId="19058" xr:uid="{63F613AC-77C6-4C55-9068-9BAD0C2C9497}"/>
    <cellStyle name="Normal 4 2 4 2 7 6" xfId="27498" xr:uid="{575BD577-A4C8-4E2E-8219-AF0342503D53}"/>
    <cellStyle name="Normal 4 2 4 2 8" xfId="2515" xr:uid="{00000000-0005-0000-0000-00007A130000}"/>
    <cellStyle name="Normal 4 2 4 2 8 2" xfId="6798" xr:uid="{00000000-0005-0000-0000-00007B130000}"/>
    <cellStyle name="Normal 4 2 4 2 8 2 2" xfId="15248" xr:uid="{FF3BED61-D01B-4B7B-9059-0FE57E2E3D16}"/>
    <cellStyle name="Normal 4 2 4 2 8 2 3" xfId="23688" xr:uid="{A3E15EE4-55C9-42DF-919E-146CA8AC1193}"/>
    <cellStyle name="Normal 4 2 4 2 8 2 4" xfId="32128" xr:uid="{2B60E342-878C-45B1-98FA-3BB373BD9D75}"/>
    <cellStyle name="Normal 4 2 4 2 8 3" xfId="11030" xr:uid="{A5A52ADD-AA9C-4733-9B05-E94ACACD5567}"/>
    <cellStyle name="Normal 4 2 4 2 8 4" xfId="19471" xr:uid="{7F94F436-5DB1-4FEE-9938-6BF41E036ED2}"/>
    <cellStyle name="Normal 4 2 4 2 8 5" xfId="27911" xr:uid="{D1F9E1E4-EB05-4100-A4FB-81CD2AEEBD68}"/>
    <cellStyle name="Normal 4 2 4 2 9" xfId="4733" xr:uid="{00000000-0005-0000-0000-00007C130000}"/>
    <cellStyle name="Normal 4 2 4 2 9 2" xfId="13183" xr:uid="{2203F503-6B21-4612-9921-EF508634FED8}"/>
    <cellStyle name="Normal 4 2 4 2 9 3" xfId="21623" xr:uid="{90D5AD2A-743C-4DD4-83F9-6D27D4569962}"/>
    <cellStyle name="Normal 4 2 4 2 9 4" xfId="30063" xr:uid="{64C4ABED-AADC-4C6B-AEE8-309B41D5BB77}"/>
    <cellStyle name="Normal 4 2 4 3" xfId="360" xr:uid="{00000000-0005-0000-0000-00007D130000}"/>
    <cellStyle name="Normal 4 2 4 3 10" xfId="17410" xr:uid="{287FD912-0677-4971-A113-90E80E5A8F29}"/>
    <cellStyle name="Normal 4 2 4 3 11" xfId="25850" xr:uid="{6493B599-7F43-40FE-B794-450B231E9B66}"/>
    <cellStyle name="Normal 4 2 4 3 2" xfId="361" xr:uid="{00000000-0005-0000-0000-00007E130000}"/>
    <cellStyle name="Normal 4 2 4 3 2 10" xfId="25851" xr:uid="{0C183931-B1EF-43A8-BF15-DFC65E58675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2 2 2" xfId="15746" xr:uid="{8D58F58C-96ED-43C0-8BD8-95F9CFD0F913}"/>
    <cellStyle name="Normal 4 2 4 3 2 2 2 2 3" xfId="24186" xr:uid="{0CFAC688-3725-41F7-BF98-88A930185782}"/>
    <cellStyle name="Normal 4 2 4 3 2 2 2 2 4" xfId="32626" xr:uid="{91E9AEFA-F315-46F1-BD9C-EC2ADEC1D564}"/>
    <cellStyle name="Normal 4 2 4 3 2 2 2 3" xfId="11528" xr:uid="{67FE9BE7-CF6C-479D-AA5F-AFD529E6BAD5}"/>
    <cellStyle name="Normal 4 2 4 3 2 2 2 4" xfId="19969" xr:uid="{3E5A5929-9AFD-4519-9C38-D3592B7904AE}"/>
    <cellStyle name="Normal 4 2 4 3 2 2 2 5" xfId="28409" xr:uid="{12D495DE-3CA6-40E7-8FD2-9C4EF3000BA7}"/>
    <cellStyle name="Normal 4 2 4 3 2 2 3" xfId="5151" xr:uid="{00000000-0005-0000-0000-000082130000}"/>
    <cellStyle name="Normal 4 2 4 3 2 2 3 2" xfId="13601" xr:uid="{41465E3F-AFB5-4309-93EF-F5A01FE825C4}"/>
    <cellStyle name="Normal 4 2 4 3 2 2 3 3" xfId="22041" xr:uid="{D3729513-343F-4E19-A047-916D5AFFE892}"/>
    <cellStyle name="Normal 4 2 4 3 2 2 3 4" xfId="30481" xr:uid="{83B3D19A-C75B-4E46-9E0C-0DE08F9EA551}"/>
    <cellStyle name="Normal 4 2 4 3 2 2 4" xfId="9383" xr:uid="{7AE3CAC6-999D-4583-A294-97345FE12B07}"/>
    <cellStyle name="Normal 4 2 4 3 2 2 5" xfId="17824" xr:uid="{B7D1DED4-4D28-4275-A8B2-1C59FFBE49B9}"/>
    <cellStyle name="Normal 4 2 4 3 2 2 6" xfId="26264" xr:uid="{6F05F5D4-9586-4F2D-B4EE-6FD062F835DF}"/>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2 2 2" xfId="16159" xr:uid="{E3D5B0EE-6129-418D-A1C6-4F4DFA4A0FB7}"/>
    <cellStyle name="Normal 4 2 4 3 2 3 2 2 3" xfId="24599" xr:uid="{3AD5C11D-5ECF-4C97-8113-99072F20D274}"/>
    <cellStyle name="Normal 4 2 4 3 2 3 2 2 4" xfId="33039" xr:uid="{ACDF7FC1-D85A-4327-93DA-335A4213578E}"/>
    <cellStyle name="Normal 4 2 4 3 2 3 2 3" xfId="11941" xr:uid="{C71F1D3E-618C-471D-BCAE-B0659FCE9C5B}"/>
    <cellStyle name="Normal 4 2 4 3 2 3 2 4" xfId="20382" xr:uid="{498D1C41-25E8-439D-9D95-BF6BC43F4540}"/>
    <cellStyle name="Normal 4 2 4 3 2 3 2 5" xfId="28822" xr:uid="{F82052CE-DE68-4EE4-929A-F906D075C058}"/>
    <cellStyle name="Normal 4 2 4 3 2 3 3" xfId="5564" xr:uid="{00000000-0005-0000-0000-000086130000}"/>
    <cellStyle name="Normal 4 2 4 3 2 3 3 2" xfId="14014" xr:uid="{3043B69D-A85B-49A0-AFC7-797AA174262B}"/>
    <cellStyle name="Normal 4 2 4 3 2 3 3 3" xfId="22454" xr:uid="{4262E047-A57D-4A1D-BF6A-D3CB59142A8E}"/>
    <cellStyle name="Normal 4 2 4 3 2 3 3 4" xfId="30894" xr:uid="{3DA1526D-DE93-4399-9042-22D05F1F55E7}"/>
    <cellStyle name="Normal 4 2 4 3 2 3 4" xfId="9796" xr:uid="{233EF3ED-1B51-488A-853A-4B59A6BECEF6}"/>
    <cellStyle name="Normal 4 2 4 3 2 3 5" xfId="18237" xr:uid="{C31CC116-5EAD-4712-BB66-2A3E72F57DDB}"/>
    <cellStyle name="Normal 4 2 4 3 2 3 6" xfId="26677" xr:uid="{2AD98659-3A77-432B-8411-E694CBCF7429}"/>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2 2 2" xfId="16572" xr:uid="{FB3CE9E0-F0A4-4BBC-AADD-A5D46BA42D16}"/>
    <cellStyle name="Normal 4 2 4 3 2 4 2 2 3" xfId="25012" xr:uid="{EF447363-0CD7-4AC3-896F-4DD2948BB69F}"/>
    <cellStyle name="Normal 4 2 4 3 2 4 2 2 4" xfId="33452" xr:uid="{9D793436-546F-4FF9-9921-8424CB927FAB}"/>
    <cellStyle name="Normal 4 2 4 3 2 4 2 3" xfId="12354" xr:uid="{823AB5A3-C2CA-484B-8BDF-84DD0D72C31F}"/>
    <cellStyle name="Normal 4 2 4 3 2 4 2 4" xfId="20795" xr:uid="{6435FB40-F3AF-4F6C-928A-94FA19FF5CA9}"/>
    <cellStyle name="Normal 4 2 4 3 2 4 2 5" xfId="29235" xr:uid="{61415387-A175-41E0-B90E-C47335393248}"/>
    <cellStyle name="Normal 4 2 4 3 2 4 3" xfId="5977" xr:uid="{00000000-0005-0000-0000-00008A130000}"/>
    <cellStyle name="Normal 4 2 4 3 2 4 3 2" xfId="14427" xr:uid="{CC09FD1C-3535-4B89-8539-AC444051CF64}"/>
    <cellStyle name="Normal 4 2 4 3 2 4 3 3" xfId="22867" xr:uid="{1CC6154C-401D-4FE3-8E2D-E63FB5E8DD13}"/>
    <cellStyle name="Normal 4 2 4 3 2 4 3 4" xfId="31307" xr:uid="{F98917CC-F50D-4624-B886-09E989C56FDF}"/>
    <cellStyle name="Normal 4 2 4 3 2 4 4" xfId="10209" xr:uid="{6EC19CFE-FEEC-4258-92E5-5BF9EBA005DF}"/>
    <cellStyle name="Normal 4 2 4 3 2 4 5" xfId="18650" xr:uid="{70CF1BD1-F978-466F-8E08-9336E90B87FF}"/>
    <cellStyle name="Normal 4 2 4 3 2 4 6" xfId="27090" xr:uid="{275661E0-96C7-4605-BC34-59D3E2823FB3}"/>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2 2 2" xfId="16985" xr:uid="{6B5BD1E4-8FDA-4E9B-95A0-364BEE628E2F}"/>
    <cellStyle name="Normal 4 2 4 3 2 5 2 2 3" xfId="25425" xr:uid="{79172E03-239B-424E-8BA8-5B75D0DE57C9}"/>
    <cellStyle name="Normal 4 2 4 3 2 5 2 2 4" xfId="33865" xr:uid="{64000DC7-72D7-4491-8A97-60A0A284F6E1}"/>
    <cellStyle name="Normal 4 2 4 3 2 5 2 3" xfId="12767" xr:uid="{D1D0BF58-4F2A-48C7-8035-7CF9162CEE08}"/>
    <cellStyle name="Normal 4 2 4 3 2 5 2 4" xfId="21208" xr:uid="{772078FB-4D5B-47DD-970A-8C29FF46352A}"/>
    <cellStyle name="Normal 4 2 4 3 2 5 2 5" xfId="29648" xr:uid="{A96B6689-9BB8-42FE-BDBE-037F0EC1EF12}"/>
    <cellStyle name="Normal 4 2 4 3 2 5 3" xfId="6390" xr:uid="{00000000-0005-0000-0000-00008E130000}"/>
    <cellStyle name="Normal 4 2 4 3 2 5 3 2" xfId="14840" xr:uid="{F3A8D99D-40EE-4988-AE01-01C6F78E6E8B}"/>
    <cellStyle name="Normal 4 2 4 3 2 5 3 3" xfId="23280" xr:uid="{8390BA6F-9817-4EA6-B7EE-A3E217093457}"/>
    <cellStyle name="Normal 4 2 4 3 2 5 3 4" xfId="31720" xr:uid="{FEA7B94C-960E-4858-972A-C284ED147837}"/>
    <cellStyle name="Normal 4 2 4 3 2 5 4" xfId="10622" xr:uid="{8D873FDC-BB13-4C82-A108-0332ED9DE1DB}"/>
    <cellStyle name="Normal 4 2 4 3 2 5 5" xfId="19063" xr:uid="{414F0CFF-8DE6-4A53-B887-9E92C705DC84}"/>
    <cellStyle name="Normal 4 2 4 3 2 5 6" xfId="27503" xr:uid="{D230EDA4-2E24-4E94-9F75-DE631D161D4A}"/>
    <cellStyle name="Normal 4 2 4 3 2 6" xfId="2520" xr:uid="{00000000-0005-0000-0000-00008F130000}"/>
    <cellStyle name="Normal 4 2 4 3 2 6 2" xfId="6803" xr:uid="{00000000-0005-0000-0000-000090130000}"/>
    <cellStyle name="Normal 4 2 4 3 2 6 2 2" xfId="15253" xr:uid="{D6A3361F-F8B0-4975-AB4D-5B6B66FF6DFC}"/>
    <cellStyle name="Normal 4 2 4 3 2 6 2 3" xfId="23693" xr:uid="{EB5AC109-9EA2-450D-8AAA-52C4AA8C13CA}"/>
    <cellStyle name="Normal 4 2 4 3 2 6 2 4" xfId="32133" xr:uid="{F1188853-58F5-47E4-88C9-0B2D93A97D07}"/>
    <cellStyle name="Normal 4 2 4 3 2 6 3" xfId="11035" xr:uid="{75344324-832E-4C3D-A6FF-4CD74D163CFB}"/>
    <cellStyle name="Normal 4 2 4 3 2 6 4" xfId="19476" xr:uid="{845C57BE-B854-4A0A-BE2D-BDD6581466C2}"/>
    <cellStyle name="Normal 4 2 4 3 2 6 5" xfId="27916" xr:uid="{F6499665-651E-4B8A-B603-4767CCBE7014}"/>
    <cellStyle name="Normal 4 2 4 3 2 7" xfId="4738" xr:uid="{00000000-0005-0000-0000-000091130000}"/>
    <cellStyle name="Normal 4 2 4 3 2 7 2" xfId="13188" xr:uid="{D59956FF-366B-4AA2-AAB3-6B004E15AA0D}"/>
    <cellStyle name="Normal 4 2 4 3 2 7 3" xfId="21628" xr:uid="{41FEABBE-0879-45A8-89CE-A454408DA1E6}"/>
    <cellStyle name="Normal 4 2 4 3 2 7 4" xfId="30068" xr:uid="{8963D276-9B3C-4DBF-BA9F-DA1A84465A20}"/>
    <cellStyle name="Normal 4 2 4 3 2 8" xfId="8970" xr:uid="{5D3B200F-77D5-49D9-B655-3527393EF0F1}"/>
    <cellStyle name="Normal 4 2 4 3 2 9" xfId="17411" xr:uid="{A2B0716B-7D78-4158-B4B8-0BDBB600375F}"/>
    <cellStyle name="Normal 4 2 4 3 3" xfId="836" xr:uid="{00000000-0005-0000-0000-000092130000}"/>
    <cellStyle name="Normal 4 2 4 3 3 2" xfId="3073" xr:uid="{00000000-0005-0000-0000-000093130000}"/>
    <cellStyle name="Normal 4 2 4 3 3 2 2" xfId="7295" xr:uid="{00000000-0005-0000-0000-000094130000}"/>
    <cellStyle name="Normal 4 2 4 3 3 2 2 2" xfId="15745" xr:uid="{57E24AF9-1D73-43A0-B1FC-D8ECF87F4482}"/>
    <cellStyle name="Normal 4 2 4 3 3 2 2 3" xfId="24185" xr:uid="{04FA9000-1BAC-49DE-B431-B4103EE3921C}"/>
    <cellStyle name="Normal 4 2 4 3 3 2 2 4" xfId="32625" xr:uid="{5E264B72-EB8E-4329-80C7-805A4C54C184}"/>
    <cellStyle name="Normal 4 2 4 3 3 2 3" xfId="11527" xr:uid="{4CE7A60C-3F8D-4EBB-A751-233517F202CB}"/>
    <cellStyle name="Normal 4 2 4 3 3 2 4" xfId="19968" xr:uid="{E088D6E1-30C8-4E8E-9D60-2150EC71EFB7}"/>
    <cellStyle name="Normal 4 2 4 3 3 2 5" xfId="28408" xr:uid="{4A0060D4-0B38-4575-8B0A-055727ADC3D9}"/>
    <cellStyle name="Normal 4 2 4 3 3 3" xfId="5150" xr:uid="{00000000-0005-0000-0000-000095130000}"/>
    <cellStyle name="Normal 4 2 4 3 3 3 2" xfId="13600" xr:uid="{BE571BF7-D748-4841-AB12-B95BF78F9110}"/>
    <cellStyle name="Normal 4 2 4 3 3 3 3" xfId="22040" xr:uid="{8C10F8C1-2A7D-4359-8D1F-845F22DD5D95}"/>
    <cellStyle name="Normal 4 2 4 3 3 3 4" xfId="30480" xr:uid="{EC8B4D8B-2EC3-44A0-A36E-813BB24B4A59}"/>
    <cellStyle name="Normal 4 2 4 3 3 4" xfId="9382" xr:uid="{D9A6DA7C-84C0-439C-9FE0-6AE1E3002C2C}"/>
    <cellStyle name="Normal 4 2 4 3 3 5" xfId="17823" xr:uid="{F035F019-1A0A-45EC-B96A-169C5DD61401}"/>
    <cellStyle name="Normal 4 2 4 3 3 6" xfId="26263" xr:uid="{FA0486F7-D36C-4A5B-A061-D800ECFB41B4}"/>
    <cellStyle name="Normal 4 2 4 3 4" xfId="1256" xr:uid="{00000000-0005-0000-0000-000096130000}"/>
    <cellStyle name="Normal 4 2 4 3 4 2" xfId="3486" xr:uid="{00000000-0005-0000-0000-000097130000}"/>
    <cellStyle name="Normal 4 2 4 3 4 2 2" xfId="7708" xr:uid="{00000000-0005-0000-0000-000098130000}"/>
    <cellStyle name="Normal 4 2 4 3 4 2 2 2" xfId="16158" xr:uid="{B6868672-1813-453D-B7FD-53D19F2E9419}"/>
    <cellStyle name="Normal 4 2 4 3 4 2 2 3" xfId="24598" xr:uid="{AD18CA34-E585-4D95-BC13-8E99F2774C8A}"/>
    <cellStyle name="Normal 4 2 4 3 4 2 2 4" xfId="33038" xr:uid="{A46AB5C0-48AC-49F3-85D2-9B9166E0A85B}"/>
    <cellStyle name="Normal 4 2 4 3 4 2 3" xfId="11940" xr:uid="{543868DA-E6F8-477D-8203-EAF436FE9F54}"/>
    <cellStyle name="Normal 4 2 4 3 4 2 4" xfId="20381" xr:uid="{F9A9ED22-9AE9-4ACF-8E3A-EB8B2E658783}"/>
    <cellStyle name="Normal 4 2 4 3 4 2 5" xfId="28821" xr:uid="{8C30C6C4-BD5F-42CB-A67C-832671AC13C2}"/>
    <cellStyle name="Normal 4 2 4 3 4 3" xfId="5563" xr:uid="{00000000-0005-0000-0000-000099130000}"/>
    <cellStyle name="Normal 4 2 4 3 4 3 2" xfId="14013" xr:uid="{3E70B009-C58F-4973-BFDB-8ED1AEF5DC66}"/>
    <cellStyle name="Normal 4 2 4 3 4 3 3" xfId="22453" xr:uid="{2F02785B-D306-4E38-8C85-2C60C4DC8595}"/>
    <cellStyle name="Normal 4 2 4 3 4 3 4" xfId="30893" xr:uid="{F7B3A040-84DC-455F-BE4F-AC7F2FC47D48}"/>
    <cellStyle name="Normal 4 2 4 3 4 4" xfId="9795" xr:uid="{5B909851-06C8-452C-AE69-B9BE959BB9C2}"/>
    <cellStyle name="Normal 4 2 4 3 4 5" xfId="18236" xr:uid="{630D0B86-AC38-4B3A-BE61-C21A75BD7B61}"/>
    <cellStyle name="Normal 4 2 4 3 4 6" xfId="26676" xr:uid="{E5B69549-2754-42A0-A846-2682EB77B0BF}"/>
    <cellStyle name="Normal 4 2 4 3 5" xfId="1669" xr:uid="{00000000-0005-0000-0000-00009A130000}"/>
    <cellStyle name="Normal 4 2 4 3 5 2" xfId="3899" xr:uid="{00000000-0005-0000-0000-00009B130000}"/>
    <cellStyle name="Normal 4 2 4 3 5 2 2" xfId="8121" xr:uid="{00000000-0005-0000-0000-00009C130000}"/>
    <cellStyle name="Normal 4 2 4 3 5 2 2 2" xfId="16571" xr:uid="{2BDB5892-6465-4AC2-BD32-790D70C85465}"/>
    <cellStyle name="Normal 4 2 4 3 5 2 2 3" xfId="25011" xr:uid="{18535E45-69EC-4DF0-B7BD-837DD574E910}"/>
    <cellStyle name="Normal 4 2 4 3 5 2 2 4" xfId="33451" xr:uid="{3E57852E-B0F3-494C-B826-3FE3146F6960}"/>
    <cellStyle name="Normal 4 2 4 3 5 2 3" xfId="12353" xr:uid="{7186D569-3718-4406-88FC-F0E1396F549B}"/>
    <cellStyle name="Normal 4 2 4 3 5 2 4" xfId="20794" xr:uid="{3D392FB9-F969-498B-A50A-E637CB04F965}"/>
    <cellStyle name="Normal 4 2 4 3 5 2 5" xfId="29234" xr:uid="{8450E833-CEF4-4AAD-AC52-7CB4049F30A0}"/>
    <cellStyle name="Normal 4 2 4 3 5 3" xfId="5976" xr:uid="{00000000-0005-0000-0000-00009D130000}"/>
    <cellStyle name="Normal 4 2 4 3 5 3 2" xfId="14426" xr:uid="{9E7B7549-55B7-4BAB-A0F1-68A18B6969AC}"/>
    <cellStyle name="Normal 4 2 4 3 5 3 3" xfId="22866" xr:uid="{92E94458-C9D6-4ED6-89FC-679D1B062186}"/>
    <cellStyle name="Normal 4 2 4 3 5 3 4" xfId="31306" xr:uid="{91B55A80-13DA-4D13-862F-4BE6402C677B}"/>
    <cellStyle name="Normal 4 2 4 3 5 4" xfId="10208" xr:uid="{2F6D234E-B820-4A26-AFA1-FDA958DA1AD9}"/>
    <cellStyle name="Normal 4 2 4 3 5 5" xfId="18649" xr:uid="{02580F48-FD8E-4464-980D-D6E4ECF66631}"/>
    <cellStyle name="Normal 4 2 4 3 5 6" xfId="27089" xr:uid="{61643BE4-4769-45DC-BE9F-124860E9F5E7}"/>
    <cellStyle name="Normal 4 2 4 3 6" xfId="2083" xr:uid="{00000000-0005-0000-0000-00009E130000}"/>
    <cellStyle name="Normal 4 2 4 3 6 2" xfId="4312" xr:uid="{00000000-0005-0000-0000-00009F130000}"/>
    <cellStyle name="Normal 4 2 4 3 6 2 2" xfId="8534" xr:uid="{00000000-0005-0000-0000-0000A0130000}"/>
    <cellStyle name="Normal 4 2 4 3 6 2 2 2" xfId="16984" xr:uid="{166D23FC-A42E-498F-8046-7B303BCC2C82}"/>
    <cellStyle name="Normal 4 2 4 3 6 2 2 3" xfId="25424" xr:uid="{ED2B8E58-EDBD-4CBC-8511-B2651C43D155}"/>
    <cellStyle name="Normal 4 2 4 3 6 2 2 4" xfId="33864" xr:uid="{4586A641-3309-4466-B5EA-E7BAAB2CB77A}"/>
    <cellStyle name="Normal 4 2 4 3 6 2 3" xfId="12766" xr:uid="{ACB5FCED-E978-48A5-AF76-E2C1D265CEB8}"/>
    <cellStyle name="Normal 4 2 4 3 6 2 4" xfId="21207" xr:uid="{CD14EA09-AE47-4023-AB04-B75BE58D06E6}"/>
    <cellStyle name="Normal 4 2 4 3 6 2 5" xfId="29647" xr:uid="{0D1FF302-2B2E-4BDC-88DC-EF43908627B2}"/>
    <cellStyle name="Normal 4 2 4 3 6 3" xfId="6389" xr:uid="{00000000-0005-0000-0000-0000A1130000}"/>
    <cellStyle name="Normal 4 2 4 3 6 3 2" xfId="14839" xr:uid="{8CA31385-7C4B-42B4-BD6E-B95010E38A11}"/>
    <cellStyle name="Normal 4 2 4 3 6 3 3" xfId="23279" xr:uid="{9FCEE6E3-959B-4F92-B21F-BAF2705B1E99}"/>
    <cellStyle name="Normal 4 2 4 3 6 3 4" xfId="31719" xr:uid="{BDF1DC8F-9093-4E00-8257-DF88C02645E3}"/>
    <cellStyle name="Normal 4 2 4 3 6 4" xfId="10621" xr:uid="{BE1DC367-D94C-4C2C-B6C3-37E1B295EADD}"/>
    <cellStyle name="Normal 4 2 4 3 6 5" xfId="19062" xr:uid="{A27A4597-D01E-4CE1-817C-960B733BF12D}"/>
    <cellStyle name="Normal 4 2 4 3 6 6" xfId="27502" xr:uid="{A2F8FF8D-3265-453C-8222-D70192D668F2}"/>
    <cellStyle name="Normal 4 2 4 3 7" xfId="2519" xr:uid="{00000000-0005-0000-0000-0000A2130000}"/>
    <cellStyle name="Normal 4 2 4 3 7 2" xfId="6802" xr:uid="{00000000-0005-0000-0000-0000A3130000}"/>
    <cellStyle name="Normal 4 2 4 3 7 2 2" xfId="15252" xr:uid="{11C6F7BB-10FF-4356-955C-0B4F4EA1BA2C}"/>
    <cellStyle name="Normal 4 2 4 3 7 2 3" xfId="23692" xr:uid="{08548A39-914F-40BB-B922-254E0C932304}"/>
    <cellStyle name="Normal 4 2 4 3 7 2 4" xfId="32132" xr:uid="{27768D98-5076-46B0-B939-A230315BEC4F}"/>
    <cellStyle name="Normal 4 2 4 3 7 3" xfId="11034" xr:uid="{15091EE4-53D6-4D54-9B05-17C6E7FC7342}"/>
    <cellStyle name="Normal 4 2 4 3 7 4" xfId="19475" xr:uid="{7B7F120F-2D44-4CD9-A224-6FCCBA81B945}"/>
    <cellStyle name="Normal 4 2 4 3 7 5" xfId="27915" xr:uid="{DCE8C730-8039-487E-A697-0664313AFA4E}"/>
    <cellStyle name="Normal 4 2 4 3 8" xfId="4737" xr:uid="{00000000-0005-0000-0000-0000A4130000}"/>
    <cellStyle name="Normal 4 2 4 3 8 2" xfId="13187" xr:uid="{84E24C84-6467-4350-9DF1-FD4C3EE2E2B3}"/>
    <cellStyle name="Normal 4 2 4 3 8 3" xfId="21627" xr:uid="{A7DBF3E0-CA41-43AD-B013-FC4A637D38E2}"/>
    <cellStyle name="Normal 4 2 4 3 8 4" xfId="30067" xr:uid="{5E0E27B5-11DA-4B21-BB08-7D39F2EB3684}"/>
    <cellStyle name="Normal 4 2 4 3 9" xfId="8969" xr:uid="{2D0C7B27-07B0-4B91-B97B-F4CD9A8ED1CB}"/>
    <cellStyle name="Normal 4 2 4 4" xfId="362" xr:uid="{00000000-0005-0000-0000-0000A5130000}"/>
    <cellStyle name="Normal 4 2 4 4 10" xfId="25852" xr:uid="{13BBCBE8-EDB2-4B33-9CD3-7896A3FBBFAA}"/>
    <cellStyle name="Normal 4 2 4 4 2" xfId="838" xr:uid="{00000000-0005-0000-0000-0000A6130000}"/>
    <cellStyle name="Normal 4 2 4 4 2 2" xfId="3075" xr:uid="{00000000-0005-0000-0000-0000A7130000}"/>
    <cellStyle name="Normal 4 2 4 4 2 2 2" xfId="7297" xr:uid="{00000000-0005-0000-0000-0000A8130000}"/>
    <cellStyle name="Normal 4 2 4 4 2 2 2 2" xfId="15747" xr:uid="{A251793A-4513-4754-B88E-221AAB811550}"/>
    <cellStyle name="Normal 4 2 4 4 2 2 2 3" xfId="24187" xr:uid="{C58C6F0D-FF95-4E02-A98D-9BF87A35D0CC}"/>
    <cellStyle name="Normal 4 2 4 4 2 2 2 4" xfId="32627" xr:uid="{9A30E032-66C0-4E9F-82AF-40B16F80FBD0}"/>
    <cellStyle name="Normal 4 2 4 4 2 2 3" xfId="11529" xr:uid="{434B793B-6BE6-46EA-B9FE-9CBA00B0D2C9}"/>
    <cellStyle name="Normal 4 2 4 4 2 2 4" xfId="19970" xr:uid="{F9F2DE3B-7AB6-4949-BF40-88D1AB9B0913}"/>
    <cellStyle name="Normal 4 2 4 4 2 2 5" xfId="28410" xr:uid="{CB2DE089-2C1D-4D34-A402-D879D4438C22}"/>
    <cellStyle name="Normal 4 2 4 4 2 3" xfId="5152" xr:uid="{00000000-0005-0000-0000-0000A9130000}"/>
    <cellStyle name="Normal 4 2 4 4 2 3 2" xfId="13602" xr:uid="{859AC97F-9E45-49C8-9BA9-8A07DA99E0FD}"/>
    <cellStyle name="Normal 4 2 4 4 2 3 3" xfId="22042" xr:uid="{370D1680-38FE-4F90-B43B-CDE9BD9EBA78}"/>
    <cellStyle name="Normal 4 2 4 4 2 3 4" xfId="30482" xr:uid="{39DB9BB0-5AC9-41A9-A984-7F21557F019A}"/>
    <cellStyle name="Normal 4 2 4 4 2 4" xfId="9384" xr:uid="{F9106701-1B5C-4F88-9D47-1A80015FD5BA}"/>
    <cellStyle name="Normal 4 2 4 4 2 5" xfId="17825" xr:uid="{4B89DC21-364C-4BD1-B528-56331EE14068}"/>
    <cellStyle name="Normal 4 2 4 4 2 6" xfId="26265" xr:uid="{1A216A35-FD7A-4387-B152-1EBDAD94ED55}"/>
    <cellStyle name="Normal 4 2 4 4 3" xfId="1258" xr:uid="{00000000-0005-0000-0000-0000AA130000}"/>
    <cellStyle name="Normal 4 2 4 4 3 2" xfId="3488" xr:uid="{00000000-0005-0000-0000-0000AB130000}"/>
    <cellStyle name="Normal 4 2 4 4 3 2 2" xfId="7710" xr:uid="{00000000-0005-0000-0000-0000AC130000}"/>
    <cellStyle name="Normal 4 2 4 4 3 2 2 2" xfId="16160" xr:uid="{0264C912-59E1-4BE4-AD83-9AF33CE5F14D}"/>
    <cellStyle name="Normal 4 2 4 4 3 2 2 3" xfId="24600" xr:uid="{CAC9603D-7227-4F09-A343-D969D614D254}"/>
    <cellStyle name="Normal 4 2 4 4 3 2 2 4" xfId="33040" xr:uid="{0F0AFBA8-BE53-43F7-B254-B61EB8C701B1}"/>
    <cellStyle name="Normal 4 2 4 4 3 2 3" xfId="11942" xr:uid="{7637F84B-7C8A-4D69-AB30-E4C4BC56450A}"/>
    <cellStyle name="Normal 4 2 4 4 3 2 4" xfId="20383" xr:uid="{B0A688A6-F907-4C5D-88E0-C266E7D63CE6}"/>
    <cellStyle name="Normal 4 2 4 4 3 2 5" xfId="28823" xr:uid="{59483E6E-94AB-45E4-AC6A-50C0D1F4B819}"/>
    <cellStyle name="Normal 4 2 4 4 3 3" xfId="5565" xr:uid="{00000000-0005-0000-0000-0000AD130000}"/>
    <cellStyle name="Normal 4 2 4 4 3 3 2" xfId="14015" xr:uid="{5C378E66-E7F9-4EE9-86EA-7B7903D71EE0}"/>
    <cellStyle name="Normal 4 2 4 4 3 3 3" xfId="22455" xr:uid="{CEF73912-9F41-44DA-AA40-F11E2E563211}"/>
    <cellStyle name="Normal 4 2 4 4 3 3 4" xfId="30895" xr:uid="{1AE1249C-6BC5-4D12-BA30-A9CC6FAA4953}"/>
    <cellStyle name="Normal 4 2 4 4 3 4" xfId="9797" xr:uid="{26591A3B-F0B6-4D99-B468-D8BAE1FBEF79}"/>
    <cellStyle name="Normal 4 2 4 4 3 5" xfId="18238" xr:uid="{ECF2CF33-DC7C-4F3E-B471-09382EDC6F29}"/>
    <cellStyle name="Normal 4 2 4 4 3 6" xfId="26678" xr:uid="{DE683FAC-CD2E-4124-9F18-C5670BEDC47B}"/>
    <cellStyle name="Normal 4 2 4 4 4" xfId="1671" xr:uid="{00000000-0005-0000-0000-0000AE130000}"/>
    <cellStyle name="Normal 4 2 4 4 4 2" xfId="3901" xr:uid="{00000000-0005-0000-0000-0000AF130000}"/>
    <cellStyle name="Normal 4 2 4 4 4 2 2" xfId="8123" xr:uid="{00000000-0005-0000-0000-0000B0130000}"/>
    <cellStyle name="Normal 4 2 4 4 4 2 2 2" xfId="16573" xr:uid="{7C5F1F9D-D8E6-4CF2-B413-6ABBA96E8817}"/>
    <cellStyle name="Normal 4 2 4 4 4 2 2 3" xfId="25013" xr:uid="{BC846B63-8434-4EF8-9508-5CA7B322E043}"/>
    <cellStyle name="Normal 4 2 4 4 4 2 2 4" xfId="33453" xr:uid="{18A2BA68-6A84-4604-A511-1A38519826F0}"/>
    <cellStyle name="Normal 4 2 4 4 4 2 3" xfId="12355" xr:uid="{82CE5B1F-C129-4722-BAFF-7AEA0BE4BDBE}"/>
    <cellStyle name="Normal 4 2 4 4 4 2 4" xfId="20796" xr:uid="{439363BF-C7F7-4A7E-882B-C91B56607E34}"/>
    <cellStyle name="Normal 4 2 4 4 4 2 5" xfId="29236" xr:uid="{5B92DA4F-057C-407F-97BC-402E9BED47DA}"/>
    <cellStyle name="Normal 4 2 4 4 4 3" xfId="5978" xr:uid="{00000000-0005-0000-0000-0000B1130000}"/>
    <cellStyle name="Normal 4 2 4 4 4 3 2" xfId="14428" xr:uid="{E8D95AC9-5DD9-4C47-AF51-9E0074E5E572}"/>
    <cellStyle name="Normal 4 2 4 4 4 3 3" xfId="22868" xr:uid="{BFC53316-9204-4DA8-807E-080862CF2F5C}"/>
    <cellStyle name="Normal 4 2 4 4 4 3 4" xfId="31308" xr:uid="{12D316D4-41F0-4DFA-BC30-951A5A1D9988}"/>
    <cellStyle name="Normal 4 2 4 4 4 4" xfId="10210" xr:uid="{2559D68D-ABF2-451E-83EE-87075DB6A1BD}"/>
    <cellStyle name="Normal 4 2 4 4 4 5" xfId="18651" xr:uid="{6FC8E545-2D0D-48F3-A322-5E52AB397657}"/>
    <cellStyle name="Normal 4 2 4 4 4 6" xfId="27091" xr:uid="{E3FAA023-F05A-4295-9037-61B17A46E712}"/>
    <cellStyle name="Normal 4 2 4 4 5" xfId="2085" xr:uid="{00000000-0005-0000-0000-0000B2130000}"/>
    <cellStyle name="Normal 4 2 4 4 5 2" xfId="4314" xr:uid="{00000000-0005-0000-0000-0000B3130000}"/>
    <cellStyle name="Normal 4 2 4 4 5 2 2" xfId="8536" xr:uid="{00000000-0005-0000-0000-0000B4130000}"/>
    <cellStyle name="Normal 4 2 4 4 5 2 2 2" xfId="16986" xr:uid="{BFCFAF5A-97EF-4BE2-BF05-1AA85B14C80B}"/>
    <cellStyle name="Normal 4 2 4 4 5 2 2 3" xfId="25426" xr:uid="{4922E38A-7387-47C1-8E22-606C619ED070}"/>
    <cellStyle name="Normal 4 2 4 4 5 2 2 4" xfId="33866" xr:uid="{22E86179-B7C7-4069-B65B-9BBE02B0A29B}"/>
    <cellStyle name="Normal 4 2 4 4 5 2 3" xfId="12768" xr:uid="{4D6F8129-2738-4D8D-9F15-291075CC984B}"/>
    <cellStyle name="Normal 4 2 4 4 5 2 4" xfId="21209" xr:uid="{D3B8C0AB-9032-4153-87B9-0C2ABDE652CF}"/>
    <cellStyle name="Normal 4 2 4 4 5 2 5" xfId="29649" xr:uid="{D749C44C-EA8B-44EB-9ADF-C77F607700AA}"/>
    <cellStyle name="Normal 4 2 4 4 5 3" xfId="6391" xr:uid="{00000000-0005-0000-0000-0000B5130000}"/>
    <cellStyle name="Normal 4 2 4 4 5 3 2" xfId="14841" xr:uid="{54F07155-621F-46B5-8824-CD039CE7E75B}"/>
    <cellStyle name="Normal 4 2 4 4 5 3 3" xfId="23281" xr:uid="{A04EBB67-983E-469A-8DE3-1FA74B007A1C}"/>
    <cellStyle name="Normal 4 2 4 4 5 3 4" xfId="31721" xr:uid="{00FE03D6-596B-4395-9F8A-11738F87A350}"/>
    <cellStyle name="Normal 4 2 4 4 5 4" xfId="10623" xr:uid="{F001A3AE-BE4D-4CA2-B1C9-5208DD1547BC}"/>
    <cellStyle name="Normal 4 2 4 4 5 5" xfId="19064" xr:uid="{64099231-69C8-45A3-A9C7-13454CEB2E1C}"/>
    <cellStyle name="Normal 4 2 4 4 5 6" xfId="27504" xr:uid="{4ACB771C-5249-4742-9045-AE1C3003D69D}"/>
    <cellStyle name="Normal 4 2 4 4 6" xfId="2521" xr:uid="{00000000-0005-0000-0000-0000B6130000}"/>
    <cellStyle name="Normal 4 2 4 4 6 2" xfId="6804" xr:uid="{00000000-0005-0000-0000-0000B7130000}"/>
    <cellStyle name="Normal 4 2 4 4 6 2 2" xfId="15254" xr:uid="{18946B60-52FE-47F1-8293-DDE14FDC5170}"/>
    <cellStyle name="Normal 4 2 4 4 6 2 3" xfId="23694" xr:uid="{5307F80D-6F7D-4338-928F-6F094C78C569}"/>
    <cellStyle name="Normal 4 2 4 4 6 2 4" xfId="32134" xr:uid="{669B2E80-E598-438A-96FE-A6D66DBB1507}"/>
    <cellStyle name="Normal 4 2 4 4 6 3" xfId="11036" xr:uid="{A9CEEE63-D7C3-492B-B96B-9DF6FF6D8F07}"/>
    <cellStyle name="Normal 4 2 4 4 6 4" xfId="19477" xr:uid="{5F1F705F-904D-45CD-BB27-E9348A88C34D}"/>
    <cellStyle name="Normal 4 2 4 4 6 5" xfId="27917" xr:uid="{5E6F8D63-8A51-4450-8B65-50854470BE7C}"/>
    <cellStyle name="Normal 4 2 4 4 7" xfId="4739" xr:uid="{00000000-0005-0000-0000-0000B8130000}"/>
    <cellStyle name="Normal 4 2 4 4 7 2" xfId="13189" xr:uid="{6CB1DABD-A07F-4514-B500-027788E23707}"/>
    <cellStyle name="Normal 4 2 4 4 7 3" xfId="21629" xr:uid="{8ACEC020-D3B7-4B34-A061-D1B882E968FF}"/>
    <cellStyle name="Normal 4 2 4 4 7 4" xfId="30069" xr:uid="{CA1466F4-CB81-48E5-BC69-021479B9AE10}"/>
    <cellStyle name="Normal 4 2 4 4 8" xfId="8971" xr:uid="{B1A0C7D5-59EA-4095-91AB-DA32386B54C1}"/>
    <cellStyle name="Normal 4 2 4 4 9" xfId="17412" xr:uid="{9F866EDA-202F-49D8-BBB6-B5190F5BAE0B}"/>
    <cellStyle name="Normal 4 2 4 5" xfId="831" xr:uid="{00000000-0005-0000-0000-0000B9130000}"/>
    <cellStyle name="Normal 4 2 4 5 2" xfId="3068" xr:uid="{00000000-0005-0000-0000-0000BA130000}"/>
    <cellStyle name="Normal 4 2 4 5 2 2" xfId="7290" xr:uid="{00000000-0005-0000-0000-0000BB130000}"/>
    <cellStyle name="Normal 4 2 4 5 2 2 2" xfId="15740" xr:uid="{5423A8AE-7BC8-4535-B730-EA8A3160B3D6}"/>
    <cellStyle name="Normal 4 2 4 5 2 2 3" xfId="24180" xr:uid="{9278C9F9-4AAD-481D-B618-D78F162FF227}"/>
    <cellStyle name="Normal 4 2 4 5 2 2 4" xfId="32620" xr:uid="{0413568D-BC03-427C-8755-C6BAFF4A1F07}"/>
    <cellStyle name="Normal 4 2 4 5 2 3" xfId="11522" xr:uid="{0267E17B-1EB4-4D0C-AD9D-E4E8C6AF6BE9}"/>
    <cellStyle name="Normal 4 2 4 5 2 4" xfId="19963" xr:uid="{E1F12E67-736F-4B47-A988-68C42ED4DEB7}"/>
    <cellStyle name="Normal 4 2 4 5 2 5" xfId="28403" xr:uid="{B209AE5B-463F-4122-9177-5B4EF892A38C}"/>
    <cellStyle name="Normal 4 2 4 5 3" xfId="5145" xr:uid="{00000000-0005-0000-0000-0000BC130000}"/>
    <cellStyle name="Normal 4 2 4 5 3 2" xfId="13595" xr:uid="{8B72EC6C-6778-4685-8473-CB3963625144}"/>
    <cellStyle name="Normal 4 2 4 5 3 3" xfId="22035" xr:uid="{2611A5C0-6451-447D-A97E-C7DB2AA87566}"/>
    <cellStyle name="Normal 4 2 4 5 3 4" xfId="30475" xr:uid="{FFBAC83A-8A71-47DA-A920-84ED37CA3A7F}"/>
    <cellStyle name="Normal 4 2 4 5 4" xfId="9377" xr:uid="{7F37313A-88E6-4659-8A3F-DF49902EAD27}"/>
    <cellStyle name="Normal 4 2 4 5 5" xfId="17818" xr:uid="{8AE6DB42-E964-4BD7-A2BC-71445088FCE6}"/>
    <cellStyle name="Normal 4 2 4 5 6" xfId="26258" xr:uid="{662F1127-D2D8-4702-841C-D49462719548}"/>
    <cellStyle name="Normal 4 2 4 6" xfId="1251" xr:uid="{00000000-0005-0000-0000-0000BD130000}"/>
    <cellStyle name="Normal 4 2 4 6 2" xfId="3481" xr:uid="{00000000-0005-0000-0000-0000BE130000}"/>
    <cellStyle name="Normal 4 2 4 6 2 2" xfId="7703" xr:uid="{00000000-0005-0000-0000-0000BF130000}"/>
    <cellStyle name="Normal 4 2 4 6 2 2 2" xfId="16153" xr:uid="{50922021-F8FB-4D80-9E13-BD575C254192}"/>
    <cellStyle name="Normal 4 2 4 6 2 2 3" xfId="24593" xr:uid="{59D7D987-6B61-4F5B-A351-C1A9B6E1EE1E}"/>
    <cellStyle name="Normal 4 2 4 6 2 2 4" xfId="33033" xr:uid="{4256E244-C0C8-46D3-B1BA-898188655F63}"/>
    <cellStyle name="Normal 4 2 4 6 2 3" xfId="11935" xr:uid="{6FA4C3AF-B02D-4393-9893-E2F587121369}"/>
    <cellStyle name="Normal 4 2 4 6 2 4" xfId="20376" xr:uid="{1A2879FB-07C9-4599-8D7F-23B615BC6BB8}"/>
    <cellStyle name="Normal 4 2 4 6 2 5" xfId="28816" xr:uid="{7C431E3E-52A3-44A3-93B8-3B7BC73E8294}"/>
    <cellStyle name="Normal 4 2 4 6 3" xfId="5558" xr:uid="{00000000-0005-0000-0000-0000C0130000}"/>
    <cellStyle name="Normal 4 2 4 6 3 2" xfId="14008" xr:uid="{21CB1FCE-D0EF-4B25-B6B1-013667535808}"/>
    <cellStyle name="Normal 4 2 4 6 3 3" xfId="22448" xr:uid="{CA933529-DE7A-4338-B0F3-79EEF86C39AC}"/>
    <cellStyle name="Normal 4 2 4 6 3 4" xfId="30888" xr:uid="{99E996AD-634F-4737-96FB-EBC451634857}"/>
    <cellStyle name="Normal 4 2 4 6 4" xfId="9790" xr:uid="{AEBDD0D4-F8B9-4034-8C92-E03D5B017206}"/>
    <cellStyle name="Normal 4 2 4 6 5" xfId="18231" xr:uid="{4D5F6A68-73A7-4789-96BD-79AD8F743EB0}"/>
    <cellStyle name="Normal 4 2 4 6 6" xfId="26671" xr:uid="{3F913E97-A33D-4F2F-97B0-B5C7D6D76A35}"/>
    <cellStyle name="Normal 4 2 4 7" xfId="1664" xr:uid="{00000000-0005-0000-0000-0000C1130000}"/>
    <cellStyle name="Normal 4 2 4 7 2" xfId="3894" xr:uid="{00000000-0005-0000-0000-0000C2130000}"/>
    <cellStyle name="Normal 4 2 4 7 2 2" xfId="8116" xr:uid="{00000000-0005-0000-0000-0000C3130000}"/>
    <cellStyle name="Normal 4 2 4 7 2 2 2" xfId="16566" xr:uid="{46904D6A-75FE-4B35-9C8A-5201CB1D0E68}"/>
    <cellStyle name="Normal 4 2 4 7 2 2 3" xfId="25006" xr:uid="{234E777D-5A4B-4960-A2CD-0D500EE9F4EF}"/>
    <cellStyle name="Normal 4 2 4 7 2 2 4" xfId="33446" xr:uid="{FBB02387-1A7D-46CB-8163-B2EB4F5FF4BA}"/>
    <cellStyle name="Normal 4 2 4 7 2 3" xfId="12348" xr:uid="{4DC8C7BB-FB01-4D7E-904E-29D7E86EDE91}"/>
    <cellStyle name="Normal 4 2 4 7 2 4" xfId="20789" xr:uid="{D604C9C7-36CE-4978-B394-346A61E57075}"/>
    <cellStyle name="Normal 4 2 4 7 2 5" xfId="29229" xr:uid="{A4EEA42C-9973-473B-B54A-5FA5BA676FB0}"/>
    <cellStyle name="Normal 4 2 4 7 3" xfId="5971" xr:uid="{00000000-0005-0000-0000-0000C4130000}"/>
    <cellStyle name="Normal 4 2 4 7 3 2" xfId="14421" xr:uid="{BC2B7E14-EA2E-4D31-B228-9DC68EA720F4}"/>
    <cellStyle name="Normal 4 2 4 7 3 3" xfId="22861" xr:uid="{DCE00E45-59CC-47B1-8478-93307AD1AAAE}"/>
    <cellStyle name="Normal 4 2 4 7 3 4" xfId="31301" xr:uid="{4871DFA1-3B5A-47DA-A6AC-733C58D4EE9B}"/>
    <cellStyle name="Normal 4 2 4 7 4" xfId="10203" xr:uid="{11FF62AC-938B-431A-B11B-94B6F6016994}"/>
    <cellStyle name="Normal 4 2 4 7 5" xfId="18644" xr:uid="{652BE140-960B-46E8-8110-133A72434AE8}"/>
    <cellStyle name="Normal 4 2 4 7 6" xfId="27084" xr:uid="{B5EE4C32-063F-47B4-956A-B09E99E6AB03}"/>
    <cellStyle name="Normal 4 2 4 8" xfId="2078" xr:uid="{00000000-0005-0000-0000-0000C5130000}"/>
    <cellStyle name="Normal 4 2 4 8 2" xfId="4307" xr:uid="{00000000-0005-0000-0000-0000C6130000}"/>
    <cellStyle name="Normal 4 2 4 8 2 2" xfId="8529" xr:uid="{00000000-0005-0000-0000-0000C7130000}"/>
    <cellStyle name="Normal 4 2 4 8 2 2 2" xfId="16979" xr:uid="{8C318C5A-581D-44D9-892A-F6A8B24C7415}"/>
    <cellStyle name="Normal 4 2 4 8 2 2 3" xfId="25419" xr:uid="{C40693D4-846B-4F55-9B79-DDB1FE3951DD}"/>
    <cellStyle name="Normal 4 2 4 8 2 2 4" xfId="33859" xr:uid="{4012F940-691A-45C9-898A-8606B6780A4E}"/>
    <cellStyle name="Normal 4 2 4 8 2 3" xfId="12761" xr:uid="{3AFA1000-EC26-4394-B99D-814C6E979BC5}"/>
    <cellStyle name="Normal 4 2 4 8 2 4" xfId="21202" xr:uid="{70300360-8FDD-4AB4-AF06-D58524174B37}"/>
    <cellStyle name="Normal 4 2 4 8 2 5" xfId="29642" xr:uid="{083AA7A0-E9D4-4E20-9885-E1F9E136C3A3}"/>
    <cellStyle name="Normal 4 2 4 8 3" xfId="6384" xr:uid="{00000000-0005-0000-0000-0000C8130000}"/>
    <cellStyle name="Normal 4 2 4 8 3 2" xfId="14834" xr:uid="{B0CE8567-75D0-4A04-9D76-706D09A9CBB1}"/>
    <cellStyle name="Normal 4 2 4 8 3 3" xfId="23274" xr:uid="{34812299-782E-4C58-B666-66A4A539E761}"/>
    <cellStyle name="Normal 4 2 4 8 3 4" xfId="31714" xr:uid="{1E1E4137-2C09-402A-BB2E-0C3BA8430A6A}"/>
    <cellStyle name="Normal 4 2 4 8 4" xfId="10616" xr:uid="{C8CD260A-A9A1-41DD-B90A-196C5D3EDEEA}"/>
    <cellStyle name="Normal 4 2 4 8 5" xfId="19057" xr:uid="{674884E9-F39B-4643-BE02-0D96F4F95E12}"/>
    <cellStyle name="Normal 4 2 4 8 6" xfId="27497" xr:uid="{D1E68189-20E8-45C6-914A-F1323BD5ED0E}"/>
    <cellStyle name="Normal 4 2 4 9" xfId="2514" xr:uid="{00000000-0005-0000-0000-0000C9130000}"/>
    <cellStyle name="Normal 4 2 4 9 2" xfId="6797" xr:uid="{00000000-0005-0000-0000-0000CA130000}"/>
    <cellStyle name="Normal 4 2 4 9 2 2" xfId="15247" xr:uid="{11C78550-9AC0-46F6-9DC9-B5C987C8292B}"/>
    <cellStyle name="Normal 4 2 4 9 2 3" xfId="23687" xr:uid="{5C327706-83E9-4977-BABD-A240069797AA}"/>
    <cellStyle name="Normal 4 2 4 9 2 4" xfId="32127" xr:uid="{E1DADAFE-1F53-4990-AE5E-F595CB20902A}"/>
    <cellStyle name="Normal 4 2 4 9 3" xfId="11029" xr:uid="{0D0FB15A-63E3-40B2-B0C6-07484A7AE76E}"/>
    <cellStyle name="Normal 4 2 4 9 4" xfId="19470" xr:uid="{53CACFCA-803D-4E83-9434-8F26B996372C}"/>
    <cellStyle name="Normal 4 2 4 9 5" xfId="27910" xr:uid="{908BE6BD-B2E3-4B71-BB4C-D48E7F1405A7}"/>
    <cellStyle name="Normal 4 2 5" xfId="363" xr:uid="{00000000-0005-0000-0000-0000CB130000}"/>
    <cellStyle name="Normal 4 2 5 10" xfId="17413" xr:uid="{2276CD09-9759-4ACA-89D7-95A543994A43}"/>
    <cellStyle name="Normal 4 2 5 11" xfId="25853" xr:uid="{84FB02AD-5ECF-454E-9756-769923798EE9}"/>
    <cellStyle name="Normal 4 2 5 2" xfId="364" xr:uid="{00000000-0005-0000-0000-0000CC130000}"/>
    <cellStyle name="Normal 4 2 5 2 10" xfId="25854" xr:uid="{86909B15-F526-4ACF-8618-734946895B3C}"/>
    <cellStyle name="Normal 4 2 5 2 2" xfId="840" xr:uid="{00000000-0005-0000-0000-0000CD130000}"/>
    <cellStyle name="Normal 4 2 5 2 2 2" xfId="3077" xr:uid="{00000000-0005-0000-0000-0000CE130000}"/>
    <cellStyle name="Normal 4 2 5 2 2 2 2" xfId="7299" xr:uid="{00000000-0005-0000-0000-0000CF130000}"/>
    <cellStyle name="Normal 4 2 5 2 2 2 2 2" xfId="15749" xr:uid="{5DF40BE2-EC71-4F75-96B1-736234077F80}"/>
    <cellStyle name="Normal 4 2 5 2 2 2 2 3" xfId="24189" xr:uid="{5A68C6CF-7991-4BAF-8BAB-00D6C176E01C}"/>
    <cellStyle name="Normal 4 2 5 2 2 2 2 4" xfId="32629" xr:uid="{AC6DD7F9-D7F8-4480-9807-4529C1A42EE6}"/>
    <cellStyle name="Normal 4 2 5 2 2 2 3" xfId="11531" xr:uid="{A506519D-CB24-4DE9-867A-BC80385C757F}"/>
    <cellStyle name="Normal 4 2 5 2 2 2 4" xfId="19972" xr:uid="{F6E09ECA-006F-4A45-A144-C9EE32D18DF2}"/>
    <cellStyle name="Normal 4 2 5 2 2 2 5" xfId="28412" xr:uid="{73519AAA-2E5E-416A-8545-5685842A2992}"/>
    <cellStyle name="Normal 4 2 5 2 2 3" xfId="5154" xr:uid="{00000000-0005-0000-0000-0000D0130000}"/>
    <cellStyle name="Normal 4 2 5 2 2 3 2" xfId="13604" xr:uid="{A444E645-E274-4825-94A6-FCC466345668}"/>
    <cellStyle name="Normal 4 2 5 2 2 3 3" xfId="22044" xr:uid="{7C7826AC-50B7-4751-981C-1CEE41DA82E6}"/>
    <cellStyle name="Normal 4 2 5 2 2 3 4" xfId="30484" xr:uid="{BEB088C2-F126-424E-8465-E58A20333AE8}"/>
    <cellStyle name="Normal 4 2 5 2 2 4" xfId="9386" xr:uid="{36153AD4-8284-4F54-89CD-D21C629C7E1A}"/>
    <cellStyle name="Normal 4 2 5 2 2 5" xfId="17827" xr:uid="{11506717-0F90-4EC0-9CEC-91E4EF6D64C6}"/>
    <cellStyle name="Normal 4 2 5 2 2 6" xfId="26267" xr:uid="{DFE7CE8F-67DB-48A5-A0A8-DE519EBD5197}"/>
    <cellStyle name="Normal 4 2 5 2 3" xfId="1260" xr:uid="{00000000-0005-0000-0000-0000D1130000}"/>
    <cellStyle name="Normal 4 2 5 2 3 2" xfId="3490" xr:uid="{00000000-0005-0000-0000-0000D2130000}"/>
    <cellStyle name="Normal 4 2 5 2 3 2 2" xfId="7712" xr:uid="{00000000-0005-0000-0000-0000D3130000}"/>
    <cellStyle name="Normal 4 2 5 2 3 2 2 2" xfId="16162" xr:uid="{8FFF159C-864B-46D7-BFF1-C47D88CCC55A}"/>
    <cellStyle name="Normal 4 2 5 2 3 2 2 3" xfId="24602" xr:uid="{E0C120FF-6CC7-4C51-85F8-3336893EC8D1}"/>
    <cellStyle name="Normal 4 2 5 2 3 2 2 4" xfId="33042" xr:uid="{031DED69-5379-49CA-A1FA-99168B955AD9}"/>
    <cellStyle name="Normal 4 2 5 2 3 2 3" xfId="11944" xr:uid="{45794F55-F9A2-4177-87C2-29E574CBA681}"/>
    <cellStyle name="Normal 4 2 5 2 3 2 4" xfId="20385" xr:uid="{6A8F9544-9E4A-44C5-B92E-6A2529F2AEA8}"/>
    <cellStyle name="Normal 4 2 5 2 3 2 5" xfId="28825" xr:uid="{B7BF5DA8-1657-4039-B51F-510837D79F15}"/>
    <cellStyle name="Normal 4 2 5 2 3 3" xfId="5567" xr:uid="{00000000-0005-0000-0000-0000D4130000}"/>
    <cellStyle name="Normal 4 2 5 2 3 3 2" xfId="14017" xr:uid="{3C213569-77DF-40E0-8A49-DDF003BE5EAF}"/>
    <cellStyle name="Normal 4 2 5 2 3 3 3" xfId="22457" xr:uid="{03BFD240-C47E-4DA9-BBE2-0DE65ABAA771}"/>
    <cellStyle name="Normal 4 2 5 2 3 3 4" xfId="30897" xr:uid="{EF128D38-A3C4-40F3-9BD6-59BA7F429188}"/>
    <cellStyle name="Normal 4 2 5 2 3 4" xfId="9799" xr:uid="{00E322AE-7F9E-4F06-B7E1-48FE2164C628}"/>
    <cellStyle name="Normal 4 2 5 2 3 5" xfId="18240" xr:uid="{1E0852E5-711F-43F1-BD4F-73CAE3D1758D}"/>
    <cellStyle name="Normal 4 2 5 2 3 6" xfId="26680" xr:uid="{04B7AA9F-C584-4D6C-89CF-73647FB6D3FF}"/>
    <cellStyle name="Normal 4 2 5 2 4" xfId="1673" xr:uid="{00000000-0005-0000-0000-0000D5130000}"/>
    <cellStyle name="Normal 4 2 5 2 4 2" xfId="3903" xr:uid="{00000000-0005-0000-0000-0000D6130000}"/>
    <cellStyle name="Normal 4 2 5 2 4 2 2" xfId="8125" xr:uid="{00000000-0005-0000-0000-0000D7130000}"/>
    <cellStyle name="Normal 4 2 5 2 4 2 2 2" xfId="16575" xr:uid="{771A2CAC-DA6A-4888-A9E5-49DCD3B8D661}"/>
    <cellStyle name="Normal 4 2 5 2 4 2 2 3" xfId="25015" xr:uid="{B391A5AD-D6D5-4595-AB2E-D34E33D41153}"/>
    <cellStyle name="Normal 4 2 5 2 4 2 2 4" xfId="33455" xr:uid="{2FC9912F-2D9E-4A8D-B5B9-C54C34990F10}"/>
    <cellStyle name="Normal 4 2 5 2 4 2 3" xfId="12357" xr:uid="{54F92C3B-92D1-409C-9486-D46C4ED79EE8}"/>
    <cellStyle name="Normal 4 2 5 2 4 2 4" xfId="20798" xr:uid="{4D5F8032-2B64-48D0-9185-D3E40ABBF156}"/>
    <cellStyle name="Normal 4 2 5 2 4 2 5" xfId="29238" xr:uid="{226C6D1D-87D1-4601-9489-D1C7C24EAEB4}"/>
    <cellStyle name="Normal 4 2 5 2 4 3" xfId="5980" xr:uid="{00000000-0005-0000-0000-0000D8130000}"/>
    <cellStyle name="Normal 4 2 5 2 4 3 2" xfId="14430" xr:uid="{60FE2FD1-9C66-44B8-B53E-04F41DA56657}"/>
    <cellStyle name="Normal 4 2 5 2 4 3 3" xfId="22870" xr:uid="{EB82EE11-38D5-4873-B89E-9033B522EFCE}"/>
    <cellStyle name="Normal 4 2 5 2 4 3 4" xfId="31310" xr:uid="{A3216552-4A92-43B5-8586-72666EFD5B32}"/>
    <cellStyle name="Normal 4 2 5 2 4 4" xfId="10212" xr:uid="{FA361B66-38DB-4275-9228-B65A40826A33}"/>
    <cellStyle name="Normal 4 2 5 2 4 5" xfId="18653" xr:uid="{9B92FEE1-44DA-4F5C-A834-B914A3F13EB8}"/>
    <cellStyle name="Normal 4 2 5 2 4 6" xfId="27093" xr:uid="{A52F96BD-A12B-4A7A-9B1F-231A8F6ED664}"/>
    <cellStyle name="Normal 4 2 5 2 5" xfId="2087" xr:uid="{00000000-0005-0000-0000-0000D9130000}"/>
    <cellStyle name="Normal 4 2 5 2 5 2" xfId="4316" xr:uid="{00000000-0005-0000-0000-0000DA130000}"/>
    <cellStyle name="Normal 4 2 5 2 5 2 2" xfId="8538" xr:uid="{00000000-0005-0000-0000-0000DB130000}"/>
    <cellStyle name="Normal 4 2 5 2 5 2 2 2" xfId="16988" xr:uid="{E579EBA9-5D3D-4C9E-B08D-B50756D86957}"/>
    <cellStyle name="Normal 4 2 5 2 5 2 2 3" xfId="25428" xr:uid="{150B6744-2975-4137-B48A-B55CAF5C9E74}"/>
    <cellStyle name="Normal 4 2 5 2 5 2 2 4" xfId="33868" xr:uid="{A4BB525E-147D-4ACF-875F-99FA5A1E1A9B}"/>
    <cellStyle name="Normal 4 2 5 2 5 2 3" xfId="12770" xr:uid="{7AA197A9-206E-483F-B405-AA92C4B0480D}"/>
    <cellStyle name="Normal 4 2 5 2 5 2 4" xfId="21211" xr:uid="{71C48156-585E-41DE-B616-12AED54C2C95}"/>
    <cellStyle name="Normal 4 2 5 2 5 2 5" xfId="29651" xr:uid="{A3FADC60-1FAA-4827-8CB0-1D12B096123D}"/>
    <cellStyle name="Normal 4 2 5 2 5 3" xfId="6393" xr:uid="{00000000-0005-0000-0000-0000DC130000}"/>
    <cellStyle name="Normal 4 2 5 2 5 3 2" xfId="14843" xr:uid="{08418D6E-075A-4BE1-87A8-0D1F895E0137}"/>
    <cellStyle name="Normal 4 2 5 2 5 3 3" xfId="23283" xr:uid="{5B6BAEA9-35F4-4538-90AC-7C1A9955467C}"/>
    <cellStyle name="Normal 4 2 5 2 5 3 4" xfId="31723" xr:uid="{75F76249-8E42-42A5-9628-D7F56AFEB8F8}"/>
    <cellStyle name="Normal 4 2 5 2 5 4" xfId="10625" xr:uid="{2D6BE0CB-0F09-4800-9D50-351DA8D80E18}"/>
    <cellStyle name="Normal 4 2 5 2 5 5" xfId="19066" xr:uid="{722BD578-6322-4790-90E8-53EB4BE8BBEF}"/>
    <cellStyle name="Normal 4 2 5 2 5 6" xfId="27506" xr:uid="{ED66372A-7567-41EF-B53C-DD4CA51B1199}"/>
    <cellStyle name="Normal 4 2 5 2 6" xfId="2523" xr:uid="{00000000-0005-0000-0000-0000DD130000}"/>
    <cellStyle name="Normal 4 2 5 2 6 2" xfId="6806" xr:uid="{00000000-0005-0000-0000-0000DE130000}"/>
    <cellStyle name="Normal 4 2 5 2 6 2 2" xfId="15256" xr:uid="{53BDB9D0-926F-4D10-8503-93E050AEA055}"/>
    <cellStyle name="Normal 4 2 5 2 6 2 3" xfId="23696" xr:uid="{B98337F4-5BED-4844-B6FA-964B7D15020C}"/>
    <cellStyle name="Normal 4 2 5 2 6 2 4" xfId="32136" xr:uid="{E86CD351-41BA-4C3C-898B-08AAC2C2C163}"/>
    <cellStyle name="Normal 4 2 5 2 6 3" xfId="11038" xr:uid="{BBC3F3AD-1B2A-47B8-A9B6-181C11000A6D}"/>
    <cellStyle name="Normal 4 2 5 2 6 4" xfId="19479" xr:uid="{2DC45655-64AF-4D83-872A-4D2C885DA0E9}"/>
    <cellStyle name="Normal 4 2 5 2 6 5" xfId="27919" xr:uid="{AF53DEA9-705D-4C0E-B547-0CD5847DD9DB}"/>
    <cellStyle name="Normal 4 2 5 2 7" xfId="4741" xr:uid="{00000000-0005-0000-0000-0000DF130000}"/>
    <cellStyle name="Normal 4 2 5 2 7 2" xfId="13191" xr:uid="{CFFBEBFC-60AC-4339-8436-1215CD59D7B3}"/>
    <cellStyle name="Normal 4 2 5 2 7 3" xfId="21631" xr:uid="{3A469569-2036-48D6-9393-389402AE7435}"/>
    <cellStyle name="Normal 4 2 5 2 7 4" xfId="30071" xr:uid="{A8034DDF-AA0C-49E1-A6A0-BA1015D54EAF}"/>
    <cellStyle name="Normal 4 2 5 2 8" xfId="8973" xr:uid="{69F449F5-8B94-443C-8ECD-984F945D8FB1}"/>
    <cellStyle name="Normal 4 2 5 2 9" xfId="17414" xr:uid="{A4F88027-6C1A-4D74-945E-68D7256F004B}"/>
    <cellStyle name="Normal 4 2 5 3" xfId="839" xr:uid="{00000000-0005-0000-0000-0000E0130000}"/>
    <cellStyle name="Normal 4 2 5 3 2" xfId="3076" xr:uid="{00000000-0005-0000-0000-0000E1130000}"/>
    <cellStyle name="Normal 4 2 5 3 2 2" xfId="7298" xr:uid="{00000000-0005-0000-0000-0000E2130000}"/>
    <cellStyle name="Normal 4 2 5 3 2 2 2" xfId="15748" xr:uid="{A4BB5CA9-5A06-4B83-AC9E-DB31716B51F9}"/>
    <cellStyle name="Normal 4 2 5 3 2 2 3" xfId="24188" xr:uid="{19425A54-DA04-46D5-B443-3F533BBCAC80}"/>
    <cellStyle name="Normal 4 2 5 3 2 2 4" xfId="32628" xr:uid="{73D94167-28ED-4BE8-9C86-80525AB99EE2}"/>
    <cellStyle name="Normal 4 2 5 3 2 3" xfId="11530" xr:uid="{960FED21-8CF7-457E-AC1C-2C0DA8A161DB}"/>
    <cellStyle name="Normal 4 2 5 3 2 4" xfId="19971" xr:uid="{A35EF6D7-C5CD-4591-8278-B1F30CE8E26F}"/>
    <cellStyle name="Normal 4 2 5 3 2 5" xfId="28411" xr:uid="{6D1E00C1-64F2-480F-8A85-AF22E8534E64}"/>
    <cellStyle name="Normal 4 2 5 3 3" xfId="5153" xr:uid="{00000000-0005-0000-0000-0000E3130000}"/>
    <cellStyle name="Normal 4 2 5 3 3 2" xfId="13603" xr:uid="{C73CE930-5433-4201-BB43-FDC8DBB6AE9A}"/>
    <cellStyle name="Normal 4 2 5 3 3 3" xfId="22043" xr:uid="{670B833B-DD6C-4943-ADF9-A5C11E637D25}"/>
    <cellStyle name="Normal 4 2 5 3 3 4" xfId="30483" xr:uid="{0F616781-E1D1-41D0-9A24-B165B3CF9A8D}"/>
    <cellStyle name="Normal 4 2 5 3 4" xfId="9385" xr:uid="{C8683EBB-ED78-49A1-9024-040DDA725601}"/>
    <cellStyle name="Normal 4 2 5 3 5" xfId="17826" xr:uid="{D477473F-C2C5-48F5-931A-AA86FCA46730}"/>
    <cellStyle name="Normal 4 2 5 3 6" xfId="26266" xr:uid="{FA0CC7BD-BF2B-443B-8D8D-2FD1F9D636D1}"/>
    <cellStyle name="Normal 4 2 5 4" xfId="1259" xr:uid="{00000000-0005-0000-0000-0000E4130000}"/>
    <cellStyle name="Normal 4 2 5 4 2" xfId="3489" xr:uid="{00000000-0005-0000-0000-0000E5130000}"/>
    <cellStyle name="Normal 4 2 5 4 2 2" xfId="7711" xr:uid="{00000000-0005-0000-0000-0000E6130000}"/>
    <cellStyle name="Normal 4 2 5 4 2 2 2" xfId="16161" xr:uid="{CB25EBE7-36AF-4459-8543-7821EBF8538C}"/>
    <cellStyle name="Normal 4 2 5 4 2 2 3" xfId="24601" xr:uid="{72EEE231-036A-4F3F-9D5C-C16D014F6E12}"/>
    <cellStyle name="Normal 4 2 5 4 2 2 4" xfId="33041" xr:uid="{489FA587-7641-4E31-AE0B-814986AFF4AE}"/>
    <cellStyle name="Normal 4 2 5 4 2 3" xfId="11943" xr:uid="{8F0C0904-7EDB-416E-9F59-1B08DD58486D}"/>
    <cellStyle name="Normal 4 2 5 4 2 4" xfId="20384" xr:uid="{C095F0F0-515F-43BA-AE49-4D0A39B53F2E}"/>
    <cellStyle name="Normal 4 2 5 4 2 5" xfId="28824" xr:uid="{F1714C24-4A21-403E-9BCB-398D8EE52E6D}"/>
    <cellStyle name="Normal 4 2 5 4 3" xfId="5566" xr:uid="{00000000-0005-0000-0000-0000E7130000}"/>
    <cellStyle name="Normal 4 2 5 4 3 2" xfId="14016" xr:uid="{0B743D6E-F580-440E-8BF3-30D538AC4AC3}"/>
    <cellStyle name="Normal 4 2 5 4 3 3" xfId="22456" xr:uid="{43CFF335-A3B6-41C0-9475-0E498C6C0249}"/>
    <cellStyle name="Normal 4 2 5 4 3 4" xfId="30896" xr:uid="{1D08CE63-FA19-48D6-A125-13A8E428F71C}"/>
    <cellStyle name="Normal 4 2 5 4 4" xfId="9798" xr:uid="{79F6E278-1323-44F1-9A95-2E84F5BC9FA9}"/>
    <cellStyle name="Normal 4 2 5 4 5" xfId="18239" xr:uid="{0AFFF9A1-0487-4D29-A9CE-AB92C18499FF}"/>
    <cellStyle name="Normal 4 2 5 4 6" xfId="26679" xr:uid="{84E46793-249E-4FCA-85B7-E253E9BB794E}"/>
    <cellStyle name="Normal 4 2 5 5" xfId="1672" xr:uid="{00000000-0005-0000-0000-0000E8130000}"/>
    <cellStyle name="Normal 4 2 5 5 2" xfId="3902" xr:uid="{00000000-0005-0000-0000-0000E9130000}"/>
    <cellStyle name="Normal 4 2 5 5 2 2" xfId="8124" xr:uid="{00000000-0005-0000-0000-0000EA130000}"/>
    <cellStyle name="Normal 4 2 5 5 2 2 2" xfId="16574" xr:uid="{637B2D33-CC05-4C8F-B7FF-BEC948354693}"/>
    <cellStyle name="Normal 4 2 5 5 2 2 3" xfId="25014" xr:uid="{61950690-4FBB-4282-9DC0-BE0976035912}"/>
    <cellStyle name="Normal 4 2 5 5 2 2 4" xfId="33454" xr:uid="{8F5C4B21-58AC-40F1-97F2-6BBB862B7FE5}"/>
    <cellStyle name="Normal 4 2 5 5 2 3" xfId="12356" xr:uid="{74EF2672-FDD5-4BDC-84A0-3BE088A7EE2C}"/>
    <cellStyle name="Normal 4 2 5 5 2 4" xfId="20797" xr:uid="{F331AF22-D308-4967-B96F-E6782A81AADB}"/>
    <cellStyle name="Normal 4 2 5 5 2 5" xfId="29237" xr:uid="{646B2FED-72E1-4B1A-8C49-0C7B339FCE32}"/>
    <cellStyle name="Normal 4 2 5 5 3" xfId="5979" xr:uid="{00000000-0005-0000-0000-0000EB130000}"/>
    <cellStyle name="Normal 4 2 5 5 3 2" xfId="14429" xr:uid="{075CE381-5229-47AF-8925-B79879A12CC0}"/>
    <cellStyle name="Normal 4 2 5 5 3 3" xfId="22869" xr:uid="{419D3511-6525-4C8E-BA5B-406365878439}"/>
    <cellStyle name="Normal 4 2 5 5 3 4" xfId="31309" xr:uid="{43DE114F-D99F-41FD-9238-666858C65107}"/>
    <cellStyle name="Normal 4 2 5 5 4" xfId="10211" xr:uid="{D6FA9569-407B-4C59-A686-C97FB76DA70D}"/>
    <cellStyle name="Normal 4 2 5 5 5" xfId="18652" xr:uid="{15DE6D90-5B3B-4BCE-8CC1-3F5D2B324ED1}"/>
    <cellStyle name="Normal 4 2 5 5 6" xfId="27092" xr:uid="{0540F038-22E0-4728-B4A8-756A38E1AEE7}"/>
    <cellStyle name="Normal 4 2 5 6" xfId="2086" xr:uid="{00000000-0005-0000-0000-0000EC130000}"/>
    <cellStyle name="Normal 4 2 5 6 2" xfId="4315" xr:uid="{00000000-0005-0000-0000-0000ED130000}"/>
    <cellStyle name="Normal 4 2 5 6 2 2" xfId="8537" xr:uid="{00000000-0005-0000-0000-0000EE130000}"/>
    <cellStyle name="Normal 4 2 5 6 2 2 2" xfId="16987" xr:uid="{F3194879-809E-4C15-800F-22B37CADDEDF}"/>
    <cellStyle name="Normal 4 2 5 6 2 2 3" xfId="25427" xr:uid="{9F2254E3-148E-4A17-8308-C7FB3EC01B29}"/>
    <cellStyle name="Normal 4 2 5 6 2 2 4" xfId="33867" xr:uid="{54DE1196-1E53-4E09-9EDA-3C677B00F59E}"/>
    <cellStyle name="Normal 4 2 5 6 2 3" xfId="12769" xr:uid="{B872947F-911B-49EE-AA47-D9F4AE710348}"/>
    <cellStyle name="Normal 4 2 5 6 2 4" xfId="21210" xr:uid="{E2AFCB12-C425-404E-92D8-052A8BE737B9}"/>
    <cellStyle name="Normal 4 2 5 6 2 5" xfId="29650" xr:uid="{9C267C69-E182-4859-8781-45E259728436}"/>
    <cellStyle name="Normal 4 2 5 6 3" xfId="6392" xr:uid="{00000000-0005-0000-0000-0000EF130000}"/>
    <cellStyle name="Normal 4 2 5 6 3 2" xfId="14842" xr:uid="{F94A9103-394A-415F-95FB-FC13F8E5405C}"/>
    <cellStyle name="Normal 4 2 5 6 3 3" xfId="23282" xr:uid="{9627C418-183C-4BFA-BF14-8BEA27A8B338}"/>
    <cellStyle name="Normal 4 2 5 6 3 4" xfId="31722" xr:uid="{3C4C37B7-8261-4C4F-8875-B764905D1ED5}"/>
    <cellStyle name="Normal 4 2 5 6 4" xfId="10624" xr:uid="{10F19B94-C3BE-4F15-8D9C-576D27F5F480}"/>
    <cellStyle name="Normal 4 2 5 6 5" xfId="19065" xr:uid="{BD90B556-F79C-4E70-9C35-764A01971090}"/>
    <cellStyle name="Normal 4 2 5 6 6" xfId="27505" xr:uid="{7CD8A681-D402-4B5C-B8CB-66BD3541B9BE}"/>
    <cellStyle name="Normal 4 2 5 7" xfId="2522" xr:uid="{00000000-0005-0000-0000-0000F0130000}"/>
    <cellStyle name="Normal 4 2 5 7 2" xfId="6805" xr:uid="{00000000-0005-0000-0000-0000F1130000}"/>
    <cellStyle name="Normal 4 2 5 7 2 2" xfId="15255" xr:uid="{7FAA7B3E-E314-47C5-A56E-88122F070019}"/>
    <cellStyle name="Normal 4 2 5 7 2 3" xfId="23695" xr:uid="{BCA95E15-CE5D-411A-81BC-378B423CE100}"/>
    <cellStyle name="Normal 4 2 5 7 2 4" xfId="32135" xr:uid="{E2AC43D6-E275-4860-AFF7-2A926DB933F4}"/>
    <cellStyle name="Normal 4 2 5 7 3" xfId="11037" xr:uid="{08FD12BC-0C38-4C0D-8D8D-27D4E1B693B8}"/>
    <cellStyle name="Normal 4 2 5 7 4" xfId="19478" xr:uid="{EA9D2D79-2910-49F4-9248-2077575074FE}"/>
    <cellStyle name="Normal 4 2 5 7 5" xfId="27918" xr:uid="{9A33D11E-BDD8-4A32-BB30-AC239840DA0E}"/>
    <cellStyle name="Normal 4 2 5 8" xfId="4740" xr:uid="{00000000-0005-0000-0000-0000F2130000}"/>
    <cellStyle name="Normal 4 2 5 8 2" xfId="13190" xr:uid="{ED53E827-E64F-4028-B59F-640C04F8C379}"/>
    <cellStyle name="Normal 4 2 5 8 3" xfId="21630" xr:uid="{71232795-2C58-4BC6-ABCF-AAE40C3CDAB6}"/>
    <cellStyle name="Normal 4 2 5 8 4" xfId="30070" xr:uid="{9D632EE2-8259-46B1-B327-4625DE2CE01F}"/>
    <cellStyle name="Normal 4 2 5 9" xfId="8972" xr:uid="{C0B9F011-E5B6-4C6E-ADAB-3DBB45EE1E44}"/>
    <cellStyle name="Normal 4 2 6" xfId="365" xr:uid="{00000000-0005-0000-0000-0000F3130000}"/>
    <cellStyle name="Normal 4 2 6 10" xfId="25855" xr:uid="{00718825-BD09-4488-8549-DC69B1A06D6A}"/>
    <cellStyle name="Normal 4 2 6 2" xfId="841" xr:uid="{00000000-0005-0000-0000-0000F4130000}"/>
    <cellStyle name="Normal 4 2 6 2 2" xfId="3078" xr:uid="{00000000-0005-0000-0000-0000F5130000}"/>
    <cellStyle name="Normal 4 2 6 2 2 2" xfId="7300" xr:uid="{00000000-0005-0000-0000-0000F6130000}"/>
    <cellStyle name="Normal 4 2 6 2 2 2 2" xfId="15750" xr:uid="{3378A022-9C2A-4278-98AC-4179BA3A10FD}"/>
    <cellStyle name="Normal 4 2 6 2 2 2 3" xfId="24190" xr:uid="{EEBEFD17-03AC-43A8-B19D-2D1A0BC9A0E8}"/>
    <cellStyle name="Normal 4 2 6 2 2 2 4" xfId="32630" xr:uid="{77D06E2E-C2C8-467E-9EB1-FE74BAEAAFF8}"/>
    <cellStyle name="Normal 4 2 6 2 2 3" xfId="11532" xr:uid="{369A8AE4-0DC5-4EFA-ABB5-AE3EC637FDFE}"/>
    <cellStyle name="Normal 4 2 6 2 2 4" xfId="19973" xr:uid="{E5C688BE-664B-489B-92CD-88D4CC9B8C80}"/>
    <cellStyle name="Normal 4 2 6 2 2 5" xfId="28413" xr:uid="{46C92897-A6AA-4479-8D70-7A2905E0DD87}"/>
    <cellStyle name="Normal 4 2 6 2 3" xfId="5155" xr:uid="{00000000-0005-0000-0000-0000F7130000}"/>
    <cellStyle name="Normal 4 2 6 2 3 2" xfId="13605" xr:uid="{3E93EF93-D80E-42AE-8791-0744C982EAA6}"/>
    <cellStyle name="Normal 4 2 6 2 3 3" xfId="22045" xr:uid="{0449FE83-1907-46F4-B774-168E62B8C594}"/>
    <cellStyle name="Normal 4 2 6 2 3 4" xfId="30485" xr:uid="{37899D43-4DB8-49C9-A7D1-AEB9D73B12BF}"/>
    <cellStyle name="Normal 4 2 6 2 4" xfId="9387" xr:uid="{B91B76D3-3F04-4E36-8410-7C965A34E81E}"/>
    <cellStyle name="Normal 4 2 6 2 5" xfId="17828" xr:uid="{D222CFD8-A763-4686-852D-9CD3E1240B45}"/>
    <cellStyle name="Normal 4 2 6 2 6" xfId="26268" xr:uid="{9F9D6727-9410-4772-A07D-4F42B654C2CF}"/>
    <cellStyle name="Normal 4 2 6 3" xfId="1261" xr:uid="{00000000-0005-0000-0000-0000F8130000}"/>
    <cellStyle name="Normal 4 2 6 3 2" xfId="3491" xr:uid="{00000000-0005-0000-0000-0000F9130000}"/>
    <cellStyle name="Normal 4 2 6 3 2 2" xfId="7713" xr:uid="{00000000-0005-0000-0000-0000FA130000}"/>
    <cellStyle name="Normal 4 2 6 3 2 2 2" xfId="16163" xr:uid="{5F5F3830-BAEE-4978-88DC-FDA00F1113D8}"/>
    <cellStyle name="Normal 4 2 6 3 2 2 3" xfId="24603" xr:uid="{5F05646D-EB58-4A5A-A8AE-FE40291589E9}"/>
    <cellStyle name="Normal 4 2 6 3 2 2 4" xfId="33043" xr:uid="{80695033-9844-4163-9062-2C81C1213240}"/>
    <cellStyle name="Normal 4 2 6 3 2 3" xfId="11945" xr:uid="{197F59CA-F92C-4B8B-899B-166DBE204445}"/>
    <cellStyle name="Normal 4 2 6 3 2 4" xfId="20386" xr:uid="{571262E9-E907-485B-8F11-3EDE7148C093}"/>
    <cellStyle name="Normal 4 2 6 3 2 5" xfId="28826" xr:uid="{1800934F-C7D1-4F9F-8A80-C0E49205BA73}"/>
    <cellStyle name="Normal 4 2 6 3 3" xfId="5568" xr:uid="{00000000-0005-0000-0000-0000FB130000}"/>
    <cellStyle name="Normal 4 2 6 3 3 2" xfId="14018" xr:uid="{2C592B54-4449-4DED-A71A-A325AEEDF778}"/>
    <cellStyle name="Normal 4 2 6 3 3 3" xfId="22458" xr:uid="{FD9A3BA4-5001-4666-8206-E81C5927B121}"/>
    <cellStyle name="Normal 4 2 6 3 3 4" xfId="30898" xr:uid="{47D08A96-CCE5-4613-B0E4-17905ED04554}"/>
    <cellStyle name="Normal 4 2 6 3 4" xfId="9800" xr:uid="{867D5BD7-EED0-4914-9D02-1F246D75BAB4}"/>
    <cellStyle name="Normal 4 2 6 3 5" xfId="18241" xr:uid="{0EFAC934-2FBC-46BE-9E4D-38CD02DA2C49}"/>
    <cellStyle name="Normal 4 2 6 3 6" xfId="26681" xr:uid="{40B6AC52-30F0-40CC-A1F9-D584C9D7379D}"/>
    <cellStyle name="Normal 4 2 6 4" xfId="1674" xr:uid="{00000000-0005-0000-0000-0000FC130000}"/>
    <cellStyle name="Normal 4 2 6 4 2" xfId="3904" xr:uid="{00000000-0005-0000-0000-0000FD130000}"/>
    <cellStyle name="Normal 4 2 6 4 2 2" xfId="8126" xr:uid="{00000000-0005-0000-0000-0000FE130000}"/>
    <cellStyle name="Normal 4 2 6 4 2 2 2" xfId="16576" xr:uid="{3EE5FB06-4E6A-4501-A4FA-F51170052CD4}"/>
    <cellStyle name="Normal 4 2 6 4 2 2 3" xfId="25016" xr:uid="{4B6F9B23-9901-4E6A-8EF6-063D64302397}"/>
    <cellStyle name="Normal 4 2 6 4 2 2 4" xfId="33456" xr:uid="{09C7119C-DC09-4FBB-9C41-CC413BFEC0F6}"/>
    <cellStyle name="Normal 4 2 6 4 2 3" xfId="12358" xr:uid="{8B167307-D753-47B8-9DCE-D3252D4C6E20}"/>
    <cellStyle name="Normal 4 2 6 4 2 4" xfId="20799" xr:uid="{39A0330B-EA9E-4BE0-93B0-F6A8A1B3241C}"/>
    <cellStyle name="Normal 4 2 6 4 2 5" xfId="29239" xr:uid="{7D1F2472-60A5-4229-9C57-3A8849A63F71}"/>
    <cellStyle name="Normal 4 2 6 4 3" xfId="5981" xr:uid="{00000000-0005-0000-0000-0000FF130000}"/>
    <cellStyle name="Normal 4 2 6 4 3 2" xfId="14431" xr:uid="{BA870970-BC49-478B-BAE9-811FFD10A4E2}"/>
    <cellStyle name="Normal 4 2 6 4 3 3" xfId="22871" xr:uid="{022E5FE1-2246-443C-9AE0-AF3ED22A7544}"/>
    <cellStyle name="Normal 4 2 6 4 3 4" xfId="31311" xr:uid="{14325615-F456-4AD1-A22E-7FF84459CDED}"/>
    <cellStyle name="Normal 4 2 6 4 4" xfId="10213" xr:uid="{A3B64D0A-8E39-4789-8617-6C97B90158CF}"/>
    <cellStyle name="Normal 4 2 6 4 5" xfId="18654" xr:uid="{D52BC623-155F-4D69-B1C6-6ACA42021137}"/>
    <cellStyle name="Normal 4 2 6 4 6" xfId="27094" xr:uid="{1766EBB7-43B3-4B0B-B66D-7B705859C5F9}"/>
    <cellStyle name="Normal 4 2 6 5" xfId="2088" xr:uid="{00000000-0005-0000-0000-000000140000}"/>
    <cellStyle name="Normal 4 2 6 5 2" xfId="4317" xr:uid="{00000000-0005-0000-0000-000001140000}"/>
    <cellStyle name="Normal 4 2 6 5 2 2" xfId="8539" xr:uid="{00000000-0005-0000-0000-000002140000}"/>
    <cellStyle name="Normal 4 2 6 5 2 2 2" xfId="16989" xr:uid="{1C30528F-F7E0-4254-84B7-C9A56734C1A3}"/>
    <cellStyle name="Normal 4 2 6 5 2 2 3" xfId="25429" xr:uid="{E515F748-E464-4B54-8F27-FEB6B1D67522}"/>
    <cellStyle name="Normal 4 2 6 5 2 2 4" xfId="33869" xr:uid="{92E0197B-CA9A-4FB6-B05A-298F5E1D9662}"/>
    <cellStyle name="Normal 4 2 6 5 2 3" xfId="12771" xr:uid="{6F5DBE7D-ECE0-4C3A-B5AF-16974CE0DB1A}"/>
    <cellStyle name="Normal 4 2 6 5 2 4" xfId="21212" xr:uid="{C8C525C8-35F5-4BC5-91A2-A0793B15F6B2}"/>
    <cellStyle name="Normal 4 2 6 5 2 5" xfId="29652" xr:uid="{4A2A2BBE-0B1F-477E-AA5D-87368114CD80}"/>
    <cellStyle name="Normal 4 2 6 5 3" xfId="6394" xr:uid="{00000000-0005-0000-0000-000003140000}"/>
    <cellStyle name="Normal 4 2 6 5 3 2" xfId="14844" xr:uid="{C7A77F83-ADFF-449B-BFDF-160AAE71935C}"/>
    <cellStyle name="Normal 4 2 6 5 3 3" xfId="23284" xr:uid="{3BADAA8D-523C-4FFB-8242-ED64DD2A3239}"/>
    <cellStyle name="Normal 4 2 6 5 3 4" xfId="31724" xr:uid="{ACD4BF1F-2ED3-4935-A4E0-7B2FC0366C1C}"/>
    <cellStyle name="Normal 4 2 6 5 4" xfId="10626" xr:uid="{793C6625-3DF5-4A99-B8D4-2A209E16A466}"/>
    <cellStyle name="Normal 4 2 6 5 5" xfId="19067" xr:uid="{7205A715-9452-4AF4-BB6F-AABDCC32691D}"/>
    <cellStyle name="Normal 4 2 6 5 6" xfId="27507" xr:uid="{919BCC31-2892-4BA2-9F9A-01EDF5083B39}"/>
    <cellStyle name="Normal 4 2 6 6" xfId="2524" xr:uid="{00000000-0005-0000-0000-000004140000}"/>
    <cellStyle name="Normal 4 2 6 6 2" xfId="6807" xr:uid="{00000000-0005-0000-0000-000005140000}"/>
    <cellStyle name="Normal 4 2 6 6 2 2" xfId="15257" xr:uid="{077BD7EA-C938-499C-9024-A8F928B8FC11}"/>
    <cellStyle name="Normal 4 2 6 6 2 3" xfId="23697" xr:uid="{BA9621D0-4D53-4E22-BDC5-C5435F57F34A}"/>
    <cellStyle name="Normal 4 2 6 6 2 4" xfId="32137" xr:uid="{55F5E5AB-86A0-4A64-9FB3-58EC0797A97F}"/>
    <cellStyle name="Normal 4 2 6 6 3" xfId="11039" xr:uid="{7FC82ADB-E7CB-45A4-B9A6-FA568CE5D727}"/>
    <cellStyle name="Normal 4 2 6 6 4" xfId="19480" xr:uid="{92BB2685-CA36-4622-BE66-1C9CC0166F32}"/>
    <cellStyle name="Normal 4 2 6 6 5" xfId="27920" xr:uid="{E705D7CB-444A-4327-8B51-66DBF5C7E847}"/>
    <cellStyle name="Normal 4 2 6 7" xfId="4742" xr:uid="{00000000-0005-0000-0000-000006140000}"/>
    <cellStyle name="Normal 4 2 6 7 2" xfId="13192" xr:uid="{CE619161-794D-4100-8B7C-0E1AF1404BCA}"/>
    <cellStyle name="Normal 4 2 6 7 3" xfId="21632" xr:uid="{5A36F00D-843E-42E7-AF63-60CED090A94F}"/>
    <cellStyle name="Normal 4 2 6 7 4" xfId="30072" xr:uid="{CB185698-499C-4775-93D6-817AAED548AC}"/>
    <cellStyle name="Normal 4 2 6 8" xfId="8974" xr:uid="{9BE6D7E5-82FF-4339-A7AA-B5EBC32B33CF}"/>
    <cellStyle name="Normal 4 2 6 9" xfId="17415" xr:uid="{8D2B74A8-A450-4942-B461-4034E6DF4C8D}"/>
    <cellStyle name="Normal 4 3" xfId="366" xr:uid="{00000000-0005-0000-0000-000007140000}"/>
    <cellStyle name="Normal 4 3 10" xfId="8975" xr:uid="{82CF73D7-2FFA-4ECC-A47E-CA57FC9B0E0E}"/>
    <cellStyle name="Normal 4 3 11" xfId="17416" xr:uid="{09D721BA-0BF1-4C38-942D-2B88FE604C0C}"/>
    <cellStyle name="Normal 4 3 12" xfId="25856" xr:uid="{C3A74082-1EDB-49FB-8EFE-D437006E0F72}"/>
    <cellStyle name="Normal 4 3 2" xfId="367" xr:uid="{00000000-0005-0000-0000-000008140000}"/>
    <cellStyle name="Normal 4 3 2 2" xfId="368" xr:uid="{00000000-0005-0000-0000-000009140000}"/>
    <cellStyle name="Normal 4 3 2 2 2" xfId="369" xr:uid="{00000000-0005-0000-0000-00000A140000}"/>
    <cellStyle name="Normal 4 3 2 2 2 10" xfId="8976" xr:uid="{FA2EFDDA-6179-4C86-B10E-E4EC6687023A}"/>
    <cellStyle name="Normal 4 3 2 2 2 11" xfId="17417" xr:uid="{DF0AD067-24E8-42CD-8199-5DAF8B32ABF4}"/>
    <cellStyle name="Normal 4 3 2 2 2 12" xfId="25857" xr:uid="{D1D5423E-0299-4E0A-82DE-1127A077F5BA}"/>
    <cellStyle name="Normal 4 3 2 2 2 2" xfId="370" xr:uid="{00000000-0005-0000-0000-00000B140000}"/>
    <cellStyle name="Normal 4 3 2 2 2 2 10" xfId="17418" xr:uid="{06BC71F0-6DD3-42CA-8F86-BEBF444ED963}"/>
    <cellStyle name="Normal 4 3 2 2 2 2 11" xfId="25858" xr:uid="{10F21D64-0235-4CC2-885E-7169331A3BDA}"/>
    <cellStyle name="Normal 4 3 2 2 2 2 2" xfId="371" xr:uid="{00000000-0005-0000-0000-00000C140000}"/>
    <cellStyle name="Normal 4 3 2 2 2 2 2 10" xfId="25859" xr:uid="{0BF70824-EF0A-4D60-AF7D-ABFADA33BACC}"/>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2 2 2" xfId="15754" xr:uid="{B1756E11-B33C-4FA9-BCA4-72712D7CCD4B}"/>
    <cellStyle name="Normal 4 3 2 2 2 2 2 2 2 2 3" xfId="24194" xr:uid="{73E70E50-5D1E-4733-B86D-7FB7354DE24C}"/>
    <cellStyle name="Normal 4 3 2 2 2 2 2 2 2 2 4" xfId="32634" xr:uid="{DC9CE463-A075-4F8F-B673-480098CB99E7}"/>
    <cellStyle name="Normal 4 3 2 2 2 2 2 2 2 3" xfId="11536" xr:uid="{56129354-C4BB-4309-A3AC-CC2B9036C02E}"/>
    <cellStyle name="Normal 4 3 2 2 2 2 2 2 2 4" xfId="19977" xr:uid="{72F72818-23A1-45B2-B7D4-CE0604426716}"/>
    <cellStyle name="Normal 4 3 2 2 2 2 2 2 2 5" xfId="28417" xr:uid="{74C7862B-537A-4334-ADB0-612BB1086EF7}"/>
    <cellStyle name="Normal 4 3 2 2 2 2 2 2 3" xfId="5159" xr:uid="{00000000-0005-0000-0000-000010140000}"/>
    <cellStyle name="Normal 4 3 2 2 2 2 2 2 3 2" xfId="13609" xr:uid="{4FBFED2B-9A96-4475-B4AA-920859D59199}"/>
    <cellStyle name="Normal 4 3 2 2 2 2 2 2 3 3" xfId="22049" xr:uid="{5E1DFC33-ACF1-405A-A638-245F31978005}"/>
    <cellStyle name="Normal 4 3 2 2 2 2 2 2 3 4" xfId="30489" xr:uid="{92DAC82D-00D6-4240-9621-55062BAECF19}"/>
    <cellStyle name="Normal 4 3 2 2 2 2 2 2 4" xfId="9391" xr:uid="{96011E9A-5988-4C4D-8154-8525711281E3}"/>
    <cellStyle name="Normal 4 3 2 2 2 2 2 2 5" xfId="17832" xr:uid="{4E16F94E-7556-43E6-A0D6-578701599C4B}"/>
    <cellStyle name="Normal 4 3 2 2 2 2 2 2 6" xfId="26272" xr:uid="{11CE31E2-4649-4104-86BA-F5983D2D7F7F}"/>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2 2 2" xfId="16167" xr:uid="{79849274-625F-440E-BCF4-ADDE923D49D0}"/>
    <cellStyle name="Normal 4 3 2 2 2 2 2 3 2 2 3" xfId="24607" xr:uid="{22081C7A-7172-455D-B7E4-35CCC98C73AE}"/>
    <cellStyle name="Normal 4 3 2 2 2 2 2 3 2 2 4" xfId="33047" xr:uid="{E4B15C3F-800F-4F79-AF18-C3D139F9CE35}"/>
    <cellStyle name="Normal 4 3 2 2 2 2 2 3 2 3" xfId="11949" xr:uid="{5F527095-074B-47FF-BBC0-1E326B88944C}"/>
    <cellStyle name="Normal 4 3 2 2 2 2 2 3 2 4" xfId="20390" xr:uid="{9C6D6058-D948-422C-BC24-18A7FBCE4A61}"/>
    <cellStyle name="Normal 4 3 2 2 2 2 2 3 2 5" xfId="28830" xr:uid="{D1C0B1E4-A6C9-4BAE-8A45-1F17FC7AED52}"/>
    <cellStyle name="Normal 4 3 2 2 2 2 2 3 3" xfId="5572" xr:uid="{00000000-0005-0000-0000-000014140000}"/>
    <cellStyle name="Normal 4 3 2 2 2 2 2 3 3 2" xfId="14022" xr:uid="{2E892DFD-2EB5-43D3-8D51-603582033D84}"/>
    <cellStyle name="Normal 4 3 2 2 2 2 2 3 3 3" xfId="22462" xr:uid="{DAAFA02E-E8A8-4306-807F-69C6FC1E9021}"/>
    <cellStyle name="Normal 4 3 2 2 2 2 2 3 3 4" xfId="30902" xr:uid="{F966799D-7184-4970-9CA4-C0AB00BF1D1A}"/>
    <cellStyle name="Normal 4 3 2 2 2 2 2 3 4" xfId="9804" xr:uid="{AC9A55F9-4AEE-4935-89A1-704B9794C469}"/>
    <cellStyle name="Normal 4 3 2 2 2 2 2 3 5" xfId="18245" xr:uid="{E9FBF878-3A4C-4DEC-8481-C517E122A898}"/>
    <cellStyle name="Normal 4 3 2 2 2 2 2 3 6" xfId="26685" xr:uid="{AFC83CD0-CB92-4FDA-81E9-C219784624EA}"/>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2 2 2" xfId="16580" xr:uid="{7A209445-3DDA-4C4B-9F36-9CF33254FAE8}"/>
    <cellStyle name="Normal 4 3 2 2 2 2 2 4 2 2 3" xfId="25020" xr:uid="{11431A96-D658-48FA-A729-8A3B63CB7C2E}"/>
    <cellStyle name="Normal 4 3 2 2 2 2 2 4 2 2 4" xfId="33460" xr:uid="{BA6ED9BC-F961-4B1D-A3A0-9DDE15DAB648}"/>
    <cellStyle name="Normal 4 3 2 2 2 2 2 4 2 3" xfId="12362" xr:uid="{603307C4-9EC6-415C-A7B4-C2F69690AC19}"/>
    <cellStyle name="Normal 4 3 2 2 2 2 2 4 2 4" xfId="20803" xr:uid="{91A6EE74-FD30-4FEF-AD26-46B0CF81FFCE}"/>
    <cellStyle name="Normal 4 3 2 2 2 2 2 4 2 5" xfId="29243" xr:uid="{7C794744-BF9A-407F-9F0A-4A40714F3B3C}"/>
    <cellStyle name="Normal 4 3 2 2 2 2 2 4 3" xfId="5985" xr:uid="{00000000-0005-0000-0000-000018140000}"/>
    <cellStyle name="Normal 4 3 2 2 2 2 2 4 3 2" xfId="14435" xr:uid="{4339A5A8-605B-4A8C-AA04-CA9FB867A7CD}"/>
    <cellStyle name="Normal 4 3 2 2 2 2 2 4 3 3" xfId="22875" xr:uid="{E176638C-7C42-43DD-9E1F-AB15BEDB1378}"/>
    <cellStyle name="Normal 4 3 2 2 2 2 2 4 3 4" xfId="31315" xr:uid="{21569B2F-690C-4331-BD45-513D75066CC2}"/>
    <cellStyle name="Normal 4 3 2 2 2 2 2 4 4" xfId="10217" xr:uid="{BF256389-C6D2-4439-8676-175D7827AD44}"/>
    <cellStyle name="Normal 4 3 2 2 2 2 2 4 5" xfId="18658" xr:uid="{04FE8056-E065-490E-8157-A49755E34E0B}"/>
    <cellStyle name="Normal 4 3 2 2 2 2 2 4 6" xfId="27098" xr:uid="{581A2EC5-4F08-4B21-8F82-C1B80B5596E4}"/>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2 2 2" xfId="16993" xr:uid="{1B05EE96-3CCD-494C-B552-841C8D98BE8F}"/>
    <cellStyle name="Normal 4 3 2 2 2 2 2 5 2 2 3" xfId="25433" xr:uid="{EEFAF994-A948-466B-ACA1-3F51BF254C38}"/>
    <cellStyle name="Normal 4 3 2 2 2 2 2 5 2 2 4" xfId="33873" xr:uid="{3C51E161-B009-4136-A714-7ADD9CC998D4}"/>
    <cellStyle name="Normal 4 3 2 2 2 2 2 5 2 3" xfId="12775" xr:uid="{F5B16FE9-32D9-42D9-AFB3-B624E387B671}"/>
    <cellStyle name="Normal 4 3 2 2 2 2 2 5 2 4" xfId="21216" xr:uid="{F3943951-3975-4E84-8578-1D48BE2B8858}"/>
    <cellStyle name="Normal 4 3 2 2 2 2 2 5 2 5" xfId="29656" xr:uid="{3BF7C9E7-DC55-4C46-B676-E287C04D9432}"/>
    <cellStyle name="Normal 4 3 2 2 2 2 2 5 3" xfId="6398" xr:uid="{00000000-0005-0000-0000-00001C140000}"/>
    <cellStyle name="Normal 4 3 2 2 2 2 2 5 3 2" xfId="14848" xr:uid="{BB5D2627-FC5C-4133-A530-50545E6AF96A}"/>
    <cellStyle name="Normal 4 3 2 2 2 2 2 5 3 3" xfId="23288" xr:uid="{66D112EB-102E-44B6-AE8B-C4531EDACE30}"/>
    <cellStyle name="Normal 4 3 2 2 2 2 2 5 3 4" xfId="31728" xr:uid="{C4C26B6E-8F27-4B0F-8921-182947511BFE}"/>
    <cellStyle name="Normal 4 3 2 2 2 2 2 5 4" xfId="10630" xr:uid="{F046FFEB-4E7A-430B-A5FD-C007B3F96C1E}"/>
    <cellStyle name="Normal 4 3 2 2 2 2 2 5 5" xfId="19071" xr:uid="{059618C8-EB99-489E-9679-53B8BB0DD785}"/>
    <cellStyle name="Normal 4 3 2 2 2 2 2 5 6" xfId="27511" xr:uid="{4E88AB94-FB2B-4761-8987-0D677A6A141F}"/>
    <cellStyle name="Normal 4 3 2 2 2 2 2 6" xfId="2528" xr:uid="{00000000-0005-0000-0000-00001D140000}"/>
    <cellStyle name="Normal 4 3 2 2 2 2 2 6 2" xfId="6811" xr:uid="{00000000-0005-0000-0000-00001E140000}"/>
    <cellStyle name="Normal 4 3 2 2 2 2 2 6 2 2" xfId="15261" xr:uid="{049185DF-77D3-49A5-B43D-13C01C7FB0BE}"/>
    <cellStyle name="Normal 4 3 2 2 2 2 2 6 2 3" xfId="23701" xr:uid="{8C40FC1F-C6F7-4BAC-9777-0E4538FF7CB9}"/>
    <cellStyle name="Normal 4 3 2 2 2 2 2 6 2 4" xfId="32141" xr:uid="{B91A3E9A-7EA0-47F2-A85C-8833FABDE8A8}"/>
    <cellStyle name="Normal 4 3 2 2 2 2 2 6 3" xfId="11043" xr:uid="{43E22A73-5206-4EA3-A838-DD89812BAC79}"/>
    <cellStyle name="Normal 4 3 2 2 2 2 2 6 4" xfId="19484" xr:uid="{D121C830-6B82-4538-8B83-A544BD2066F2}"/>
    <cellStyle name="Normal 4 3 2 2 2 2 2 6 5" xfId="27924" xr:uid="{783A7242-FB64-4FCB-A643-2F235CCF1BD3}"/>
    <cellStyle name="Normal 4 3 2 2 2 2 2 7" xfId="4746" xr:uid="{00000000-0005-0000-0000-00001F140000}"/>
    <cellStyle name="Normal 4 3 2 2 2 2 2 7 2" xfId="13196" xr:uid="{F25A277B-4AFD-4D78-8F3B-5601FBAFB55F}"/>
    <cellStyle name="Normal 4 3 2 2 2 2 2 7 3" xfId="21636" xr:uid="{9A8D7A04-5318-4927-8145-9A9C1164600C}"/>
    <cellStyle name="Normal 4 3 2 2 2 2 2 7 4" xfId="30076" xr:uid="{F207921B-C258-4658-95EC-6E83BBF30D20}"/>
    <cellStyle name="Normal 4 3 2 2 2 2 2 8" xfId="8978" xr:uid="{CFE29C40-0148-48C9-846A-912496AFC48D}"/>
    <cellStyle name="Normal 4 3 2 2 2 2 2 9" xfId="17419" xr:uid="{B07F401B-7D24-41DF-8714-63F1E9DE913C}"/>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2 2 2" xfId="15753" xr:uid="{B60069B6-C1D4-46EE-BD7C-2D55D69E3929}"/>
    <cellStyle name="Normal 4 3 2 2 2 2 3 2 2 3" xfId="24193" xr:uid="{5FC146B1-C847-4051-8E8C-43D1DBADF783}"/>
    <cellStyle name="Normal 4 3 2 2 2 2 3 2 2 4" xfId="32633" xr:uid="{13662215-5B44-4609-A691-0DF1B9B5B2C2}"/>
    <cellStyle name="Normal 4 3 2 2 2 2 3 2 3" xfId="11535" xr:uid="{96487509-698E-418A-B773-A258B9D6C7BC}"/>
    <cellStyle name="Normal 4 3 2 2 2 2 3 2 4" xfId="19976" xr:uid="{CB541F1D-9876-4A19-823E-138A887AF6A2}"/>
    <cellStyle name="Normal 4 3 2 2 2 2 3 2 5" xfId="28416" xr:uid="{99ECE3F4-C91C-4DFA-82B8-85924CC8027B}"/>
    <cellStyle name="Normal 4 3 2 2 2 2 3 3" xfId="5158" xr:uid="{00000000-0005-0000-0000-000023140000}"/>
    <cellStyle name="Normal 4 3 2 2 2 2 3 3 2" xfId="13608" xr:uid="{D5FA52CB-00B3-43A6-A63B-E6D576D9400F}"/>
    <cellStyle name="Normal 4 3 2 2 2 2 3 3 3" xfId="22048" xr:uid="{E9376408-44FA-4B7A-92D9-4AFFBE8C733A}"/>
    <cellStyle name="Normal 4 3 2 2 2 2 3 3 4" xfId="30488" xr:uid="{5E7742CB-64FA-46F9-B10C-89D9E84191DD}"/>
    <cellStyle name="Normal 4 3 2 2 2 2 3 4" xfId="9390" xr:uid="{1CADF0C6-2900-4B95-BF79-1AD0D34C935C}"/>
    <cellStyle name="Normal 4 3 2 2 2 2 3 5" xfId="17831" xr:uid="{00EA7AE1-2900-408E-B398-74005C299637}"/>
    <cellStyle name="Normal 4 3 2 2 2 2 3 6" xfId="26271" xr:uid="{DD8B533A-F3A4-49FC-825E-08687610ECA7}"/>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2 2 2" xfId="16166" xr:uid="{5862374B-3FA0-4107-B980-F3A3DD5DF1B0}"/>
    <cellStyle name="Normal 4 3 2 2 2 2 4 2 2 3" xfId="24606" xr:uid="{465764AE-FE5C-4051-AD56-427FDF83B08E}"/>
    <cellStyle name="Normal 4 3 2 2 2 2 4 2 2 4" xfId="33046" xr:uid="{9F172B1D-7B9F-479C-B25B-40261DDE8E22}"/>
    <cellStyle name="Normal 4 3 2 2 2 2 4 2 3" xfId="11948" xr:uid="{590F490D-FBB7-4DAD-9B24-C69BB0168C7E}"/>
    <cellStyle name="Normal 4 3 2 2 2 2 4 2 4" xfId="20389" xr:uid="{C700A779-1180-45FC-B88B-FCFF7DF25F92}"/>
    <cellStyle name="Normal 4 3 2 2 2 2 4 2 5" xfId="28829" xr:uid="{C4F095D3-41BA-4135-94E3-08E6F099F62C}"/>
    <cellStyle name="Normal 4 3 2 2 2 2 4 3" xfId="5571" xr:uid="{00000000-0005-0000-0000-000027140000}"/>
    <cellStyle name="Normal 4 3 2 2 2 2 4 3 2" xfId="14021" xr:uid="{5008D98E-1EBD-4485-BCDB-2FDF4F22AABD}"/>
    <cellStyle name="Normal 4 3 2 2 2 2 4 3 3" xfId="22461" xr:uid="{435127ED-D293-4F74-88FE-D498E9017EAA}"/>
    <cellStyle name="Normal 4 3 2 2 2 2 4 3 4" xfId="30901" xr:uid="{00D2B7A7-A85E-4C94-9116-136F83EE0E95}"/>
    <cellStyle name="Normal 4 3 2 2 2 2 4 4" xfId="9803" xr:uid="{AA7FF188-DC59-44CE-88FF-3D92A1886BD9}"/>
    <cellStyle name="Normal 4 3 2 2 2 2 4 5" xfId="18244" xr:uid="{90BC346B-A6CE-4A85-9002-5936A4E06D1E}"/>
    <cellStyle name="Normal 4 3 2 2 2 2 4 6" xfId="26684" xr:uid="{E3A18041-CB02-48A1-A7EF-4E32E62EECA3}"/>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2 2 2" xfId="16579" xr:uid="{CDE8CC47-EAC5-40D5-AE61-B2A929B2547D}"/>
    <cellStyle name="Normal 4 3 2 2 2 2 5 2 2 3" xfId="25019" xr:uid="{36EDA7AA-5AEE-4811-91ED-F084E425532A}"/>
    <cellStyle name="Normal 4 3 2 2 2 2 5 2 2 4" xfId="33459" xr:uid="{D479C091-1EBF-42DD-81BC-E0309F0FD7C5}"/>
    <cellStyle name="Normal 4 3 2 2 2 2 5 2 3" xfId="12361" xr:uid="{A35B3704-B580-44D8-BDB0-9BF244C2D46E}"/>
    <cellStyle name="Normal 4 3 2 2 2 2 5 2 4" xfId="20802" xr:uid="{D4278991-6D8C-4800-9EEB-F19C9E19D23B}"/>
    <cellStyle name="Normal 4 3 2 2 2 2 5 2 5" xfId="29242" xr:uid="{0752A02D-8E3C-4798-B455-70578EBF029C}"/>
    <cellStyle name="Normal 4 3 2 2 2 2 5 3" xfId="5984" xr:uid="{00000000-0005-0000-0000-00002B140000}"/>
    <cellStyle name="Normal 4 3 2 2 2 2 5 3 2" xfId="14434" xr:uid="{40A5188E-1FC6-4837-BF3C-30EDCA382ED3}"/>
    <cellStyle name="Normal 4 3 2 2 2 2 5 3 3" xfId="22874" xr:uid="{6728FF7C-786D-43A0-9012-AAF7AA49598A}"/>
    <cellStyle name="Normal 4 3 2 2 2 2 5 3 4" xfId="31314" xr:uid="{992B887C-B63C-42E2-A5C6-F4002A4D65C5}"/>
    <cellStyle name="Normal 4 3 2 2 2 2 5 4" xfId="10216" xr:uid="{9DAFAAA4-B357-4A2F-9102-86C4FC65578C}"/>
    <cellStyle name="Normal 4 3 2 2 2 2 5 5" xfId="18657" xr:uid="{49407E6E-F865-40EE-B953-07009E9D9D9D}"/>
    <cellStyle name="Normal 4 3 2 2 2 2 5 6" xfId="27097" xr:uid="{33EB7672-2594-4908-BD73-84F94768AB81}"/>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2 2 2" xfId="16992" xr:uid="{8E930F94-05C9-420F-B2F0-DC1C2BDD000D}"/>
    <cellStyle name="Normal 4 3 2 2 2 2 6 2 2 3" xfId="25432" xr:uid="{73CC61A8-5E58-4721-88C5-784489A9BFC2}"/>
    <cellStyle name="Normal 4 3 2 2 2 2 6 2 2 4" xfId="33872" xr:uid="{560CD906-642E-4D19-B26E-E1CFF6FF11A8}"/>
    <cellStyle name="Normal 4 3 2 2 2 2 6 2 3" xfId="12774" xr:uid="{D98AACAB-3DAF-4907-84E1-C34E5B5D37D8}"/>
    <cellStyle name="Normal 4 3 2 2 2 2 6 2 4" xfId="21215" xr:uid="{18EF50D7-078C-4DF8-B837-7B74FABEA067}"/>
    <cellStyle name="Normal 4 3 2 2 2 2 6 2 5" xfId="29655" xr:uid="{DCB5BC6E-CD06-4E4A-8E40-4B4EF0908B0F}"/>
    <cellStyle name="Normal 4 3 2 2 2 2 6 3" xfId="6397" xr:uid="{00000000-0005-0000-0000-00002F140000}"/>
    <cellStyle name="Normal 4 3 2 2 2 2 6 3 2" xfId="14847" xr:uid="{67A1A63C-B187-4790-8432-CC7127B02960}"/>
    <cellStyle name="Normal 4 3 2 2 2 2 6 3 3" xfId="23287" xr:uid="{29AA815B-9353-4D91-B581-CAE2E115D571}"/>
    <cellStyle name="Normal 4 3 2 2 2 2 6 3 4" xfId="31727" xr:uid="{8FDD1E33-994E-45AC-A848-4027040E989F}"/>
    <cellStyle name="Normal 4 3 2 2 2 2 6 4" xfId="10629" xr:uid="{8FED3CE6-0658-494E-BBB8-AB1D34CA3406}"/>
    <cellStyle name="Normal 4 3 2 2 2 2 6 5" xfId="19070" xr:uid="{A11B0571-4A9C-4FB6-A22B-71A35751EE99}"/>
    <cellStyle name="Normal 4 3 2 2 2 2 6 6" xfId="27510" xr:uid="{719B11B0-0BFA-42C4-A636-130BEE21F6A7}"/>
    <cellStyle name="Normal 4 3 2 2 2 2 7" xfId="2527" xr:uid="{00000000-0005-0000-0000-000030140000}"/>
    <cellStyle name="Normal 4 3 2 2 2 2 7 2" xfId="6810" xr:uid="{00000000-0005-0000-0000-000031140000}"/>
    <cellStyle name="Normal 4 3 2 2 2 2 7 2 2" xfId="15260" xr:uid="{E9F9F9A7-6798-4DFF-A643-21FBB4293C3B}"/>
    <cellStyle name="Normal 4 3 2 2 2 2 7 2 3" xfId="23700" xr:uid="{219BD3BC-6802-4959-A3A2-5B08CCBAE899}"/>
    <cellStyle name="Normal 4 3 2 2 2 2 7 2 4" xfId="32140" xr:uid="{8E1B5941-C721-4638-BE66-DA02A8F1258B}"/>
    <cellStyle name="Normal 4 3 2 2 2 2 7 3" xfId="11042" xr:uid="{713D12A3-9990-42EA-9196-27182122E1DB}"/>
    <cellStyle name="Normal 4 3 2 2 2 2 7 4" xfId="19483" xr:uid="{285E7D96-FE41-4D81-8E31-44EFF19769C2}"/>
    <cellStyle name="Normal 4 3 2 2 2 2 7 5" xfId="27923" xr:uid="{524F2E9F-D247-45AB-B17B-F14B6C3FC870}"/>
    <cellStyle name="Normal 4 3 2 2 2 2 8" xfId="4745" xr:uid="{00000000-0005-0000-0000-000032140000}"/>
    <cellStyle name="Normal 4 3 2 2 2 2 8 2" xfId="13195" xr:uid="{B8834711-5AF3-4E39-B5BB-8F579FB8B3CE}"/>
    <cellStyle name="Normal 4 3 2 2 2 2 8 3" xfId="21635" xr:uid="{4B87382C-8D0F-4204-BBA6-7B6CC324C3A3}"/>
    <cellStyle name="Normal 4 3 2 2 2 2 8 4" xfId="30075" xr:uid="{A4C0F83A-7750-4FA9-A7D7-7337B2C0A3F1}"/>
    <cellStyle name="Normal 4 3 2 2 2 2 9" xfId="8977" xr:uid="{10069378-15D4-4EDE-9989-F9446C9B77DF}"/>
    <cellStyle name="Normal 4 3 2 2 2 3" xfId="372" xr:uid="{00000000-0005-0000-0000-000033140000}"/>
    <cellStyle name="Normal 4 3 2 2 2 3 10" xfId="25860" xr:uid="{B31EA626-A2F1-463D-8DCA-A75E657EA448}"/>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2 2 2" xfId="15755" xr:uid="{C2852250-4D24-42AB-9540-A1D09D9E563E}"/>
    <cellStyle name="Normal 4 3 2 2 2 3 2 2 2 3" xfId="24195" xr:uid="{EDD7D741-0E22-498F-89E9-BCA79BC31F96}"/>
    <cellStyle name="Normal 4 3 2 2 2 3 2 2 2 4" xfId="32635" xr:uid="{953EC2F3-3083-407A-92AE-92C993A1C84B}"/>
    <cellStyle name="Normal 4 3 2 2 2 3 2 2 3" xfId="11537" xr:uid="{2F3D7638-4B80-46BD-BA41-F56BBBE17360}"/>
    <cellStyle name="Normal 4 3 2 2 2 3 2 2 4" xfId="19978" xr:uid="{98491D9F-6C01-4B49-93A8-F8775E02F328}"/>
    <cellStyle name="Normal 4 3 2 2 2 3 2 2 5" xfId="28418" xr:uid="{60BEB6AB-287A-4E33-A5BA-05F358FB25B5}"/>
    <cellStyle name="Normal 4 3 2 2 2 3 2 3" xfId="5160" xr:uid="{00000000-0005-0000-0000-000037140000}"/>
    <cellStyle name="Normal 4 3 2 2 2 3 2 3 2" xfId="13610" xr:uid="{5CACFD4F-7B1B-4EB5-823C-0745AD05E01F}"/>
    <cellStyle name="Normal 4 3 2 2 2 3 2 3 3" xfId="22050" xr:uid="{5AE8DDFA-FDE5-46F3-A9B3-CE7FE2FFC9B0}"/>
    <cellStyle name="Normal 4 3 2 2 2 3 2 3 4" xfId="30490" xr:uid="{7DFA7A89-23FB-4F77-930A-BE6ADC0C8F15}"/>
    <cellStyle name="Normal 4 3 2 2 2 3 2 4" xfId="9392" xr:uid="{AD8CF0C2-03FE-4C36-88B2-ED4C6B8CFFFE}"/>
    <cellStyle name="Normal 4 3 2 2 2 3 2 5" xfId="17833" xr:uid="{7AAC189B-DA5A-488C-AEEA-F00EBB90E384}"/>
    <cellStyle name="Normal 4 3 2 2 2 3 2 6" xfId="26273" xr:uid="{B29C37D8-040B-4972-98BA-06BF80F25920}"/>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2 2 2" xfId="16168" xr:uid="{D9022EE8-AE02-4DDC-82D9-1800B9D6EA76}"/>
    <cellStyle name="Normal 4 3 2 2 2 3 3 2 2 3" xfId="24608" xr:uid="{3E26EEC8-A1D6-4A86-910D-3FBFD95602B8}"/>
    <cellStyle name="Normal 4 3 2 2 2 3 3 2 2 4" xfId="33048" xr:uid="{70D3AFA9-AAA4-41A4-B7EB-995262121966}"/>
    <cellStyle name="Normal 4 3 2 2 2 3 3 2 3" xfId="11950" xr:uid="{0893C517-C4DF-47DB-8EF0-28E3970757EB}"/>
    <cellStyle name="Normal 4 3 2 2 2 3 3 2 4" xfId="20391" xr:uid="{353D1CD9-0EF7-4F18-BAC4-07B22209FBBC}"/>
    <cellStyle name="Normal 4 3 2 2 2 3 3 2 5" xfId="28831" xr:uid="{5F23BBE0-6644-4364-AB01-AE795A804AEF}"/>
    <cellStyle name="Normal 4 3 2 2 2 3 3 3" xfId="5573" xr:uid="{00000000-0005-0000-0000-00003B140000}"/>
    <cellStyle name="Normal 4 3 2 2 2 3 3 3 2" xfId="14023" xr:uid="{59A8F0A8-58CC-4F64-A8F8-A330162DE426}"/>
    <cellStyle name="Normal 4 3 2 2 2 3 3 3 3" xfId="22463" xr:uid="{6DCDBD46-EFB2-42C2-B46B-52594D07269A}"/>
    <cellStyle name="Normal 4 3 2 2 2 3 3 3 4" xfId="30903" xr:uid="{5CBBEDC3-4D5C-4910-BBC3-53C7722E1BB3}"/>
    <cellStyle name="Normal 4 3 2 2 2 3 3 4" xfId="9805" xr:uid="{9B3323AA-9696-4717-8AD7-A38D93C31F51}"/>
    <cellStyle name="Normal 4 3 2 2 2 3 3 5" xfId="18246" xr:uid="{7626E4D8-C8FB-44CA-8DB3-EE334BD0B9B4}"/>
    <cellStyle name="Normal 4 3 2 2 2 3 3 6" xfId="26686" xr:uid="{FD90004A-4260-4FFF-9775-8EE9C37014BD}"/>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2 2 2" xfId="16581" xr:uid="{E72E683B-6973-45D9-842B-E73A72A504D8}"/>
    <cellStyle name="Normal 4 3 2 2 2 3 4 2 2 3" xfId="25021" xr:uid="{EEAB86F1-C847-49A6-BB81-96ADBD2D15CE}"/>
    <cellStyle name="Normal 4 3 2 2 2 3 4 2 2 4" xfId="33461" xr:uid="{F8075D4A-DE1A-4DCC-ACCC-A11AEF1C8880}"/>
    <cellStyle name="Normal 4 3 2 2 2 3 4 2 3" xfId="12363" xr:uid="{532EBB5D-F0F1-41BD-9459-7839AD6CEBE1}"/>
    <cellStyle name="Normal 4 3 2 2 2 3 4 2 4" xfId="20804" xr:uid="{8476DF25-E4FB-44C6-B2B3-1288EAA303E1}"/>
    <cellStyle name="Normal 4 3 2 2 2 3 4 2 5" xfId="29244" xr:uid="{C82A5230-DC8E-48E8-9E02-89B2A1E19B42}"/>
    <cellStyle name="Normal 4 3 2 2 2 3 4 3" xfId="5986" xr:uid="{00000000-0005-0000-0000-00003F140000}"/>
    <cellStyle name="Normal 4 3 2 2 2 3 4 3 2" xfId="14436" xr:uid="{8B6C90CF-087B-412E-8F9E-07324D679576}"/>
    <cellStyle name="Normal 4 3 2 2 2 3 4 3 3" xfId="22876" xr:uid="{AA0A6BAA-DC9B-4077-829D-2EC2B87CD002}"/>
    <cellStyle name="Normal 4 3 2 2 2 3 4 3 4" xfId="31316" xr:uid="{A5839CD3-09EA-41C6-A532-A744F379AF02}"/>
    <cellStyle name="Normal 4 3 2 2 2 3 4 4" xfId="10218" xr:uid="{755F6FF4-FDB2-4061-A326-6FFACA709437}"/>
    <cellStyle name="Normal 4 3 2 2 2 3 4 5" xfId="18659" xr:uid="{841B740C-4A0B-4C8A-BB2C-A929237719C2}"/>
    <cellStyle name="Normal 4 3 2 2 2 3 4 6" xfId="27099" xr:uid="{1302F87C-2C69-4049-A749-0FA2A81C73EA}"/>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2 2 2" xfId="16994" xr:uid="{9DCA22ED-C192-4286-BA40-9EC282746201}"/>
    <cellStyle name="Normal 4 3 2 2 2 3 5 2 2 3" xfId="25434" xr:uid="{02C2988D-52C1-4CED-8680-E4C001002FED}"/>
    <cellStyle name="Normal 4 3 2 2 2 3 5 2 2 4" xfId="33874" xr:uid="{9FF3711E-BD83-4EF6-805F-A87CC60B237E}"/>
    <cellStyle name="Normal 4 3 2 2 2 3 5 2 3" xfId="12776" xr:uid="{3E68B626-8FCC-4342-9E12-5BD8955BC250}"/>
    <cellStyle name="Normal 4 3 2 2 2 3 5 2 4" xfId="21217" xr:uid="{A3B9F517-33DE-425D-A2A1-3C5CE7DD98E5}"/>
    <cellStyle name="Normal 4 3 2 2 2 3 5 2 5" xfId="29657" xr:uid="{4BDB52B4-719F-40F3-A3E1-242224CEEC26}"/>
    <cellStyle name="Normal 4 3 2 2 2 3 5 3" xfId="6399" xr:uid="{00000000-0005-0000-0000-000043140000}"/>
    <cellStyle name="Normal 4 3 2 2 2 3 5 3 2" xfId="14849" xr:uid="{850315E2-06FF-44E2-B3B1-8DCE19D57B6B}"/>
    <cellStyle name="Normal 4 3 2 2 2 3 5 3 3" xfId="23289" xr:uid="{4830D0FB-C498-439E-A14E-BCCCA62B1CD4}"/>
    <cellStyle name="Normal 4 3 2 2 2 3 5 3 4" xfId="31729" xr:uid="{00A53F24-3E7D-487F-A324-C22BDE2B261C}"/>
    <cellStyle name="Normal 4 3 2 2 2 3 5 4" xfId="10631" xr:uid="{C941B330-0307-41E5-A7EA-2925B3B4801D}"/>
    <cellStyle name="Normal 4 3 2 2 2 3 5 5" xfId="19072" xr:uid="{98B6E367-5605-4AED-B139-3D3A31BFCB01}"/>
    <cellStyle name="Normal 4 3 2 2 2 3 5 6" xfId="27512" xr:uid="{A1335ED7-0B70-44C7-997F-0C725412AC20}"/>
    <cellStyle name="Normal 4 3 2 2 2 3 6" xfId="2529" xr:uid="{00000000-0005-0000-0000-000044140000}"/>
    <cellStyle name="Normal 4 3 2 2 2 3 6 2" xfId="6812" xr:uid="{00000000-0005-0000-0000-000045140000}"/>
    <cellStyle name="Normal 4 3 2 2 2 3 6 2 2" xfId="15262" xr:uid="{203F18DA-51C5-4514-9E5C-EFF9860622CE}"/>
    <cellStyle name="Normal 4 3 2 2 2 3 6 2 3" xfId="23702" xr:uid="{84A6FE5D-9C7B-4318-B4E7-72DEB0A19E3F}"/>
    <cellStyle name="Normal 4 3 2 2 2 3 6 2 4" xfId="32142" xr:uid="{E08ACFDA-A35A-4B18-A0FD-EB3BC3DA74DE}"/>
    <cellStyle name="Normal 4 3 2 2 2 3 6 3" xfId="11044" xr:uid="{F8DD250D-233D-4862-8676-81F82AC84E9D}"/>
    <cellStyle name="Normal 4 3 2 2 2 3 6 4" xfId="19485" xr:uid="{13FC585B-A9E7-4131-8235-86F9ACD8BA8B}"/>
    <cellStyle name="Normal 4 3 2 2 2 3 6 5" xfId="27925" xr:uid="{B790CE53-FAF0-49AF-A276-A98F3F439C86}"/>
    <cellStyle name="Normal 4 3 2 2 2 3 7" xfId="4747" xr:uid="{00000000-0005-0000-0000-000046140000}"/>
    <cellStyle name="Normal 4 3 2 2 2 3 7 2" xfId="13197" xr:uid="{2C9D699A-B3DC-44EC-80D0-6A8D7A263DF4}"/>
    <cellStyle name="Normal 4 3 2 2 2 3 7 3" xfId="21637" xr:uid="{61050D88-ADDB-41D8-9786-D64F622E9B93}"/>
    <cellStyle name="Normal 4 3 2 2 2 3 7 4" xfId="30077" xr:uid="{33896AC3-E15E-4E3A-85FF-FEC0BEC958FA}"/>
    <cellStyle name="Normal 4 3 2 2 2 3 8" xfId="8979" xr:uid="{A0D8983B-D9A5-4C69-8296-1E10ECB78150}"/>
    <cellStyle name="Normal 4 3 2 2 2 3 9" xfId="17420" xr:uid="{701EB737-DAAC-4296-A016-E0C022AC4000}"/>
    <cellStyle name="Normal 4 3 2 2 2 4" xfId="844" xr:uid="{00000000-0005-0000-0000-000047140000}"/>
    <cellStyle name="Normal 4 3 2 2 2 4 2" xfId="3080" xr:uid="{00000000-0005-0000-0000-000048140000}"/>
    <cellStyle name="Normal 4 3 2 2 2 4 2 2" xfId="7302" xr:uid="{00000000-0005-0000-0000-000049140000}"/>
    <cellStyle name="Normal 4 3 2 2 2 4 2 2 2" xfId="15752" xr:uid="{8EC3EC6B-608A-4A56-BC29-DBDBD00C38A4}"/>
    <cellStyle name="Normal 4 3 2 2 2 4 2 2 3" xfId="24192" xr:uid="{2C8B6CBB-79E3-4E1F-BDDD-7685C3309493}"/>
    <cellStyle name="Normal 4 3 2 2 2 4 2 2 4" xfId="32632" xr:uid="{77F46567-C6CD-4F22-AB5E-77A9F1BE047F}"/>
    <cellStyle name="Normal 4 3 2 2 2 4 2 3" xfId="11534" xr:uid="{A913ADD0-A44E-4BFA-B0E9-4D5EB18FC918}"/>
    <cellStyle name="Normal 4 3 2 2 2 4 2 4" xfId="19975" xr:uid="{43296CD1-222F-46D3-B9D6-466DC9633493}"/>
    <cellStyle name="Normal 4 3 2 2 2 4 2 5" xfId="28415" xr:uid="{FE0DB5A1-CEB9-4729-8CBC-A83AECDAFC59}"/>
    <cellStyle name="Normal 4 3 2 2 2 4 3" xfId="5157" xr:uid="{00000000-0005-0000-0000-00004A140000}"/>
    <cellStyle name="Normal 4 3 2 2 2 4 3 2" xfId="13607" xr:uid="{C8283B2E-FE1F-4284-96C2-0B09B53EDB50}"/>
    <cellStyle name="Normal 4 3 2 2 2 4 3 3" xfId="22047" xr:uid="{EBC6C97A-AA92-43A5-9BF2-ABD261E16DC4}"/>
    <cellStyle name="Normal 4 3 2 2 2 4 3 4" xfId="30487" xr:uid="{A4D6E375-99A0-4C74-B28D-790C20092B1F}"/>
    <cellStyle name="Normal 4 3 2 2 2 4 4" xfId="9389" xr:uid="{713D36B9-05C4-4BC5-A718-F649C448CF85}"/>
    <cellStyle name="Normal 4 3 2 2 2 4 5" xfId="17830" xr:uid="{29346A47-4410-4900-AA03-E9076212D343}"/>
    <cellStyle name="Normal 4 3 2 2 2 4 6" xfId="26270" xr:uid="{89E7288B-8371-4CA8-84B7-EA3CA38B91DF}"/>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2 2 2" xfId="16165" xr:uid="{397FA7D5-4143-441E-8AAE-1D777065E7B2}"/>
    <cellStyle name="Normal 4 3 2 2 2 5 2 2 3" xfId="24605" xr:uid="{B3A418ED-8485-4DBA-B5B5-B89994B98DBE}"/>
    <cellStyle name="Normal 4 3 2 2 2 5 2 2 4" xfId="33045" xr:uid="{E0F56ADF-19C2-4463-9726-E748B0014E37}"/>
    <cellStyle name="Normal 4 3 2 2 2 5 2 3" xfId="11947" xr:uid="{5D9F718A-D259-4A7E-BB66-BF8D0ED255EE}"/>
    <cellStyle name="Normal 4 3 2 2 2 5 2 4" xfId="20388" xr:uid="{E95D5125-B382-4808-AFD5-13B8AD29E120}"/>
    <cellStyle name="Normal 4 3 2 2 2 5 2 5" xfId="28828" xr:uid="{2B3B2C7D-7549-4C60-B241-A3057770A808}"/>
    <cellStyle name="Normal 4 3 2 2 2 5 3" xfId="5570" xr:uid="{00000000-0005-0000-0000-00004E140000}"/>
    <cellStyle name="Normal 4 3 2 2 2 5 3 2" xfId="14020" xr:uid="{121CEC03-1B8D-4BE5-B9C5-1F8CAECF47F6}"/>
    <cellStyle name="Normal 4 3 2 2 2 5 3 3" xfId="22460" xr:uid="{98EC5D6C-84FF-4768-A8F9-22DAD1B84893}"/>
    <cellStyle name="Normal 4 3 2 2 2 5 3 4" xfId="30900" xr:uid="{2AFB5C0F-2D6C-48C2-A673-B42AD561323A}"/>
    <cellStyle name="Normal 4 3 2 2 2 5 4" xfId="9802" xr:uid="{C48FC1F9-1E3E-4861-B19D-0DD5299A46D7}"/>
    <cellStyle name="Normal 4 3 2 2 2 5 5" xfId="18243" xr:uid="{1B35E6A3-7F90-41FD-9F05-69D67F1BC867}"/>
    <cellStyle name="Normal 4 3 2 2 2 5 6" xfId="26683" xr:uid="{2B69A20D-3D99-4B95-9CDE-3E069F98726D}"/>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2 2 2" xfId="16578" xr:uid="{2038F58E-D339-407A-9AD1-B87FCA385758}"/>
    <cellStyle name="Normal 4 3 2 2 2 6 2 2 3" xfId="25018" xr:uid="{DE5BA53B-BF33-4F03-AB2A-20BA86651CC7}"/>
    <cellStyle name="Normal 4 3 2 2 2 6 2 2 4" xfId="33458" xr:uid="{954ECDAC-139A-43E8-83C2-B1179FBE59F3}"/>
    <cellStyle name="Normal 4 3 2 2 2 6 2 3" xfId="12360" xr:uid="{3CF6273E-FD0A-427D-B5FC-C6DF7FD93C61}"/>
    <cellStyle name="Normal 4 3 2 2 2 6 2 4" xfId="20801" xr:uid="{EDCAE240-B78E-4E2D-838B-8914BCBEB875}"/>
    <cellStyle name="Normal 4 3 2 2 2 6 2 5" xfId="29241" xr:uid="{BF80E65F-BC0C-4E87-86B3-9F2225350261}"/>
    <cellStyle name="Normal 4 3 2 2 2 6 3" xfId="5983" xr:uid="{00000000-0005-0000-0000-000052140000}"/>
    <cellStyle name="Normal 4 3 2 2 2 6 3 2" xfId="14433" xr:uid="{C0A7C5EF-38A8-4F11-B8D9-344B45F76DC4}"/>
    <cellStyle name="Normal 4 3 2 2 2 6 3 3" xfId="22873" xr:uid="{FC4CEF67-2AD2-4553-8E45-436C05269203}"/>
    <cellStyle name="Normal 4 3 2 2 2 6 3 4" xfId="31313" xr:uid="{1AE738D8-53EE-4FE0-8B69-952DF07DFA35}"/>
    <cellStyle name="Normal 4 3 2 2 2 6 4" xfId="10215" xr:uid="{9014D758-4342-4EC3-B9D3-9B860C0E9B5D}"/>
    <cellStyle name="Normal 4 3 2 2 2 6 5" xfId="18656" xr:uid="{188DB788-91FE-4066-8F55-C555E4BFCA8B}"/>
    <cellStyle name="Normal 4 3 2 2 2 6 6" xfId="27096" xr:uid="{47D9C23B-A6F4-46DE-A1D4-546E126568EA}"/>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2 2 2" xfId="16991" xr:uid="{88D9C405-24D5-43B6-A06E-F16E687647FF}"/>
    <cellStyle name="Normal 4 3 2 2 2 7 2 2 3" xfId="25431" xr:uid="{EC90CCE7-7F86-4C78-91CC-FECC7EF0BE79}"/>
    <cellStyle name="Normal 4 3 2 2 2 7 2 2 4" xfId="33871" xr:uid="{AD9CC087-0967-414E-9C91-4FFAD80333EF}"/>
    <cellStyle name="Normal 4 3 2 2 2 7 2 3" xfId="12773" xr:uid="{747AB69E-B368-4731-83BB-3AD67FD08E96}"/>
    <cellStyle name="Normal 4 3 2 2 2 7 2 4" xfId="21214" xr:uid="{2BED5E56-A990-4A28-800E-92F5D19BB6D2}"/>
    <cellStyle name="Normal 4 3 2 2 2 7 2 5" xfId="29654" xr:uid="{C5209463-051E-4069-BBDF-FD45A8F80287}"/>
    <cellStyle name="Normal 4 3 2 2 2 7 3" xfId="6396" xr:uid="{00000000-0005-0000-0000-000056140000}"/>
    <cellStyle name="Normal 4 3 2 2 2 7 3 2" xfId="14846" xr:uid="{ABEAA232-5073-41F7-A272-BC75EFAA7DEB}"/>
    <cellStyle name="Normal 4 3 2 2 2 7 3 3" xfId="23286" xr:uid="{6A664BA8-ABB5-4230-87C2-539FB86CCB08}"/>
    <cellStyle name="Normal 4 3 2 2 2 7 3 4" xfId="31726" xr:uid="{21D61D79-F45A-483E-B6A7-7F1472D39733}"/>
    <cellStyle name="Normal 4 3 2 2 2 7 4" xfId="10628" xr:uid="{0A814F3A-9482-4A82-B23F-8DAA889A7F81}"/>
    <cellStyle name="Normal 4 3 2 2 2 7 5" xfId="19069" xr:uid="{BD86D481-3154-4CF3-8B12-633B8FDE08DE}"/>
    <cellStyle name="Normal 4 3 2 2 2 7 6" xfId="27509" xr:uid="{C6BDF821-CCF9-4BAB-8830-10E2B9C8FCCA}"/>
    <cellStyle name="Normal 4 3 2 2 2 8" xfId="2526" xr:uid="{00000000-0005-0000-0000-000057140000}"/>
    <cellStyle name="Normal 4 3 2 2 2 8 2" xfId="6809" xr:uid="{00000000-0005-0000-0000-000058140000}"/>
    <cellStyle name="Normal 4 3 2 2 2 8 2 2" xfId="15259" xr:uid="{0A5F388F-3FA0-4B5E-BE5E-8443ECA83E71}"/>
    <cellStyle name="Normal 4 3 2 2 2 8 2 3" xfId="23699" xr:uid="{C1A24BB4-2C84-4CEF-B134-C0E879D171A9}"/>
    <cellStyle name="Normal 4 3 2 2 2 8 2 4" xfId="32139" xr:uid="{5148712C-96BB-4501-9F57-43F1C920260E}"/>
    <cellStyle name="Normal 4 3 2 2 2 8 3" xfId="11041" xr:uid="{B3DD51C6-1DE5-469D-B5C9-961962869E21}"/>
    <cellStyle name="Normal 4 3 2 2 2 8 4" xfId="19482" xr:uid="{1BFC7CF3-C74F-4F98-9E68-432EEA86F1CE}"/>
    <cellStyle name="Normal 4 3 2 2 2 8 5" xfId="27922" xr:uid="{568BFF72-3442-4667-A01B-6B2638B8C30C}"/>
    <cellStyle name="Normal 4 3 2 2 2 9" xfId="4744" xr:uid="{00000000-0005-0000-0000-000059140000}"/>
    <cellStyle name="Normal 4 3 2 2 2 9 2" xfId="13194" xr:uid="{38FEF386-DB87-40F0-A20B-4DA69C145D5F}"/>
    <cellStyle name="Normal 4 3 2 2 2 9 3" xfId="21634" xr:uid="{30D10344-28F5-4A47-98C1-9E438914819D}"/>
    <cellStyle name="Normal 4 3 2 2 2 9 4" xfId="30074" xr:uid="{D6794A38-233F-4C97-85ED-2F4698454187}"/>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10" xfId="8980" xr:uid="{1600F980-92CD-4A34-9758-29652DDA08C2}"/>
    <cellStyle name="Normal 4 3 3 11" xfId="17421" xr:uid="{420449A4-49E4-4434-9706-8C7AD5D351FF}"/>
    <cellStyle name="Normal 4 3 3 12" xfId="25861" xr:uid="{805A60E3-308F-480E-B5B5-ED67AEF7AC2F}"/>
    <cellStyle name="Normal 4 3 3 2" xfId="375" xr:uid="{00000000-0005-0000-0000-00005E140000}"/>
    <cellStyle name="Normal 4 3 3 2 10" xfId="17422" xr:uid="{62AB7517-0C6A-4F9F-B85E-B3EF24C6F77D}"/>
    <cellStyle name="Normal 4 3 3 2 11" xfId="25862" xr:uid="{5D1F37E0-0E67-47F2-8A1B-4DED823F8C44}"/>
    <cellStyle name="Normal 4 3 3 2 2" xfId="376" xr:uid="{00000000-0005-0000-0000-00005F140000}"/>
    <cellStyle name="Normal 4 3 3 2 2 10" xfId="25863" xr:uid="{003C0811-CFE9-4D19-B13B-FC58DBA33B28}"/>
    <cellStyle name="Normal 4 3 3 2 2 2" xfId="851" xr:uid="{00000000-0005-0000-0000-000060140000}"/>
    <cellStyle name="Normal 4 3 3 2 2 2 2" xfId="3086" xr:uid="{00000000-0005-0000-0000-000061140000}"/>
    <cellStyle name="Normal 4 3 3 2 2 2 2 2" xfId="7308" xr:uid="{00000000-0005-0000-0000-000062140000}"/>
    <cellStyle name="Normal 4 3 3 2 2 2 2 2 2" xfId="15758" xr:uid="{AAF77D79-50C6-4695-B4A3-C520CB7E7023}"/>
    <cellStyle name="Normal 4 3 3 2 2 2 2 2 3" xfId="24198" xr:uid="{9D785C61-84C7-4EA5-B02A-80AB2F6D2A20}"/>
    <cellStyle name="Normal 4 3 3 2 2 2 2 2 4" xfId="32638" xr:uid="{602F6CD8-B698-4B85-8EB6-1B1FAA061AC1}"/>
    <cellStyle name="Normal 4 3 3 2 2 2 2 3" xfId="11540" xr:uid="{68026ECC-3DDF-45A3-8EEE-47964E0F3376}"/>
    <cellStyle name="Normal 4 3 3 2 2 2 2 4" xfId="19981" xr:uid="{D8C3A3BE-8722-44FC-88A1-236E84B80371}"/>
    <cellStyle name="Normal 4 3 3 2 2 2 2 5" xfId="28421" xr:uid="{0376E12B-5368-434E-A3D6-2DEE9EDFD944}"/>
    <cellStyle name="Normal 4 3 3 2 2 2 3" xfId="5163" xr:uid="{00000000-0005-0000-0000-000063140000}"/>
    <cellStyle name="Normal 4 3 3 2 2 2 3 2" xfId="13613" xr:uid="{F55C0D76-8518-4023-8EE8-8527B7077E71}"/>
    <cellStyle name="Normal 4 3 3 2 2 2 3 3" xfId="22053" xr:uid="{5A7B8696-8E47-49E8-A20D-308B7BDE40ED}"/>
    <cellStyle name="Normal 4 3 3 2 2 2 3 4" xfId="30493" xr:uid="{6F3F3819-9899-4136-BB65-843323846842}"/>
    <cellStyle name="Normal 4 3 3 2 2 2 4" xfId="9395" xr:uid="{8EF278F1-6B93-4693-864F-4AE9C8500986}"/>
    <cellStyle name="Normal 4 3 3 2 2 2 5" xfId="17836" xr:uid="{E9975DD6-63CE-4C35-A2F4-0EEA2950B42D}"/>
    <cellStyle name="Normal 4 3 3 2 2 2 6" xfId="26276" xr:uid="{B2279E11-111E-4AAC-A312-07C2E1A6ED77}"/>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2 2 2" xfId="16171" xr:uid="{C4BBF128-D154-406D-B765-469A68C8B8D4}"/>
    <cellStyle name="Normal 4 3 3 2 2 3 2 2 3" xfId="24611" xr:uid="{204DC47B-01E0-4289-8EAF-DC111F8F2AEF}"/>
    <cellStyle name="Normal 4 3 3 2 2 3 2 2 4" xfId="33051" xr:uid="{BEE93736-986E-4CB5-98D9-0D8D86D7C2D9}"/>
    <cellStyle name="Normal 4 3 3 2 2 3 2 3" xfId="11953" xr:uid="{BDA1D447-D4FD-4675-853A-2E87525CF166}"/>
    <cellStyle name="Normal 4 3 3 2 2 3 2 4" xfId="20394" xr:uid="{D12F4E0B-39E2-4161-B76C-888803B8D969}"/>
    <cellStyle name="Normal 4 3 3 2 2 3 2 5" xfId="28834" xr:uid="{176A7F2F-A4EB-43CD-8207-D9767B3B262B}"/>
    <cellStyle name="Normal 4 3 3 2 2 3 3" xfId="5576" xr:uid="{00000000-0005-0000-0000-000067140000}"/>
    <cellStyle name="Normal 4 3 3 2 2 3 3 2" xfId="14026" xr:uid="{7D95FD3F-FF06-4995-A25D-6BE37C17F5EA}"/>
    <cellStyle name="Normal 4 3 3 2 2 3 3 3" xfId="22466" xr:uid="{E0D06127-BF99-4A91-93A3-DB04ADB7311A}"/>
    <cellStyle name="Normal 4 3 3 2 2 3 3 4" xfId="30906" xr:uid="{8912C188-6C9B-4A62-9793-01063BA94A96}"/>
    <cellStyle name="Normal 4 3 3 2 2 3 4" xfId="9808" xr:uid="{C82D2B4F-763D-41AD-B0B7-39BB540BC642}"/>
    <cellStyle name="Normal 4 3 3 2 2 3 5" xfId="18249" xr:uid="{2BF3F1B4-FA36-41F7-851E-A1407A36B8D6}"/>
    <cellStyle name="Normal 4 3 3 2 2 3 6" xfId="26689" xr:uid="{3FF681BD-0FA4-4D66-BD01-5B97DE8B994E}"/>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2 2 2" xfId="16584" xr:uid="{7E78A60E-006D-4FE0-B844-A1E2662C5223}"/>
    <cellStyle name="Normal 4 3 3 2 2 4 2 2 3" xfId="25024" xr:uid="{07410D5B-4EFC-4C67-BD54-4FA0D27A330A}"/>
    <cellStyle name="Normal 4 3 3 2 2 4 2 2 4" xfId="33464" xr:uid="{460C5BA3-5D42-426B-AAD7-908A16B6C38A}"/>
    <cellStyle name="Normal 4 3 3 2 2 4 2 3" xfId="12366" xr:uid="{8A9B4E9F-70C9-47E0-B217-366AAB60A2C1}"/>
    <cellStyle name="Normal 4 3 3 2 2 4 2 4" xfId="20807" xr:uid="{585CD6EA-0907-4282-9805-1388A94E4D7A}"/>
    <cellStyle name="Normal 4 3 3 2 2 4 2 5" xfId="29247" xr:uid="{A09A246A-4743-487E-8A6C-8D4D558E6CF8}"/>
    <cellStyle name="Normal 4 3 3 2 2 4 3" xfId="5989" xr:uid="{00000000-0005-0000-0000-00006B140000}"/>
    <cellStyle name="Normal 4 3 3 2 2 4 3 2" xfId="14439" xr:uid="{63B2521D-F7A1-40A9-941D-A8ACB5D7E196}"/>
    <cellStyle name="Normal 4 3 3 2 2 4 3 3" xfId="22879" xr:uid="{5F546DF9-CA39-42E6-BB86-8261C01E6329}"/>
    <cellStyle name="Normal 4 3 3 2 2 4 3 4" xfId="31319" xr:uid="{7CA4E569-F683-4615-8E5B-5FCE42A0B310}"/>
    <cellStyle name="Normal 4 3 3 2 2 4 4" xfId="10221" xr:uid="{EF963CC6-B11B-48CE-90CF-2D292812F0EB}"/>
    <cellStyle name="Normal 4 3 3 2 2 4 5" xfId="18662" xr:uid="{90F0235F-9036-49AA-9054-B808B2E92B6C}"/>
    <cellStyle name="Normal 4 3 3 2 2 4 6" xfId="27102" xr:uid="{D16A2419-D589-4E73-B0A5-97F34E9126FA}"/>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2 2 2" xfId="16997" xr:uid="{BBE82E8F-2770-4829-B0DF-0322B1F9D049}"/>
    <cellStyle name="Normal 4 3 3 2 2 5 2 2 3" xfId="25437" xr:uid="{9705EE9D-9D9B-4768-B2EC-603B0AB4BE3D}"/>
    <cellStyle name="Normal 4 3 3 2 2 5 2 2 4" xfId="33877" xr:uid="{DB6EABA7-4BF5-4AFC-AD73-0400DE8B5CB3}"/>
    <cellStyle name="Normal 4 3 3 2 2 5 2 3" xfId="12779" xr:uid="{C86B7DC3-8A00-4B92-A60C-FC7AF9E75AB3}"/>
    <cellStyle name="Normal 4 3 3 2 2 5 2 4" xfId="21220" xr:uid="{15F0E3FC-43D2-4D68-855F-871DEA9006C9}"/>
    <cellStyle name="Normal 4 3 3 2 2 5 2 5" xfId="29660" xr:uid="{8A9F87F8-DC19-46A0-85C0-12574887E444}"/>
    <cellStyle name="Normal 4 3 3 2 2 5 3" xfId="6402" xr:uid="{00000000-0005-0000-0000-00006F140000}"/>
    <cellStyle name="Normal 4 3 3 2 2 5 3 2" xfId="14852" xr:uid="{037D27A2-1D9A-43F7-B8BA-3E5301B52CC1}"/>
    <cellStyle name="Normal 4 3 3 2 2 5 3 3" xfId="23292" xr:uid="{A4DF930D-ED0D-45B1-BA51-E830B700B7BB}"/>
    <cellStyle name="Normal 4 3 3 2 2 5 3 4" xfId="31732" xr:uid="{7923F3D9-0A81-41C2-94EF-D3EDF7EB3B6C}"/>
    <cellStyle name="Normal 4 3 3 2 2 5 4" xfId="10634" xr:uid="{DD8A42E2-1CC4-4A3E-8361-0CA134B0D500}"/>
    <cellStyle name="Normal 4 3 3 2 2 5 5" xfId="19075" xr:uid="{8CA3AB48-F5C1-4CF4-9E5F-2073F7F24B01}"/>
    <cellStyle name="Normal 4 3 3 2 2 5 6" xfId="27515" xr:uid="{F02FF3F3-F837-4E43-A88F-C0CF3C283CCD}"/>
    <cellStyle name="Normal 4 3 3 2 2 6" xfId="2532" xr:uid="{00000000-0005-0000-0000-000070140000}"/>
    <cellStyle name="Normal 4 3 3 2 2 6 2" xfId="6815" xr:uid="{00000000-0005-0000-0000-000071140000}"/>
    <cellStyle name="Normal 4 3 3 2 2 6 2 2" xfId="15265" xr:uid="{9844D06B-7227-4142-9DE1-6484ABAB7631}"/>
    <cellStyle name="Normal 4 3 3 2 2 6 2 3" xfId="23705" xr:uid="{C42407E8-1C48-4DEC-9A00-77CDDF8DB781}"/>
    <cellStyle name="Normal 4 3 3 2 2 6 2 4" xfId="32145" xr:uid="{C9B5D4EC-02B4-4C78-9240-A5D30683A41E}"/>
    <cellStyle name="Normal 4 3 3 2 2 6 3" xfId="11047" xr:uid="{A9C5B119-E622-44F1-9225-13A5F9E3CF4D}"/>
    <cellStyle name="Normal 4 3 3 2 2 6 4" xfId="19488" xr:uid="{8BFFA49F-3E3D-440E-ADE5-B00EDD23BD72}"/>
    <cellStyle name="Normal 4 3 3 2 2 6 5" xfId="27928" xr:uid="{CE6E85AF-85D5-4BF7-85D7-DF9A46A355C8}"/>
    <cellStyle name="Normal 4 3 3 2 2 7" xfId="4750" xr:uid="{00000000-0005-0000-0000-000072140000}"/>
    <cellStyle name="Normal 4 3 3 2 2 7 2" xfId="13200" xr:uid="{0611C8A3-466E-4DB6-BA47-D9EF3B82BB40}"/>
    <cellStyle name="Normal 4 3 3 2 2 7 3" xfId="21640" xr:uid="{8870E081-9F4C-4334-B991-48A8CAABC87E}"/>
    <cellStyle name="Normal 4 3 3 2 2 7 4" xfId="30080" xr:uid="{0A7B325A-EFBD-4EE0-AE48-9E73C608F537}"/>
    <cellStyle name="Normal 4 3 3 2 2 8" xfId="8982" xr:uid="{AF9D7DA9-FCF0-4C51-841E-4A06A903AE91}"/>
    <cellStyle name="Normal 4 3 3 2 2 9" xfId="17423" xr:uid="{27470DE7-4F96-4CA6-88DE-24BE2A0D867E}"/>
    <cellStyle name="Normal 4 3 3 2 3" xfId="850" xr:uid="{00000000-0005-0000-0000-000073140000}"/>
    <cellStyle name="Normal 4 3 3 2 3 2" xfId="3085" xr:uid="{00000000-0005-0000-0000-000074140000}"/>
    <cellStyle name="Normal 4 3 3 2 3 2 2" xfId="7307" xr:uid="{00000000-0005-0000-0000-000075140000}"/>
    <cellStyle name="Normal 4 3 3 2 3 2 2 2" xfId="15757" xr:uid="{1AB81CDA-BDE6-42B8-B254-2F621661F9B5}"/>
    <cellStyle name="Normal 4 3 3 2 3 2 2 3" xfId="24197" xr:uid="{8D5F2E69-D2E4-42AD-8677-333B357D5C3E}"/>
    <cellStyle name="Normal 4 3 3 2 3 2 2 4" xfId="32637" xr:uid="{672D63E5-BECE-4B1E-BE38-ABED5DAAA941}"/>
    <cellStyle name="Normal 4 3 3 2 3 2 3" xfId="11539" xr:uid="{FF5647E8-EF64-4EA9-85C0-A80E7A0C6112}"/>
    <cellStyle name="Normal 4 3 3 2 3 2 4" xfId="19980" xr:uid="{BA1D66E6-860B-4822-A60D-4115F5544F2F}"/>
    <cellStyle name="Normal 4 3 3 2 3 2 5" xfId="28420" xr:uid="{7BC11C30-E116-4E7E-9BDD-CC1454C3234E}"/>
    <cellStyle name="Normal 4 3 3 2 3 3" xfId="5162" xr:uid="{00000000-0005-0000-0000-000076140000}"/>
    <cellStyle name="Normal 4 3 3 2 3 3 2" xfId="13612" xr:uid="{D4BEA999-C6BD-44E1-9AA3-218D5C0E7779}"/>
    <cellStyle name="Normal 4 3 3 2 3 3 3" xfId="22052" xr:uid="{AD255931-A718-497C-988F-7B064D2C750B}"/>
    <cellStyle name="Normal 4 3 3 2 3 3 4" xfId="30492" xr:uid="{F9F50C85-7DCB-4B2D-8F94-9B75A4E19503}"/>
    <cellStyle name="Normal 4 3 3 2 3 4" xfId="9394" xr:uid="{3757601D-E77E-44A0-9917-083A3055D935}"/>
    <cellStyle name="Normal 4 3 3 2 3 5" xfId="17835" xr:uid="{68CD210E-96FB-4465-9352-901EAF799A76}"/>
    <cellStyle name="Normal 4 3 3 2 3 6" xfId="26275" xr:uid="{5810F53E-FFF1-4D54-BEBC-A0B7EB3AB7EC}"/>
    <cellStyle name="Normal 4 3 3 2 4" xfId="1268" xr:uid="{00000000-0005-0000-0000-000077140000}"/>
    <cellStyle name="Normal 4 3 3 2 4 2" xfId="3498" xr:uid="{00000000-0005-0000-0000-000078140000}"/>
    <cellStyle name="Normal 4 3 3 2 4 2 2" xfId="7720" xr:uid="{00000000-0005-0000-0000-000079140000}"/>
    <cellStyle name="Normal 4 3 3 2 4 2 2 2" xfId="16170" xr:uid="{7A8D8D72-D741-46DD-BFF8-790E466FDEC2}"/>
    <cellStyle name="Normal 4 3 3 2 4 2 2 3" xfId="24610" xr:uid="{FFE3E083-FE14-4B36-9061-B8399831FB08}"/>
    <cellStyle name="Normal 4 3 3 2 4 2 2 4" xfId="33050" xr:uid="{FF8D8A36-EBA1-479C-9539-26B473A83539}"/>
    <cellStyle name="Normal 4 3 3 2 4 2 3" xfId="11952" xr:uid="{95018C2C-2D3A-42D7-B90F-A7D03F208BBE}"/>
    <cellStyle name="Normal 4 3 3 2 4 2 4" xfId="20393" xr:uid="{91C68FF0-13BF-44A8-843E-D78514E9937B}"/>
    <cellStyle name="Normal 4 3 3 2 4 2 5" xfId="28833" xr:uid="{AEE206C7-F95C-4A8E-B205-070DDB62C3E3}"/>
    <cellStyle name="Normal 4 3 3 2 4 3" xfId="5575" xr:uid="{00000000-0005-0000-0000-00007A140000}"/>
    <cellStyle name="Normal 4 3 3 2 4 3 2" xfId="14025" xr:uid="{46B44218-186D-4E67-A253-172DF6E3BDB4}"/>
    <cellStyle name="Normal 4 3 3 2 4 3 3" xfId="22465" xr:uid="{B596665E-A577-47F1-B730-7A4F147D6EDD}"/>
    <cellStyle name="Normal 4 3 3 2 4 3 4" xfId="30905" xr:uid="{7D8E055A-0D0A-43D5-82AD-E0109F1B7AF3}"/>
    <cellStyle name="Normal 4 3 3 2 4 4" xfId="9807" xr:uid="{F393E212-9788-4B4F-ACC5-380FB87B4FF0}"/>
    <cellStyle name="Normal 4 3 3 2 4 5" xfId="18248" xr:uid="{0BE53651-DE18-44FE-9F71-ADEAFAD5AAE3}"/>
    <cellStyle name="Normal 4 3 3 2 4 6" xfId="26688" xr:uid="{7DBE01BD-E856-44E2-842D-85EE9E954860}"/>
    <cellStyle name="Normal 4 3 3 2 5" xfId="1681" xr:uid="{00000000-0005-0000-0000-00007B140000}"/>
    <cellStyle name="Normal 4 3 3 2 5 2" xfId="3911" xr:uid="{00000000-0005-0000-0000-00007C140000}"/>
    <cellStyle name="Normal 4 3 3 2 5 2 2" xfId="8133" xr:uid="{00000000-0005-0000-0000-00007D140000}"/>
    <cellStyle name="Normal 4 3 3 2 5 2 2 2" xfId="16583" xr:uid="{41F480C0-352D-46A2-9324-164D045FDDD6}"/>
    <cellStyle name="Normal 4 3 3 2 5 2 2 3" xfId="25023" xr:uid="{E43E2344-F717-44C8-ADAC-A76239A6ED6E}"/>
    <cellStyle name="Normal 4 3 3 2 5 2 2 4" xfId="33463" xr:uid="{37C76512-3CB9-400B-B2DF-334F64A82AF4}"/>
    <cellStyle name="Normal 4 3 3 2 5 2 3" xfId="12365" xr:uid="{F7585D6C-64DA-4D13-BC60-C5E183B772C6}"/>
    <cellStyle name="Normal 4 3 3 2 5 2 4" xfId="20806" xr:uid="{9CB3BE2D-0992-4158-996E-97B652ECF08D}"/>
    <cellStyle name="Normal 4 3 3 2 5 2 5" xfId="29246" xr:uid="{A266F155-8A63-4566-A2BD-6EE9A149B6A6}"/>
    <cellStyle name="Normal 4 3 3 2 5 3" xfId="5988" xr:uid="{00000000-0005-0000-0000-00007E140000}"/>
    <cellStyle name="Normal 4 3 3 2 5 3 2" xfId="14438" xr:uid="{379646B0-6989-4571-BD4E-1239ACE8C6E2}"/>
    <cellStyle name="Normal 4 3 3 2 5 3 3" xfId="22878" xr:uid="{AD29EAF5-CC73-474C-8BA8-25FDB2D8DFA2}"/>
    <cellStyle name="Normal 4 3 3 2 5 3 4" xfId="31318" xr:uid="{2D296683-C47E-43CD-8EBA-FE3B8B575CE0}"/>
    <cellStyle name="Normal 4 3 3 2 5 4" xfId="10220" xr:uid="{81A312D4-CFB8-48F7-BE5C-A8402AAEB0D5}"/>
    <cellStyle name="Normal 4 3 3 2 5 5" xfId="18661" xr:uid="{A730DD25-687A-47DD-93EC-CD423BD5B723}"/>
    <cellStyle name="Normal 4 3 3 2 5 6" xfId="27101" xr:uid="{EE9D3ECA-6712-4D4C-B249-5C4AEB16B7A1}"/>
    <cellStyle name="Normal 4 3 3 2 6" xfId="2095" xr:uid="{00000000-0005-0000-0000-00007F140000}"/>
    <cellStyle name="Normal 4 3 3 2 6 2" xfId="4324" xr:uid="{00000000-0005-0000-0000-000080140000}"/>
    <cellStyle name="Normal 4 3 3 2 6 2 2" xfId="8546" xr:uid="{00000000-0005-0000-0000-000081140000}"/>
    <cellStyle name="Normal 4 3 3 2 6 2 2 2" xfId="16996" xr:uid="{F1CA605D-5BF6-47F9-ABA1-734943EA13F0}"/>
    <cellStyle name="Normal 4 3 3 2 6 2 2 3" xfId="25436" xr:uid="{AC3E4E56-16F0-407F-AC4E-41800E87842E}"/>
    <cellStyle name="Normal 4 3 3 2 6 2 2 4" xfId="33876" xr:uid="{BE6918E3-DD83-4F68-BB37-651E6351BBB2}"/>
    <cellStyle name="Normal 4 3 3 2 6 2 3" xfId="12778" xr:uid="{EF13D6E8-6157-4287-A1A9-E62648DFE152}"/>
    <cellStyle name="Normal 4 3 3 2 6 2 4" xfId="21219" xr:uid="{70D9C863-A3D0-4B5A-9AB6-D810EA8CC967}"/>
    <cellStyle name="Normal 4 3 3 2 6 2 5" xfId="29659" xr:uid="{2B7384AF-552A-4ADB-957A-D8E0CB901B9C}"/>
    <cellStyle name="Normal 4 3 3 2 6 3" xfId="6401" xr:uid="{00000000-0005-0000-0000-000082140000}"/>
    <cellStyle name="Normal 4 3 3 2 6 3 2" xfId="14851" xr:uid="{EC631CEA-D365-45C0-8997-B9D290CFE7C6}"/>
    <cellStyle name="Normal 4 3 3 2 6 3 3" xfId="23291" xr:uid="{B8255191-6DFF-4290-A85D-93E27213A5AB}"/>
    <cellStyle name="Normal 4 3 3 2 6 3 4" xfId="31731" xr:uid="{083A003C-780D-4297-B61E-0BD493B06D63}"/>
    <cellStyle name="Normal 4 3 3 2 6 4" xfId="10633" xr:uid="{2AA75A19-4AE9-49D7-927D-140A54B4B7A7}"/>
    <cellStyle name="Normal 4 3 3 2 6 5" xfId="19074" xr:uid="{EDA9AB3F-1819-4BD4-A602-189C11EE212C}"/>
    <cellStyle name="Normal 4 3 3 2 6 6" xfId="27514" xr:uid="{4D2350E7-A9C0-4C0C-83D0-7AE826D1BBA9}"/>
    <cellStyle name="Normal 4 3 3 2 7" xfId="2531" xr:uid="{00000000-0005-0000-0000-000083140000}"/>
    <cellStyle name="Normal 4 3 3 2 7 2" xfId="6814" xr:uid="{00000000-0005-0000-0000-000084140000}"/>
    <cellStyle name="Normal 4 3 3 2 7 2 2" xfId="15264" xr:uid="{9E4D2F82-6BD7-41FD-955E-F5377765D3A1}"/>
    <cellStyle name="Normal 4 3 3 2 7 2 3" xfId="23704" xr:uid="{FD00C40E-B73F-49A3-8E53-2488C67DB2FE}"/>
    <cellStyle name="Normal 4 3 3 2 7 2 4" xfId="32144" xr:uid="{B270908B-ECC8-477D-9EDE-387B422205C2}"/>
    <cellStyle name="Normal 4 3 3 2 7 3" xfId="11046" xr:uid="{6D0A5DB5-7CEB-4396-9A28-E1646A0C1B5B}"/>
    <cellStyle name="Normal 4 3 3 2 7 4" xfId="19487" xr:uid="{C0B60248-2D5F-4936-AAA5-4A27A0C2509D}"/>
    <cellStyle name="Normal 4 3 3 2 7 5" xfId="27927" xr:uid="{E06614A4-3A06-4A5A-BD47-CAA14539A130}"/>
    <cellStyle name="Normal 4 3 3 2 8" xfId="4749" xr:uid="{00000000-0005-0000-0000-000085140000}"/>
    <cellStyle name="Normal 4 3 3 2 8 2" xfId="13199" xr:uid="{53F398D0-33BA-4661-A8B2-ACFD4D2F9564}"/>
    <cellStyle name="Normal 4 3 3 2 8 3" xfId="21639" xr:uid="{CAF065A2-4311-42BC-AF00-4DC40A51D3F6}"/>
    <cellStyle name="Normal 4 3 3 2 8 4" xfId="30079" xr:uid="{61F6F5F3-7097-4B2A-BA1C-840E892DE76D}"/>
    <cellStyle name="Normal 4 3 3 2 9" xfId="8981" xr:uid="{DA33F0D3-0493-48D3-844D-A772EB5045F6}"/>
    <cellStyle name="Normal 4 3 3 3" xfId="377" xr:uid="{00000000-0005-0000-0000-000086140000}"/>
    <cellStyle name="Normal 4 3 3 3 10" xfId="25864" xr:uid="{9E13115D-4EAB-4179-9857-5945B47DED48}"/>
    <cellStyle name="Normal 4 3 3 3 2" xfId="852" xr:uid="{00000000-0005-0000-0000-000087140000}"/>
    <cellStyle name="Normal 4 3 3 3 2 2" xfId="3087" xr:uid="{00000000-0005-0000-0000-000088140000}"/>
    <cellStyle name="Normal 4 3 3 3 2 2 2" xfId="7309" xr:uid="{00000000-0005-0000-0000-000089140000}"/>
    <cellStyle name="Normal 4 3 3 3 2 2 2 2" xfId="15759" xr:uid="{E82BA7F1-C82C-4398-A044-91A40D2D12F9}"/>
    <cellStyle name="Normal 4 3 3 3 2 2 2 3" xfId="24199" xr:uid="{F2AE30D1-7F51-461F-83BA-2CDA3C049715}"/>
    <cellStyle name="Normal 4 3 3 3 2 2 2 4" xfId="32639" xr:uid="{3D2D4566-C601-4469-8452-2A08EA5F6C6B}"/>
    <cellStyle name="Normal 4 3 3 3 2 2 3" xfId="11541" xr:uid="{3C28AB11-A37F-46AA-AEA7-7B2395565544}"/>
    <cellStyle name="Normal 4 3 3 3 2 2 4" xfId="19982" xr:uid="{03C70665-3993-4126-B8C5-20BE3B6C2096}"/>
    <cellStyle name="Normal 4 3 3 3 2 2 5" xfId="28422" xr:uid="{E1072196-17F8-4547-81F9-A375DBD83B72}"/>
    <cellStyle name="Normal 4 3 3 3 2 3" xfId="5164" xr:uid="{00000000-0005-0000-0000-00008A140000}"/>
    <cellStyle name="Normal 4 3 3 3 2 3 2" xfId="13614" xr:uid="{BC6BD291-597C-41C2-AB8D-3D911304B42F}"/>
    <cellStyle name="Normal 4 3 3 3 2 3 3" xfId="22054" xr:uid="{7D8619B1-AA4B-4543-9FA4-88A3082596FD}"/>
    <cellStyle name="Normal 4 3 3 3 2 3 4" xfId="30494" xr:uid="{A32C6CC3-26B7-4914-89B6-438EED0DC11E}"/>
    <cellStyle name="Normal 4 3 3 3 2 4" xfId="9396" xr:uid="{7963E6E0-8BC9-4506-B94C-3D79845673BC}"/>
    <cellStyle name="Normal 4 3 3 3 2 5" xfId="17837" xr:uid="{B1DC8EB6-4449-4EB9-B0B8-BC1C26935B81}"/>
    <cellStyle name="Normal 4 3 3 3 2 6" xfId="26277" xr:uid="{C9727B1A-1E7C-4D2D-809C-EF9EF6D7E3D2}"/>
    <cellStyle name="Normal 4 3 3 3 3" xfId="1270" xr:uid="{00000000-0005-0000-0000-00008B140000}"/>
    <cellStyle name="Normal 4 3 3 3 3 2" xfId="3500" xr:uid="{00000000-0005-0000-0000-00008C140000}"/>
    <cellStyle name="Normal 4 3 3 3 3 2 2" xfId="7722" xr:uid="{00000000-0005-0000-0000-00008D140000}"/>
    <cellStyle name="Normal 4 3 3 3 3 2 2 2" xfId="16172" xr:uid="{93994A8B-D083-42AB-808D-694ACE2FAB5A}"/>
    <cellStyle name="Normal 4 3 3 3 3 2 2 3" xfId="24612" xr:uid="{50614090-EB0A-43DA-96B7-B6DC7B917BD8}"/>
    <cellStyle name="Normal 4 3 3 3 3 2 2 4" xfId="33052" xr:uid="{470AEAE1-B87E-4888-8245-87E6C05B74BD}"/>
    <cellStyle name="Normal 4 3 3 3 3 2 3" xfId="11954" xr:uid="{15C912F9-6E95-41E2-A3BF-2A03B4D155DD}"/>
    <cellStyle name="Normal 4 3 3 3 3 2 4" xfId="20395" xr:uid="{E0E09402-E319-44D1-B91C-28AFE966094F}"/>
    <cellStyle name="Normal 4 3 3 3 3 2 5" xfId="28835" xr:uid="{AEE8B923-F3AE-491C-95B7-E6A10CA7FFBA}"/>
    <cellStyle name="Normal 4 3 3 3 3 3" xfId="5577" xr:uid="{00000000-0005-0000-0000-00008E140000}"/>
    <cellStyle name="Normal 4 3 3 3 3 3 2" xfId="14027" xr:uid="{4EB5E2AF-7943-468A-8839-6DA7076207FB}"/>
    <cellStyle name="Normal 4 3 3 3 3 3 3" xfId="22467" xr:uid="{E0BB01A0-A326-4209-AE29-98BAD5D580DA}"/>
    <cellStyle name="Normal 4 3 3 3 3 3 4" xfId="30907" xr:uid="{2A12FC19-34EA-46ED-AE65-44F49B53D163}"/>
    <cellStyle name="Normal 4 3 3 3 3 4" xfId="9809" xr:uid="{AC75E11B-7669-41C9-B9C3-614F0A17E79D}"/>
    <cellStyle name="Normal 4 3 3 3 3 5" xfId="18250" xr:uid="{3D34FEB9-64B4-4622-8831-2A26242DE1A4}"/>
    <cellStyle name="Normal 4 3 3 3 3 6" xfId="26690" xr:uid="{2980D53F-B92D-4DC6-BCB5-47F03744301C}"/>
    <cellStyle name="Normal 4 3 3 3 4" xfId="1683" xr:uid="{00000000-0005-0000-0000-00008F140000}"/>
    <cellStyle name="Normal 4 3 3 3 4 2" xfId="3913" xr:uid="{00000000-0005-0000-0000-000090140000}"/>
    <cellStyle name="Normal 4 3 3 3 4 2 2" xfId="8135" xr:uid="{00000000-0005-0000-0000-000091140000}"/>
    <cellStyle name="Normal 4 3 3 3 4 2 2 2" xfId="16585" xr:uid="{BDD2B81C-750B-4477-9237-613F43DB48E0}"/>
    <cellStyle name="Normal 4 3 3 3 4 2 2 3" xfId="25025" xr:uid="{82FDDEEE-E40F-4C82-B460-B2DB13996DD4}"/>
    <cellStyle name="Normal 4 3 3 3 4 2 2 4" xfId="33465" xr:uid="{D05873AD-F77A-41B2-9D0A-90E7AA72B5A2}"/>
    <cellStyle name="Normal 4 3 3 3 4 2 3" xfId="12367" xr:uid="{99BDCC20-6453-41AC-8C6D-4B332AFA3050}"/>
    <cellStyle name="Normal 4 3 3 3 4 2 4" xfId="20808" xr:uid="{FAF7829B-8218-4A8A-92D2-6858D63FCCD1}"/>
    <cellStyle name="Normal 4 3 3 3 4 2 5" xfId="29248" xr:uid="{A89023E4-62C3-40FE-A9E4-DB9DE03BCE1D}"/>
    <cellStyle name="Normal 4 3 3 3 4 3" xfId="5990" xr:uid="{00000000-0005-0000-0000-000092140000}"/>
    <cellStyle name="Normal 4 3 3 3 4 3 2" xfId="14440" xr:uid="{A8511DF4-C8C0-477F-ADCF-12B580D50648}"/>
    <cellStyle name="Normal 4 3 3 3 4 3 3" xfId="22880" xr:uid="{458960B0-3CA5-4A82-AD69-0E1859BF320B}"/>
    <cellStyle name="Normal 4 3 3 3 4 3 4" xfId="31320" xr:uid="{247B37B4-CAE2-4B1B-9395-2FA62D067155}"/>
    <cellStyle name="Normal 4 3 3 3 4 4" xfId="10222" xr:uid="{B8E50F45-2C04-4891-BC29-DA99CD5ADD7B}"/>
    <cellStyle name="Normal 4 3 3 3 4 5" xfId="18663" xr:uid="{EA560EB6-FB4B-4B50-8397-0AA6A2D6070E}"/>
    <cellStyle name="Normal 4 3 3 3 4 6" xfId="27103" xr:uid="{38D1A895-A61F-4084-A636-4BDF0E69522C}"/>
    <cellStyle name="Normal 4 3 3 3 5" xfId="2097" xr:uid="{00000000-0005-0000-0000-000093140000}"/>
    <cellStyle name="Normal 4 3 3 3 5 2" xfId="4326" xr:uid="{00000000-0005-0000-0000-000094140000}"/>
    <cellStyle name="Normal 4 3 3 3 5 2 2" xfId="8548" xr:uid="{00000000-0005-0000-0000-000095140000}"/>
    <cellStyle name="Normal 4 3 3 3 5 2 2 2" xfId="16998" xr:uid="{7F4F347E-EFD8-4389-A0CB-A167C70F2846}"/>
    <cellStyle name="Normal 4 3 3 3 5 2 2 3" xfId="25438" xr:uid="{B87DBD30-D7BD-4BEF-9F68-D922D96335CE}"/>
    <cellStyle name="Normal 4 3 3 3 5 2 2 4" xfId="33878" xr:uid="{7BD32FCB-13C3-49B2-AF0D-C0EBA7414C8B}"/>
    <cellStyle name="Normal 4 3 3 3 5 2 3" xfId="12780" xr:uid="{3906D439-0457-47BD-849C-F54D473FE4C4}"/>
    <cellStyle name="Normal 4 3 3 3 5 2 4" xfId="21221" xr:uid="{C76BB161-D9E3-4F2C-9487-BF4BBE11EA67}"/>
    <cellStyle name="Normal 4 3 3 3 5 2 5" xfId="29661" xr:uid="{E72D8415-C835-48D0-9707-1B1F99B1CEE8}"/>
    <cellStyle name="Normal 4 3 3 3 5 3" xfId="6403" xr:uid="{00000000-0005-0000-0000-000096140000}"/>
    <cellStyle name="Normal 4 3 3 3 5 3 2" xfId="14853" xr:uid="{3843E8AD-747D-4396-B9A5-07A659A7911F}"/>
    <cellStyle name="Normal 4 3 3 3 5 3 3" xfId="23293" xr:uid="{F582CC21-60B2-4E1F-92B5-41A24909124C}"/>
    <cellStyle name="Normal 4 3 3 3 5 3 4" xfId="31733" xr:uid="{D48A3BF0-0ACE-4D4C-92FB-A123325FAB64}"/>
    <cellStyle name="Normal 4 3 3 3 5 4" xfId="10635" xr:uid="{7787C969-8E52-4BA8-85F7-3E665DB0948A}"/>
    <cellStyle name="Normal 4 3 3 3 5 5" xfId="19076" xr:uid="{BD9EC761-5AD8-4135-ACE7-AD24D4F4E5B6}"/>
    <cellStyle name="Normal 4 3 3 3 5 6" xfId="27516" xr:uid="{2653A963-9023-42CC-8357-C39B82CBFBB8}"/>
    <cellStyle name="Normal 4 3 3 3 6" xfId="2533" xr:uid="{00000000-0005-0000-0000-000097140000}"/>
    <cellStyle name="Normal 4 3 3 3 6 2" xfId="6816" xr:uid="{00000000-0005-0000-0000-000098140000}"/>
    <cellStyle name="Normal 4 3 3 3 6 2 2" xfId="15266" xr:uid="{8233B893-A12A-40B9-A5B3-6186EE35AD80}"/>
    <cellStyle name="Normal 4 3 3 3 6 2 3" xfId="23706" xr:uid="{F75A223C-06A7-4EB9-B612-9C81C40D9457}"/>
    <cellStyle name="Normal 4 3 3 3 6 2 4" xfId="32146" xr:uid="{F79AAC35-6118-4087-8E0C-56B01976698C}"/>
    <cellStyle name="Normal 4 3 3 3 6 3" xfId="11048" xr:uid="{8C1F6910-0712-41AD-9DA0-B0C981AD4D93}"/>
    <cellStyle name="Normal 4 3 3 3 6 4" xfId="19489" xr:uid="{1002F7B4-CE61-4F32-B201-4811F2147F56}"/>
    <cellStyle name="Normal 4 3 3 3 6 5" xfId="27929" xr:uid="{DD62F49F-B627-4D12-96AD-CFBB6252F2C6}"/>
    <cellStyle name="Normal 4 3 3 3 7" xfId="4751" xr:uid="{00000000-0005-0000-0000-000099140000}"/>
    <cellStyle name="Normal 4 3 3 3 7 2" xfId="13201" xr:uid="{30969B12-543E-439D-8DAC-89834FE4F16E}"/>
    <cellStyle name="Normal 4 3 3 3 7 3" xfId="21641" xr:uid="{5BA8AA8D-EFB3-40A9-8D2E-56AE4E4DF8AC}"/>
    <cellStyle name="Normal 4 3 3 3 7 4" xfId="30081" xr:uid="{4BDF9E3F-2D9B-43F6-AF1E-73ADD238AAEC}"/>
    <cellStyle name="Normal 4 3 3 3 8" xfId="8983" xr:uid="{D6A23039-D352-48FB-B2E3-72592F9F8A84}"/>
    <cellStyle name="Normal 4 3 3 3 9" xfId="17424" xr:uid="{0BB6D688-D49D-497D-B9F4-4B96096677BB}"/>
    <cellStyle name="Normal 4 3 3 4" xfId="849" xr:uid="{00000000-0005-0000-0000-00009A140000}"/>
    <cellStyle name="Normal 4 3 3 4 2" xfId="3084" xr:uid="{00000000-0005-0000-0000-00009B140000}"/>
    <cellStyle name="Normal 4 3 3 4 2 2" xfId="7306" xr:uid="{00000000-0005-0000-0000-00009C140000}"/>
    <cellStyle name="Normal 4 3 3 4 2 2 2" xfId="15756" xr:uid="{1E0DB1BA-5BBE-4ECF-8C9C-F8D5187BF58C}"/>
    <cellStyle name="Normal 4 3 3 4 2 2 3" xfId="24196" xr:uid="{E825E90A-48A6-4016-97D7-AD6D7BB47D0F}"/>
    <cellStyle name="Normal 4 3 3 4 2 2 4" xfId="32636" xr:uid="{EAFECB76-AB77-450F-850C-A21BA4A92734}"/>
    <cellStyle name="Normal 4 3 3 4 2 3" xfId="11538" xr:uid="{9973F37E-1C0C-4C13-9D2D-F288D137DD33}"/>
    <cellStyle name="Normal 4 3 3 4 2 4" xfId="19979" xr:uid="{11D4642E-5716-4A4F-BB65-F3BD36529D27}"/>
    <cellStyle name="Normal 4 3 3 4 2 5" xfId="28419" xr:uid="{7EE0BE24-E822-4E34-BC83-2CFF5BA6401D}"/>
    <cellStyle name="Normal 4 3 3 4 3" xfId="5161" xr:uid="{00000000-0005-0000-0000-00009D140000}"/>
    <cellStyle name="Normal 4 3 3 4 3 2" xfId="13611" xr:uid="{A7C2FE74-F2B7-462E-B67B-A3B98D93E84A}"/>
    <cellStyle name="Normal 4 3 3 4 3 3" xfId="22051" xr:uid="{2653BC8A-DF4D-4C94-9535-6AFD5EBF3136}"/>
    <cellStyle name="Normal 4 3 3 4 3 4" xfId="30491" xr:uid="{1409B9C8-BA07-472E-B71A-08FE53E945D0}"/>
    <cellStyle name="Normal 4 3 3 4 4" xfId="9393" xr:uid="{33AF3B7B-0F4C-4038-B9A0-380B67285DAF}"/>
    <cellStyle name="Normal 4 3 3 4 5" xfId="17834" xr:uid="{23BDB032-9CCB-4752-8C39-ED6EEC010203}"/>
    <cellStyle name="Normal 4 3 3 4 6" xfId="26274" xr:uid="{5B358CD8-94E0-4CED-8F80-3C4A1FA758F5}"/>
    <cellStyle name="Normal 4 3 3 5" xfId="1267" xr:uid="{00000000-0005-0000-0000-00009E140000}"/>
    <cellStyle name="Normal 4 3 3 5 2" xfId="3497" xr:uid="{00000000-0005-0000-0000-00009F140000}"/>
    <cellStyle name="Normal 4 3 3 5 2 2" xfId="7719" xr:uid="{00000000-0005-0000-0000-0000A0140000}"/>
    <cellStyle name="Normal 4 3 3 5 2 2 2" xfId="16169" xr:uid="{350492D9-F939-4625-973B-9B707489BD54}"/>
    <cellStyle name="Normal 4 3 3 5 2 2 3" xfId="24609" xr:uid="{789E280B-1D73-4F5E-B39B-B6D4B05BE2FF}"/>
    <cellStyle name="Normal 4 3 3 5 2 2 4" xfId="33049" xr:uid="{821A458C-DCFC-4E36-887D-9A5C395BB73F}"/>
    <cellStyle name="Normal 4 3 3 5 2 3" xfId="11951" xr:uid="{7B647C0C-1D67-427C-B792-A0C0DAA534D3}"/>
    <cellStyle name="Normal 4 3 3 5 2 4" xfId="20392" xr:uid="{FDDC932B-56C5-419D-9764-478105628DCF}"/>
    <cellStyle name="Normal 4 3 3 5 2 5" xfId="28832" xr:uid="{7F652E29-CA6C-4128-9751-9620A688C3C2}"/>
    <cellStyle name="Normal 4 3 3 5 3" xfId="5574" xr:uid="{00000000-0005-0000-0000-0000A1140000}"/>
    <cellStyle name="Normal 4 3 3 5 3 2" xfId="14024" xr:uid="{3CEC4FEB-090A-4BF9-A3EB-8AF08B2156C0}"/>
    <cellStyle name="Normal 4 3 3 5 3 3" xfId="22464" xr:uid="{B2F1E5C4-A2C1-4FC5-8B5C-3487500ABBB5}"/>
    <cellStyle name="Normal 4 3 3 5 3 4" xfId="30904" xr:uid="{47230BDE-7C52-4B9C-A7D9-E48DA8B330C1}"/>
    <cellStyle name="Normal 4 3 3 5 4" xfId="9806" xr:uid="{936AA4A9-07A5-4B3F-87A3-A0EECA247DB1}"/>
    <cellStyle name="Normal 4 3 3 5 5" xfId="18247" xr:uid="{50C2DDA0-BE89-484A-96C4-DC0634E00078}"/>
    <cellStyle name="Normal 4 3 3 5 6" xfId="26687" xr:uid="{AF4880F8-833A-47C0-83EC-9A7D74111CB0}"/>
    <cellStyle name="Normal 4 3 3 6" xfId="1680" xr:uid="{00000000-0005-0000-0000-0000A2140000}"/>
    <cellStyle name="Normal 4 3 3 6 2" xfId="3910" xr:uid="{00000000-0005-0000-0000-0000A3140000}"/>
    <cellStyle name="Normal 4 3 3 6 2 2" xfId="8132" xr:uid="{00000000-0005-0000-0000-0000A4140000}"/>
    <cellStyle name="Normal 4 3 3 6 2 2 2" xfId="16582" xr:uid="{B281F840-3264-421A-B063-13FA147EEB1B}"/>
    <cellStyle name="Normal 4 3 3 6 2 2 3" xfId="25022" xr:uid="{20FEF38F-DEE9-459B-AB98-A8760F18F98C}"/>
    <cellStyle name="Normal 4 3 3 6 2 2 4" xfId="33462" xr:uid="{CE0204E0-579C-4EBC-BF8B-1A665DDB695C}"/>
    <cellStyle name="Normal 4 3 3 6 2 3" xfId="12364" xr:uid="{7FDDDC04-40A0-4B36-A663-CB670F5BDD29}"/>
    <cellStyle name="Normal 4 3 3 6 2 4" xfId="20805" xr:uid="{7E6F5E0E-585F-445C-8197-E70A07CC2D93}"/>
    <cellStyle name="Normal 4 3 3 6 2 5" xfId="29245" xr:uid="{BF284D3D-30AA-489D-80D5-17A35A05E362}"/>
    <cellStyle name="Normal 4 3 3 6 3" xfId="5987" xr:uid="{00000000-0005-0000-0000-0000A5140000}"/>
    <cellStyle name="Normal 4 3 3 6 3 2" xfId="14437" xr:uid="{949CB231-ABF8-499F-8DEE-EFD6B32E37D7}"/>
    <cellStyle name="Normal 4 3 3 6 3 3" xfId="22877" xr:uid="{26604A7D-F432-4806-B82A-7347462C5A45}"/>
    <cellStyle name="Normal 4 3 3 6 3 4" xfId="31317" xr:uid="{4AB23AD4-F8D7-4B2E-BAE2-6B5F17E12D4D}"/>
    <cellStyle name="Normal 4 3 3 6 4" xfId="10219" xr:uid="{D588EFB3-D372-4FD8-9638-A6B4B5098B72}"/>
    <cellStyle name="Normal 4 3 3 6 5" xfId="18660" xr:uid="{2DA092D6-623E-4014-BEEA-898D74D6E0F1}"/>
    <cellStyle name="Normal 4 3 3 6 6" xfId="27100" xr:uid="{2380B00F-D4F9-4CFC-AF81-236479480CE0}"/>
    <cellStyle name="Normal 4 3 3 7" xfId="2094" xr:uid="{00000000-0005-0000-0000-0000A6140000}"/>
    <cellStyle name="Normal 4 3 3 7 2" xfId="4323" xr:uid="{00000000-0005-0000-0000-0000A7140000}"/>
    <cellStyle name="Normal 4 3 3 7 2 2" xfId="8545" xr:uid="{00000000-0005-0000-0000-0000A8140000}"/>
    <cellStyle name="Normal 4 3 3 7 2 2 2" xfId="16995" xr:uid="{D6A9EDF9-74F7-4057-80C6-FE97C1F06F8F}"/>
    <cellStyle name="Normal 4 3 3 7 2 2 3" xfId="25435" xr:uid="{F65F2A6A-5788-46EA-AD51-A66C694807A6}"/>
    <cellStyle name="Normal 4 3 3 7 2 2 4" xfId="33875" xr:uid="{DE098F8B-C4B1-4018-AAFA-4F90FBA4D383}"/>
    <cellStyle name="Normal 4 3 3 7 2 3" xfId="12777" xr:uid="{BDAC4019-8791-43CB-8BF0-3E09C76CB823}"/>
    <cellStyle name="Normal 4 3 3 7 2 4" xfId="21218" xr:uid="{DED1A0D7-8FA6-43A0-ACCD-C443AC3BD3F8}"/>
    <cellStyle name="Normal 4 3 3 7 2 5" xfId="29658" xr:uid="{44997142-AD25-4C87-A0CE-A9C2BE220FB2}"/>
    <cellStyle name="Normal 4 3 3 7 3" xfId="6400" xr:uid="{00000000-0005-0000-0000-0000A9140000}"/>
    <cellStyle name="Normal 4 3 3 7 3 2" xfId="14850" xr:uid="{338F383C-58DF-499B-BC1C-11B3CCC501A0}"/>
    <cellStyle name="Normal 4 3 3 7 3 3" xfId="23290" xr:uid="{D64F439E-81B1-4C19-B947-F7C21EBBD4B9}"/>
    <cellStyle name="Normal 4 3 3 7 3 4" xfId="31730" xr:uid="{9E254594-80D9-4FAA-8043-38FE3C25111E}"/>
    <cellStyle name="Normal 4 3 3 7 4" xfId="10632" xr:uid="{7C32759B-9E3B-458E-95AD-4B0FC0265252}"/>
    <cellStyle name="Normal 4 3 3 7 5" xfId="19073" xr:uid="{E7640139-F9FA-4096-85A8-5795055AAF4C}"/>
    <cellStyle name="Normal 4 3 3 7 6" xfId="27513" xr:uid="{A1BEE608-D7ED-472A-A097-C16400FFDE82}"/>
    <cellStyle name="Normal 4 3 3 8" xfId="2530" xr:uid="{00000000-0005-0000-0000-0000AA140000}"/>
    <cellStyle name="Normal 4 3 3 8 2" xfId="6813" xr:uid="{00000000-0005-0000-0000-0000AB140000}"/>
    <cellStyle name="Normal 4 3 3 8 2 2" xfId="15263" xr:uid="{08A70D88-FC3E-4F9B-A836-ED974D490AD3}"/>
    <cellStyle name="Normal 4 3 3 8 2 3" xfId="23703" xr:uid="{E4F98C9E-21D3-494C-94AF-D2B7FA68B82D}"/>
    <cellStyle name="Normal 4 3 3 8 2 4" xfId="32143" xr:uid="{6727CB98-8F43-4E9D-A833-66BC1C15C4DB}"/>
    <cellStyle name="Normal 4 3 3 8 3" xfId="11045" xr:uid="{2F97C9FA-CD47-4A20-A6CB-239EAC9E5C1F}"/>
    <cellStyle name="Normal 4 3 3 8 4" xfId="19486" xr:uid="{BA716F4F-3780-42F8-90DB-A357929CF073}"/>
    <cellStyle name="Normal 4 3 3 8 5" xfId="27926" xr:uid="{A5650AA8-8A69-4E3B-945F-7280F575AB03}"/>
    <cellStyle name="Normal 4 3 3 9" xfId="4748" xr:uid="{00000000-0005-0000-0000-0000AC140000}"/>
    <cellStyle name="Normal 4 3 3 9 2" xfId="13198" xr:uid="{38D84174-A9D5-4F9E-B0F7-24493E398551}"/>
    <cellStyle name="Normal 4 3 3 9 3" xfId="21638" xr:uid="{0C33E6C3-1E94-468C-B6C2-BFDBA7C9ECA8}"/>
    <cellStyle name="Normal 4 3 3 9 4" xfId="30078" xr:uid="{1F25AA73-7961-4392-9EBB-E6E7DD91F6D1}"/>
    <cellStyle name="Normal 4 3 4" xfId="842" xr:uid="{00000000-0005-0000-0000-0000AD140000}"/>
    <cellStyle name="Normal 4 3 4 2" xfId="3079" xr:uid="{00000000-0005-0000-0000-0000AE140000}"/>
    <cellStyle name="Normal 4 3 4 2 2" xfId="7301" xr:uid="{00000000-0005-0000-0000-0000AF140000}"/>
    <cellStyle name="Normal 4 3 4 2 2 2" xfId="15751" xr:uid="{1F374E3C-B7A3-4DBC-9A4B-84B817E0DCBB}"/>
    <cellStyle name="Normal 4 3 4 2 2 3" xfId="24191" xr:uid="{D68BC7DF-6BEE-433B-8805-5AA7FCB8D5DD}"/>
    <cellStyle name="Normal 4 3 4 2 2 4" xfId="32631" xr:uid="{C15F25F7-E269-4A75-8302-2E6A09689DC9}"/>
    <cellStyle name="Normal 4 3 4 2 3" xfId="11533" xr:uid="{FEFA2741-F9C4-4AB2-9A37-A55C22BE343C}"/>
    <cellStyle name="Normal 4 3 4 2 4" xfId="19974" xr:uid="{6805BD43-A9DB-44A5-902D-E60BA98C7E8B}"/>
    <cellStyle name="Normal 4 3 4 2 5" xfId="28414" xr:uid="{D9509919-58D8-4E6E-A636-3B23C983DBD8}"/>
    <cellStyle name="Normal 4 3 4 3" xfId="5156" xr:uid="{00000000-0005-0000-0000-0000B0140000}"/>
    <cellStyle name="Normal 4 3 4 3 2" xfId="13606" xr:uid="{E00BBB8E-A12A-4A01-AB5D-C697E8044F5A}"/>
    <cellStyle name="Normal 4 3 4 3 3" xfId="22046" xr:uid="{381553F5-1575-483A-811B-AA9EB95270F5}"/>
    <cellStyle name="Normal 4 3 4 3 4" xfId="30486" xr:uid="{617309C1-883E-4455-A69C-2CB360D58A06}"/>
    <cellStyle name="Normal 4 3 4 4" xfId="9388" xr:uid="{F2B86B54-5D63-43CD-A5EF-A4CC09DBE780}"/>
    <cellStyle name="Normal 4 3 4 5" xfId="17829" xr:uid="{60D24F9F-79B3-4784-A63B-86912877C5F2}"/>
    <cellStyle name="Normal 4 3 4 6" xfId="26269" xr:uid="{3088D10C-C682-46FD-9844-8EA548472C6F}"/>
    <cellStyle name="Normal 4 3 5" xfId="1262" xr:uid="{00000000-0005-0000-0000-0000B1140000}"/>
    <cellStyle name="Normal 4 3 5 2" xfId="3492" xr:uid="{00000000-0005-0000-0000-0000B2140000}"/>
    <cellStyle name="Normal 4 3 5 2 2" xfId="7714" xr:uid="{00000000-0005-0000-0000-0000B3140000}"/>
    <cellStyle name="Normal 4 3 5 2 2 2" xfId="16164" xr:uid="{5B8EA3C6-C984-46C7-BE48-690EE6733C73}"/>
    <cellStyle name="Normal 4 3 5 2 2 3" xfId="24604" xr:uid="{ECD937F7-2060-4E0D-A4EA-E99897909381}"/>
    <cellStyle name="Normal 4 3 5 2 2 4" xfId="33044" xr:uid="{CFBA7BF3-7CA9-4D4C-BE3B-7019FFD10F00}"/>
    <cellStyle name="Normal 4 3 5 2 3" xfId="11946" xr:uid="{AB1247DD-FEE5-4E32-8101-4B78865CC02F}"/>
    <cellStyle name="Normal 4 3 5 2 4" xfId="20387" xr:uid="{E6B06CE5-1088-442E-A0C3-13B2926EF99A}"/>
    <cellStyle name="Normal 4 3 5 2 5" xfId="28827" xr:uid="{1B4AE711-8AE3-481C-98F8-1593ACA57E69}"/>
    <cellStyle name="Normal 4 3 5 3" xfId="5569" xr:uid="{00000000-0005-0000-0000-0000B4140000}"/>
    <cellStyle name="Normal 4 3 5 3 2" xfId="14019" xr:uid="{21A5201D-C8BE-4FB5-9C26-BBA21AF21A40}"/>
    <cellStyle name="Normal 4 3 5 3 3" xfId="22459" xr:uid="{DF5B1D73-BFB0-4438-A8A1-ED9E2AB68BE7}"/>
    <cellStyle name="Normal 4 3 5 3 4" xfId="30899" xr:uid="{8216029D-FF47-47E1-A736-0B7126185A39}"/>
    <cellStyle name="Normal 4 3 5 4" xfId="9801" xr:uid="{D477C928-F8AC-4E91-8B04-30F7C02AE7FF}"/>
    <cellStyle name="Normal 4 3 5 5" xfId="18242" xr:uid="{05A28643-22DE-4859-B6FB-E50C183A93E8}"/>
    <cellStyle name="Normal 4 3 5 6" xfId="26682" xr:uid="{C9A01923-872D-424C-980F-9ED60E16775A}"/>
    <cellStyle name="Normal 4 3 6" xfId="1675" xr:uid="{00000000-0005-0000-0000-0000B5140000}"/>
    <cellStyle name="Normal 4 3 6 2" xfId="3905" xr:uid="{00000000-0005-0000-0000-0000B6140000}"/>
    <cellStyle name="Normal 4 3 6 2 2" xfId="8127" xr:uid="{00000000-0005-0000-0000-0000B7140000}"/>
    <cellStyle name="Normal 4 3 6 2 2 2" xfId="16577" xr:uid="{C66EC03A-DAA5-4D8C-BFB1-DE74C23C5CD7}"/>
    <cellStyle name="Normal 4 3 6 2 2 3" xfId="25017" xr:uid="{24F61C59-ACD9-483F-AE58-667C6CC575DA}"/>
    <cellStyle name="Normal 4 3 6 2 2 4" xfId="33457" xr:uid="{C9E10CA0-4E54-44F0-A2FE-906CC4ADF519}"/>
    <cellStyle name="Normal 4 3 6 2 3" xfId="12359" xr:uid="{F7E4CAAB-26F3-4278-ACB4-FA65CEA2A5DB}"/>
    <cellStyle name="Normal 4 3 6 2 4" xfId="20800" xr:uid="{6784FA5D-FC48-453E-A57F-9DACB11BC0FE}"/>
    <cellStyle name="Normal 4 3 6 2 5" xfId="29240" xr:uid="{8A00FAA5-670E-4B9E-8BA5-A47C71BC8E2F}"/>
    <cellStyle name="Normal 4 3 6 3" xfId="5982" xr:uid="{00000000-0005-0000-0000-0000B8140000}"/>
    <cellStyle name="Normal 4 3 6 3 2" xfId="14432" xr:uid="{7D025287-3B71-4040-B3F0-BC7FC4208F45}"/>
    <cellStyle name="Normal 4 3 6 3 3" xfId="22872" xr:uid="{FCA7F80B-3510-41F1-99F6-65585CC63310}"/>
    <cellStyle name="Normal 4 3 6 3 4" xfId="31312" xr:uid="{850C10D2-8155-4CDD-BB84-72237B9108F7}"/>
    <cellStyle name="Normal 4 3 6 4" xfId="10214" xr:uid="{AE4AF59B-BF9D-4D7A-89DF-8F23F33D73C8}"/>
    <cellStyle name="Normal 4 3 6 5" xfId="18655" xr:uid="{1243D2B9-B617-4F71-9AA1-1EF099B888DB}"/>
    <cellStyle name="Normal 4 3 6 6" xfId="27095" xr:uid="{7316A6AE-E25F-40C2-83ED-66999D3F99D0}"/>
    <cellStyle name="Normal 4 3 7" xfId="2089" xr:uid="{00000000-0005-0000-0000-0000B9140000}"/>
    <cellStyle name="Normal 4 3 7 2" xfId="4318" xr:uid="{00000000-0005-0000-0000-0000BA140000}"/>
    <cellStyle name="Normal 4 3 7 2 2" xfId="8540" xr:uid="{00000000-0005-0000-0000-0000BB140000}"/>
    <cellStyle name="Normal 4 3 7 2 2 2" xfId="16990" xr:uid="{E6242AAF-194A-43E7-B3DC-59879F278C5E}"/>
    <cellStyle name="Normal 4 3 7 2 2 3" xfId="25430" xr:uid="{0D1F1F71-5336-4E69-867E-EC9AD63D4FC9}"/>
    <cellStyle name="Normal 4 3 7 2 2 4" xfId="33870" xr:uid="{3FFA9204-939A-474E-B446-3511BDA7EAB2}"/>
    <cellStyle name="Normal 4 3 7 2 3" xfId="12772" xr:uid="{1879F34D-AC97-4B55-8F2B-348D6AB963AB}"/>
    <cellStyle name="Normal 4 3 7 2 4" xfId="21213" xr:uid="{0C75D32A-EA4A-4173-B2A8-534772CDE60A}"/>
    <cellStyle name="Normal 4 3 7 2 5" xfId="29653" xr:uid="{9497A2DB-91CE-4C9B-9763-7A3B1CC8DE6E}"/>
    <cellStyle name="Normal 4 3 7 3" xfId="6395" xr:uid="{00000000-0005-0000-0000-0000BC140000}"/>
    <cellStyle name="Normal 4 3 7 3 2" xfId="14845" xr:uid="{127DEFD4-7C10-4982-B3D7-125E1603B63E}"/>
    <cellStyle name="Normal 4 3 7 3 3" xfId="23285" xr:uid="{718DEA05-3C6B-4FD3-B8C2-09E93621495D}"/>
    <cellStyle name="Normal 4 3 7 3 4" xfId="31725" xr:uid="{BDBAAC36-CF21-4352-98FD-B6B4008838D7}"/>
    <cellStyle name="Normal 4 3 7 4" xfId="10627" xr:uid="{B2C2A9D9-119F-4BFC-A144-17075A176D48}"/>
    <cellStyle name="Normal 4 3 7 5" xfId="19068" xr:uid="{A78B4E33-7104-4E5E-A703-DE8B02F37009}"/>
    <cellStyle name="Normal 4 3 7 6" xfId="27508" xr:uid="{C9E48376-C6FC-4095-A78C-C98E2DC01E5E}"/>
    <cellStyle name="Normal 4 3 8" xfId="2525" xr:uid="{00000000-0005-0000-0000-0000BD140000}"/>
    <cellStyle name="Normal 4 3 8 2" xfId="6808" xr:uid="{00000000-0005-0000-0000-0000BE140000}"/>
    <cellStyle name="Normal 4 3 8 2 2" xfId="15258" xr:uid="{86412D36-2AA4-427E-B3C6-CD255C582B8E}"/>
    <cellStyle name="Normal 4 3 8 2 3" xfId="23698" xr:uid="{62DB17E0-7540-46C7-AC68-457A30279DD6}"/>
    <cellStyle name="Normal 4 3 8 2 4" xfId="32138" xr:uid="{CA573EAA-5327-4195-B11D-77A67003A795}"/>
    <cellStyle name="Normal 4 3 8 3" xfId="11040" xr:uid="{9F781EB6-3728-4554-9DFE-6B8584EF097D}"/>
    <cellStyle name="Normal 4 3 8 4" xfId="19481" xr:uid="{AB929B26-9A7B-41BF-8029-3C0701768602}"/>
    <cellStyle name="Normal 4 3 8 5" xfId="27921" xr:uid="{6665B59B-55D1-4CAD-A7CE-4355132F01B5}"/>
    <cellStyle name="Normal 4 3 9" xfId="4743" xr:uid="{00000000-0005-0000-0000-0000BF140000}"/>
    <cellStyle name="Normal 4 3 9 2" xfId="13193" xr:uid="{DC455396-55AC-4C56-962F-89C7579A2D7A}"/>
    <cellStyle name="Normal 4 3 9 3" xfId="21633" xr:uid="{C04135FE-6D2D-4BFA-BF70-33455B4B8A76}"/>
    <cellStyle name="Normal 4 3 9 4" xfId="30073" xr:uid="{7B98F422-FA7C-49DD-91B7-9B08BEB95E2C}"/>
    <cellStyle name="Normal 4 4" xfId="378" xr:uid="{00000000-0005-0000-0000-0000C0140000}"/>
    <cellStyle name="Normal 4 4 10" xfId="2534" xr:uid="{00000000-0005-0000-0000-0000C1140000}"/>
    <cellStyle name="Normal 4 4 10 2" xfId="6817" xr:uid="{00000000-0005-0000-0000-0000C2140000}"/>
    <cellStyle name="Normal 4 4 10 2 2" xfId="15267" xr:uid="{8FF028A2-87D1-40D0-843C-1FC825F40D1C}"/>
    <cellStyle name="Normal 4 4 10 2 3" xfId="23707" xr:uid="{1DFB1ED6-4104-4FC5-8CCF-6089DA4F932E}"/>
    <cellStyle name="Normal 4 4 10 2 4" xfId="32147" xr:uid="{0140F64C-D3A5-403D-8B11-51D870144BC1}"/>
    <cellStyle name="Normal 4 4 10 3" xfId="11049" xr:uid="{E54B8755-112D-4FAA-B8EC-2B833BA0C8A9}"/>
    <cellStyle name="Normal 4 4 10 4" xfId="19490" xr:uid="{DBB46E27-45C8-481D-9748-22A7C09D744E}"/>
    <cellStyle name="Normal 4 4 10 5" xfId="27930" xr:uid="{7D65CFEE-DD6B-48FE-BEEB-E0F41718C631}"/>
    <cellStyle name="Normal 4 4 11" xfId="4752" xr:uid="{00000000-0005-0000-0000-0000C3140000}"/>
    <cellStyle name="Normal 4 4 11 2" xfId="13202" xr:uid="{A8825606-1A5C-4FF5-A989-E95FE80442D1}"/>
    <cellStyle name="Normal 4 4 11 3" xfId="21642" xr:uid="{C66E9540-E9DF-4906-89E7-D99AD1CFF560}"/>
    <cellStyle name="Normal 4 4 11 4" xfId="30082" xr:uid="{E9989C56-777E-455A-8D88-58097630C80A}"/>
    <cellStyle name="Normal 4 4 12" xfId="8984" xr:uid="{62BE978A-3A1F-4D86-BC8B-BC39B795CE58}"/>
    <cellStyle name="Normal 4 4 13" xfId="17425" xr:uid="{9D52B2EC-CE70-4595-8C21-CC28155F0170}"/>
    <cellStyle name="Normal 4 4 14" xfId="25865" xr:uid="{804FF6AD-7218-4D09-B7B3-9C83897224F2}"/>
    <cellStyle name="Normal 4 4 2" xfId="379" xr:uid="{00000000-0005-0000-0000-0000C4140000}"/>
    <cellStyle name="Normal 4 4 2 10" xfId="4753" xr:uid="{00000000-0005-0000-0000-0000C5140000}"/>
    <cellStyle name="Normal 4 4 2 10 2" xfId="13203" xr:uid="{8763FDCF-FB2F-4BD5-9800-9D43A933293C}"/>
    <cellStyle name="Normal 4 4 2 10 3" xfId="21643" xr:uid="{1C97DD97-3C1C-4620-A710-3F0B65E5E280}"/>
    <cellStyle name="Normal 4 4 2 10 4" xfId="30083" xr:uid="{388E8FA2-C23E-4377-A0DA-330087CFA49F}"/>
    <cellStyle name="Normal 4 4 2 11" xfId="8985" xr:uid="{403DD523-B350-4946-80F7-F0B1B5C4B92F}"/>
    <cellStyle name="Normal 4 4 2 12" xfId="17426" xr:uid="{880E29BD-0A72-4D89-80E0-6BDBB3D9E818}"/>
    <cellStyle name="Normal 4 4 2 13" xfId="25866" xr:uid="{C2DFADCA-CA95-4EB7-8C74-EFC767519844}"/>
    <cellStyle name="Normal 4 4 2 2" xfId="380" xr:uid="{00000000-0005-0000-0000-0000C6140000}"/>
    <cellStyle name="Normal 4 4 2 2 10" xfId="8986" xr:uid="{D47D8206-D9CD-44C8-9650-3A7929514336}"/>
    <cellStyle name="Normal 4 4 2 2 11" xfId="17427" xr:uid="{5B1231F4-D937-45DA-BBE7-6E3E1A4F31C3}"/>
    <cellStyle name="Normal 4 4 2 2 12" xfId="25867" xr:uid="{C71687DE-CB2B-4294-B912-AB7A8FB24CD7}"/>
    <cellStyle name="Normal 4 4 2 2 2" xfId="381" xr:uid="{00000000-0005-0000-0000-0000C7140000}"/>
    <cellStyle name="Normal 4 4 2 2 2 10" xfId="17428" xr:uid="{4BE23C03-CD7F-47B5-B821-994728874AE8}"/>
    <cellStyle name="Normal 4 4 2 2 2 11" xfId="25868" xr:uid="{9A3768A4-3470-4B2D-AE68-5D2E948DB848}"/>
    <cellStyle name="Normal 4 4 2 2 2 2" xfId="382" xr:uid="{00000000-0005-0000-0000-0000C8140000}"/>
    <cellStyle name="Normal 4 4 2 2 2 2 10" xfId="25869" xr:uid="{6FB1A279-1975-45CA-AE46-58C831A91488}"/>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2 2 2" xfId="15764" xr:uid="{3B46AC90-2BCC-43C4-8A34-0447EB28D710}"/>
    <cellStyle name="Normal 4 4 2 2 2 2 2 2 2 3" xfId="24204" xr:uid="{8BB02901-E2B9-4924-A9E5-A5C4792B05B3}"/>
    <cellStyle name="Normal 4 4 2 2 2 2 2 2 2 4" xfId="32644" xr:uid="{89340A25-AE63-4539-9CAD-6840382B20A4}"/>
    <cellStyle name="Normal 4 4 2 2 2 2 2 2 3" xfId="11546" xr:uid="{126F7851-19B3-489A-B2CD-3FFF588A61D5}"/>
    <cellStyle name="Normal 4 4 2 2 2 2 2 2 4" xfId="19987" xr:uid="{4AFF4A1F-D5CD-43A2-8746-EEF652976B25}"/>
    <cellStyle name="Normal 4 4 2 2 2 2 2 2 5" xfId="28427" xr:uid="{DA38E8A9-1C91-4F4B-AB93-E0B701721718}"/>
    <cellStyle name="Normal 4 4 2 2 2 2 2 3" xfId="5169" xr:uid="{00000000-0005-0000-0000-0000CC140000}"/>
    <cellStyle name="Normal 4 4 2 2 2 2 2 3 2" xfId="13619" xr:uid="{2EFBF766-28CD-414F-91F5-2181BC6F19E7}"/>
    <cellStyle name="Normal 4 4 2 2 2 2 2 3 3" xfId="22059" xr:uid="{C5253B29-D787-4D68-87F2-CF2C6C495F12}"/>
    <cellStyle name="Normal 4 4 2 2 2 2 2 3 4" xfId="30499" xr:uid="{50CC4D36-D20F-43A1-AEBF-3244D0E7B4D2}"/>
    <cellStyle name="Normal 4 4 2 2 2 2 2 4" xfId="9401" xr:uid="{45691C23-0D61-4BFD-9508-5547BF44FCC7}"/>
    <cellStyle name="Normal 4 4 2 2 2 2 2 5" xfId="17842" xr:uid="{0B5B36FF-5CC4-444B-AB72-B7B1CE8CC1DC}"/>
    <cellStyle name="Normal 4 4 2 2 2 2 2 6" xfId="26282" xr:uid="{5126C9AA-CE4D-4FEC-8A1C-093EEEB2DF86}"/>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2 2 2" xfId="16177" xr:uid="{5914A944-4959-4545-8A99-81CAF0456C9C}"/>
    <cellStyle name="Normal 4 4 2 2 2 2 3 2 2 3" xfId="24617" xr:uid="{98182D5B-509D-495D-A25D-A1D884A5E751}"/>
    <cellStyle name="Normal 4 4 2 2 2 2 3 2 2 4" xfId="33057" xr:uid="{E596DA2F-33B4-4D02-85B1-D6123B90CCF2}"/>
    <cellStyle name="Normal 4 4 2 2 2 2 3 2 3" xfId="11959" xr:uid="{67135983-A08E-4332-B49C-B470E0DCA1B1}"/>
    <cellStyle name="Normal 4 4 2 2 2 2 3 2 4" xfId="20400" xr:uid="{1152E43F-C8F1-4DA3-9F4A-FCC562F86DA6}"/>
    <cellStyle name="Normal 4 4 2 2 2 2 3 2 5" xfId="28840" xr:uid="{E7EFFFE2-9BEE-4E9B-A7AC-DB5163240E36}"/>
    <cellStyle name="Normal 4 4 2 2 2 2 3 3" xfId="5582" xr:uid="{00000000-0005-0000-0000-0000D0140000}"/>
    <cellStyle name="Normal 4 4 2 2 2 2 3 3 2" xfId="14032" xr:uid="{F56573F8-7C1B-44CD-9AAC-E27623C3E28D}"/>
    <cellStyle name="Normal 4 4 2 2 2 2 3 3 3" xfId="22472" xr:uid="{F4EB4DF3-CC3C-45C3-8DB5-2ACFAF6EC44B}"/>
    <cellStyle name="Normal 4 4 2 2 2 2 3 3 4" xfId="30912" xr:uid="{2776B170-097D-4FF8-B78B-3A30AFD752D0}"/>
    <cellStyle name="Normal 4 4 2 2 2 2 3 4" xfId="9814" xr:uid="{D85A7C35-936B-4C27-B8F6-BF7CD6064E42}"/>
    <cellStyle name="Normal 4 4 2 2 2 2 3 5" xfId="18255" xr:uid="{22B6AB6B-5DAB-418F-A55C-443296C95291}"/>
    <cellStyle name="Normal 4 4 2 2 2 2 3 6" xfId="26695" xr:uid="{96BD3C2F-DE71-451E-95B6-0F5F0B32AEBA}"/>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2 2 2" xfId="16590" xr:uid="{C80393B4-8B71-4884-A15E-38D07B1A7BE9}"/>
    <cellStyle name="Normal 4 4 2 2 2 2 4 2 2 3" xfId="25030" xr:uid="{C56B56E5-617C-4825-8569-8265779D6623}"/>
    <cellStyle name="Normal 4 4 2 2 2 2 4 2 2 4" xfId="33470" xr:uid="{25092939-6C88-47EB-88B6-0BE600DAA8F4}"/>
    <cellStyle name="Normal 4 4 2 2 2 2 4 2 3" xfId="12372" xr:uid="{047F5EEA-6FB7-4EE7-B785-E33898216935}"/>
    <cellStyle name="Normal 4 4 2 2 2 2 4 2 4" xfId="20813" xr:uid="{2A724BE8-FD48-4716-B0B2-84084955D8EC}"/>
    <cellStyle name="Normal 4 4 2 2 2 2 4 2 5" xfId="29253" xr:uid="{38D6652C-B438-4C17-A328-2EF2571E124B}"/>
    <cellStyle name="Normal 4 4 2 2 2 2 4 3" xfId="5995" xr:uid="{00000000-0005-0000-0000-0000D4140000}"/>
    <cellStyle name="Normal 4 4 2 2 2 2 4 3 2" xfId="14445" xr:uid="{14680BBA-34B6-4880-83BD-58A623B5A505}"/>
    <cellStyle name="Normal 4 4 2 2 2 2 4 3 3" xfId="22885" xr:uid="{6BECF0E9-E0A0-4566-A409-08885E809D5F}"/>
    <cellStyle name="Normal 4 4 2 2 2 2 4 3 4" xfId="31325" xr:uid="{8EDA2DFC-4742-4592-9A5E-53C535F80C76}"/>
    <cellStyle name="Normal 4 4 2 2 2 2 4 4" xfId="10227" xr:uid="{6761E990-80C3-4541-9C0E-E8F82801F875}"/>
    <cellStyle name="Normal 4 4 2 2 2 2 4 5" xfId="18668" xr:uid="{2DAC69E0-54C0-4378-A71E-E19BB38F18DF}"/>
    <cellStyle name="Normal 4 4 2 2 2 2 4 6" xfId="27108" xr:uid="{AFDDEC7D-0841-41AB-AD8A-119BA884797E}"/>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2 2 2" xfId="17003" xr:uid="{D01DCCCD-55CE-48B1-BD9F-64150D041F5F}"/>
    <cellStyle name="Normal 4 4 2 2 2 2 5 2 2 3" xfId="25443" xr:uid="{13263CFA-E598-4C69-A9BC-3DE03438DC66}"/>
    <cellStyle name="Normal 4 4 2 2 2 2 5 2 2 4" xfId="33883" xr:uid="{11B14923-8B86-42BB-9D9B-C6D491D84EC5}"/>
    <cellStyle name="Normal 4 4 2 2 2 2 5 2 3" xfId="12785" xr:uid="{0B2E921E-424D-4A28-8181-F72BF59FDB7D}"/>
    <cellStyle name="Normal 4 4 2 2 2 2 5 2 4" xfId="21226" xr:uid="{7957FC24-FBF4-468C-9910-1A907D3AB177}"/>
    <cellStyle name="Normal 4 4 2 2 2 2 5 2 5" xfId="29666" xr:uid="{67D9B629-3852-489B-8F52-68984EAE92B7}"/>
    <cellStyle name="Normal 4 4 2 2 2 2 5 3" xfId="6408" xr:uid="{00000000-0005-0000-0000-0000D8140000}"/>
    <cellStyle name="Normal 4 4 2 2 2 2 5 3 2" xfId="14858" xr:uid="{5626159D-C8B5-40EF-8575-C068E0ED389E}"/>
    <cellStyle name="Normal 4 4 2 2 2 2 5 3 3" xfId="23298" xr:uid="{28BE13E7-E89B-42AD-88D5-335678692962}"/>
    <cellStyle name="Normal 4 4 2 2 2 2 5 3 4" xfId="31738" xr:uid="{C0D33B34-6388-4B09-8D75-5BF9E532575D}"/>
    <cellStyle name="Normal 4 4 2 2 2 2 5 4" xfId="10640" xr:uid="{7E8CCF91-3955-49C0-8B0D-5746C0A07137}"/>
    <cellStyle name="Normal 4 4 2 2 2 2 5 5" xfId="19081" xr:uid="{D1447547-F8F3-4AA9-A773-E280D8D830F8}"/>
    <cellStyle name="Normal 4 4 2 2 2 2 5 6" xfId="27521" xr:uid="{1A851C27-E08B-441A-8010-C903781B68D2}"/>
    <cellStyle name="Normal 4 4 2 2 2 2 6" xfId="2538" xr:uid="{00000000-0005-0000-0000-0000D9140000}"/>
    <cellStyle name="Normal 4 4 2 2 2 2 6 2" xfId="6821" xr:uid="{00000000-0005-0000-0000-0000DA140000}"/>
    <cellStyle name="Normal 4 4 2 2 2 2 6 2 2" xfId="15271" xr:uid="{89B11D7E-A227-4DA5-B2B9-713A5FD8D4F1}"/>
    <cellStyle name="Normal 4 4 2 2 2 2 6 2 3" xfId="23711" xr:uid="{A4055962-948F-48A7-B1D5-FB3682BF0023}"/>
    <cellStyle name="Normal 4 4 2 2 2 2 6 2 4" xfId="32151" xr:uid="{96A36E16-B165-4D33-B7CD-D2702185AF12}"/>
    <cellStyle name="Normal 4 4 2 2 2 2 6 3" xfId="11053" xr:uid="{A390027B-B418-4F38-B508-35CF540E8E92}"/>
    <cellStyle name="Normal 4 4 2 2 2 2 6 4" xfId="19494" xr:uid="{59620B6A-AD12-4540-A176-3902BECBB30C}"/>
    <cellStyle name="Normal 4 4 2 2 2 2 6 5" xfId="27934" xr:uid="{A6F42C80-FC4A-4F5A-A388-9395FD3AC46B}"/>
    <cellStyle name="Normal 4 4 2 2 2 2 7" xfId="4756" xr:uid="{00000000-0005-0000-0000-0000DB140000}"/>
    <cellStyle name="Normal 4 4 2 2 2 2 7 2" xfId="13206" xr:uid="{1712EA4A-DE2F-4E8E-9905-A5E2198474BE}"/>
    <cellStyle name="Normal 4 4 2 2 2 2 7 3" xfId="21646" xr:uid="{58CCDE8B-80E4-4DE2-9EE5-703A3C75428B}"/>
    <cellStyle name="Normal 4 4 2 2 2 2 7 4" xfId="30086" xr:uid="{F59BB0AE-3067-4B3D-BDF5-971B7FE308BC}"/>
    <cellStyle name="Normal 4 4 2 2 2 2 8" xfId="8988" xr:uid="{E94C018B-B587-40AD-AA15-0CEDAE973CA2}"/>
    <cellStyle name="Normal 4 4 2 2 2 2 9" xfId="17429" xr:uid="{0D86EF6E-AB76-4925-8B35-3CEE69D89797}"/>
    <cellStyle name="Normal 4 4 2 2 2 3" xfId="856" xr:uid="{00000000-0005-0000-0000-0000DC140000}"/>
    <cellStyle name="Normal 4 4 2 2 2 3 2" xfId="3091" xr:uid="{00000000-0005-0000-0000-0000DD140000}"/>
    <cellStyle name="Normal 4 4 2 2 2 3 2 2" xfId="7313" xr:uid="{00000000-0005-0000-0000-0000DE140000}"/>
    <cellStyle name="Normal 4 4 2 2 2 3 2 2 2" xfId="15763" xr:uid="{B80EB9A8-AFE9-4482-8A96-B7FFA052F54F}"/>
    <cellStyle name="Normal 4 4 2 2 2 3 2 2 3" xfId="24203" xr:uid="{D36D4513-48E8-445B-8E59-1B46414C24B3}"/>
    <cellStyle name="Normal 4 4 2 2 2 3 2 2 4" xfId="32643" xr:uid="{E6B05BC5-02AB-46C2-A6E8-10F0CD23B4C0}"/>
    <cellStyle name="Normal 4 4 2 2 2 3 2 3" xfId="11545" xr:uid="{DA924CDF-51F4-45EE-A8CB-C9A515A82C2F}"/>
    <cellStyle name="Normal 4 4 2 2 2 3 2 4" xfId="19986" xr:uid="{E93C109B-86CE-4D6C-B50B-D00BD4934722}"/>
    <cellStyle name="Normal 4 4 2 2 2 3 2 5" xfId="28426" xr:uid="{112344A1-0504-4547-B6FC-5797ECC05E57}"/>
    <cellStyle name="Normal 4 4 2 2 2 3 3" xfId="5168" xr:uid="{00000000-0005-0000-0000-0000DF140000}"/>
    <cellStyle name="Normal 4 4 2 2 2 3 3 2" xfId="13618" xr:uid="{C1BFC95C-9269-41F1-8B84-EA2545D945D8}"/>
    <cellStyle name="Normal 4 4 2 2 2 3 3 3" xfId="22058" xr:uid="{09010B6F-DD37-4DDE-8CD2-7AC9577D6965}"/>
    <cellStyle name="Normal 4 4 2 2 2 3 3 4" xfId="30498" xr:uid="{4FB415D2-19F6-4EF8-9471-CFE993AC1084}"/>
    <cellStyle name="Normal 4 4 2 2 2 3 4" xfId="9400" xr:uid="{67CE172D-85CF-4440-B92C-12E92F94BBB0}"/>
    <cellStyle name="Normal 4 4 2 2 2 3 5" xfId="17841" xr:uid="{6AEFEE70-8B47-43E1-97D8-E0AEA0C29536}"/>
    <cellStyle name="Normal 4 4 2 2 2 3 6" xfId="26281" xr:uid="{06CE19CA-023E-49C6-985B-44ABE56140EE}"/>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2 2 2" xfId="16176" xr:uid="{DAA29F5B-80E9-48B1-8200-5C1C9184C8AB}"/>
    <cellStyle name="Normal 4 4 2 2 2 4 2 2 3" xfId="24616" xr:uid="{AC33ABF8-2285-4A3C-9FE2-89C22488E67F}"/>
    <cellStyle name="Normal 4 4 2 2 2 4 2 2 4" xfId="33056" xr:uid="{558A4A61-A1D5-4FE4-AEED-5755F45BCCE1}"/>
    <cellStyle name="Normal 4 4 2 2 2 4 2 3" xfId="11958" xr:uid="{E9E261BA-E762-4D6F-AA54-F71C9087C674}"/>
    <cellStyle name="Normal 4 4 2 2 2 4 2 4" xfId="20399" xr:uid="{F3BADF97-AACA-4B7E-86E2-727C71361E6D}"/>
    <cellStyle name="Normal 4 4 2 2 2 4 2 5" xfId="28839" xr:uid="{20280862-1F15-4F2D-9B73-E904975262A0}"/>
    <cellStyle name="Normal 4 4 2 2 2 4 3" xfId="5581" xr:uid="{00000000-0005-0000-0000-0000E3140000}"/>
    <cellStyle name="Normal 4 4 2 2 2 4 3 2" xfId="14031" xr:uid="{7FC1643D-3219-4F91-9A5C-674144211FE7}"/>
    <cellStyle name="Normal 4 4 2 2 2 4 3 3" xfId="22471" xr:uid="{3668DF5A-4181-4334-96A4-2AF77A762A7A}"/>
    <cellStyle name="Normal 4 4 2 2 2 4 3 4" xfId="30911" xr:uid="{EFA1262A-EE10-4D99-9371-35DC3A356B48}"/>
    <cellStyle name="Normal 4 4 2 2 2 4 4" xfId="9813" xr:uid="{0378DEB8-98C4-4216-B505-0C20DF36A94A}"/>
    <cellStyle name="Normal 4 4 2 2 2 4 5" xfId="18254" xr:uid="{7853DE93-3B0E-4E53-BD38-91BC17427E36}"/>
    <cellStyle name="Normal 4 4 2 2 2 4 6" xfId="26694" xr:uid="{37472259-EAEC-490D-9086-BBEE411B0CA1}"/>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2 2 2" xfId="16589" xr:uid="{2F674F5D-01E9-4366-BAEA-5E74D721ABCE}"/>
    <cellStyle name="Normal 4 4 2 2 2 5 2 2 3" xfId="25029" xr:uid="{57D22FD4-BC1F-4071-9629-FE372A6AD37F}"/>
    <cellStyle name="Normal 4 4 2 2 2 5 2 2 4" xfId="33469" xr:uid="{95BB80FB-1EFB-4450-83DC-54357D44C525}"/>
    <cellStyle name="Normal 4 4 2 2 2 5 2 3" xfId="12371" xr:uid="{B42617FF-2DB4-4C34-AFBC-4E1D0BB3F69C}"/>
    <cellStyle name="Normal 4 4 2 2 2 5 2 4" xfId="20812" xr:uid="{5E333D25-BD04-43BF-A2BD-5D9926EF1357}"/>
    <cellStyle name="Normal 4 4 2 2 2 5 2 5" xfId="29252" xr:uid="{BDBB7CB4-439F-4D98-9F8C-CCAA3DEC95D1}"/>
    <cellStyle name="Normal 4 4 2 2 2 5 3" xfId="5994" xr:uid="{00000000-0005-0000-0000-0000E7140000}"/>
    <cellStyle name="Normal 4 4 2 2 2 5 3 2" xfId="14444" xr:uid="{8300EE95-5F5D-4A78-A0A8-441C1356B3D9}"/>
    <cellStyle name="Normal 4 4 2 2 2 5 3 3" xfId="22884" xr:uid="{F49E9E5A-D477-4FFA-8DF0-95A32197AAA3}"/>
    <cellStyle name="Normal 4 4 2 2 2 5 3 4" xfId="31324" xr:uid="{4215621A-D00F-4EBF-B416-DC933D506136}"/>
    <cellStyle name="Normal 4 4 2 2 2 5 4" xfId="10226" xr:uid="{7A2B73FE-F1E9-4509-8710-C59F20625E2F}"/>
    <cellStyle name="Normal 4 4 2 2 2 5 5" xfId="18667" xr:uid="{D25A1323-7D9A-4D60-96EC-C89ABD932C5E}"/>
    <cellStyle name="Normal 4 4 2 2 2 5 6" xfId="27107" xr:uid="{290731A1-1C09-4F7C-934A-23DE9282B29D}"/>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2 2 2" xfId="17002" xr:uid="{9F1F59C2-1893-4BE2-B307-28953CAD41D8}"/>
    <cellStyle name="Normal 4 4 2 2 2 6 2 2 3" xfId="25442" xr:uid="{193D0B93-FCB7-41F3-B023-3B67F8D1B7EB}"/>
    <cellStyle name="Normal 4 4 2 2 2 6 2 2 4" xfId="33882" xr:uid="{E5433BFC-1E5F-4815-B6F3-C4B1FBD9699D}"/>
    <cellStyle name="Normal 4 4 2 2 2 6 2 3" xfId="12784" xr:uid="{CAD417E5-7BD5-4E0B-8115-951CC746DCAA}"/>
    <cellStyle name="Normal 4 4 2 2 2 6 2 4" xfId="21225" xr:uid="{E492BE5C-A97D-4DA1-9587-A85B7454B13C}"/>
    <cellStyle name="Normal 4 4 2 2 2 6 2 5" xfId="29665" xr:uid="{C59748AC-B7A6-4BE1-96B2-42DF4DC2F6FF}"/>
    <cellStyle name="Normal 4 4 2 2 2 6 3" xfId="6407" xr:uid="{00000000-0005-0000-0000-0000EB140000}"/>
    <cellStyle name="Normal 4 4 2 2 2 6 3 2" xfId="14857" xr:uid="{599E5C2B-BE1D-4927-AF63-6AA09BFDB3CD}"/>
    <cellStyle name="Normal 4 4 2 2 2 6 3 3" xfId="23297" xr:uid="{B49FE4E0-A690-4E3F-B44B-F604C49313D7}"/>
    <cellStyle name="Normal 4 4 2 2 2 6 3 4" xfId="31737" xr:uid="{071D3BB2-22B0-487A-872F-BC573F1FAEDA}"/>
    <cellStyle name="Normal 4 4 2 2 2 6 4" xfId="10639" xr:uid="{E5B33606-7BCC-40C8-9EE5-92713634DF28}"/>
    <cellStyle name="Normal 4 4 2 2 2 6 5" xfId="19080" xr:uid="{17886400-360E-454B-8F16-C08E213EB6A1}"/>
    <cellStyle name="Normal 4 4 2 2 2 6 6" xfId="27520" xr:uid="{C7F83282-420F-4BC4-8E5D-4FBABFAAA49A}"/>
    <cellStyle name="Normal 4 4 2 2 2 7" xfId="2537" xr:uid="{00000000-0005-0000-0000-0000EC140000}"/>
    <cellStyle name="Normal 4 4 2 2 2 7 2" xfId="6820" xr:uid="{00000000-0005-0000-0000-0000ED140000}"/>
    <cellStyle name="Normal 4 4 2 2 2 7 2 2" xfId="15270" xr:uid="{BE14183E-4440-465A-8FCF-FB88122C33DC}"/>
    <cellStyle name="Normal 4 4 2 2 2 7 2 3" xfId="23710" xr:uid="{BA26B5CE-570E-49A1-9407-029BB9508E77}"/>
    <cellStyle name="Normal 4 4 2 2 2 7 2 4" xfId="32150" xr:uid="{B645FFA1-53D4-4F33-979C-71E6B4107511}"/>
    <cellStyle name="Normal 4 4 2 2 2 7 3" xfId="11052" xr:uid="{75D2BBF4-CB82-4575-9EA3-E3834B3AD1C9}"/>
    <cellStyle name="Normal 4 4 2 2 2 7 4" xfId="19493" xr:uid="{3B69D933-AD3F-4CFB-803A-7682770F8F2F}"/>
    <cellStyle name="Normal 4 4 2 2 2 7 5" xfId="27933" xr:uid="{B93A139E-9709-40AA-BA36-1C64F5E4B45E}"/>
    <cellStyle name="Normal 4 4 2 2 2 8" xfId="4755" xr:uid="{00000000-0005-0000-0000-0000EE140000}"/>
    <cellStyle name="Normal 4 4 2 2 2 8 2" xfId="13205" xr:uid="{CBC4B3E1-B564-4823-845E-2A568181F94B}"/>
    <cellStyle name="Normal 4 4 2 2 2 8 3" xfId="21645" xr:uid="{05701D2F-4602-4875-A765-802056225259}"/>
    <cellStyle name="Normal 4 4 2 2 2 8 4" xfId="30085" xr:uid="{2BE56BB0-477A-42AD-A97C-8569FD7B3DBE}"/>
    <cellStyle name="Normal 4 4 2 2 2 9" xfId="8987" xr:uid="{D029E4A0-E532-4C88-B1BE-5912D74602F8}"/>
    <cellStyle name="Normal 4 4 2 2 3" xfId="383" xr:uid="{00000000-0005-0000-0000-0000EF140000}"/>
    <cellStyle name="Normal 4 4 2 2 3 10" xfId="25870" xr:uid="{9E37D82D-8A2A-4B22-8144-65623573A259}"/>
    <cellStyle name="Normal 4 4 2 2 3 2" xfId="858" xr:uid="{00000000-0005-0000-0000-0000F0140000}"/>
    <cellStyle name="Normal 4 4 2 2 3 2 2" xfId="3093" xr:uid="{00000000-0005-0000-0000-0000F1140000}"/>
    <cellStyle name="Normal 4 4 2 2 3 2 2 2" xfId="7315" xr:uid="{00000000-0005-0000-0000-0000F2140000}"/>
    <cellStyle name="Normal 4 4 2 2 3 2 2 2 2" xfId="15765" xr:uid="{C3DB286B-ECB8-4DB7-B803-001081FFC947}"/>
    <cellStyle name="Normal 4 4 2 2 3 2 2 2 3" xfId="24205" xr:uid="{CFEB3CCE-9DE9-4E96-BE50-DE49ADC66575}"/>
    <cellStyle name="Normal 4 4 2 2 3 2 2 2 4" xfId="32645" xr:uid="{6B41BF48-C530-4B17-B25E-07D7F893AE14}"/>
    <cellStyle name="Normal 4 4 2 2 3 2 2 3" xfId="11547" xr:uid="{A78A7F27-D6DA-4F18-BA45-C1FE155192B5}"/>
    <cellStyle name="Normal 4 4 2 2 3 2 2 4" xfId="19988" xr:uid="{ADBB3A4C-623B-4E80-8892-E017A6F405DB}"/>
    <cellStyle name="Normal 4 4 2 2 3 2 2 5" xfId="28428" xr:uid="{0AA09E3D-314C-4D28-83D8-D4B170CE50FB}"/>
    <cellStyle name="Normal 4 4 2 2 3 2 3" xfId="5170" xr:uid="{00000000-0005-0000-0000-0000F3140000}"/>
    <cellStyle name="Normal 4 4 2 2 3 2 3 2" xfId="13620" xr:uid="{C578D50C-3AA5-449B-B8A9-B38ED6500860}"/>
    <cellStyle name="Normal 4 4 2 2 3 2 3 3" xfId="22060" xr:uid="{35A34DE3-7A38-4494-B430-3306CEC079FD}"/>
    <cellStyle name="Normal 4 4 2 2 3 2 3 4" xfId="30500" xr:uid="{C2AB9F2A-ED4C-440C-91DD-4E7048AE8980}"/>
    <cellStyle name="Normal 4 4 2 2 3 2 4" xfId="9402" xr:uid="{31B0E5B7-CAE4-498D-B3A2-7CB434EAC16D}"/>
    <cellStyle name="Normal 4 4 2 2 3 2 5" xfId="17843" xr:uid="{0F907261-68BD-43DC-BDF3-8AE5FC14DC40}"/>
    <cellStyle name="Normal 4 4 2 2 3 2 6" xfId="26283" xr:uid="{62BB13B7-272A-44CC-9054-84EE4B77D38D}"/>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2 2 2" xfId="16178" xr:uid="{DB2AE649-7797-49F7-96BD-0886B503F60E}"/>
    <cellStyle name="Normal 4 4 2 2 3 3 2 2 3" xfId="24618" xr:uid="{EECF6CA0-A5C8-4928-AC61-FD096BFF4658}"/>
    <cellStyle name="Normal 4 4 2 2 3 3 2 2 4" xfId="33058" xr:uid="{357F0AB0-6318-49F4-ABDC-EF3EBA33F6DE}"/>
    <cellStyle name="Normal 4 4 2 2 3 3 2 3" xfId="11960" xr:uid="{2CE9728D-5B55-49CA-9694-7CC39E83615C}"/>
    <cellStyle name="Normal 4 4 2 2 3 3 2 4" xfId="20401" xr:uid="{05261A97-9609-4076-A5AC-140A3C148D77}"/>
    <cellStyle name="Normal 4 4 2 2 3 3 2 5" xfId="28841" xr:uid="{CC2C2917-F1AF-4DF5-B6E7-B5A6F40BD7F3}"/>
    <cellStyle name="Normal 4 4 2 2 3 3 3" xfId="5583" xr:uid="{00000000-0005-0000-0000-0000F7140000}"/>
    <cellStyle name="Normal 4 4 2 2 3 3 3 2" xfId="14033" xr:uid="{8CFEF50C-E74A-41EE-B687-CBCE84915275}"/>
    <cellStyle name="Normal 4 4 2 2 3 3 3 3" xfId="22473" xr:uid="{BF281441-CAFA-4713-99E6-855D9581B355}"/>
    <cellStyle name="Normal 4 4 2 2 3 3 3 4" xfId="30913" xr:uid="{680B93EE-1469-4ACE-9533-7AE8A466BEB3}"/>
    <cellStyle name="Normal 4 4 2 2 3 3 4" xfId="9815" xr:uid="{084E2DA8-7EDD-48C8-9CF6-3FE946E0B5C1}"/>
    <cellStyle name="Normal 4 4 2 2 3 3 5" xfId="18256" xr:uid="{E154E70E-B1EF-4D02-AC06-F64BB33EB25A}"/>
    <cellStyle name="Normal 4 4 2 2 3 3 6" xfId="26696" xr:uid="{0870B9A6-7187-4E96-886F-57E60FC9F55B}"/>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2 2 2" xfId="16591" xr:uid="{80EDE9F0-CE47-4C10-BA12-E2E08463C7EB}"/>
    <cellStyle name="Normal 4 4 2 2 3 4 2 2 3" xfId="25031" xr:uid="{A54BEEAD-B687-49E7-AEB9-7841FB6FE08A}"/>
    <cellStyle name="Normal 4 4 2 2 3 4 2 2 4" xfId="33471" xr:uid="{BEAB902E-F37B-4F62-81D4-6398235F6090}"/>
    <cellStyle name="Normal 4 4 2 2 3 4 2 3" xfId="12373" xr:uid="{0BEF98E4-7DA2-486E-BA5D-24F95675FAD1}"/>
    <cellStyle name="Normal 4 4 2 2 3 4 2 4" xfId="20814" xr:uid="{D92D5B4D-234D-4CC6-88C8-437BF6EFADDC}"/>
    <cellStyle name="Normal 4 4 2 2 3 4 2 5" xfId="29254" xr:uid="{C23B9694-7E18-41F4-8BAE-059B4F508408}"/>
    <cellStyle name="Normal 4 4 2 2 3 4 3" xfId="5996" xr:uid="{00000000-0005-0000-0000-0000FB140000}"/>
    <cellStyle name="Normal 4 4 2 2 3 4 3 2" xfId="14446" xr:uid="{EFEF06AC-0ECD-42CF-886C-C0751B69448B}"/>
    <cellStyle name="Normal 4 4 2 2 3 4 3 3" xfId="22886" xr:uid="{86AE0259-C295-44B7-94DC-9D2E5D7D3330}"/>
    <cellStyle name="Normal 4 4 2 2 3 4 3 4" xfId="31326" xr:uid="{9DF95CF1-8AC0-4BD6-9BED-4FD266FF34D9}"/>
    <cellStyle name="Normal 4 4 2 2 3 4 4" xfId="10228" xr:uid="{6194D164-753C-467B-887B-8A9133664A04}"/>
    <cellStyle name="Normal 4 4 2 2 3 4 5" xfId="18669" xr:uid="{4EAD3C1D-639A-40FC-815F-621122A4BF26}"/>
    <cellStyle name="Normal 4 4 2 2 3 4 6" xfId="27109" xr:uid="{24191257-1027-4E69-93B1-671BC15D8474}"/>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2 2 2" xfId="17004" xr:uid="{374EE15D-DD1B-4C3E-9156-15D4506273C7}"/>
    <cellStyle name="Normal 4 4 2 2 3 5 2 2 3" xfId="25444" xr:uid="{11A53D66-B300-4D10-8AB0-BEC14CB26A39}"/>
    <cellStyle name="Normal 4 4 2 2 3 5 2 2 4" xfId="33884" xr:uid="{D59AAFCB-4D14-4104-BAB8-0C7FC03EF922}"/>
    <cellStyle name="Normal 4 4 2 2 3 5 2 3" xfId="12786" xr:uid="{3604C90C-8E13-4AC6-80FF-2A89B90198D9}"/>
    <cellStyle name="Normal 4 4 2 2 3 5 2 4" xfId="21227" xr:uid="{0DA1BE5D-76B9-4F58-84BA-3E57C5CD6A5C}"/>
    <cellStyle name="Normal 4 4 2 2 3 5 2 5" xfId="29667" xr:uid="{07DCC07E-D313-4FE4-B12C-A6E033C10EC1}"/>
    <cellStyle name="Normal 4 4 2 2 3 5 3" xfId="6409" xr:uid="{00000000-0005-0000-0000-0000FF140000}"/>
    <cellStyle name="Normal 4 4 2 2 3 5 3 2" xfId="14859" xr:uid="{CDA1FF54-45A9-40E0-99D2-331241B4D0CB}"/>
    <cellStyle name="Normal 4 4 2 2 3 5 3 3" xfId="23299" xr:uid="{BA9D8489-0BBC-4B93-8D38-E45DD0C229EC}"/>
    <cellStyle name="Normal 4 4 2 2 3 5 3 4" xfId="31739" xr:uid="{0EAFC2BF-254F-4938-A811-D7EC9148FBB1}"/>
    <cellStyle name="Normal 4 4 2 2 3 5 4" xfId="10641" xr:uid="{7A31B2CE-683B-47F9-A8D5-507CE624CE2F}"/>
    <cellStyle name="Normal 4 4 2 2 3 5 5" xfId="19082" xr:uid="{EF219A69-6349-46CB-88F3-4876A61DC3D9}"/>
    <cellStyle name="Normal 4 4 2 2 3 5 6" xfId="27522" xr:uid="{DCDCDE35-1FB4-4795-BE8C-ED4F9763771F}"/>
    <cellStyle name="Normal 4 4 2 2 3 6" xfId="2539" xr:uid="{00000000-0005-0000-0000-000000150000}"/>
    <cellStyle name="Normal 4 4 2 2 3 6 2" xfId="6822" xr:uid="{00000000-0005-0000-0000-000001150000}"/>
    <cellStyle name="Normal 4 4 2 2 3 6 2 2" xfId="15272" xr:uid="{8BDD24AD-0CA8-40E0-A93D-F93CB75472D9}"/>
    <cellStyle name="Normal 4 4 2 2 3 6 2 3" xfId="23712" xr:uid="{343825E4-78BF-4FD6-8E22-BF9CD479DD40}"/>
    <cellStyle name="Normal 4 4 2 2 3 6 2 4" xfId="32152" xr:uid="{32486753-22D9-428B-B1C3-A0E301365594}"/>
    <cellStyle name="Normal 4 4 2 2 3 6 3" xfId="11054" xr:uid="{269B45D1-F670-4AE8-BF61-A010AE613A93}"/>
    <cellStyle name="Normal 4 4 2 2 3 6 4" xfId="19495" xr:uid="{2A9A93E1-9044-4912-B931-FC3ECB011AE8}"/>
    <cellStyle name="Normal 4 4 2 2 3 6 5" xfId="27935" xr:uid="{A4516515-780B-4257-828D-AF034D1C8937}"/>
    <cellStyle name="Normal 4 4 2 2 3 7" xfId="4757" xr:uid="{00000000-0005-0000-0000-000002150000}"/>
    <cellStyle name="Normal 4 4 2 2 3 7 2" xfId="13207" xr:uid="{40B7E398-9252-413D-B343-FB818027860E}"/>
    <cellStyle name="Normal 4 4 2 2 3 7 3" xfId="21647" xr:uid="{4357A94E-E51A-443C-8EEE-3104F84709C0}"/>
    <cellStyle name="Normal 4 4 2 2 3 7 4" xfId="30087" xr:uid="{622E6EE2-EE84-4C79-A0FB-F7ACFE0A0A33}"/>
    <cellStyle name="Normal 4 4 2 2 3 8" xfId="8989" xr:uid="{C74AE111-EEE9-4994-9363-5FF036785277}"/>
    <cellStyle name="Normal 4 4 2 2 3 9" xfId="17430" xr:uid="{4D8E3AAC-646C-4290-9908-E84A0F38BC68}"/>
    <cellStyle name="Normal 4 4 2 2 4" xfId="855" xr:uid="{00000000-0005-0000-0000-000003150000}"/>
    <cellStyle name="Normal 4 4 2 2 4 2" xfId="3090" xr:uid="{00000000-0005-0000-0000-000004150000}"/>
    <cellStyle name="Normal 4 4 2 2 4 2 2" xfId="7312" xr:uid="{00000000-0005-0000-0000-000005150000}"/>
    <cellStyle name="Normal 4 4 2 2 4 2 2 2" xfId="15762" xr:uid="{89BF1BC3-3765-4C78-B91E-127F95B3B6AD}"/>
    <cellStyle name="Normal 4 4 2 2 4 2 2 3" xfId="24202" xr:uid="{86F931C9-333E-4715-AD71-45580E0449B6}"/>
    <cellStyle name="Normal 4 4 2 2 4 2 2 4" xfId="32642" xr:uid="{D6103600-179E-458E-A594-2AA4D4F0E7C3}"/>
    <cellStyle name="Normal 4 4 2 2 4 2 3" xfId="11544" xr:uid="{6A614A6D-185D-41C0-B8BE-57D0B6717FCD}"/>
    <cellStyle name="Normal 4 4 2 2 4 2 4" xfId="19985" xr:uid="{4C10FDAB-77FA-48E4-A31F-5A08BB848929}"/>
    <cellStyle name="Normal 4 4 2 2 4 2 5" xfId="28425" xr:uid="{1341B4EF-D084-481D-838F-7094F24A821A}"/>
    <cellStyle name="Normal 4 4 2 2 4 3" xfId="5167" xr:uid="{00000000-0005-0000-0000-000006150000}"/>
    <cellStyle name="Normal 4 4 2 2 4 3 2" xfId="13617" xr:uid="{B5DB4A5E-463C-4154-9034-9E5F66455520}"/>
    <cellStyle name="Normal 4 4 2 2 4 3 3" xfId="22057" xr:uid="{4CDA0D52-4E7B-47E2-93B3-F62B3F424462}"/>
    <cellStyle name="Normal 4 4 2 2 4 3 4" xfId="30497" xr:uid="{EAB10E4D-4291-4E19-AA29-AAA039A61BF6}"/>
    <cellStyle name="Normal 4 4 2 2 4 4" xfId="9399" xr:uid="{A8765798-180E-4031-9D9B-E299C028F65E}"/>
    <cellStyle name="Normal 4 4 2 2 4 5" xfId="17840" xr:uid="{0BF59518-A6F0-4041-A9DE-DE0ACC28EBA7}"/>
    <cellStyle name="Normal 4 4 2 2 4 6" xfId="26280" xr:uid="{C23AB6C1-6049-4CF5-8428-E67AE96C0266}"/>
    <cellStyle name="Normal 4 4 2 2 5" xfId="1273" xr:uid="{00000000-0005-0000-0000-000007150000}"/>
    <cellStyle name="Normal 4 4 2 2 5 2" xfId="3503" xr:uid="{00000000-0005-0000-0000-000008150000}"/>
    <cellStyle name="Normal 4 4 2 2 5 2 2" xfId="7725" xr:uid="{00000000-0005-0000-0000-000009150000}"/>
    <cellStyle name="Normal 4 4 2 2 5 2 2 2" xfId="16175" xr:uid="{ECAA525A-DC50-4864-852F-3BD22961A821}"/>
    <cellStyle name="Normal 4 4 2 2 5 2 2 3" xfId="24615" xr:uid="{1D0E4D90-7A0A-4E53-8DF0-E4769DCDC63D}"/>
    <cellStyle name="Normal 4 4 2 2 5 2 2 4" xfId="33055" xr:uid="{98FB4DB2-CA01-48DA-B4DE-B31A02069F75}"/>
    <cellStyle name="Normal 4 4 2 2 5 2 3" xfId="11957" xr:uid="{93AFFB60-B993-4BF0-9416-4511A185B297}"/>
    <cellStyle name="Normal 4 4 2 2 5 2 4" xfId="20398" xr:uid="{429075F8-50D4-48FA-876D-6D874C38737A}"/>
    <cellStyle name="Normal 4 4 2 2 5 2 5" xfId="28838" xr:uid="{219234E4-BF87-4282-A478-7C359C831B25}"/>
    <cellStyle name="Normal 4 4 2 2 5 3" xfId="5580" xr:uid="{00000000-0005-0000-0000-00000A150000}"/>
    <cellStyle name="Normal 4 4 2 2 5 3 2" xfId="14030" xr:uid="{5284E053-748A-44F5-8EEB-98655F5EBAAB}"/>
    <cellStyle name="Normal 4 4 2 2 5 3 3" xfId="22470" xr:uid="{9924BD34-D5BF-4A95-831A-4E2C3C016DA6}"/>
    <cellStyle name="Normal 4 4 2 2 5 3 4" xfId="30910" xr:uid="{59F26067-EB24-4DF6-9C2D-E3B01C93D203}"/>
    <cellStyle name="Normal 4 4 2 2 5 4" xfId="9812" xr:uid="{7EFF930C-6345-450C-886B-7C7CCB8496A0}"/>
    <cellStyle name="Normal 4 4 2 2 5 5" xfId="18253" xr:uid="{5B464BF2-E4F5-4B7B-95DF-5F840E716949}"/>
    <cellStyle name="Normal 4 4 2 2 5 6" xfId="26693" xr:uid="{F9BA9657-411B-4198-A5C7-8B50AE0D50FA}"/>
    <cellStyle name="Normal 4 4 2 2 6" xfId="1686" xr:uid="{00000000-0005-0000-0000-00000B150000}"/>
    <cellStyle name="Normal 4 4 2 2 6 2" xfId="3916" xr:uid="{00000000-0005-0000-0000-00000C150000}"/>
    <cellStyle name="Normal 4 4 2 2 6 2 2" xfId="8138" xr:uid="{00000000-0005-0000-0000-00000D150000}"/>
    <cellStyle name="Normal 4 4 2 2 6 2 2 2" xfId="16588" xr:uid="{61CC47F0-B398-4518-8EE2-6726F16D4008}"/>
    <cellStyle name="Normal 4 4 2 2 6 2 2 3" xfId="25028" xr:uid="{C91E0DDC-AE30-4028-AAD8-B8DC4B10AA5F}"/>
    <cellStyle name="Normal 4 4 2 2 6 2 2 4" xfId="33468" xr:uid="{DDADCC4B-3618-40E4-9B7A-4095A6DF2EA4}"/>
    <cellStyle name="Normal 4 4 2 2 6 2 3" xfId="12370" xr:uid="{024CE42C-E235-42DD-915B-A606DF75B498}"/>
    <cellStyle name="Normal 4 4 2 2 6 2 4" xfId="20811" xr:uid="{BCBB86EB-A537-4829-A860-19C5164D5637}"/>
    <cellStyle name="Normal 4 4 2 2 6 2 5" xfId="29251" xr:uid="{D80A8AB0-256F-4EEF-8BAE-2C960AA5266A}"/>
    <cellStyle name="Normal 4 4 2 2 6 3" xfId="5993" xr:uid="{00000000-0005-0000-0000-00000E150000}"/>
    <cellStyle name="Normal 4 4 2 2 6 3 2" xfId="14443" xr:uid="{114D46EF-B890-4C7D-B0C7-CC8B4E89F943}"/>
    <cellStyle name="Normal 4 4 2 2 6 3 3" xfId="22883" xr:uid="{85591A1B-766C-45D7-A153-948EDD3D434E}"/>
    <cellStyle name="Normal 4 4 2 2 6 3 4" xfId="31323" xr:uid="{A335A8EC-EC46-4C93-B8F8-FA91A7E8ED5C}"/>
    <cellStyle name="Normal 4 4 2 2 6 4" xfId="10225" xr:uid="{C04A540A-C71C-40B5-A710-232EE6E149E1}"/>
    <cellStyle name="Normal 4 4 2 2 6 5" xfId="18666" xr:uid="{9F396ADB-8C3F-480A-B3A6-5120AE9A7A77}"/>
    <cellStyle name="Normal 4 4 2 2 6 6" xfId="27106" xr:uid="{3B33A8AD-4D7A-4DAB-86C9-8895C02DD414}"/>
    <cellStyle name="Normal 4 4 2 2 7" xfId="2100" xr:uid="{00000000-0005-0000-0000-00000F150000}"/>
    <cellStyle name="Normal 4 4 2 2 7 2" xfId="4329" xr:uid="{00000000-0005-0000-0000-000010150000}"/>
    <cellStyle name="Normal 4 4 2 2 7 2 2" xfId="8551" xr:uid="{00000000-0005-0000-0000-000011150000}"/>
    <cellStyle name="Normal 4 4 2 2 7 2 2 2" xfId="17001" xr:uid="{BE3A293D-5379-4456-AB25-298789300C2A}"/>
    <cellStyle name="Normal 4 4 2 2 7 2 2 3" xfId="25441" xr:uid="{676C8E62-7F2A-4194-BBF2-EA0102EED835}"/>
    <cellStyle name="Normal 4 4 2 2 7 2 2 4" xfId="33881" xr:uid="{9144ED1A-1F63-4873-8FCF-78AA723B34A3}"/>
    <cellStyle name="Normal 4 4 2 2 7 2 3" xfId="12783" xr:uid="{A0F326B9-82CC-445D-8959-B42BAD809288}"/>
    <cellStyle name="Normal 4 4 2 2 7 2 4" xfId="21224" xr:uid="{0283ECEA-3D06-4421-A7DD-3598EE1D945C}"/>
    <cellStyle name="Normal 4 4 2 2 7 2 5" xfId="29664" xr:uid="{F372C36A-FBC6-436F-9C7D-AD02EE6DFBC1}"/>
    <cellStyle name="Normal 4 4 2 2 7 3" xfId="6406" xr:uid="{00000000-0005-0000-0000-000012150000}"/>
    <cellStyle name="Normal 4 4 2 2 7 3 2" xfId="14856" xr:uid="{5F69F878-8433-44C4-BEF4-C931FF012BD7}"/>
    <cellStyle name="Normal 4 4 2 2 7 3 3" xfId="23296" xr:uid="{8C8D4998-05D3-4647-8861-A248DDE31CF7}"/>
    <cellStyle name="Normal 4 4 2 2 7 3 4" xfId="31736" xr:uid="{F93E84BE-A45D-4F36-A933-76F2F1EC4F91}"/>
    <cellStyle name="Normal 4 4 2 2 7 4" xfId="10638" xr:uid="{739B50A7-6F08-44CC-B20E-E647F5F140D8}"/>
    <cellStyle name="Normal 4 4 2 2 7 5" xfId="19079" xr:uid="{D0AD17B1-EDB6-4788-B78A-A52BF09FA28E}"/>
    <cellStyle name="Normal 4 4 2 2 7 6" xfId="27519" xr:uid="{EA0B6F4D-7726-4102-9E4B-8D53E4D7754D}"/>
    <cellStyle name="Normal 4 4 2 2 8" xfId="2536" xr:uid="{00000000-0005-0000-0000-000013150000}"/>
    <cellStyle name="Normal 4 4 2 2 8 2" xfId="6819" xr:uid="{00000000-0005-0000-0000-000014150000}"/>
    <cellStyle name="Normal 4 4 2 2 8 2 2" xfId="15269" xr:uid="{6591356A-FA7A-484A-A770-928351E055C8}"/>
    <cellStyle name="Normal 4 4 2 2 8 2 3" xfId="23709" xr:uid="{443152AF-9785-4E74-899B-EAE5D82CD4D2}"/>
    <cellStyle name="Normal 4 4 2 2 8 2 4" xfId="32149" xr:uid="{C54BFC0A-9A61-4B3C-9522-D5691EA1E705}"/>
    <cellStyle name="Normal 4 4 2 2 8 3" xfId="11051" xr:uid="{C2516343-0BBE-49B5-B5CF-D8F1E0DEBF35}"/>
    <cellStyle name="Normal 4 4 2 2 8 4" xfId="19492" xr:uid="{8C07C276-624C-470B-8BAA-259603D1BB7E}"/>
    <cellStyle name="Normal 4 4 2 2 8 5" xfId="27932" xr:uid="{3AFB6C28-867D-42F2-9B3A-581B3E829E71}"/>
    <cellStyle name="Normal 4 4 2 2 9" xfId="4754" xr:uid="{00000000-0005-0000-0000-000015150000}"/>
    <cellStyle name="Normal 4 4 2 2 9 2" xfId="13204" xr:uid="{A9F87F1E-AE89-4109-AE14-CBB13780D790}"/>
    <cellStyle name="Normal 4 4 2 2 9 3" xfId="21644" xr:uid="{E9A3C239-98E4-4022-8E85-25D6AA16CF69}"/>
    <cellStyle name="Normal 4 4 2 2 9 4" xfId="30084" xr:uid="{4ADDEAD7-F15B-46F1-9CE9-5142997DDBFE}"/>
    <cellStyle name="Normal 4 4 2 3" xfId="384" xr:uid="{00000000-0005-0000-0000-000016150000}"/>
    <cellStyle name="Normal 4 4 2 3 10" xfId="17431" xr:uid="{F796E05E-739B-4BC2-9A70-D1937DFDE0A2}"/>
    <cellStyle name="Normal 4 4 2 3 11" xfId="25871" xr:uid="{EA6863C1-DAF9-41DD-84E0-DD08FF020346}"/>
    <cellStyle name="Normal 4 4 2 3 2" xfId="385" xr:uid="{00000000-0005-0000-0000-000017150000}"/>
    <cellStyle name="Normal 4 4 2 3 2 10" xfId="25872" xr:uid="{B263B998-631E-4E86-A192-253510EEB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2 2 2" xfId="15767" xr:uid="{C2CAE2C3-C9B9-4F20-B2FC-4E73A2CB3649}"/>
    <cellStyle name="Normal 4 4 2 3 2 2 2 2 3" xfId="24207" xr:uid="{E20FEEE0-7A76-4757-A108-89B52E69CEBF}"/>
    <cellStyle name="Normal 4 4 2 3 2 2 2 2 4" xfId="32647" xr:uid="{627037A0-A916-4268-B707-86CDD8FA46AC}"/>
    <cellStyle name="Normal 4 4 2 3 2 2 2 3" xfId="11549" xr:uid="{585E29C7-DE56-403B-AF02-0A42FB4A71CD}"/>
    <cellStyle name="Normal 4 4 2 3 2 2 2 4" xfId="19990" xr:uid="{1F6D939D-FBA7-429C-899E-E084AB143AF1}"/>
    <cellStyle name="Normal 4 4 2 3 2 2 2 5" xfId="28430" xr:uid="{250E2D81-4011-4A3E-8B81-737C9AE150F7}"/>
    <cellStyle name="Normal 4 4 2 3 2 2 3" xfId="5172" xr:uid="{00000000-0005-0000-0000-00001B150000}"/>
    <cellStyle name="Normal 4 4 2 3 2 2 3 2" xfId="13622" xr:uid="{F8B66CE2-0D72-47BF-B274-B590965B9C6B}"/>
    <cellStyle name="Normal 4 4 2 3 2 2 3 3" xfId="22062" xr:uid="{BFC83F75-5457-4313-8BB7-CC7C1EA4C0AB}"/>
    <cellStyle name="Normal 4 4 2 3 2 2 3 4" xfId="30502" xr:uid="{3EF0D6DA-FD5D-4D73-99FE-5CF24C8A1CC8}"/>
    <cellStyle name="Normal 4 4 2 3 2 2 4" xfId="9404" xr:uid="{D37DBA1A-2973-447C-877A-0293AA307316}"/>
    <cellStyle name="Normal 4 4 2 3 2 2 5" xfId="17845" xr:uid="{9F3FFD92-BBB8-4AC8-97D2-606E56E5B967}"/>
    <cellStyle name="Normal 4 4 2 3 2 2 6" xfId="26285" xr:uid="{F36E1DCB-D3B2-4358-9CBC-24CB55DAD429}"/>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2 2 2" xfId="16180" xr:uid="{32B5513E-5315-4287-8EBB-B304D2BCFDD0}"/>
    <cellStyle name="Normal 4 4 2 3 2 3 2 2 3" xfId="24620" xr:uid="{C1D7492C-373B-4A88-9D63-B1C824FB39F5}"/>
    <cellStyle name="Normal 4 4 2 3 2 3 2 2 4" xfId="33060" xr:uid="{6757BD9D-A0E8-4A40-8307-3526FD8EB957}"/>
    <cellStyle name="Normal 4 4 2 3 2 3 2 3" xfId="11962" xr:uid="{DF2878CF-3EFB-42F8-90D2-708298D2BC4B}"/>
    <cellStyle name="Normal 4 4 2 3 2 3 2 4" xfId="20403" xr:uid="{13E77D3A-797A-4B5B-949F-4A7095CB305C}"/>
    <cellStyle name="Normal 4 4 2 3 2 3 2 5" xfId="28843" xr:uid="{52FF11AE-204C-4625-A972-9E4BAA2C6F79}"/>
    <cellStyle name="Normal 4 4 2 3 2 3 3" xfId="5585" xr:uid="{00000000-0005-0000-0000-00001F150000}"/>
    <cellStyle name="Normal 4 4 2 3 2 3 3 2" xfId="14035" xr:uid="{F2853EA7-1617-489A-AB8F-6AD1AC453FA1}"/>
    <cellStyle name="Normal 4 4 2 3 2 3 3 3" xfId="22475" xr:uid="{488472D9-03CB-417A-8BD9-AEF7A277EE3E}"/>
    <cellStyle name="Normal 4 4 2 3 2 3 3 4" xfId="30915" xr:uid="{6E7D5E95-C481-4903-A718-3B3BC208F80B}"/>
    <cellStyle name="Normal 4 4 2 3 2 3 4" xfId="9817" xr:uid="{83F6A763-C0EA-444F-9386-52150D891771}"/>
    <cellStyle name="Normal 4 4 2 3 2 3 5" xfId="18258" xr:uid="{92AEE423-EBA3-4993-85C0-9C38AB4746A8}"/>
    <cellStyle name="Normal 4 4 2 3 2 3 6" xfId="26698" xr:uid="{A4340996-91B8-4D0D-927B-1459B080FEE7}"/>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2 2 2" xfId="16593" xr:uid="{C7697DF6-EE2B-4235-9699-52D64FAB500F}"/>
    <cellStyle name="Normal 4 4 2 3 2 4 2 2 3" xfId="25033" xr:uid="{2C36D2BD-00FF-49D6-B1BC-A2F9D5CECA49}"/>
    <cellStyle name="Normal 4 4 2 3 2 4 2 2 4" xfId="33473" xr:uid="{12392CE9-A34B-48B5-9116-8D095848EA7E}"/>
    <cellStyle name="Normal 4 4 2 3 2 4 2 3" xfId="12375" xr:uid="{FC8C5518-8FE7-492E-855B-339C362CFEC8}"/>
    <cellStyle name="Normal 4 4 2 3 2 4 2 4" xfId="20816" xr:uid="{96FC9149-231B-4C9A-B802-BB74CAEF5B78}"/>
    <cellStyle name="Normal 4 4 2 3 2 4 2 5" xfId="29256" xr:uid="{40917722-501B-4F87-9B22-37DCD9DCEEB3}"/>
    <cellStyle name="Normal 4 4 2 3 2 4 3" xfId="5998" xr:uid="{00000000-0005-0000-0000-000023150000}"/>
    <cellStyle name="Normal 4 4 2 3 2 4 3 2" xfId="14448" xr:uid="{BB582379-89C1-45FC-99FB-2CBFAA77EEDF}"/>
    <cellStyle name="Normal 4 4 2 3 2 4 3 3" xfId="22888" xr:uid="{DBC7BC36-9BCC-48B4-B3CF-27C5EB564BC2}"/>
    <cellStyle name="Normal 4 4 2 3 2 4 3 4" xfId="31328" xr:uid="{26628407-B0A0-417F-B3C6-F500236BFCFA}"/>
    <cellStyle name="Normal 4 4 2 3 2 4 4" xfId="10230" xr:uid="{CADD7368-38DA-4682-984A-3E746B8E94F9}"/>
    <cellStyle name="Normal 4 4 2 3 2 4 5" xfId="18671" xr:uid="{A2406D72-B80F-44F9-A56D-666A68C5FBCA}"/>
    <cellStyle name="Normal 4 4 2 3 2 4 6" xfId="27111" xr:uid="{D579DA5B-E0EB-44CA-95F4-F76E4A20011C}"/>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2 2 2" xfId="17006" xr:uid="{B9F2355C-0A15-4122-92F1-6FEBC66B2939}"/>
    <cellStyle name="Normal 4 4 2 3 2 5 2 2 3" xfId="25446" xr:uid="{F485EB06-4AB3-4A2D-9D37-9F0129285CEE}"/>
    <cellStyle name="Normal 4 4 2 3 2 5 2 2 4" xfId="33886" xr:uid="{694A5D85-AE67-4B61-889B-60F65BC6D1ED}"/>
    <cellStyle name="Normal 4 4 2 3 2 5 2 3" xfId="12788" xr:uid="{02D9CADF-4156-489E-9262-B8B2C92AAACF}"/>
    <cellStyle name="Normal 4 4 2 3 2 5 2 4" xfId="21229" xr:uid="{4A28263C-2F3E-49B1-8730-B797DCBDB9BB}"/>
    <cellStyle name="Normal 4 4 2 3 2 5 2 5" xfId="29669" xr:uid="{111FBBC7-3187-4BF0-8783-5DECAA96894C}"/>
    <cellStyle name="Normal 4 4 2 3 2 5 3" xfId="6411" xr:uid="{00000000-0005-0000-0000-000027150000}"/>
    <cellStyle name="Normal 4 4 2 3 2 5 3 2" xfId="14861" xr:uid="{14138C4E-0D34-4826-8D84-BDE4E3AA4290}"/>
    <cellStyle name="Normal 4 4 2 3 2 5 3 3" xfId="23301" xr:uid="{AFF80DFF-8C2B-4665-A9C9-818C13E0F922}"/>
    <cellStyle name="Normal 4 4 2 3 2 5 3 4" xfId="31741" xr:uid="{02AE50A9-8265-4994-B8AE-FAE4994A1BDE}"/>
    <cellStyle name="Normal 4 4 2 3 2 5 4" xfId="10643" xr:uid="{D490218F-861D-4CC1-931C-57680330BF50}"/>
    <cellStyle name="Normal 4 4 2 3 2 5 5" xfId="19084" xr:uid="{FB6E757E-16F9-45F3-93C1-65BFB0C2CE2A}"/>
    <cellStyle name="Normal 4 4 2 3 2 5 6" xfId="27524" xr:uid="{8CA0C599-7C68-4B76-AAF8-239804FB83B9}"/>
    <cellStyle name="Normal 4 4 2 3 2 6" xfId="2541" xr:uid="{00000000-0005-0000-0000-000028150000}"/>
    <cellStyle name="Normal 4 4 2 3 2 6 2" xfId="6824" xr:uid="{00000000-0005-0000-0000-000029150000}"/>
    <cellStyle name="Normal 4 4 2 3 2 6 2 2" xfId="15274" xr:uid="{B2922467-9B3D-46A4-8C84-FB1274A434EF}"/>
    <cellStyle name="Normal 4 4 2 3 2 6 2 3" xfId="23714" xr:uid="{D7730D86-2884-4270-B312-21C011AD3F1C}"/>
    <cellStyle name="Normal 4 4 2 3 2 6 2 4" xfId="32154" xr:uid="{8A4931A5-14C2-4DD6-9F2B-264BC2DA6922}"/>
    <cellStyle name="Normal 4 4 2 3 2 6 3" xfId="11056" xr:uid="{5BCC17B7-9621-4D16-AC31-38B5E8DBF088}"/>
    <cellStyle name="Normal 4 4 2 3 2 6 4" xfId="19497" xr:uid="{289B6ABC-3CF4-4CAC-BC8B-344118CEDF89}"/>
    <cellStyle name="Normal 4 4 2 3 2 6 5" xfId="27937" xr:uid="{633FFBDB-E625-4583-BF1A-534530E44ADC}"/>
    <cellStyle name="Normal 4 4 2 3 2 7" xfId="4759" xr:uid="{00000000-0005-0000-0000-00002A150000}"/>
    <cellStyle name="Normal 4 4 2 3 2 7 2" xfId="13209" xr:uid="{50376A8E-3C4C-44C6-AEBA-01F4CFA2AEDE}"/>
    <cellStyle name="Normal 4 4 2 3 2 7 3" xfId="21649" xr:uid="{4813C964-6361-4242-892E-A16E60B58E4A}"/>
    <cellStyle name="Normal 4 4 2 3 2 7 4" xfId="30089" xr:uid="{5DEE5D1E-815B-46BF-ABCA-97F29C7AB2C7}"/>
    <cellStyle name="Normal 4 4 2 3 2 8" xfId="8991" xr:uid="{6A8EA498-C3D1-4965-91F4-CAD14D654AF3}"/>
    <cellStyle name="Normal 4 4 2 3 2 9" xfId="17432" xr:uid="{DEB8434B-CE4E-454A-8E4C-249BA9CF574A}"/>
    <cellStyle name="Normal 4 4 2 3 3" xfId="859" xr:uid="{00000000-0005-0000-0000-00002B150000}"/>
    <cellStyle name="Normal 4 4 2 3 3 2" xfId="3094" xr:uid="{00000000-0005-0000-0000-00002C150000}"/>
    <cellStyle name="Normal 4 4 2 3 3 2 2" xfId="7316" xr:uid="{00000000-0005-0000-0000-00002D150000}"/>
    <cellStyle name="Normal 4 4 2 3 3 2 2 2" xfId="15766" xr:uid="{5A182DF7-42CC-417A-B2BD-311F18DB4416}"/>
    <cellStyle name="Normal 4 4 2 3 3 2 2 3" xfId="24206" xr:uid="{27E3685B-7E96-456B-A265-2E78FB1FB87E}"/>
    <cellStyle name="Normal 4 4 2 3 3 2 2 4" xfId="32646" xr:uid="{610486AB-718D-4895-97E8-488FC7A5E99C}"/>
    <cellStyle name="Normal 4 4 2 3 3 2 3" xfId="11548" xr:uid="{4BAF89D3-471A-44B8-8125-24760279A5C5}"/>
    <cellStyle name="Normal 4 4 2 3 3 2 4" xfId="19989" xr:uid="{F557F4A1-9BED-4CCF-BFD5-D4B5FE51A323}"/>
    <cellStyle name="Normal 4 4 2 3 3 2 5" xfId="28429" xr:uid="{792FD229-8118-4711-BE75-91FB62468144}"/>
    <cellStyle name="Normal 4 4 2 3 3 3" xfId="5171" xr:uid="{00000000-0005-0000-0000-00002E150000}"/>
    <cellStyle name="Normal 4 4 2 3 3 3 2" xfId="13621" xr:uid="{A3D5F6D3-7A64-426B-9939-92B7AA3DEA16}"/>
    <cellStyle name="Normal 4 4 2 3 3 3 3" xfId="22061" xr:uid="{00778C7C-0FA4-4861-A40C-7D914853BDE1}"/>
    <cellStyle name="Normal 4 4 2 3 3 3 4" xfId="30501" xr:uid="{B81D286B-B6E2-4771-A316-EE76ACC558EA}"/>
    <cellStyle name="Normal 4 4 2 3 3 4" xfId="9403" xr:uid="{88516C3D-8A04-4950-A471-AD56D639CE7B}"/>
    <cellStyle name="Normal 4 4 2 3 3 5" xfId="17844" xr:uid="{CB02153F-CD0C-4D00-9DB8-CF91184D493A}"/>
    <cellStyle name="Normal 4 4 2 3 3 6" xfId="26284" xr:uid="{CCB54D86-4118-4958-8AAC-A60A1D2F3214}"/>
    <cellStyle name="Normal 4 4 2 3 4" xfId="1277" xr:uid="{00000000-0005-0000-0000-00002F150000}"/>
    <cellStyle name="Normal 4 4 2 3 4 2" xfId="3507" xr:uid="{00000000-0005-0000-0000-000030150000}"/>
    <cellStyle name="Normal 4 4 2 3 4 2 2" xfId="7729" xr:uid="{00000000-0005-0000-0000-000031150000}"/>
    <cellStyle name="Normal 4 4 2 3 4 2 2 2" xfId="16179" xr:uid="{93ACF6D8-67D0-4387-93DA-10EFF068EEB8}"/>
    <cellStyle name="Normal 4 4 2 3 4 2 2 3" xfId="24619" xr:uid="{7E59892D-602B-4BE8-82D8-6725D9470E5C}"/>
    <cellStyle name="Normal 4 4 2 3 4 2 2 4" xfId="33059" xr:uid="{880C9899-751D-40A6-8E52-06D15329D4DF}"/>
    <cellStyle name="Normal 4 4 2 3 4 2 3" xfId="11961" xr:uid="{182BED7E-1DC5-48CC-8097-EF8BE1E05C67}"/>
    <cellStyle name="Normal 4 4 2 3 4 2 4" xfId="20402" xr:uid="{351D2A1B-0EA1-451E-8DB3-53CE21449A43}"/>
    <cellStyle name="Normal 4 4 2 3 4 2 5" xfId="28842" xr:uid="{C79E80D1-644C-46B6-A203-06642E592430}"/>
    <cellStyle name="Normal 4 4 2 3 4 3" xfId="5584" xr:uid="{00000000-0005-0000-0000-000032150000}"/>
    <cellStyle name="Normal 4 4 2 3 4 3 2" xfId="14034" xr:uid="{00949F0D-9E8C-4DDC-A81D-34216DE5EBF5}"/>
    <cellStyle name="Normal 4 4 2 3 4 3 3" xfId="22474" xr:uid="{3112DEDE-B5EA-40E3-8988-1D4ABE59B5E6}"/>
    <cellStyle name="Normal 4 4 2 3 4 3 4" xfId="30914" xr:uid="{11387E94-B3C3-4F9D-8043-115BFBB83608}"/>
    <cellStyle name="Normal 4 4 2 3 4 4" xfId="9816" xr:uid="{05AC54F0-18DA-4512-AF15-0E901BC06C19}"/>
    <cellStyle name="Normal 4 4 2 3 4 5" xfId="18257" xr:uid="{3E641E1C-9ECB-4086-9D57-A44C5C28D620}"/>
    <cellStyle name="Normal 4 4 2 3 4 6" xfId="26697" xr:uid="{B270F605-1A65-49B4-92E9-F444F93F9F4C}"/>
    <cellStyle name="Normal 4 4 2 3 5" xfId="1690" xr:uid="{00000000-0005-0000-0000-000033150000}"/>
    <cellStyle name="Normal 4 4 2 3 5 2" xfId="3920" xr:uid="{00000000-0005-0000-0000-000034150000}"/>
    <cellStyle name="Normal 4 4 2 3 5 2 2" xfId="8142" xr:uid="{00000000-0005-0000-0000-000035150000}"/>
    <cellStyle name="Normal 4 4 2 3 5 2 2 2" xfId="16592" xr:uid="{D370D9DF-2168-4400-905A-33E12BC23579}"/>
    <cellStyle name="Normal 4 4 2 3 5 2 2 3" xfId="25032" xr:uid="{65600639-4D31-4B47-B652-923DE2212090}"/>
    <cellStyle name="Normal 4 4 2 3 5 2 2 4" xfId="33472" xr:uid="{C1723A2D-71C6-4229-8BC3-FBBFCC93E4CC}"/>
    <cellStyle name="Normal 4 4 2 3 5 2 3" xfId="12374" xr:uid="{F8D12100-052B-489F-8174-BB07EE835F14}"/>
    <cellStyle name="Normal 4 4 2 3 5 2 4" xfId="20815" xr:uid="{463261B0-F6AA-4445-B79C-F3C1F15A813C}"/>
    <cellStyle name="Normal 4 4 2 3 5 2 5" xfId="29255" xr:uid="{0FC5A108-B9FD-4920-8913-431598B98693}"/>
    <cellStyle name="Normal 4 4 2 3 5 3" xfId="5997" xr:uid="{00000000-0005-0000-0000-000036150000}"/>
    <cellStyle name="Normal 4 4 2 3 5 3 2" xfId="14447" xr:uid="{BDBC23E0-D368-4240-A94C-A57A0F1D5C08}"/>
    <cellStyle name="Normal 4 4 2 3 5 3 3" xfId="22887" xr:uid="{FBA40CE9-04D6-4B53-9DED-B73D0565FE43}"/>
    <cellStyle name="Normal 4 4 2 3 5 3 4" xfId="31327" xr:uid="{5783C274-CB86-4F8F-9DE5-452C8D39E7D3}"/>
    <cellStyle name="Normal 4 4 2 3 5 4" xfId="10229" xr:uid="{582D04DF-BDE1-40E9-95DE-960C522D69CF}"/>
    <cellStyle name="Normal 4 4 2 3 5 5" xfId="18670" xr:uid="{1EBD8570-9286-4911-A89A-067D40F78383}"/>
    <cellStyle name="Normal 4 4 2 3 5 6" xfId="27110" xr:uid="{25AEC06F-E1EA-4F8A-ABDC-4ECCF0EC3484}"/>
    <cellStyle name="Normal 4 4 2 3 6" xfId="2104" xr:uid="{00000000-0005-0000-0000-000037150000}"/>
    <cellStyle name="Normal 4 4 2 3 6 2" xfId="4333" xr:uid="{00000000-0005-0000-0000-000038150000}"/>
    <cellStyle name="Normal 4 4 2 3 6 2 2" xfId="8555" xr:uid="{00000000-0005-0000-0000-000039150000}"/>
    <cellStyle name="Normal 4 4 2 3 6 2 2 2" xfId="17005" xr:uid="{7F5D25CA-D6EA-48AA-88BA-F9994D0EAE5A}"/>
    <cellStyle name="Normal 4 4 2 3 6 2 2 3" xfId="25445" xr:uid="{181F6F45-4F04-4A17-B805-CB805F89646D}"/>
    <cellStyle name="Normal 4 4 2 3 6 2 2 4" xfId="33885" xr:uid="{5C1396AC-3C11-4A44-AC34-19BA19EEF5B6}"/>
    <cellStyle name="Normal 4 4 2 3 6 2 3" xfId="12787" xr:uid="{4C7E800D-7119-4F05-A10C-8D4D617AFFE3}"/>
    <cellStyle name="Normal 4 4 2 3 6 2 4" xfId="21228" xr:uid="{74F4C4AB-C6F9-4803-AAFE-3788FF9D2927}"/>
    <cellStyle name="Normal 4 4 2 3 6 2 5" xfId="29668" xr:uid="{73315DD5-8E14-4B03-B50C-65578A0874E6}"/>
    <cellStyle name="Normal 4 4 2 3 6 3" xfId="6410" xr:uid="{00000000-0005-0000-0000-00003A150000}"/>
    <cellStyle name="Normal 4 4 2 3 6 3 2" xfId="14860" xr:uid="{BD042E67-3A4C-467A-83CA-D93C231A1C16}"/>
    <cellStyle name="Normal 4 4 2 3 6 3 3" xfId="23300" xr:uid="{86B7FE5A-8EE6-4602-918D-356D2EA9F918}"/>
    <cellStyle name="Normal 4 4 2 3 6 3 4" xfId="31740" xr:uid="{FD66DD4F-5C98-42A9-852A-BCE65CF30A69}"/>
    <cellStyle name="Normal 4 4 2 3 6 4" xfId="10642" xr:uid="{9BACC1D7-B1E9-4763-8ACB-308A6C39EE71}"/>
    <cellStyle name="Normal 4 4 2 3 6 5" xfId="19083" xr:uid="{8A675BB5-3CA7-430B-A641-AF6452F34EA2}"/>
    <cellStyle name="Normal 4 4 2 3 6 6" xfId="27523" xr:uid="{ADC5B903-54CF-47C7-B8F0-735BA1F04CD8}"/>
    <cellStyle name="Normal 4 4 2 3 7" xfId="2540" xr:uid="{00000000-0005-0000-0000-00003B150000}"/>
    <cellStyle name="Normal 4 4 2 3 7 2" xfId="6823" xr:uid="{00000000-0005-0000-0000-00003C150000}"/>
    <cellStyle name="Normal 4 4 2 3 7 2 2" xfId="15273" xr:uid="{F77B4BEE-9E7B-48AB-867C-F41402C7A5D7}"/>
    <cellStyle name="Normal 4 4 2 3 7 2 3" xfId="23713" xr:uid="{570901FF-80EF-4678-AEDD-912290F604B0}"/>
    <cellStyle name="Normal 4 4 2 3 7 2 4" xfId="32153" xr:uid="{842C516A-A3ED-472E-9AF3-D68FD7449DD0}"/>
    <cellStyle name="Normal 4 4 2 3 7 3" xfId="11055" xr:uid="{80EA0B5E-71C8-42B4-9CDE-D9A63042CADD}"/>
    <cellStyle name="Normal 4 4 2 3 7 4" xfId="19496" xr:uid="{B7618FF8-32B8-468C-828F-2DA26215D24D}"/>
    <cellStyle name="Normal 4 4 2 3 7 5" xfId="27936" xr:uid="{12471A67-F6DF-4CE8-934E-0C4B238B7C45}"/>
    <cellStyle name="Normal 4 4 2 3 8" xfId="4758" xr:uid="{00000000-0005-0000-0000-00003D150000}"/>
    <cellStyle name="Normal 4 4 2 3 8 2" xfId="13208" xr:uid="{9232EE99-BF45-43D7-AE11-6B39F286E78A}"/>
    <cellStyle name="Normal 4 4 2 3 8 3" xfId="21648" xr:uid="{24E86CF4-EAC0-4DB8-AF9E-F9C5B4E7DCBA}"/>
    <cellStyle name="Normal 4 4 2 3 8 4" xfId="30088" xr:uid="{5D76EA72-2A85-4D95-A3D7-4351FB1FFAB1}"/>
    <cellStyle name="Normal 4 4 2 3 9" xfId="8990" xr:uid="{C249B589-17AF-418B-BAD1-FE362DCE8221}"/>
    <cellStyle name="Normal 4 4 2 4" xfId="386" xr:uid="{00000000-0005-0000-0000-00003E150000}"/>
    <cellStyle name="Normal 4 4 2 4 10" xfId="25873" xr:uid="{15A0F81E-AD25-4E58-97F6-7D2F42760921}"/>
    <cellStyle name="Normal 4 4 2 4 2" xfId="861" xr:uid="{00000000-0005-0000-0000-00003F150000}"/>
    <cellStyle name="Normal 4 4 2 4 2 2" xfId="3096" xr:uid="{00000000-0005-0000-0000-000040150000}"/>
    <cellStyle name="Normal 4 4 2 4 2 2 2" xfId="7318" xr:uid="{00000000-0005-0000-0000-000041150000}"/>
    <cellStyle name="Normal 4 4 2 4 2 2 2 2" xfId="15768" xr:uid="{6028823F-65F1-42B6-9582-C3C729976047}"/>
    <cellStyle name="Normal 4 4 2 4 2 2 2 3" xfId="24208" xr:uid="{B52C4339-46A4-4C3F-A247-952ACD7711E3}"/>
    <cellStyle name="Normal 4 4 2 4 2 2 2 4" xfId="32648" xr:uid="{BD78C3D4-4C6A-4D59-BAD5-0747E4E3B275}"/>
    <cellStyle name="Normal 4 4 2 4 2 2 3" xfId="11550" xr:uid="{7BCCAE97-6E2B-4F67-BA3B-7A0616306157}"/>
    <cellStyle name="Normal 4 4 2 4 2 2 4" xfId="19991" xr:uid="{FDB46627-0C67-4867-827C-56B75C8C7916}"/>
    <cellStyle name="Normal 4 4 2 4 2 2 5" xfId="28431" xr:uid="{555CA3AE-B12D-429D-9D77-DF963C87B745}"/>
    <cellStyle name="Normal 4 4 2 4 2 3" xfId="5173" xr:uid="{00000000-0005-0000-0000-000042150000}"/>
    <cellStyle name="Normal 4 4 2 4 2 3 2" xfId="13623" xr:uid="{F310481D-2F83-4530-B9B3-F1386DB37CF8}"/>
    <cellStyle name="Normal 4 4 2 4 2 3 3" xfId="22063" xr:uid="{84FF1C61-F9D5-4399-84B7-30D9D01122A1}"/>
    <cellStyle name="Normal 4 4 2 4 2 3 4" xfId="30503" xr:uid="{DC14EBD5-067B-47C7-9AB1-0BF28F948A79}"/>
    <cellStyle name="Normal 4 4 2 4 2 4" xfId="9405" xr:uid="{C8E2F14B-F230-47D6-BF8B-6AD7D64C542A}"/>
    <cellStyle name="Normal 4 4 2 4 2 5" xfId="17846" xr:uid="{120E3C56-9FB6-4710-85B4-2F7B95A9ADB1}"/>
    <cellStyle name="Normal 4 4 2 4 2 6" xfId="26286" xr:uid="{D6EFD0FD-A833-4804-AD1E-6C3342F06F15}"/>
    <cellStyle name="Normal 4 4 2 4 3" xfId="1279" xr:uid="{00000000-0005-0000-0000-000043150000}"/>
    <cellStyle name="Normal 4 4 2 4 3 2" xfId="3509" xr:uid="{00000000-0005-0000-0000-000044150000}"/>
    <cellStyle name="Normal 4 4 2 4 3 2 2" xfId="7731" xr:uid="{00000000-0005-0000-0000-000045150000}"/>
    <cellStyle name="Normal 4 4 2 4 3 2 2 2" xfId="16181" xr:uid="{EE769DE2-FEA8-46CF-A0F8-ACAE05CEE993}"/>
    <cellStyle name="Normal 4 4 2 4 3 2 2 3" xfId="24621" xr:uid="{2D3571FA-AE6B-4820-AF61-C9D55B9B4982}"/>
    <cellStyle name="Normal 4 4 2 4 3 2 2 4" xfId="33061" xr:uid="{7DB8BFF8-B160-4E3A-A4E3-F6EDE40BC505}"/>
    <cellStyle name="Normal 4 4 2 4 3 2 3" xfId="11963" xr:uid="{5FB18D0B-8B94-46E8-B5EF-08B5E1BCF468}"/>
    <cellStyle name="Normal 4 4 2 4 3 2 4" xfId="20404" xr:uid="{C9935EA6-7D8C-41F0-B264-439FFF3BC4ED}"/>
    <cellStyle name="Normal 4 4 2 4 3 2 5" xfId="28844" xr:uid="{0D6207AE-29A1-49AB-BF20-3805F4825A15}"/>
    <cellStyle name="Normal 4 4 2 4 3 3" xfId="5586" xr:uid="{00000000-0005-0000-0000-000046150000}"/>
    <cellStyle name="Normal 4 4 2 4 3 3 2" xfId="14036" xr:uid="{1C00C950-2B98-4374-A532-0CD4F9C8CB8A}"/>
    <cellStyle name="Normal 4 4 2 4 3 3 3" xfId="22476" xr:uid="{E5C288AA-F7D9-418A-9DD9-09CD7951FA4B}"/>
    <cellStyle name="Normal 4 4 2 4 3 3 4" xfId="30916" xr:uid="{77C52D6B-CEEA-4A49-8128-B8FFDDCC08C6}"/>
    <cellStyle name="Normal 4 4 2 4 3 4" xfId="9818" xr:uid="{3C5FD0AE-84B2-444E-AFCA-19D8E6A53C44}"/>
    <cellStyle name="Normal 4 4 2 4 3 5" xfId="18259" xr:uid="{D926D7F9-95DF-4D08-ADB1-F18EED7E3738}"/>
    <cellStyle name="Normal 4 4 2 4 3 6" xfId="26699" xr:uid="{92761A83-05E6-47BB-97E7-1748A13A65DB}"/>
    <cellStyle name="Normal 4 4 2 4 4" xfId="1692" xr:uid="{00000000-0005-0000-0000-000047150000}"/>
    <cellStyle name="Normal 4 4 2 4 4 2" xfId="3922" xr:uid="{00000000-0005-0000-0000-000048150000}"/>
    <cellStyle name="Normal 4 4 2 4 4 2 2" xfId="8144" xr:uid="{00000000-0005-0000-0000-000049150000}"/>
    <cellStyle name="Normal 4 4 2 4 4 2 2 2" xfId="16594" xr:uid="{BC5A8FA3-1BDB-4538-81BD-D1BCCCFA9040}"/>
    <cellStyle name="Normal 4 4 2 4 4 2 2 3" xfId="25034" xr:uid="{20F4E34F-E07C-4A4B-8E10-2C394E88A221}"/>
    <cellStyle name="Normal 4 4 2 4 4 2 2 4" xfId="33474" xr:uid="{6E976806-893D-44CB-A774-8ECC7A041E0C}"/>
    <cellStyle name="Normal 4 4 2 4 4 2 3" xfId="12376" xr:uid="{2EA5F728-86FA-4EF0-9705-301D9FAA4069}"/>
    <cellStyle name="Normal 4 4 2 4 4 2 4" xfId="20817" xr:uid="{302F1A33-1464-48DC-ADB6-218E842D32BE}"/>
    <cellStyle name="Normal 4 4 2 4 4 2 5" xfId="29257" xr:uid="{E53ADCCD-7C29-4C0A-8428-1098A410EE0C}"/>
    <cellStyle name="Normal 4 4 2 4 4 3" xfId="5999" xr:uid="{00000000-0005-0000-0000-00004A150000}"/>
    <cellStyle name="Normal 4 4 2 4 4 3 2" xfId="14449" xr:uid="{35AA60C4-C414-476C-893D-529B130D6540}"/>
    <cellStyle name="Normal 4 4 2 4 4 3 3" xfId="22889" xr:uid="{130B3A64-6A86-4A87-B3FE-2AC41CAF13B7}"/>
    <cellStyle name="Normal 4 4 2 4 4 3 4" xfId="31329" xr:uid="{D8FA3D52-D075-4DDC-9F0F-F755E3E88EFE}"/>
    <cellStyle name="Normal 4 4 2 4 4 4" xfId="10231" xr:uid="{8513F2DD-720E-4EC8-B879-8160CE3D4652}"/>
    <cellStyle name="Normal 4 4 2 4 4 5" xfId="18672" xr:uid="{9F4E9E67-BEB4-4589-9452-7599B86EFD2C}"/>
    <cellStyle name="Normal 4 4 2 4 4 6" xfId="27112" xr:uid="{3C27DB76-6B36-4B69-B67E-8810AA0B52B7}"/>
    <cellStyle name="Normal 4 4 2 4 5" xfId="2106" xr:uid="{00000000-0005-0000-0000-00004B150000}"/>
    <cellStyle name="Normal 4 4 2 4 5 2" xfId="4335" xr:uid="{00000000-0005-0000-0000-00004C150000}"/>
    <cellStyle name="Normal 4 4 2 4 5 2 2" xfId="8557" xr:uid="{00000000-0005-0000-0000-00004D150000}"/>
    <cellStyle name="Normal 4 4 2 4 5 2 2 2" xfId="17007" xr:uid="{2B8BFAE2-A7C4-4447-8373-8681F8F6A1AC}"/>
    <cellStyle name="Normal 4 4 2 4 5 2 2 3" xfId="25447" xr:uid="{AFE6459F-3B18-4819-9F24-0D8F584345C5}"/>
    <cellStyle name="Normal 4 4 2 4 5 2 2 4" xfId="33887" xr:uid="{0442BC82-E0CC-4C4A-9A75-600191F45142}"/>
    <cellStyle name="Normal 4 4 2 4 5 2 3" xfId="12789" xr:uid="{FF39E750-F962-47DE-987C-E05655D73CE9}"/>
    <cellStyle name="Normal 4 4 2 4 5 2 4" xfId="21230" xr:uid="{57449F98-4990-4696-9B1F-7986A5E1E645}"/>
    <cellStyle name="Normal 4 4 2 4 5 2 5" xfId="29670" xr:uid="{A0FDB51B-14BB-40FA-A9E1-C303B5961703}"/>
    <cellStyle name="Normal 4 4 2 4 5 3" xfId="6412" xr:uid="{00000000-0005-0000-0000-00004E150000}"/>
    <cellStyle name="Normal 4 4 2 4 5 3 2" xfId="14862" xr:uid="{49B115D4-8287-468B-A24C-9EA6DC8CC0DA}"/>
    <cellStyle name="Normal 4 4 2 4 5 3 3" xfId="23302" xr:uid="{6BFEBFCF-5F1A-466B-9F55-163C366D5223}"/>
    <cellStyle name="Normal 4 4 2 4 5 3 4" xfId="31742" xr:uid="{5C597E85-6E4E-448A-BC07-9E3026E7DCC7}"/>
    <cellStyle name="Normal 4 4 2 4 5 4" xfId="10644" xr:uid="{60764762-1DB8-4A05-A051-8011566DBCC8}"/>
    <cellStyle name="Normal 4 4 2 4 5 5" xfId="19085" xr:uid="{9DF8D5F8-4389-4FAD-B8F4-BB4B4BE0F409}"/>
    <cellStyle name="Normal 4 4 2 4 5 6" xfId="27525" xr:uid="{BC59EE16-096F-4EBA-96DB-7867F9584F04}"/>
    <cellStyle name="Normal 4 4 2 4 6" xfId="2542" xr:uid="{00000000-0005-0000-0000-00004F150000}"/>
    <cellStyle name="Normal 4 4 2 4 6 2" xfId="6825" xr:uid="{00000000-0005-0000-0000-000050150000}"/>
    <cellStyle name="Normal 4 4 2 4 6 2 2" xfId="15275" xr:uid="{985C00DC-0DB8-4E17-B219-BCACBA0DD15C}"/>
    <cellStyle name="Normal 4 4 2 4 6 2 3" xfId="23715" xr:uid="{94441CE5-69D8-44BF-A84E-2BC60630D595}"/>
    <cellStyle name="Normal 4 4 2 4 6 2 4" xfId="32155" xr:uid="{87E2F959-0ACF-42D2-992E-D4D94EF2ADC3}"/>
    <cellStyle name="Normal 4 4 2 4 6 3" xfId="11057" xr:uid="{6C37CEEA-932D-4EE3-B7C8-3565BFD7CE2E}"/>
    <cellStyle name="Normal 4 4 2 4 6 4" xfId="19498" xr:uid="{5AD438CF-C611-417D-A905-932FEEB78C51}"/>
    <cellStyle name="Normal 4 4 2 4 6 5" xfId="27938" xr:uid="{2BF6D10C-F091-4D22-AB27-0CD4C44EBF9A}"/>
    <cellStyle name="Normal 4 4 2 4 7" xfId="4760" xr:uid="{00000000-0005-0000-0000-000051150000}"/>
    <cellStyle name="Normal 4 4 2 4 7 2" xfId="13210" xr:uid="{1726032C-5FD9-4123-A7C5-18A3E225EDD1}"/>
    <cellStyle name="Normal 4 4 2 4 7 3" xfId="21650" xr:uid="{9E0DAF02-C49E-4CB2-BF90-02190F3161DA}"/>
    <cellStyle name="Normal 4 4 2 4 7 4" xfId="30090" xr:uid="{F6524CB1-DC3F-4174-9E4E-22DB4D8CCB64}"/>
    <cellStyle name="Normal 4 4 2 4 8" xfId="8992" xr:uid="{91E5BDCE-40A2-4847-9E49-2B82DE11849C}"/>
    <cellStyle name="Normal 4 4 2 4 9" xfId="17433" xr:uid="{3DDD47B4-F5D0-48C7-9E08-0EC2B2918DA8}"/>
    <cellStyle name="Normal 4 4 2 5" xfId="854" xr:uid="{00000000-0005-0000-0000-000052150000}"/>
    <cellStyle name="Normal 4 4 2 5 2" xfId="3089" xr:uid="{00000000-0005-0000-0000-000053150000}"/>
    <cellStyle name="Normal 4 4 2 5 2 2" xfId="7311" xr:uid="{00000000-0005-0000-0000-000054150000}"/>
    <cellStyle name="Normal 4 4 2 5 2 2 2" xfId="15761" xr:uid="{10127C69-4E86-4F95-B713-22E0F2C0146B}"/>
    <cellStyle name="Normal 4 4 2 5 2 2 3" xfId="24201" xr:uid="{A83B1B36-40D1-47F1-B29F-3FF9414C20B8}"/>
    <cellStyle name="Normal 4 4 2 5 2 2 4" xfId="32641" xr:uid="{02B2178D-B609-49B1-AC87-9A4930A14CF3}"/>
    <cellStyle name="Normal 4 4 2 5 2 3" xfId="11543" xr:uid="{70E14359-DFF2-4C43-8967-2FF3F1931838}"/>
    <cellStyle name="Normal 4 4 2 5 2 4" xfId="19984" xr:uid="{84F188D0-783A-4B48-90ED-DDBA04D2F012}"/>
    <cellStyle name="Normal 4 4 2 5 2 5" xfId="28424" xr:uid="{C9F3484D-AD2F-4E8E-A587-37C5E32564FD}"/>
    <cellStyle name="Normal 4 4 2 5 3" xfId="5166" xr:uid="{00000000-0005-0000-0000-000055150000}"/>
    <cellStyle name="Normal 4 4 2 5 3 2" xfId="13616" xr:uid="{E2B3C57C-FDBB-423C-9A61-4F67F6CE489A}"/>
    <cellStyle name="Normal 4 4 2 5 3 3" xfId="22056" xr:uid="{DCB1F2EA-5599-4CB3-97A8-0FB53609FCC7}"/>
    <cellStyle name="Normal 4 4 2 5 3 4" xfId="30496" xr:uid="{7AF0CBCF-0028-45D2-8538-4DBA18B03A08}"/>
    <cellStyle name="Normal 4 4 2 5 4" xfId="9398" xr:uid="{6CE13328-BC75-42F7-A2D2-7EFE6D8B3524}"/>
    <cellStyle name="Normal 4 4 2 5 5" xfId="17839" xr:uid="{8BFD31C8-092E-4ECF-A1DB-8DA2601E9807}"/>
    <cellStyle name="Normal 4 4 2 5 6" xfId="26279" xr:uid="{1AC998B9-2837-45B5-A061-08C6CB165AF0}"/>
    <cellStyle name="Normal 4 4 2 6" xfId="1272" xr:uid="{00000000-0005-0000-0000-000056150000}"/>
    <cellStyle name="Normal 4 4 2 6 2" xfId="3502" xr:uid="{00000000-0005-0000-0000-000057150000}"/>
    <cellStyle name="Normal 4 4 2 6 2 2" xfId="7724" xr:uid="{00000000-0005-0000-0000-000058150000}"/>
    <cellStyle name="Normal 4 4 2 6 2 2 2" xfId="16174" xr:uid="{EE8F7041-6760-4A28-90E3-0BB90C3922A3}"/>
    <cellStyle name="Normal 4 4 2 6 2 2 3" xfId="24614" xr:uid="{5D15D968-113B-4CD3-BB1F-6CE6F43A73FD}"/>
    <cellStyle name="Normal 4 4 2 6 2 2 4" xfId="33054" xr:uid="{FA9F5028-3E0C-4C3A-9457-89DB0801359E}"/>
    <cellStyle name="Normal 4 4 2 6 2 3" xfId="11956" xr:uid="{F23EE6FE-80AC-4083-AEAE-A58D89865D55}"/>
    <cellStyle name="Normal 4 4 2 6 2 4" xfId="20397" xr:uid="{996D1BFC-4654-4956-B691-0497FA4465DD}"/>
    <cellStyle name="Normal 4 4 2 6 2 5" xfId="28837" xr:uid="{EC6A3EC5-CDEE-472D-A761-4C17AA373AF9}"/>
    <cellStyle name="Normal 4 4 2 6 3" xfId="5579" xr:uid="{00000000-0005-0000-0000-000059150000}"/>
    <cellStyle name="Normal 4 4 2 6 3 2" xfId="14029" xr:uid="{9031D1C3-3D8E-4E68-84C6-3B376B4C0C3D}"/>
    <cellStyle name="Normal 4 4 2 6 3 3" xfId="22469" xr:uid="{B2D072AF-119D-41A3-8212-34BC1E830E16}"/>
    <cellStyle name="Normal 4 4 2 6 3 4" xfId="30909" xr:uid="{42FF28A5-CEF5-471C-B8B1-429C0DB9649E}"/>
    <cellStyle name="Normal 4 4 2 6 4" xfId="9811" xr:uid="{10D33D6B-0DEE-4732-B305-EE2CECFDBE53}"/>
    <cellStyle name="Normal 4 4 2 6 5" xfId="18252" xr:uid="{3C4B4457-47A4-48E3-A086-B1B413D70F70}"/>
    <cellStyle name="Normal 4 4 2 6 6" xfId="26692" xr:uid="{651659BA-C973-4624-AE3F-09BA0066FD68}"/>
    <cellStyle name="Normal 4 4 2 7" xfId="1685" xr:uid="{00000000-0005-0000-0000-00005A150000}"/>
    <cellStyle name="Normal 4 4 2 7 2" xfId="3915" xr:uid="{00000000-0005-0000-0000-00005B150000}"/>
    <cellStyle name="Normal 4 4 2 7 2 2" xfId="8137" xr:uid="{00000000-0005-0000-0000-00005C150000}"/>
    <cellStyle name="Normal 4 4 2 7 2 2 2" xfId="16587" xr:uid="{6E820D7C-8E6A-4B61-9721-7E57C9F4F6C0}"/>
    <cellStyle name="Normal 4 4 2 7 2 2 3" xfId="25027" xr:uid="{2B102CE2-3219-4D89-8766-04ADDCBA171B}"/>
    <cellStyle name="Normal 4 4 2 7 2 2 4" xfId="33467" xr:uid="{96AC267C-13D6-4FB0-ACE1-1F40AC8BAA0D}"/>
    <cellStyle name="Normal 4 4 2 7 2 3" xfId="12369" xr:uid="{7AC3CBB2-D7C5-408D-A6C4-9A67A5946CCE}"/>
    <cellStyle name="Normal 4 4 2 7 2 4" xfId="20810" xr:uid="{0EB89D86-336F-4582-AC33-35498EB5B4F7}"/>
    <cellStyle name="Normal 4 4 2 7 2 5" xfId="29250" xr:uid="{8F92231F-8054-413C-9654-5C8F5CF82999}"/>
    <cellStyle name="Normal 4 4 2 7 3" xfId="5992" xr:uid="{00000000-0005-0000-0000-00005D150000}"/>
    <cellStyle name="Normal 4 4 2 7 3 2" xfId="14442" xr:uid="{65ADCE9D-4051-4FF6-AE65-36D73036B7A8}"/>
    <cellStyle name="Normal 4 4 2 7 3 3" xfId="22882" xr:uid="{6ADCEDF5-AFB4-4938-A16B-E2DF740D20D2}"/>
    <cellStyle name="Normal 4 4 2 7 3 4" xfId="31322" xr:uid="{E577D6C6-86FA-4A4A-9D29-1F78E6830FCF}"/>
    <cellStyle name="Normal 4 4 2 7 4" xfId="10224" xr:uid="{3A0A7409-7E99-4749-9C51-7C54B6B8D97A}"/>
    <cellStyle name="Normal 4 4 2 7 5" xfId="18665" xr:uid="{FF5AF342-0B2A-4FCB-9D9D-344B9871F90A}"/>
    <cellStyle name="Normal 4 4 2 7 6" xfId="27105" xr:uid="{C0E7E035-D168-41FC-A5F6-3E0EAF6166C4}"/>
    <cellStyle name="Normal 4 4 2 8" xfId="2099" xr:uid="{00000000-0005-0000-0000-00005E150000}"/>
    <cellStyle name="Normal 4 4 2 8 2" xfId="4328" xr:uid="{00000000-0005-0000-0000-00005F150000}"/>
    <cellStyle name="Normal 4 4 2 8 2 2" xfId="8550" xr:uid="{00000000-0005-0000-0000-000060150000}"/>
    <cellStyle name="Normal 4 4 2 8 2 2 2" xfId="17000" xr:uid="{1CF1E476-4575-49F9-8A6A-35715E6B9E8B}"/>
    <cellStyle name="Normal 4 4 2 8 2 2 3" xfId="25440" xr:uid="{9866EE8C-4073-4F26-9977-E6A680F58308}"/>
    <cellStyle name="Normal 4 4 2 8 2 2 4" xfId="33880" xr:uid="{DD6BBCB1-B7D3-4040-9D03-BF22FA05FE85}"/>
    <cellStyle name="Normal 4 4 2 8 2 3" xfId="12782" xr:uid="{95433E36-BE42-4705-986F-810F234CE94C}"/>
    <cellStyle name="Normal 4 4 2 8 2 4" xfId="21223" xr:uid="{6B7DAC1E-D84B-42C9-A030-993E1C779366}"/>
    <cellStyle name="Normal 4 4 2 8 2 5" xfId="29663" xr:uid="{8477F3C7-D640-4F0E-AFE8-3A8FAE23D041}"/>
    <cellStyle name="Normal 4 4 2 8 3" xfId="6405" xr:uid="{00000000-0005-0000-0000-000061150000}"/>
    <cellStyle name="Normal 4 4 2 8 3 2" xfId="14855" xr:uid="{D8DE57C1-686E-422D-9A3F-35C884D1FAF2}"/>
    <cellStyle name="Normal 4 4 2 8 3 3" xfId="23295" xr:uid="{F8332754-7D9B-4252-BB69-E8DCC8EDF905}"/>
    <cellStyle name="Normal 4 4 2 8 3 4" xfId="31735" xr:uid="{1DE4DE5A-0B6A-4B9D-BA48-B91B91D00887}"/>
    <cellStyle name="Normal 4 4 2 8 4" xfId="10637" xr:uid="{5420EBA7-9ED3-42C3-BE3A-42282267E7CD}"/>
    <cellStyle name="Normal 4 4 2 8 5" xfId="19078" xr:uid="{CD43A18F-40D3-4124-AE17-6361C8878C05}"/>
    <cellStyle name="Normal 4 4 2 8 6" xfId="27518" xr:uid="{A8181DA8-5DB0-4F75-B785-22A9D3C9BB8C}"/>
    <cellStyle name="Normal 4 4 2 9" xfId="2535" xr:uid="{00000000-0005-0000-0000-000062150000}"/>
    <cellStyle name="Normal 4 4 2 9 2" xfId="6818" xr:uid="{00000000-0005-0000-0000-000063150000}"/>
    <cellStyle name="Normal 4 4 2 9 2 2" xfId="15268" xr:uid="{CBD0D934-AFF7-46A7-BE60-3057C70D05E0}"/>
    <cellStyle name="Normal 4 4 2 9 2 3" xfId="23708" xr:uid="{3DAB3DCB-9362-42F5-94D3-97A0F229F5D1}"/>
    <cellStyle name="Normal 4 4 2 9 2 4" xfId="32148" xr:uid="{F7726A1E-A072-4CB4-B220-72D95C2D0FB9}"/>
    <cellStyle name="Normal 4 4 2 9 3" xfId="11050" xr:uid="{A247B963-44EC-402D-8868-A011A165581E}"/>
    <cellStyle name="Normal 4 4 2 9 4" xfId="19491" xr:uid="{CB3DFDB1-3F0E-4E14-B04B-DD0DF93A9D59}"/>
    <cellStyle name="Normal 4 4 2 9 5" xfId="27931" xr:uid="{F8624872-D6ED-4F74-934A-A561E7C1144D}"/>
    <cellStyle name="Normal 4 4 3" xfId="387" xr:uid="{00000000-0005-0000-0000-000064150000}"/>
    <cellStyle name="Normal 4 4 3 10" xfId="8993" xr:uid="{2F495110-5FB1-4828-A149-953061DBAF71}"/>
    <cellStyle name="Normal 4 4 3 11" xfId="17434" xr:uid="{7E00DAC7-F962-4B4C-B553-29DE299C8650}"/>
    <cellStyle name="Normal 4 4 3 12" xfId="25874" xr:uid="{E8EE5719-CCD3-4DF1-ACC8-DAF6C9EB8425}"/>
    <cellStyle name="Normal 4 4 3 2" xfId="388" xr:uid="{00000000-0005-0000-0000-000065150000}"/>
    <cellStyle name="Normal 4 4 3 2 10" xfId="17435" xr:uid="{C3E9D511-2D54-4D14-A7A9-036E980EA0FA}"/>
    <cellStyle name="Normal 4 4 3 2 11" xfId="25875" xr:uid="{89BDF229-2881-456C-A8C2-E13959E4EB6F}"/>
    <cellStyle name="Normal 4 4 3 2 2" xfId="389" xr:uid="{00000000-0005-0000-0000-000066150000}"/>
    <cellStyle name="Normal 4 4 3 2 2 10" xfId="25876" xr:uid="{C2831FC8-7A43-4DD2-B9A6-C8F2468EA4AA}"/>
    <cellStyle name="Normal 4 4 3 2 2 2" xfId="864" xr:uid="{00000000-0005-0000-0000-000067150000}"/>
    <cellStyle name="Normal 4 4 3 2 2 2 2" xfId="3099" xr:uid="{00000000-0005-0000-0000-000068150000}"/>
    <cellStyle name="Normal 4 4 3 2 2 2 2 2" xfId="7321" xr:uid="{00000000-0005-0000-0000-000069150000}"/>
    <cellStyle name="Normal 4 4 3 2 2 2 2 2 2" xfId="15771" xr:uid="{1EF1D78A-FA44-4CE4-8464-87492A6E4BAE}"/>
    <cellStyle name="Normal 4 4 3 2 2 2 2 2 3" xfId="24211" xr:uid="{A8E9C21B-2BE2-4169-95B0-D5FB0C4751A1}"/>
    <cellStyle name="Normal 4 4 3 2 2 2 2 2 4" xfId="32651" xr:uid="{620EF5FE-1391-419B-84D0-E61D8A2774C2}"/>
    <cellStyle name="Normal 4 4 3 2 2 2 2 3" xfId="11553" xr:uid="{EED39B5C-0289-4B15-9337-932EF2CDC7DD}"/>
    <cellStyle name="Normal 4 4 3 2 2 2 2 4" xfId="19994" xr:uid="{50EEA57D-6B9A-4FB4-BC3C-E2B3F7314BB4}"/>
    <cellStyle name="Normal 4 4 3 2 2 2 2 5" xfId="28434" xr:uid="{98C087F9-AA58-4A84-83D2-96FDE0BB956F}"/>
    <cellStyle name="Normal 4 4 3 2 2 2 3" xfId="5176" xr:uid="{00000000-0005-0000-0000-00006A150000}"/>
    <cellStyle name="Normal 4 4 3 2 2 2 3 2" xfId="13626" xr:uid="{1A82906B-8744-4727-AA16-80CDC879B77D}"/>
    <cellStyle name="Normal 4 4 3 2 2 2 3 3" xfId="22066" xr:uid="{F4E8AA36-574F-40A9-B16B-F4990778B97A}"/>
    <cellStyle name="Normal 4 4 3 2 2 2 3 4" xfId="30506" xr:uid="{89FD1074-FA18-496A-8E87-26F1162BD199}"/>
    <cellStyle name="Normal 4 4 3 2 2 2 4" xfId="9408" xr:uid="{A7602316-6955-4E95-9BF7-050CE6BD14AE}"/>
    <cellStyle name="Normal 4 4 3 2 2 2 5" xfId="17849" xr:uid="{A729C9CA-96C1-4011-B7D1-9A314FD54D56}"/>
    <cellStyle name="Normal 4 4 3 2 2 2 6" xfId="26289" xr:uid="{CF32C21B-E46E-424B-BB1F-62F6399F67B2}"/>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2 2 2" xfId="16184" xr:uid="{6B1CDB9C-2C09-4906-B22B-0397EAD3348A}"/>
    <cellStyle name="Normal 4 4 3 2 2 3 2 2 3" xfId="24624" xr:uid="{81C4CAE2-1EE3-473A-94F4-FEC3C403CD01}"/>
    <cellStyle name="Normal 4 4 3 2 2 3 2 2 4" xfId="33064" xr:uid="{685E8950-3DFA-433A-A56C-F6B8B369AF07}"/>
    <cellStyle name="Normal 4 4 3 2 2 3 2 3" xfId="11966" xr:uid="{960C700B-F8F0-4CA9-BEE7-BCA8203F22DD}"/>
    <cellStyle name="Normal 4 4 3 2 2 3 2 4" xfId="20407" xr:uid="{205C57AE-7D7F-48EE-B522-A37678DC9034}"/>
    <cellStyle name="Normal 4 4 3 2 2 3 2 5" xfId="28847" xr:uid="{A536B1F1-F012-4352-B7A1-AB5473092211}"/>
    <cellStyle name="Normal 4 4 3 2 2 3 3" xfId="5589" xr:uid="{00000000-0005-0000-0000-00006E150000}"/>
    <cellStyle name="Normal 4 4 3 2 2 3 3 2" xfId="14039" xr:uid="{3B02AC00-662B-4DFE-81AF-4789A959CDEC}"/>
    <cellStyle name="Normal 4 4 3 2 2 3 3 3" xfId="22479" xr:uid="{2F83A5ED-AC9E-4931-A3CC-0DC322E199D4}"/>
    <cellStyle name="Normal 4 4 3 2 2 3 3 4" xfId="30919" xr:uid="{739B9ADB-6E66-43B8-A5B8-A9D4F3EF77FA}"/>
    <cellStyle name="Normal 4 4 3 2 2 3 4" xfId="9821" xr:uid="{373C6283-7D54-40BF-8568-72C0844E95CC}"/>
    <cellStyle name="Normal 4 4 3 2 2 3 5" xfId="18262" xr:uid="{38F7488A-716A-4E78-ACCE-519513590331}"/>
    <cellStyle name="Normal 4 4 3 2 2 3 6" xfId="26702" xr:uid="{CB32C959-CAD5-4F47-9505-57D0B21F181C}"/>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2 2 2" xfId="16597" xr:uid="{6D96BBF3-246B-42F4-9140-EADF4C975583}"/>
    <cellStyle name="Normal 4 4 3 2 2 4 2 2 3" xfId="25037" xr:uid="{4A0E879C-C78C-4601-8FDB-551BD21EB00B}"/>
    <cellStyle name="Normal 4 4 3 2 2 4 2 2 4" xfId="33477" xr:uid="{283F4ADC-2B63-4663-ACCD-454468D379D7}"/>
    <cellStyle name="Normal 4 4 3 2 2 4 2 3" xfId="12379" xr:uid="{1CFC66D2-04C6-4F80-9BFD-0EE4D708D849}"/>
    <cellStyle name="Normal 4 4 3 2 2 4 2 4" xfId="20820" xr:uid="{B6BA224D-C760-4744-937F-A6F0C8AEFD90}"/>
    <cellStyle name="Normal 4 4 3 2 2 4 2 5" xfId="29260" xr:uid="{DC159973-C684-40C1-AD5F-75285B85E7B0}"/>
    <cellStyle name="Normal 4 4 3 2 2 4 3" xfId="6002" xr:uid="{00000000-0005-0000-0000-000072150000}"/>
    <cellStyle name="Normal 4 4 3 2 2 4 3 2" xfId="14452" xr:uid="{44F18CE0-961F-4F25-865D-D8730B3726AD}"/>
    <cellStyle name="Normal 4 4 3 2 2 4 3 3" xfId="22892" xr:uid="{6AE04173-994C-4E7D-9638-2B0542F66FBF}"/>
    <cellStyle name="Normal 4 4 3 2 2 4 3 4" xfId="31332" xr:uid="{1D319191-47BB-4833-926B-53B6DEE0EA5E}"/>
    <cellStyle name="Normal 4 4 3 2 2 4 4" xfId="10234" xr:uid="{F2EFF3EA-47C5-4D58-893A-BF19E1B935A8}"/>
    <cellStyle name="Normal 4 4 3 2 2 4 5" xfId="18675" xr:uid="{54E60A85-DBCB-4DDB-B7E5-05BF5CF60074}"/>
    <cellStyle name="Normal 4 4 3 2 2 4 6" xfId="27115" xr:uid="{B27F9A55-320A-4F31-A073-C37137A29241}"/>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2 2 2" xfId="17010" xr:uid="{DE763B97-00EC-4A13-90DC-DB6DFBC690C3}"/>
    <cellStyle name="Normal 4 4 3 2 2 5 2 2 3" xfId="25450" xr:uid="{0C35B826-145D-4CD8-8336-CAB91FA0109B}"/>
    <cellStyle name="Normal 4 4 3 2 2 5 2 2 4" xfId="33890" xr:uid="{02CDABF5-DE6F-4180-9E98-A61E26E6B5BC}"/>
    <cellStyle name="Normal 4 4 3 2 2 5 2 3" xfId="12792" xr:uid="{9B21CA6E-18EB-4306-9C32-BA7A3CED055A}"/>
    <cellStyle name="Normal 4 4 3 2 2 5 2 4" xfId="21233" xr:uid="{A52DC4A9-1B82-4D3C-A710-636DA3512316}"/>
    <cellStyle name="Normal 4 4 3 2 2 5 2 5" xfId="29673" xr:uid="{46C2BB62-3E68-40FE-BB86-0D9A8B9C55F3}"/>
    <cellStyle name="Normal 4 4 3 2 2 5 3" xfId="6415" xr:uid="{00000000-0005-0000-0000-000076150000}"/>
    <cellStyle name="Normal 4 4 3 2 2 5 3 2" xfId="14865" xr:uid="{EFFCFF9F-7E90-430F-8815-821385F641BA}"/>
    <cellStyle name="Normal 4 4 3 2 2 5 3 3" xfId="23305" xr:uid="{0577F3A3-CD96-485A-A0A9-AD22EE0063AD}"/>
    <cellStyle name="Normal 4 4 3 2 2 5 3 4" xfId="31745" xr:uid="{C5801C29-EA3B-4DD4-988B-8AF340D60547}"/>
    <cellStyle name="Normal 4 4 3 2 2 5 4" xfId="10647" xr:uid="{AE21393D-4379-46EB-8BFC-177A1962788F}"/>
    <cellStyle name="Normal 4 4 3 2 2 5 5" xfId="19088" xr:uid="{72AC6352-8B1B-4B2F-BA51-5982ACDFB675}"/>
    <cellStyle name="Normal 4 4 3 2 2 5 6" xfId="27528" xr:uid="{8DC01B59-2A18-4A54-9D8A-0DDD29E6F46D}"/>
    <cellStyle name="Normal 4 4 3 2 2 6" xfId="2545" xr:uid="{00000000-0005-0000-0000-000077150000}"/>
    <cellStyle name="Normal 4 4 3 2 2 6 2" xfId="6828" xr:uid="{00000000-0005-0000-0000-000078150000}"/>
    <cellStyle name="Normal 4 4 3 2 2 6 2 2" xfId="15278" xr:uid="{A5BCB5D1-EE1D-4FCB-A169-78E641C7284E}"/>
    <cellStyle name="Normal 4 4 3 2 2 6 2 3" xfId="23718" xr:uid="{53B72F8D-F4EC-451F-AFF8-28895E53E15D}"/>
    <cellStyle name="Normal 4 4 3 2 2 6 2 4" xfId="32158" xr:uid="{22DCA130-6ED8-4E3B-8B5F-02BCD553A499}"/>
    <cellStyle name="Normal 4 4 3 2 2 6 3" xfId="11060" xr:uid="{8EE2037E-50AF-4E37-97AF-EB970D59D3E1}"/>
    <cellStyle name="Normal 4 4 3 2 2 6 4" xfId="19501" xr:uid="{AE9A64B3-E0BA-4AEC-AA8A-4E19F75D46E2}"/>
    <cellStyle name="Normal 4 4 3 2 2 6 5" xfId="27941" xr:uid="{2230D7B4-6D86-4C21-9C52-349733637B06}"/>
    <cellStyle name="Normal 4 4 3 2 2 7" xfId="4763" xr:uid="{00000000-0005-0000-0000-000079150000}"/>
    <cellStyle name="Normal 4 4 3 2 2 7 2" xfId="13213" xr:uid="{BE0A1F09-0FC7-48A5-9C2C-C0F036B4A27B}"/>
    <cellStyle name="Normal 4 4 3 2 2 7 3" xfId="21653" xr:uid="{24EF4E56-DC02-49A5-99A5-35E77992F94A}"/>
    <cellStyle name="Normal 4 4 3 2 2 7 4" xfId="30093" xr:uid="{CE4909EA-19F7-4B67-AF26-B75C59751332}"/>
    <cellStyle name="Normal 4 4 3 2 2 8" xfId="8995" xr:uid="{D42777CE-4C2D-4D32-BE45-B5FA891163C6}"/>
    <cellStyle name="Normal 4 4 3 2 2 9" xfId="17436" xr:uid="{CADB0533-24E5-48FF-8D83-016EFA0CE1E3}"/>
    <cellStyle name="Normal 4 4 3 2 3" xfId="863" xr:uid="{00000000-0005-0000-0000-00007A150000}"/>
    <cellStyle name="Normal 4 4 3 2 3 2" xfId="3098" xr:uid="{00000000-0005-0000-0000-00007B150000}"/>
    <cellStyle name="Normal 4 4 3 2 3 2 2" xfId="7320" xr:uid="{00000000-0005-0000-0000-00007C150000}"/>
    <cellStyle name="Normal 4 4 3 2 3 2 2 2" xfId="15770" xr:uid="{F2C66C75-5566-4060-A9E6-8316BA76A884}"/>
    <cellStyle name="Normal 4 4 3 2 3 2 2 3" xfId="24210" xr:uid="{37E04EFE-1A96-4CA9-BF05-A5F283BAEDA0}"/>
    <cellStyle name="Normal 4 4 3 2 3 2 2 4" xfId="32650" xr:uid="{F1312B77-68E9-4BC9-8A01-BBD322EF9655}"/>
    <cellStyle name="Normal 4 4 3 2 3 2 3" xfId="11552" xr:uid="{0693C5F5-481E-4C2C-A0F2-253F79814095}"/>
    <cellStyle name="Normal 4 4 3 2 3 2 4" xfId="19993" xr:uid="{0F7F0FB6-EA03-48BC-8226-8F37C4CC8232}"/>
    <cellStyle name="Normal 4 4 3 2 3 2 5" xfId="28433" xr:uid="{0C73B28A-B16D-4CE5-B0C0-58AD5FD7B9C9}"/>
    <cellStyle name="Normal 4 4 3 2 3 3" xfId="5175" xr:uid="{00000000-0005-0000-0000-00007D150000}"/>
    <cellStyle name="Normal 4 4 3 2 3 3 2" xfId="13625" xr:uid="{7D2A2260-E497-40DA-894C-98D960A498ED}"/>
    <cellStyle name="Normal 4 4 3 2 3 3 3" xfId="22065" xr:uid="{202F71FD-9B4A-4568-8DCF-B6239EE3C827}"/>
    <cellStyle name="Normal 4 4 3 2 3 3 4" xfId="30505" xr:uid="{B0E4A757-0988-4DE8-B6D5-FD54AEBCA23D}"/>
    <cellStyle name="Normal 4 4 3 2 3 4" xfId="9407" xr:uid="{5ABF61C9-5982-4E2B-AB50-DA46275AC02C}"/>
    <cellStyle name="Normal 4 4 3 2 3 5" xfId="17848" xr:uid="{8B64BE59-35A9-4A32-9B8E-0D614DBD1836}"/>
    <cellStyle name="Normal 4 4 3 2 3 6" xfId="26288" xr:uid="{3C44B817-EA21-4E01-B0DA-A97AAB87DE90}"/>
    <cellStyle name="Normal 4 4 3 2 4" xfId="1281" xr:uid="{00000000-0005-0000-0000-00007E150000}"/>
    <cellStyle name="Normal 4 4 3 2 4 2" xfId="3511" xr:uid="{00000000-0005-0000-0000-00007F150000}"/>
    <cellStyle name="Normal 4 4 3 2 4 2 2" xfId="7733" xr:uid="{00000000-0005-0000-0000-000080150000}"/>
    <cellStyle name="Normal 4 4 3 2 4 2 2 2" xfId="16183" xr:uid="{905CB763-FA15-4A93-9599-C042A743BDAF}"/>
    <cellStyle name="Normal 4 4 3 2 4 2 2 3" xfId="24623" xr:uid="{3DAE6BDD-D276-4229-94B2-8A2196D16A51}"/>
    <cellStyle name="Normal 4 4 3 2 4 2 2 4" xfId="33063" xr:uid="{0C79D97F-1D4A-40AA-B38D-9EFEEF7A1547}"/>
    <cellStyle name="Normal 4 4 3 2 4 2 3" xfId="11965" xr:uid="{495B6D7A-0AC3-48D9-A7B4-470434E9EB1B}"/>
    <cellStyle name="Normal 4 4 3 2 4 2 4" xfId="20406" xr:uid="{95004AB5-9F1D-4ECA-889A-BFC751940B92}"/>
    <cellStyle name="Normal 4 4 3 2 4 2 5" xfId="28846" xr:uid="{B5717797-E0AB-41A0-A663-785C6F0339FE}"/>
    <cellStyle name="Normal 4 4 3 2 4 3" xfId="5588" xr:uid="{00000000-0005-0000-0000-000081150000}"/>
    <cellStyle name="Normal 4 4 3 2 4 3 2" xfId="14038" xr:uid="{ACC73D49-685E-4FD2-A735-B5038888932C}"/>
    <cellStyle name="Normal 4 4 3 2 4 3 3" xfId="22478" xr:uid="{EC16878F-06ED-4B00-B16D-AA1721E8C15A}"/>
    <cellStyle name="Normal 4 4 3 2 4 3 4" xfId="30918" xr:uid="{48D8D24D-03C5-437A-B244-383D071E2385}"/>
    <cellStyle name="Normal 4 4 3 2 4 4" xfId="9820" xr:uid="{82A2F883-FD93-48FB-AE5F-5E114B463A07}"/>
    <cellStyle name="Normal 4 4 3 2 4 5" xfId="18261" xr:uid="{2C2CB852-8345-426F-9E4C-791638CE9322}"/>
    <cellStyle name="Normal 4 4 3 2 4 6" xfId="26701" xr:uid="{D5494A0B-01CB-48E8-9B2E-D780AFD804C2}"/>
    <cellStyle name="Normal 4 4 3 2 5" xfId="1694" xr:uid="{00000000-0005-0000-0000-000082150000}"/>
    <cellStyle name="Normal 4 4 3 2 5 2" xfId="3924" xr:uid="{00000000-0005-0000-0000-000083150000}"/>
    <cellStyle name="Normal 4 4 3 2 5 2 2" xfId="8146" xr:uid="{00000000-0005-0000-0000-000084150000}"/>
    <cellStyle name="Normal 4 4 3 2 5 2 2 2" xfId="16596" xr:uid="{2C37A321-AC7F-405B-B0FC-10E0FDEB880E}"/>
    <cellStyle name="Normal 4 4 3 2 5 2 2 3" xfId="25036" xr:uid="{B527D286-FDA4-4684-A1B3-FFCE217DCB5A}"/>
    <cellStyle name="Normal 4 4 3 2 5 2 2 4" xfId="33476" xr:uid="{6736EB66-CAD4-4A57-86C1-6CD51F3CAD3F}"/>
    <cellStyle name="Normal 4 4 3 2 5 2 3" xfId="12378" xr:uid="{5AF2EC59-927C-4C73-97BF-9AC79FF5B926}"/>
    <cellStyle name="Normal 4 4 3 2 5 2 4" xfId="20819" xr:uid="{331465A0-3D58-40D4-A99D-3CAC9A5BEF2B}"/>
    <cellStyle name="Normal 4 4 3 2 5 2 5" xfId="29259" xr:uid="{0E67EAA7-15CD-480C-8274-63DC59E8B8EF}"/>
    <cellStyle name="Normal 4 4 3 2 5 3" xfId="6001" xr:uid="{00000000-0005-0000-0000-000085150000}"/>
    <cellStyle name="Normal 4 4 3 2 5 3 2" xfId="14451" xr:uid="{7EF4789E-CED4-4C78-ACB7-980F51A8756F}"/>
    <cellStyle name="Normal 4 4 3 2 5 3 3" xfId="22891" xr:uid="{D9A6CDA6-F5AD-4E8E-9C41-960AF1274B0E}"/>
    <cellStyle name="Normal 4 4 3 2 5 3 4" xfId="31331" xr:uid="{310CADAB-6BB2-441B-98A6-4DBE2A592F6E}"/>
    <cellStyle name="Normal 4 4 3 2 5 4" xfId="10233" xr:uid="{01EBEF4A-8E88-436B-9832-A8BF22440C4F}"/>
    <cellStyle name="Normal 4 4 3 2 5 5" xfId="18674" xr:uid="{44568BA4-C2B5-4086-B265-90CBC75A7A7A}"/>
    <cellStyle name="Normal 4 4 3 2 5 6" xfId="27114" xr:uid="{F4F0AFA3-AE01-483F-A7CE-1C640B90EC00}"/>
    <cellStyle name="Normal 4 4 3 2 6" xfId="2108" xr:uid="{00000000-0005-0000-0000-000086150000}"/>
    <cellStyle name="Normal 4 4 3 2 6 2" xfId="4337" xr:uid="{00000000-0005-0000-0000-000087150000}"/>
    <cellStyle name="Normal 4 4 3 2 6 2 2" xfId="8559" xr:uid="{00000000-0005-0000-0000-000088150000}"/>
    <cellStyle name="Normal 4 4 3 2 6 2 2 2" xfId="17009" xr:uid="{2852A41E-16F0-45B5-8C94-7464B6A6901E}"/>
    <cellStyle name="Normal 4 4 3 2 6 2 2 3" xfId="25449" xr:uid="{434245F8-DDDC-4D1F-B403-AE92EFDDA21D}"/>
    <cellStyle name="Normal 4 4 3 2 6 2 2 4" xfId="33889" xr:uid="{46D0E8E3-10FC-4752-BCDF-56C9D38DBC4E}"/>
    <cellStyle name="Normal 4 4 3 2 6 2 3" xfId="12791" xr:uid="{ED27B943-EBD5-4EC3-892C-8C7EA406CBFA}"/>
    <cellStyle name="Normal 4 4 3 2 6 2 4" xfId="21232" xr:uid="{BFF1CA4C-D74E-42AF-A88E-EAF4521572B0}"/>
    <cellStyle name="Normal 4 4 3 2 6 2 5" xfId="29672" xr:uid="{D1FA3CA8-050E-44F6-ABF7-10D9BE5E38AA}"/>
    <cellStyle name="Normal 4 4 3 2 6 3" xfId="6414" xr:uid="{00000000-0005-0000-0000-000089150000}"/>
    <cellStyle name="Normal 4 4 3 2 6 3 2" xfId="14864" xr:uid="{5BC75ABE-CA7D-4E4E-AFB6-D15F02778DFE}"/>
    <cellStyle name="Normal 4 4 3 2 6 3 3" xfId="23304" xr:uid="{DA1A7F6F-337F-4F1E-847A-97CCC24D633D}"/>
    <cellStyle name="Normal 4 4 3 2 6 3 4" xfId="31744" xr:uid="{B61660A2-768E-4D6B-8446-3489161AB191}"/>
    <cellStyle name="Normal 4 4 3 2 6 4" xfId="10646" xr:uid="{831AD15C-32DA-4F8F-9A32-C4B1F3D22030}"/>
    <cellStyle name="Normal 4 4 3 2 6 5" xfId="19087" xr:uid="{5F5F1D0C-6D72-4B33-80EA-ABBA241D680D}"/>
    <cellStyle name="Normal 4 4 3 2 6 6" xfId="27527" xr:uid="{3C3BBE25-1EC9-434E-B439-24175BE2AB74}"/>
    <cellStyle name="Normal 4 4 3 2 7" xfId="2544" xr:uid="{00000000-0005-0000-0000-00008A150000}"/>
    <cellStyle name="Normal 4 4 3 2 7 2" xfId="6827" xr:uid="{00000000-0005-0000-0000-00008B150000}"/>
    <cellStyle name="Normal 4 4 3 2 7 2 2" xfId="15277" xr:uid="{394EDFA1-725D-4D3E-AA51-4BAD9154DFEC}"/>
    <cellStyle name="Normal 4 4 3 2 7 2 3" xfId="23717" xr:uid="{97043D8A-3290-4486-B333-5C90E09644AF}"/>
    <cellStyle name="Normal 4 4 3 2 7 2 4" xfId="32157" xr:uid="{038CB05E-6287-44F2-A372-9AD95D17D2CC}"/>
    <cellStyle name="Normal 4 4 3 2 7 3" xfId="11059" xr:uid="{F464F7E6-F8B3-48E3-AC72-02D5D4ADBE57}"/>
    <cellStyle name="Normal 4 4 3 2 7 4" xfId="19500" xr:uid="{CFEFC467-42D8-4260-A83B-7FCB154C2066}"/>
    <cellStyle name="Normal 4 4 3 2 7 5" xfId="27940" xr:uid="{676BDC78-208F-4700-B9F3-5863044C92B4}"/>
    <cellStyle name="Normal 4 4 3 2 8" xfId="4762" xr:uid="{00000000-0005-0000-0000-00008C150000}"/>
    <cellStyle name="Normal 4 4 3 2 8 2" xfId="13212" xr:uid="{41152CE3-E845-4C3E-8F18-D99DA39BBC1B}"/>
    <cellStyle name="Normal 4 4 3 2 8 3" xfId="21652" xr:uid="{594D884B-2118-48D3-B34F-58050ADD1798}"/>
    <cellStyle name="Normal 4 4 3 2 8 4" xfId="30092" xr:uid="{007DD2F0-9CB0-4E3C-BDD2-7BF2E28A965D}"/>
    <cellStyle name="Normal 4 4 3 2 9" xfId="8994" xr:uid="{DDF6A10B-6B1A-4A55-90A7-98D7792AF9E1}"/>
    <cellStyle name="Normal 4 4 3 3" xfId="390" xr:uid="{00000000-0005-0000-0000-00008D150000}"/>
    <cellStyle name="Normal 4 4 3 3 10" xfId="25877" xr:uid="{63A13FA5-8772-4CE2-9D2E-1D1E0EF07C60}"/>
    <cellStyle name="Normal 4 4 3 3 2" xfId="865" xr:uid="{00000000-0005-0000-0000-00008E150000}"/>
    <cellStyle name="Normal 4 4 3 3 2 2" xfId="3100" xr:uid="{00000000-0005-0000-0000-00008F150000}"/>
    <cellStyle name="Normal 4 4 3 3 2 2 2" xfId="7322" xr:uid="{00000000-0005-0000-0000-000090150000}"/>
    <cellStyle name="Normal 4 4 3 3 2 2 2 2" xfId="15772" xr:uid="{B2AC06CB-5769-4EDF-A201-0FEE9D1E7DC7}"/>
    <cellStyle name="Normal 4 4 3 3 2 2 2 3" xfId="24212" xr:uid="{1DC0C5EF-ACD0-478C-BD60-9A8079B687A2}"/>
    <cellStyle name="Normal 4 4 3 3 2 2 2 4" xfId="32652" xr:uid="{2CC9A51E-AEEB-4C1D-BFE7-9B6369ABCC9E}"/>
    <cellStyle name="Normal 4 4 3 3 2 2 3" xfId="11554" xr:uid="{6C78226A-F59C-4B20-AC57-E2100AAF7E07}"/>
    <cellStyle name="Normal 4 4 3 3 2 2 4" xfId="19995" xr:uid="{BD87BBA8-BB6D-4CE4-AC09-21953E2E7F74}"/>
    <cellStyle name="Normal 4 4 3 3 2 2 5" xfId="28435" xr:uid="{F8D4DB90-D663-4861-8AAB-80EDF477BB87}"/>
    <cellStyle name="Normal 4 4 3 3 2 3" xfId="5177" xr:uid="{00000000-0005-0000-0000-000091150000}"/>
    <cellStyle name="Normal 4 4 3 3 2 3 2" xfId="13627" xr:uid="{DCC448A8-E2BC-4016-8415-13FB0A9B4DD1}"/>
    <cellStyle name="Normal 4 4 3 3 2 3 3" xfId="22067" xr:uid="{A3B60DFE-3DF1-4B7E-A79D-762F2309F973}"/>
    <cellStyle name="Normal 4 4 3 3 2 3 4" xfId="30507" xr:uid="{7C63786A-10A6-4B34-89D9-5D1B67F82792}"/>
    <cellStyle name="Normal 4 4 3 3 2 4" xfId="9409" xr:uid="{7EE5D1A7-335A-46A3-BD19-2172523C4EEB}"/>
    <cellStyle name="Normal 4 4 3 3 2 5" xfId="17850" xr:uid="{873D3ED9-B217-4F7F-BB01-FCD3390C23E5}"/>
    <cellStyle name="Normal 4 4 3 3 2 6" xfId="26290" xr:uid="{8ACAB9B0-2AA3-4F9E-AA9D-F613AC456E10}"/>
    <cellStyle name="Normal 4 4 3 3 3" xfId="1283" xr:uid="{00000000-0005-0000-0000-000092150000}"/>
    <cellStyle name="Normal 4 4 3 3 3 2" xfId="3513" xr:uid="{00000000-0005-0000-0000-000093150000}"/>
    <cellStyle name="Normal 4 4 3 3 3 2 2" xfId="7735" xr:uid="{00000000-0005-0000-0000-000094150000}"/>
    <cellStyle name="Normal 4 4 3 3 3 2 2 2" xfId="16185" xr:uid="{307E0108-075A-4028-A10A-09000192939D}"/>
    <cellStyle name="Normal 4 4 3 3 3 2 2 3" xfId="24625" xr:uid="{17524F4D-148C-46EE-BF69-C0A36B4E554F}"/>
    <cellStyle name="Normal 4 4 3 3 3 2 2 4" xfId="33065" xr:uid="{4B1ED6E0-C65D-4F01-9C9F-6C5D95CA6805}"/>
    <cellStyle name="Normal 4 4 3 3 3 2 3" xfId="11967" xr:uid="{113710A5-9B14-4772-AC99-BA9CA08C01EC}"/>
    <cellStyle name="Normal 4 4 3 3 3 2 4" xfId="20408" xr:uid="{F57777DE-6E1F-4D5B-ABE5-C4B4702203E5}"/>
    <cellStyle name="Normal 4 4 3 3 3 2 5" xfId="28848" xr:uid="{E826B11F-4AAB-4A7C-8218-0FC68A112A2A}"/>
    <cellStyle name="Normal 4 4 3 3 3 3" xfId="5590" xr:uid="{00000000-0005-0000-0000-000095150000}"/>
    <cellStyle name="Normal 4 4 3 3 3 3 2" xfId="14040" xr:uid="{CF00F899-3BBA-4988-97A1-3F818A6E3481}"/>
    <cellStyle name="Normal 4 4 3 3 3 3 3" xfId="22480" xr:uid="{D2BCD999-DC0C-4006-B3C5-5C4855195389}"/>
    <cellStyle name="Normal 4 4 3 3 3 3 4" xfId="30920" xr:uid="{65D3F713-19A0-4861-A07C-3665734AC9A0}"/>
    <cellStyle name="Normal 4 4 3 3 3 4" xfId="9822" xr:uid="{488AA9B3-147B-4435-A484-4BFBFF77C7B7}"/>
    <cellStyle name="Normal 4 4 3 3 3 5" xfId="18263" xr:uid="{E7E3E05A-8DEA-4D72-AC30-D58C7EE20F65}"/>
    <cellStyle name="Normal 4 4 3 3 3 6" xfId="26703" xr:uid="{63FC2D1C-9E42-4BB8-A8C1-567E6118BC08}"/>
    <cellStyle name="Normal 4 4 3 3 4" xfId="1696" xr:uid="{00000000-0005-0000-0000-000096150000}"/>
    <cellStyle name="Normal 4 4 3 3 4 2" xfId="3926" xr:uid="{00000000-0005-0000-0000-000097150000}"/>
    <cellStyle name="Normal 4 4 3 3 4 2 2" xfId="8148" xr:uid="{00000000-0005-0000-0000-000098150000}"/>
    <cellStyle name="Normal 4 4 3 3 4 2 2 2" xfId="16598" xr:uid="{691585AE-0BC5-4D68-8B47-EF89B40FF3A8}"/>
    <cellStyle name="Normal 4 4 3 3 4 2 2 3" xfId="25038" xr:uid="{42C4C708-85D6-4326-A08E-E46DE8DE38C5}"/>
    <cellStyle name="Normal 4 4 3 3 4 2 2 4" xfId="33478" xr:uid="{A27B44EA-D67C-4B79-B9D5-33123BD4C940}"/>
    <cellStyle name="Normal 4 4 3 3 4 2 3" xfId="12380" xr:uid="{A404A2A3-B40F-4EFC-A9E5-67153D6374C9}"/>
    <cellStyle name="Normal 4 4 3 3 4 2 4" xfId="20821" xr:uid="{6EFC4147-6700-40DE-87D4-CF0ED71CA112}"/>
    <cellStyle name="Normal 4 4 3 3 4 2 5" xfId="29261" xr:uid="{ED578103-AF8D-4DFB-BCDB-BBF2DB39C88A}"/>
    <cellStyle name="Normal 4 4 3 3 4 3" xfId="6003" xr:uid="{00000000-0005-0000-0000-000099150000}"/>
    <cellStyle name="Normal 4 4 3 3 4 3 2" xfId="14453" xr:uid="{E57A46C3-82F1-407A-B906-3FCCB380CE45}"/>
    <cellStyle name="Normal 4 4 3 3 4 3 3" xfId="22893" xr:uid="{504F2F5E-8425-4DEC-BC99-4E22BACD68E3}"/>
    <cellStyle name="Normal 4 4 3 3 4 3 4" xfId="31333" xr:uid="{E49D9A85-2C5F-4B11-8FC6-A019E8FFA1FB}"/>
    <cellStyle name="Normal 4 4 3 3 4 4" xfId="10235" xr:uid="{2B4247EB-4B9E-4B93-B4EE-64389E19A389}"/>
    <cellStyle name="Normal 4 4 3 3 4 5" xfId="18676" xr:uid="{3D56319C-13C9-44FD-A511-8937086BAE9B}"/>
    <cellStyle name="Normal 4 4 3 3 4 6" xfId="27116" xr:uid="{C131677F-812E-459D-95A1-A232347668B9}"/>
    <cellStyle name="Normal 4 4 3 3 5" xfId="2110" xr:uid="{00000000-0005-0000-0000-00009A150000}"/>
    <cellStyle name="Normal 4 4 3 3 5 2" xfId="4339" xr:uid="{00000000-0005-0000-0000-00009B150000}"/>
    <cellStyle name="Normal 4 4 3 3 5 2 2" xfId="8561" xr:uid="{00000000-0005-0000-0000-00009C150000}"/>
    <cellStyle name="Normal 4 4 3 3 5 2 2 2" xfId="17011" xr:uid="{D0D516B8-79D8-4DA8-A1A4-0A6D58B7F07E}"/>
    <cellStyle name="Normal 4 4 3 3 5 2 2 3" xfId="25451" xr:uid="{CC94278C-F334-401C-B007-BCB5EFC9126D}"/>
    <cellStyle name="Normal 4 4 3 3 5 2 2 4" xfId="33891" xr:uid="{EBD9A17E-1AA2-4414-8F23-9E8B06A8AC66}"/>
    <cellStyle name="Normal 4 4 3 3 5 2 3" xfId="12793" xr:uid="{E511903F-1D1E-48B6-AD42-16EC9310CE31}"/>
    <cellStyle name="Normal 4 4 3 3 5 2 4" xfId="21234" xr:uid="{65374EE1-168E-4A17-A396-B12AA3CA4BE9}"/>
    <cellStyle name="Normal 4 4 3 3 5 2 5" xfId="29674" xr:uid="{6FA37E25-D27E-4FD8-95C2-144D1EF01801}"/>
    <cellStyle name="Normal 4 4 3 3 5 3" xfId="6416" xr:uid="{00000000-0005-0000-0000-00009D150000}"/>
    <cellStyle name="Normal 4 4 3 3 5 3 2" xfId="14866" xr:uid="{2CE9F547-8854-4B4A-ACA2-77E770A1434D}"/>
    <cellStyle name="Normal 4 4 3 3 5 3 3" xfId="23306" xr:uid="{C5AFFD45-FAFE-4F7A-975F-2E21DBB72FA3}"/>
    <cellStyle name="Normal 4 4 3 3 5 3 4" xfId="31746" xr:uid="{03570319-7CFD-4221-BE98-06B89B47CF90}"/>
    <cellStyle name="Normal 4 4 3 3 5 4" xfId="10648" xr:uid="{BCFBB456-57E7-4D1B-B2B5-6BA3C9407FA6}"/>
    <cellStyle name="Normal 4 4 3 3 5 5" xfId="19089" xr:uid="{75DAE009-D099-4F8D-B7A0-2FDE81EBB30D}"/>
    <cellStyle name="Normal 4 4 3 3 5 6" xfId="27529" xr:uid="{27BD556B-58E2-49B4-964F-4E304AFDF8ED}"/>
    <cellStyle name="Normal 4 4 3 3 6" xfId="2546" xr:uid="{00000000-0005-0000-0000-00009E150000}"/>
    <cellStyle name="Normal 4 4 3 3 6 2" xfId="6829" xr:uid="{00000000-0005-0000-0000-00009F150000}"/>
    <cellStyle name="Normal 4 4 3 3 6 2 2" xfId="15279" xr:uid="{E80E8424-0958-4E85-A484-421E3BE46291}"/>
    <cellStyle name="Normal 4 4 3 3 6 2 3" xfId="23719" xr:uid="{FA478F48-DD7F-474F-8CE7-F9703E9B5E5C}"/>
    <cellStyle name="Normal 4 4 3 3 6 2 4" xfId="32159" xr:uid="{93089DCB-FD5B-4DD1-B720-CB32D19D2C8C}"/>
    <cellStyle name="Normal 4 4 3 3 6 3" xfId="11061" xr:uid="{4E9D5C11-8502-408E-A0A0-6D4DB9C7E733}"/>
    <cellStyle name="Normal 4 4 3 3 6 4" xfId="19502" xr:uid="{DBF3C007-513E-4476-B092-4AE1361EB93E}"/>
    <cellStyle name="Normal 4 4 3 3 6 5" xfId="27942" xr:uid="{8EF968AD-8BCE-4A1A-94F0-8CF85F8B02BA}"/>
    <cellStyle name="Normal 4 4 3 3 7" xfId="4764" xr:uid="{00000000-0005-0000-0000-0000A0150000}"/>
    <cellStyle name="Normal 4 4 3 3 7 2" xfId="13214" xr:uid="{091DB5E6-D2BF-4330-91EC-3F9C98FEE5B2}"/>
    <cellStyle name="Normal 4 4 3 3 7 3" xfId="21654" xr:uid="{92E1A57D-05AA-4D25-813E-42C48AD67D08}"/>
    <cellStyle name="Normal 4 4 3 3 7 4" xfId="30094" xr:uid="{AE413A6E-DAAA-4750-99C2-B7EB10806EAD}"/>
    <cellStyle name="Normal 4 4 3 3 8" xfId="8996" xr:uid="{AA0D206B-14E1-408E-9CD0-D55323D62CBB}"/>
    <cellStyle name="Normal 4 4 3 3 9" xfId="17437" xr:uid="{D560F011-76CB-4768-A8B6-D3D8A569AE0E}"/>
    <cellStyle name="Normal 4 4 3 4" xfId="862" xr:uid="{00000000-0005-0000-0000-0000A1150000}"/>
    <cellStyle name="Normal 4 4 3 4 2" xfId="3097" xr:uid="{00000000-0005-0000-0000-0000A2150000}"/>
    <cellStyle name="Normal 4 4 3 4 2 2" xfId="7319" xr:uid="{00000000-0005-0000-0000-0000A3150000}"/>
    <cellStyle name="Normal 4 4 3 4 2 2 2" xfId="15769" xr:uid="{3B797EBE-C3E1-434B-B067-8187FEAD30A1}"/>
    <cellStyle name="Normal 4 4 3 4 2 2 3" xfId="24209" xr:uid="{80B413AB-E58E-410E-AB08-A5245D974FCE}"/>
    <cellStyle name="Normal 4 4 3 4 2 2 4" xfId="32649" xr:uid="{D8EC9D70-0227-4C38-9A9E-8DB476467057}"/>
    <cellStyle name="Normal 4 4 3 4 2 3" xfId="11551" xr:uid="{61809465-878D-460A-8885-ACEED0E05A08}"/>
    <cellStyle name="Normal 4 4 3 4 2 4" xfId="19992" xr:uid="{F5FF54C5-D770-40EA-9330-097F82003172}"/>
    <cellStyle name="Normal 4 4 3 4 2 5" xfId="28432" xr:uid="{FF0194F0-7FBF-4E97-853A-27158A156503}"/>
    <cellStyle name="Normal 4 4 3 4 3" xfId="5174" xr:uid="{00000000-0005-0000-0000-0000A4150000}"/>
    <cellStyle name="Normal 4 4 3 4 3 2" xfId="13624" xr:uid="{710929E4-02A8-4D97-919F-0413DA586F87}"/>
    <cellStyle name="Normal 4 4 3 4 3 3" xfId="22064" xr:uid="{84422EB7-2C58-4E74-BFE9-A8441983F272}"/>
    <cellStyle name="Normal 4 4 3 4 3 4" xfId="30504" xr:uid="{D9AB355F-0E4A-4DE9-9A1A-6561ECD16C06}"/>
    <cellStyle name="Normal 4 4 3 4 4" xfId="9406" xr:uid="{10FE7219-1F6A-4AFE-816C-35B962406E80}"/>
    <cellStyle name="Normal 4 4 3 4 5" xfId="17847" xr:uid="{EDA5BDC3-03D2-4E08-B5C0-D4DE273050DE}"/>
    <cellStyle name="Normal 4 4 3 4 6" xfId="26287" xr:uid="{138EDD8C-4CE9-4CE9-A91C-4BC882DF72A2}"/>
    <cellStyle name="Normal 4 4 3 5" xfId="1280" xr:uid="{00000000-0005-0000-0000-0000A5150000}"/>
    <cellStyle name="Normal 4 4 3 5 2" xfId="3510" xr:uid="{00000000-0005-0000-0000-0000A6150000}"/>
    <cellStyle name="Normal 4 4 3 5 2 2" xfId="7732" xr:uid="{00000000-0005-0000-0000-0000A7150000}"/>
    <cellStyle name="Normal 4 4 3 5 2 2 2" xfId="16182" xr:uid="{EA0B697E-A955-47A6-8E03-940349F22436}"/>
    <cellStyle name="Normal 4 4 3 5 2 2 3" xfId="24622" xr:uid="{24ED3DB6-98C1-41EE-9B73-0B8652266EAE}"/>
    <cellStyle name="Normal 4 4 3 5 2 2 4" xfId="33062" xr:uid="{CD653E32-FBBB-4DDC-BD59-D05F14D66324}"/>
    <cellStyle name="Normal 4 4 3 5 2 3" xfId="11964" xr:uid="{71567E17-B4B4-4B24-B409-2641AE6A91BB}"/>
    <cellStyle name="Normal 4 4 3 5 2 4" xfId="20405" xr:uid="{D5809645-0482-4010-9CB9-369DD4F9402A}"/>
    <cellStyle name="Normal 4 4 3 5 2 5" xfId="28845" xr:uid="{0E5BAD1A-12E1-4537-96B0-70CF29EC8AEF}"/>
    <cellStyle name="Normal 4 4 3 5 3" xfId="5587" xr:uid="{00000000-0005-0000-0000-0000A8150000}"/>
    <cellStyle name="Normal 4 4 3 5 3 2" xfId="14037" xr:uid="{48DD9FE0-9247-4E92-81DA-DBED26BD3DF1}"/>
    <cellStyle name="Normal 4 4 3 5 3 3" xfId="22477" xr:uid="{B01BD085-DB0C-447D-84A7-28EA4D2A942D}"/>
    <cellStyle name="Normal 4 4 3 5 3 4" xfId="30917" xr:uid="{29912C7A-3697-47BD-8616-7BF17E691A1D}"/>
    <cellStyle name="Normal 4 4 3 5 4" xfId="9819" xr:uid="{2448CC82-5A27-43EF-8276-9D0547FBAABD}"/>
    <cellStyle name="Normal 4 4 3 5 5" xfId="18260" xr:uid="{B36342FD-A607-4C19-AAE3-A1C5CD29AA47}"/>
    <cellStyle name="Normal 4 4 3 5 6" xfId="26700" xr:uid="{112EE567-C2E3-4E41-BA8A-694B7ABECCE9}"/>
    <cellStyle name="Normal 4 4 3 6" xfId="1693" xr:uid="{00000000-0005-0000-0000-0000A9150000}"/>
    <cellStyle name="Normal 4 4 3 6 2" xfId="3923" xr:uid="{00000000-0005-0000-0000-0000AA150000}"/>
    <cellStyle name="Normal 4 4 3 6 2 2" xfId="8145" xr:uid="{00000000-0005-0000-0000-0000AB150000}"/>
    <cellStyle name="Normal 4 4 3 6 2 2 2" xfId="16595" xr:uid="{A33216A4-5EF5-472D-8E7B-69935C403EFE}"/>
    <cellStyle name="Normal 4 4 3 6 2 2 3" xfId="25035" xr:uid="{FA4961AA-30EF-458F-8D0E-4D439B1F14A9}"/>
    <cellStyle name="Normal 4 4 3 6 2 2 4" xfId="33475" xr:uid="{13A3ACEE-BFCE-44A3-A5B3-DEE201C9A4FA}"/>
    <cellStyle name="Normal 4 4 3 6 2 3" xfId="12377" xr:uid="{C132FD15-D183-4B3B-ADAE-E94798BF7790}"/>
    <cellStyle name="Normal 4 4 3 6 2 4" xfId="20818" xr:uid="{00813689-D2DC-46AD-AC1E-57AFE36B3C2A}"/>
    <cellStyle name="Normal 4 4 3 6 2 5" xfId="29258" xr:uid="{9DEBC7A4-6CDD-432C-B79C-7BAF54F7DC42}"/>
    <cellStyle name="Normal 4 4 3 6 3" xfId="6000" xr:uid="{00000000-0005-0000-0000-0000AC150000}"/>
    <cellStyle name="Normal 4 4 3 6 3 2" xfId="14450" xr:uid="{A8ED6553-71B4-4B1B-942D-D6E37B7E74FD}"/>
    <cellStyle name="Normal 4 4 3 6 3 3" xfId="22890" xr:uid="{ACE5B125-0994-4470-99D1-4264DA7745AF}"/>
    <cellStyle name="Normal 4 4 3 6 3 4" xfId="31330" xr:uid="{B73607AC-0764-4CDC-82C9-B047F9CCE390}"/>
    <cellStyle name="Normal 4 4 3 6 4" xfId="10232" xr:uid="{0F234D0A-DCC9-4193-B239-526A389B56E7}"/>
    <cellStyle name="Normal 4 4 3 6 5" xfId="18673" xr:uid="{DF884B19-1148-4772-8573-421FD6A91CFA}"/>
    <cellStyle name="Normal 4 4 3 6 6" xfId="27113" xr:uid="{2A39A6F5-1DCF-415E-A06B-3FE9EED19314}"/>
    <cellStyle name="Normal 4 4 3 7" xfId="2107" xr:uid="{00000000-0005-0000-0000-0000AD150000}"/>
    <cellStyle name="Normal 4 4 3 7 2" xfId="4336" xr:uid="{00000000-0005-0000-0000-0000AE150000}"/>
    <cellStyle name="Normal 4 4 3 7 2 2" xfId="8558" xr:uid="{00000000-0005-0000-0000-0000AF150000}"/>
    <cellStyle name="Normal 4 4 3 7 2 2 2" xfId="17008" xr:uid="{48AEDABD-1324-4EA4-A8F6-7EBBDA78D19A}"/>
    <cellStyle name="Normal 4 4 3 7 2 2 3" xfId="25448" xr:uid="{8C0B01D5-81A3-4423-9D1C-3AD00D1280BB}"/>
    <cellStyle name="Normal 4 4 3 7 2 2 4" xfId="33888" xr:uid="{24F189DC-D0B9-44FF-B054-DB649D0EF1FA}"/>
    <cellStyle name="Normal 4 4 3 7 2 3" xfId="12790" xr:uid="{60FE381E-389E-4ECE-B968-DF17070DF98B}"/>
    <cellStyle name="Normal 4 4 3 7 2 4" xfId="21231" xr:uid="{49DEE90E-DDFE-4235-A6BC-43B2B3E7AE17}"/>
    <cellStyle name="Normal 4 4 3 7 2 5" xfId="29671" xr:uid="{615D768E-A3E9-43CA-BFCC-E21EAF1737FF}"/>
    <cellStyle name="Normal 4 4 3 7 3" xfId="6413" xr:uid="{00000000-0005-0000-0000-0000B0150000}"/>
    <cellStyle name="Normal 4 4 3 7 3 2" xfId="14863" xr:uid="{81144D68-EE8D-43A5-961E-D504E7593D1B}"/>
    <cellStyle name="Normal 4 4 3 7 3 3" xfId="23303" xr:uid="{285430E5-EAC9-4B36-B820-884D296BF560}"/>
    <cellStyle name="Normal 4 4 3 7 3 4" xfId="31743" xr:uid="{4C793694-0B05-4BE4-B863-D07CA5C41C86}"/>
    <cellStyle name="Normal 4 4 3 7 4" xfId="10645" xr:uid="{EA9E9F9B-F69A-4E37-AD6A-D5E65E285499}"/>
    <cellStyle name="Normal 4 4 3 7 5" xfId="19086" xr:uid="{525DF086-6EC1-49C1-8413-4F387A5E46E0}"/>
    <cellStyle name="Normal 4 4 3 7 6" xfId="27526" xr:uid="{B41D07D9-4AC4-47FE-B18D-EA8232121B46}"/>
    <cellStyle name="Normal 4 4 3 8" xfId="2543" xr:uid="{00000000-0005-0000-0000-0000B1150000}"/>
    <cellStyle name="Normal 4 4 3 8 2" xfId="6826" xr:uid="{00000000-0005-0000-0000-0000B2150000}"/>
    <cellStyle name="Normal 4 4 3 8 2 2" xfId="15276" xr:uid="{A02AAD74-F31A-4D4A-B359-D1C4C23ED44E}"/>
    <cellStyle name="Normal 4 4 3 8 2 3" xfId="23716" xr:uid="{F9370B37-3BDC-4ADD-91A5-003CA0F5DCAC}"/>
    <cellStyle name="Normal 4 4 3 8 2 4" xfId="32156" xr:uid="{5FE1AAFD-E8E1-4781-B927-15E781B331AC}"/>
    <cellStyle name="Normal 4 4 3 8 3" xfId="11058" xr:uid="{19D9B7D4-2CB1-47B3-97E6-F2AAD5A45709}"/>
    <cellStyle name="Normal 4 4 3 8 4" xfId="19499" xr:uid="{CA632D45-DF6E-41F4-8EDD-72AE05EFBEBC}"/>
    <cellStyle name="Normal 4 4 3 8 5" xfId="27939" xr:uid="{AD4C2298-C517-4F6A-9C6D-7E7F880D56E6}"/>
    <cellStyle name="Normal 4 4 3 9" xfId="4761" xr:uid="{00000000-0005-0000-0000-0000B3150000}"/>
    <cellStyle name="Normal 4 4 3 9 2" xfId="13211" xr:uid="{CD345A2A-0E28-4BFA-9806-751A5715BF0F}"/>
    <cellStyle name="Normal 4 4 3 9 3" xfId="21651" xr:uid="{0B016E4D-3397-4D69-B0AC-4B8756B1A2E9}"/>
    <cellStyle name="Normal 4 4 3 9 4" xfId="30091" xr:uid="{FB0705A6-E8D2-4021-8607-733911E109E1}"/>
    <cellStyle name="Normal 4 4 4" xfId="391" xr:uid="{00000000-0005-0000-0000-0000B4150000}"/>
    <cellStyle name="Normal 4 4 4 10" xfId="17438" xr:uid="{BC23C979-F879-40DF-908C-EBB76A8B22B5}"/>
    <cellStyle name="Normal 4 4 4 11" xfId="25878" xr:uid="{B0E795F1-8F75-4E93-AF29-72D26AAF3695}"/>
    <cellStyle name="Normal 4 4 4 2" xfId="392" xr:uid="{00000000-0005-0000-0000-0000B5150000}"/>
    <cellStyle name="Normal 4 4 4 2 10" xfId="25879" xr:uid="{3D828B49-E424-44A5-BC54-124F03662850}"/>
    <cellStyle name="Normal 4 4 4 2 2" xfId="867" xr:uid="{00000000-0005-0000-0000-0000B6150000}"/>
    <cellStyle name="Normal 4 4 4 2 2 2" xfId="3102" xr:uid="{00000000-0005-0000-0000-0000B7150000}"/>
    <cellStyle name="Normal 4 4 4 2 2 2 2" xfId="7324" xr:uid="{00000000-0005-0000-0000-0000B8150000}"/>
    <cellStyle name="Normal 4 4 4 2 2 2 2 2" xfId="15774" xr:uid="{72A2ED37-5E84-4B54-9170-DB17E7702B33}"/>
    <cellStyle name="Normal 4 4 4 2 2 2 2 3" xfId="24214" xr:uid="{674AA3E7-D5E8-4680-BB38-8368549F079F}"/>
    <cellStyle name="Normal 4 4 4 2 2 2 2 4" xfId="32654" xr:uid="{05870CED-8765-4F51-A501-2FAC0396D9C6}"/>
    <cellStyle name="Normal 4 4 4 2 2 2 3" xfId="11556" xr:uid="{0640002C-6AAC-42AE-ACC4-4DF6B1ADD7AC}"/>
    <cellStyle name="Normal 4 4 4 2 2 2 4" xfId="19997" xr:uid="{1B01A5C9-B963-474B-A75F-5BBCF75CE3D3}"/>
    <cellStyle name="Normal 4 4 4 2 2 2 5" xfId="28437" xr:uid="{8EAC3ACA-B422-46D1-AAD6-AEBABF26CF56}"/>
    <cellStyle name="Normal 4 4 4 2 2 3" xfId="5179" xr:uid="{00000000-0005-0000-0000-0000B9150000}"/>
    <cellStyle name="Normal 4 4 4 2 2 3 2" xfId="13629" xr:uid="{81C651D9-A242-4D49-AE5D-B7AD114F9AA3}"/>
    <cellStyle name="Normal 4 4 4 2 2 3 3" xfId="22069" xr:uid="{4174880F-EC22-4EBA-A5A0-6C55883B8F18}"/>
    <cellStyle name="Normal 4 4 4 2 2 3 4" xfId="30509" xr:uid="{39720F83-C858-4FFF-9506-ACA7E35530BD}"/>
    <cellStyle name="Normal 4 4 4 2 2 4" xfId="9411" xr:uid="{429E0652-F758-4343-A2A4-9B4096F75858}"/>
    <cellStyle name="Normal 4 4 4 2 2 5" xfId="17852" xr:uid="{90B53008-5340-45F5-A537-093F6801E020}"/>
    <cellStyle name="Normal 4 4 4 2 2 6" xfId="26292" xr:uid="{14415C2B-3CEE-474F-9CA6-4B5AD7AE8ACE}"/>
    <cellStyle name="Normal 4 4 4 2 3" xfId="1285" xr:uid="{00000000-0005-0000-0000-0000BA150000}"/>
    <cellStyle name="Normal 4 4 4 2 3 2" xfId="3515" xr:uid="{00000000-0005-0000-0000-0000BB150000}"/>
    <cellStyle name="Normal 4 4 4 2 3 2 2" xfId="7737" xr:uid="{00000000-0005-0000-0000-0000BC150000}"/>
    <cellStyle name="Normal 4 4 4 2 3 2 2 2" xfId="16187" xr:uid="{43E07DFE-4FAF-44D2-9D3F-8825D1D6E7A4}"/>
    <cellStyle name="Normal 4 4 4 2 3 2 2 3" xfId="24627" xr:uid="{4310F0C0-31DC-4F85-9819-D129E5782A45}"/>
    <cellStyle name="Normal 4 4 4 2 3 2 2 4" xfId="33067" xr:uid="{E83173F2-38C1-4742-B496-7BE414052624}"/>
    <cellStyle name="Normal 4 4 4 2 3 2 3" xfId="11969" xr:uid="{0C433817-4B92-4B76-9602-120FAA27643E}"/>
    <cellStyle name="Normal 4 4 4 2 3 2 4" xfId="20410" xr:uid="{032F6836-868D-40E1-A993-F65280416FCA}"/>
    <cellStyle name="Normal 4 4 4 2 3 2 5" xfId="28850" xr:uid="{A779D7C8-88DF-44F7-B0C1-7141B089E247}"/>
    <cellStyle name="Normal 4 4 4 2 3 3" xfId="5592" xr:uid="{00000000-0005-0000-0000-0000BD150000}"/>
    <cellStyle name="Normal 4 4 4 2 3 3 2" xfId="14042" xr:uid="{0975886E-9D44-4F52-A0A9-A13BA72D1A12}"/>
    <cellStyle name="Normal 4 4 4 2 3 3 3" xfId="22482" xr:uid="{C62F0051-3968-4138-8C6A-082B8108DC37}"/>
    <cellStyle name="Normal 4 4 4 2 3 3 4" xfId="30922" xr:uid="{4681E386-1DCB-42EB-B003-4FD4C43794CE}"/>
    <cellStyle name="Normal 4 4 4 2 3 4" xfId="9824" xr:uid="{EFE9ACA6-AE24-44D2-9E12-FFE835E93F91}"/>
    <cellStyle name="Normal 4 4 4 2 3 5" xfId="18265" xr:uid="{689DD9A6-EDB7-434D-8D26-5FD988F9945F}"/>
    <cellStyle name="Normal 4 4 4 2 3 6" xfId="26705" xr:uid="{436A6B48-C984-4F75-B978-7F49804D54FF}"/>
    <cellStyle name="Normal 4 4 4 2 4" xfId="1698" xr:uid="{00000000-0005-0000-0000-0000BE150000}"/>
    <cellStyle name="Normal 4 4 4 2 4 2" xfId="3928" xr:uid="{00000000-0005-0000-0000-0000BF150000}"/>
    <cellStyle name="Normal 4 4 4 2 4 2 2" xfId="8150" xr:uid="{00000000-0005-0000-0000-0000C0150000}"/>
    <cellStyle name="Normal 4 4 4 2 4 2 2 2" xfId="16600" xr:uid="{4D7F3944-CC6B-48F0-B2CE-B0E0ABAE9A80}"/>
    <cellStyle name="Normal 4 4 4 2 4 2 2 3" xfId="25040" xr:uid="{EDA6D4EB-2901-49F3-8E78-2646EC618996}"/>
    <cellStyle name="Normal 4 4 4 2 4 2 2 4" xfId="33480" xr:uid="{0F768F52-C112-4827-AA12-194A7B2693AE}"/>
    <cellStyle name="Normal 4 4 4 2 4 2 3" xfId="12382" xr:uid="{090CCC2E-B1B1-4A2C-8D95-56A2BF440ED3}"/>
    <cellStyle name="Normal 4 4 4 2 4 2 4" xfId="20823" xr:uid="{5C17E1DF-E14C-462C-B54E-96D1C235CA46}"/>
    <cellStyle name="Normal 4 4 4 2 4 2 5" xfId="29263" xr:uid="{2BB14300-CF7A-4E8C-A95E-43113ECF63F2}"/>
    <cellStyle name="Normal 4 4 4 2 4 3" xfId="6005" xr:uid="{00000000-0005-0000-0000-0000C1150000}"/>
    <cellStyle name="Normal 4 4 4 2 4 3 2" xfId="14455" xr:uid="{D627FF1D-D9DE-4145-8532-5F56A040524E}"/>
    <cellStyle name="Normal 4 4 4 2 4 3 3" xfId="22895" xr:uid="{535506C0-EC95-4224-ACDA-92B80FD55CF6}"/>
    <cellStyle name="Normal 4 4 4 2 4 3 4" xfId="31335" xr:uid="{1A4663DB-5EBA-4EEE-957B-F1D966E0CB54}"/>
    <cellStyle name="Normal 4 4 4 2 4 4" xfId="10237" xr:uid="{D7AE53E7-4CD2-4050-A94D-0BEF53C24AD0}"/>
    <cellStyle name="Normal 4 4 4 2 4 5" xfId="18678" xr:uid="{90B52414-6C8C-46E3-908C-E3B812297866}"/>
    <cellStyle name="Normal 4 4 4 2 4 6" xfId="27118" xr:uid="{351C6769-84FD-49FE-A91F-1EAA5761A884}"/>
    <cellStyle name="Normal 4 4 4 2 5" xfId="2112" xr:uid="{00000000-0005-0000-0000-0000C2150000}"/>
    <cellStyle name="Normal 4 4 4 2 5 2" xfId="4341" xr:uid="{00000000-0005-0000-0000-0000C3150000}"/>
    <cellStyle name="Normal 4 4 4 2 5 2 2" xfId="8563" xr:uid="{00000000-0005-0000-0000-0000C4150000}"/>
    <cellStyle name="Normal 4 4 4 2 5 2 2 2" xfId="17013" xr:uid="{84EBCDD7-B636-4FDB-B2B4-BA2C3DD43C3C}"/>
    <cellStyle name="Normal 4 4 4 2 5 2 2 3" xfId="25453" xr:uid="{C75515CB-9DB4-44CD-8451-56C293D10050}"/>
    <cellStyle name="Normal 4 4 4 2 5 2 2 4" xfId="33893" xr:uid="{1E2890DA-9250-44D9-A58A-F72A625F0DF3}"/>
    <cellStyle name="Normal 4 4 4 2 5 2 3" xfId="12795" xr:uid="{3A4DF99C-3220-4EAD-864E-3D5A8F49A226}"/>
    <cellStyle name="Normal 4 4 4 2 5 2 4" xfId="21236" xr:uid="{D9021585-0787-4AF2-A983-40FDF20ADED3}"/>
    <cellStyle name="Normal 4 4 4 2 5 2 5" xfId="29676" xr:uid="{25781BA9-64AF-4121-A7B4-905EDA6AFEE6}"/>
    <cellStyle name="Normal 4 4 4 2 5 3" xfId="6418" xr:uid="{00000000-0005-0000-0000-0000C5150000}"/>
    <cellStyle name="Normal 4 4 4 2 5 3 2" xfId="14868" xr:uid="{134EE233-718D-4BE7-8447-F925BF0E61E4}"/>
    <cellStyle name="Normal 4 4 4 2 5 3 3" xfId="23308" xr:uid="{0CF434AA-1984-4143-87B6-79B0A77082E0}"/>
    <cellStyle name="Normal 4 4 4 2 5 3 4" xfId="31748" xr:uid="{3D92C513-0618-4BFB-8551-DE490CB16A59}"/>
    <cellStyle name="Normal 4 4 4 2 5 4" xfId="10650" xr:uid="{2F25AAFC-6F37-4CEB-B087-BF506A135EAB}"/>
    <cellStyle name="Normal 4 4 4 2 5 5" xfId="19091" xr:uid="{8293D60E-60D9-4732-A1ED-9B679737FC6D}"/>
    <cellStyle name="Normal 4 4 4 2 5 6" xfId="27531" xr:uid="{505DDADD-D30C-439B-A313-FC3952856FED}"/>
    <cellStyle name="Normal 4 4 4 2 6" xfId="2548" xr:uid="{00000000-0005-0000-0000-0000C6150000}"/>
    <cellStyle name="Normal 4 4 4 2 6 2" xfId="6831" xr:uid="{00000000-0005-0000-0000-0000C7150000}"/>
    <cellStyle name="Normal 4 4 4 2 6 2 2" xfId="15281" xr:uid="{982CF4A4-F157-4648-AFF3-4E6C6892A64A}"/>
    <cellStyle name="Normal 4 4 4 2 6 2 3" xfId="23721" xr:uid="{4A827521-F5C5-4AEA-B2A3-C41AA6C5D5D5}"/>
    <cellStyle name="Normal 4 4 4 2 6 2 4" xfId="32161" xr:uid="{C07C1F7B-BF87-47DB-AFB5-787EFFD9C2C8}"/>
    <cellStyle name="Normal 4 4 4 2 6 3" xfId="11063" xr:uid="{7D64E2C1-A485-465B-B96F-29A9E3B3E2CC}"/>
    <cellStyle name="Normal 4 4 4 2 6 4" xfId="19504" xr:uid="{3AEB2C5C-22B5-4777-9F29-3564740F6D75}"/>
    <cellStyle name="Normal 4 4 4 2 6 5" xfId="27944" xr:uid="{52D03AA6-60CF-4AE6-B940-6BF29567E047}"/>
    <cellStyle name="Normal 4 4 4 2 7" xfId="4766" xr:uid="{00000000-0005-0000-0000-0000C8150000}"/>
    <cellStyle name="Normal 4 4 4 2 7 2" xfId="13216" xr:uid="{EA36470A-DAE3-4D00-83F9-1404FFC8F45C}"/>
    <cellStyle name="Normal 4 4 4 2 7 3" xfId="21656" xr:uid="{B6490B84-9013-4673-80EB-0ED5E1CEE0D1}"/>
    <cellStyle name="Normal 4 4 4 2 7 4" xfId="30096" xr:uid="{68E278CF-87B6-4884-A150-67079B5903FA}"/>
    <cellStyle name="Normal 4 4 4 2 8" xfId="8998" xr:uid="{E9F88D6C-6AEF-48F3-BA03-768EAC33AB2E}"/>
    <cellStyle name="Normal 4 4 4 2 9" xfId="17439" xr:uid="{9F0ABB88-C819-4BF8-82BF-ADBA60294F43}"/>
    <cellStyle name="Normal 4 4 4 3" xfId="866" xr:uid="{00000000-0005-0000-0000-0000C9150000}"/>
    <cellStyle name="Normal 4 4 4 3 2" xfId="3101" xr:uid="{00000000-0005-0000-0000-0000CA150000}"/>
    <cellStyle name="Normal 4 4 4 3 2 2" xfId="7323" xr:uid="{00000000-0005-0000-0000-0000CB150000}"/>
    <cellStyle name="Normal 4 4 4 3 2 2 2" xfId="15773" xr:uid="{39AA9558-A467-495A-86C7-CB163A5791E7}"/>
    <cellStyle name="Normal 4 4 4 3 2 2 3" xfId="24213" xr:uid="{B9F44A5E-B8A0-44D5-A0E1-F8B5693920A8}"/>
    <cellStyle name="Normal 4 4 4 3 2 2 4" xfId="32653" xr:uid="{20873965-9338-482E-8C0B-A729D54E1AAF}"/>
    <cellStyle name="Normal 4 4 4 3 2 3" xfId="11555" xr:uid="{01340C44-3A3D-4B57-B79B-159B920B5732}"/>
    <cellStyle name="Normal 4 4 4 3 2 4" xfId="19996" xr:uid="{0DC6A5A1-7651-4F86-AA81-D858C52C6DDE}"/>
    <cellStyle name="Normal 4 4 4 3 2 5" xfId="28436" xr:uid="{3E2B79E5-71DC-4EBC-8C54-22F9AE5D859C}"/>
    <cellStyle name="Normal 4 4 4 3 3" xfId="5178" xr:uid="{00000000-0005-0000-0000-0000CC150000}"/>
    <cellStyle name="Normal 4 4 4 3 3 2" xfId="13628" xr:uid="{F0DFB30A-929D-44F4-8E2F-BD16B709DE2D}"/>
    <cellStyle name="Normal 4 4 4 3 3 3" xfId="22068" xr:uid="{8018FE0B-2A1F-45FB-8730-35B12B20F3FF}"/>
    <cellStyle name="Normal 4 4 4 3 3 4" xfId="30508" xr:uid="{C80B0905-2FE1-412A-A1DC-ED15100CC918}"/>
    <cellStyle name="Normal 4 4 4 3 4" xfId="9410" xr:uid="{5F71692F-5EDF-4899-9935-EE7B0BF9482F}"/>
    <cellStyle name="Normal 4 4 4 3 5" xfId="17851" xr:uid="{E4E3D1F9-F5BA-4901-A22A-D8B297B43AC6}"/>
    <cellStyle name="Normal 4 4 4 3 6" xfId="26291" xr:uid="{A8FBEFA1-F7AB-4D86-83D2-9D618B15C9D3}"/>
    <cellStyle name="Normal 4 4 4 4" xfId="1284" xr:uid="{00000000-0005-0000-0000-0000CD150000}"/>
    <cellStyle name="Normal 4 4 4 4 2" xfId="3514" xr:uid="{00000000-0005-0000-0000-0000CE150000}"/>
    <cellStyle name="Normal 4 4 4 4 2 2" xfId="7736" xr:uid="{00000000-0005-0000-0000-0000CF150000}"/>
    <cellStyle name="Normal 4 4 4 4 2 2 2" xfId="16186" xr:uid="{07718C2D-ED88-4F30-9F84-0694292A0016}"/>
    <cellStyle name="Normal 4 4 4 4 2 2 3" xfId="24626" xr:uid="{6EAB7022-9BEA-46BC-8445-9EDC6A3B6F77}"/>
    <cellStyle name="Normal 4 4 4 4 2 2 4" xfId="33066" xr:uid="{0130B774-A6B3-4C0F-9001-1F3D644D7CAE}"/>
    <cellStyle name="Normal 4 4 4 4 2 3" xfId="11968" xr:uid="{CFD4BB83-47F3-4BD1-A0DD-5B0FC2041669}"/>
    <cellStyle name="Normal 4 4 4 4 2 4" xfId="20409" xr:uid="{15CF0790-C748-4627-9BA6-E7B4E83BE8C6}"/>
    <cellStyle name="Normal 4 4 4 4 2 5" xfId="28849" xr:uid="{4EB06885-0AD6-4127-9892-F449D4CA707A}"/>
    <cellStyle name="Normal 4 4 4 4 3" xfId="5591" xr:uid="{00000000-0005-0000-0000-0000D0150000}"/>
    <cellStyle name="Normal 4 4 4 4 3 2" xfId="14041" xr:uid="{809DE7A4-D84B-48BC-BC34-A42C95A4B52F}"/>
    <cellStyle name="Normal 4 4 4 4 3 3" xfId="22481" xr:uid="{4978453F-A093-4F29-A746-70D12DAD413D}"/>
    <cellStyle name="Normal 4 4 4 4 3 4" xfId="30921" xr:uid="{C5AF2E84-6F99-4B87-B5F1-12BEC3364FAE}"/>
    <cellStyle name="Normal 4 4 4 4 4" xfId="9823" xr:uid="{3DC54703-2DBB-4331-8766-0BA97FF35DC5}"/>
    <cellStyle name="Normal 4 4 4 4 5" xfId="18264" xr:uid="{FD06662E-329A-42ED-993E-E8C0BC4C7932}"/>
    <cellStyle name="Normal 4 4 4 4 6" xfId="26704" xr:uid="{E69B32D6-75A2-4D2E-9139-B2D4CD497B24}"/>
    <cellStyle name="Normal 4 4 4 5" xfId="1697" xr:uid="{00000000-0005-0000-0000-0000D1150000}"/>
    <cellStyle name="Normal 4 4 4 5 2" xfId="3927" xr:uid="{00000000-0005-0000-0000-0000D2150000}"/>
    <cellStyle name="Normal 4 4 4 5 2 2" xfId="8149" xr:uid="{00000000-0005-0000-0000-0000D3150000}"/>
    <cellStyle name="Normal 4 4 4 5 2 2 2" xfId="16599" xr:uid="{861A4D7B-0ADD-4DFA-8485-C05756AE770C}"/>
    <cellStyle name="Normal 4 4 4 5 2 2 3" xfId="25039" xr:uid="{36E155E8-FBF6-439E-AA3F-C24299CBED1C}"/>
    <cellStyle name="Normal 4 4 4 5 2 2 4" xfId="33479" xr:uid="{7704EDF2-3534-44E7-A7A5-928E752AE840}"/>
    <cellStyle name="Normal 4 4 4 5 2 3" xfId="12381" xr:uid="{6F596EF2-41B0-4157-9B66-8ECFEB197818}"/>
    <cellStyle name="Normal 4 4 4 5 2 4" xfId="20822" xr:uid="{83B1B258-F4B3-4889-92CE-5A1C18F79560}"/>
    <cellStyle name="Normal 4 4 4 5 2 5" xfId="29262" xr:uid="{3C0D1394-D1ED-4E7E-8197-DC446AA437B3}"/>
    <cellStyle name="Normal 4 4 4 5 3" xfId="6004" xr:uid="{00000000-0005-0000-0000-0000D4150000}"/>
    <cellStyle name="Normal 4 4 4 5 3 2" xfId="14454" xr:uid="{8257C65F-AA3B-469F-81ED-B7345D01981D}"/>
    <cellStyle name="Normal 4 4 4 5 3 3" xfId="22894" xr:uid="{E8D703AE-7815-4211-A976-57EC3B2DF21B}"/>
    <cellStyle name="Normal 4 4 4 5 3 4" xfId="31334" xr:uid="{5A25390E-B317-4E8C-B528-4599DF3DD3F3}"/>
    <cellStyle name="Normal 4 4 4 5 4" xfId="10236" xr:uid="{B8F81EF8-49BB-4933-A276-734666D1D603}"/>
    <cellStyle name="Normal 4 4 4 5 5" xfId="18677" xr:uid="{0CA34C98-4689-45B4-9195-F6ED61362203}"/>
    <cellStyle name="Normal 4 4 4 5 6" xfId="27117" xr:uid="{19CABAE2-E3D9-4D03-B984-B47F3D7F5ABE}"/>
    <cellStyle name="Normal 4 4 4 6" xfId="2111" xr:uid="{00000000-0005-0000-0000-0000D5150000}"/>
    <cellStyle name="Normal 4 4 4 6 2" xfId="4340" xr:uid="{00000000-0005-0000-0000-0000D6150000}"/>
    <cellStyle name="Normal 4 4 4 6 2 2" xfId="8562" xr:uid="{00000000-0005-0000-0000-0000D7150000}"/>
    <cellStyle name="Normal 4 4 4 6 2 2 2" xfId="17012" xr:uid="{A761BDC6-4548-4580-A3AB-1F2DF8B2F4D9}"/>
    <cellStyle name="Normal 4 4 4 6 2 2 3" xfId="25452" xr:uid="{CF4CC39B-EED6-4BBF-8127-DCA1E83C4545}"/>
    <cellStyle name="Normal 4 4 4 6 2 2 4" xfId="33892" xr:uid="{2971C7D9-CCA3-468B-9DD8-C8452D9F636A}"/>
    <cellStyle name="Normal 4 4 4 6 2 3" xfId="12794" xr:uid="{3EB4A70D-869D-40BB-A931-8C5289496DB2}"/>
    <cellStyle name="Normal 4 4 4 6 2 4" xfId="21235" xr:uid="{AEF8B395-3F50-4F20-B82E-8D3BCFDDE6A1}"/>
    <cellStyle name="Normal 4 4 4 6 2 5" xfId="29675" xr:uid="{0F6746BC-E930-4C46-87C9-D70F5519DA79}"/>
    <cellStyle name="Normal 4 4 4 6 3" xfId="6417" xr:uid="{00000000-0005-0000-0000-0000D8150000}"/>
    <cellStyle name="Normal 4 4 4 6 3 2" xfId="14867" xr:uid="{0961A71B-2375-47A2-B3F5-43C2B1FC4552}"/>
    <cellStyle name="Normal 4 4 4 6 3 3" xfId="23307" xr:uid="{464E8206-D377-494B-944B-3B4D9D54B9E5}"/>
    <cellStyle name="Normal 4 4 4 6 3 4" xfId="31747" xr:uid="{685E2C2A-756C-48F9-8B14-0DE275ECFA3C}"/>
    <cellStyle name="Normal 4 4 4 6 4" xfId="10649" xr:uid="{A6A2E4CC-A46C-4A72-AC30-0C804662278B}"/>
    <cellStyle name="Normal 4 4 4 6 5" xfId="19090" xr:uid="{0549F5DA-9256-44B9-B3BD-063A58F27843}"/>
    <cellStyle name="Normal 4 4 4 6 6" xfId="27530" xr:uid="{C2104C17-52A5-4D3D-9CBF-6EAE15E56FB0}"/>
    <cellStyle name="Normal 4 4 4 7" xfId="2547" xr:uid="{00000000-0005-0000-0000-0000D9150000}"/>
    <cellStyle name="Normal 4 4 4 7 2" xfId="6830" xr:uid="{00000000-0005-0000-0000-0000DA150000}"/>
    <cellStyle name="Normal 4 4 4 7 2 2" xfId="15280" xr:uid="{814A9078-642E-4BB8-95D6-BCBBEAED4FAA}"/>
    <cellStyle name="Normal 4 4 4 7 2 3" xfId="23720" xr:uid="{96B525A3-C769-4C5D-9D92-6F25FFABE97D}"/>
    <cellStyle name="Normal 4 4 4 7 2 4" xfId="32160" xr:uid="{7F27C60B-9BC5-4F5C-BDD5-B129B4639231}"/>
    <cellStyle name="Normal 4 4 4 7 3" xfId="11062" xr:uid="{9B380CC6-8DBE-4AA6-B92D-87C792CA377B}"/>
    <cellStyle name="Normal 4 4 4 7 4" xfId="19503" xr:uid="{A4AC2630-6CEA-4B12-A67A-EB6DC0B9CBAA}"/>
    <cellStyle name="Normal 4 4 4 7 5" xfId="27943" xr:uid="{2053C98B-CB39-4A1A-A176-5BF695BC502D}"/>
    <cellStyle name="Normal 4 4 4 8" xfId="4765" xr:uid="{00000000-0005-0000-0000-0000DB150000}"/>
    <cellStyle name="Normal 4 4 4 8 2" xfId="13215" xr:uid="{A1004E60-30F9-43C3-8A46-C9109C81A0FF}"/>
    <cellStyle name="Normal 4 4 4 8 3" xfId="21655" xr:uid="{FF35783C-81D5-4FE0-BC6C-7CE3946D7447}"/>
    <cellStyle name="Normal 4 4 4 8 4" xfId="30095" xr:uid="{1C5F9DA0-C3AA-4BBC-AF05-21C21EBE6203}"/>
    <cellStyle name="Normal 4 4 4 9" xfId="8997" xr:uid="{A85AC7D9-3363-42CF-BF00-2C96813C38B7}"/>
    <cellStyle name="Normal 4 4 5" xfId="393" xr:uid="{00000000-0005-0000-0000-0000DC150000}"/>
    <cellStyle name="Normal 4 4 5 10" xfId="25880" xr:uid="{9BEDBCB0-FB56-4A4F-90A2-8F6CF51BD480}"/>
    <cellStyle name="Normal 4 4 5 2" xfId="868" xr:uid="{00000000-0005-0000-0000-0000DD150000}"/>
    <cellStyle name="Normal 4 4 5 2 2" xfId="3103" xr:uid="{00000000-0005-0000-0000-0000DE150000}"/>
    <cellStyle name="Normal 4 4 5 2 2 2" xfId="7325" xr:uid="{00000000-0005-0000-0000-0000DF150000}"/>
    <cellStyle name="Normal 4 4 5 2 2 2 2" xfId="15775" xr:uid="{4FB327CC-7689-4210-AF3D-9FDF1B85623F}"/>
    <cellStyle name="Normal 4 4 5 2 2 2 3" xfId="24215" xr:uid="{96B6B9C5-FF12-428B-B4C5-44B2ADC9B920}"/>
    <cellStyle name="Normal 4 4 5 2 2 2 4" xfId="32655" xr:uid="{9809F25F-6622-425D-900E-CC8924E25BBA}"/>
    <cellStyle name="Normal 4 4 5 2 2 3" xfId="11557" xr:uid="{74A8A761-437B-4B12-A40D-C56CB6310492}"/>
    <cellStyle name="Normal 4 4 5 2 2 4" xfId="19998" xr:uid="{0226A202-3797-4082-83CA-18BA76AE2CBF}"/>
    <cellStyle name="Normal 4 4 5 2 2 5" xfId="28438" xr:uid="{1F0F6AC3-6B36-45AC-B0F7-B2DBFE81EEF2}"/>
    <cellStyle name="Normal 4 4 5 2 3" xfId="5180" xr:uid="{00000000-0005-0000-0000-0000E0150000}"/>
    <cellStyle name="Normal 4 4 5 2 3 2" xfId="13630" xr:uid="{D40B8D6A-281B-450A-98D6-3F9F4B2153BB}"/>
    <cellStyle name="Normal 4 4 5 2 3 3" xfId="22070" xr:uid="{5756EA93-19BC-4575-ABE3-1AC6BA865161}"/>
    <cellStyle name="Normal 4 4 5 2 3 4" xfId="30510" xr:uid="{BED4DD0D-FD68-4CA6-898F-D26BAF6A5A3F}"/>
    <cellStyle name="Normal 4 4 5 2 4" xfId="9412" xr:uid="{2EBFC11C-4340-4695-9010-66CEE2E2D3C2}"/>
    <cellStyle name="Normal 4 4 5 2 5" xfId="17853" xr:uid="{2F5E0B20-8C63-44DE-83CE-19B6206F8C3A}"/>
    <cellStyle name="Normal 4 4 5 2 6" xfId="26293" xr:uid="{47A9F63D-6634-4C59-914C-56C1AF58F8DB}"/>
    <cellStyle name="Normal 4 4 5 3" xfId="1286" xr:uid="{00000000-0005-0000-0000-0000E1150000}"/>
    <cellStyle name="Normal 4 4 5 3 2" xfId="3516" xr:uid="{00000000-0005-0000-0000-0000E2150000}"/>
    <cellStyle name="Normal 4 4 5 3 2 2" xfId="7738" xr:uid="{00000000-0005-0000-0000-0000E3150000}"/>
    <cellStyle name="Normal 4 4 5 3 2 2 2" xfId="16188" xr:uid="{04BD7C5D-C187-44C0-8BCA-9A264E39DF5B}"/>
    <cellStyle name="Normal 4 4 5 3 2 2 3" xfId="24628" xr:uid="{1326F147-D43A-4142-9004-5FB10DD39B23}"/>
    <cellStyle name="Normal 4 4 5 3 2 2 4" xfId="33068" xr:uid="{528598CC-DA0B-4768-9502-7A4D193D188F}"/>
    <cellStyle name="Normal 4 4 5 3 2 3" xfId="11970" xr:uid="{83D70415-D528-440A-90F5-36A05B78B99C}"/>
    <cellStyle name="Normal 4 4 5 3 2 4" xfId="20411" xr:uid="{BABB33A2-44F1-4F98-9443-E0943CA5CC8D}"/>
    <cellStyle name="Normal 4 4 5 3 2 5" xfId="28851" xr:uid="{BBD4A809-7A33-42B6-AB87-BC3010FB230F}"/>
    <cellStyle name="Normal 4 4 5 3 3" xfId="5593" xr:uid="{00000000-0005-0000-0000-0000E4150000}"/>
    <cellStyle name="Normal 4 4 5 3 3 2" xfId="14043" xr:uid="{9803BDD3-FFAB-4FEF-B745-6104095C4C40}"/>
    <cellStyle name="Normal 4 4 5 3 3 3" xfId="22483" xr:uid="{D43100D0-D70C-4558-ABF5-323970717943}"/>
    <cellStyle name="Normal 4 4 5 3 3 4" xfId="30923" xr:uid="{23E68E90-EC0B-4B00-8041-F49CD3126731}"/>
    <cellStyle name="Normal 4 4 5 3 4" xfId="9825" xr:uid="{FF39E9B7-4573-4709-81F6-078E853502E7}"/>
    <cellStyle name="Normal 4 4 5 3 5" xfId="18266" xr:uid="{1EA55C1F-66B4-4FE8-ACB4-C190592604A7}"/>
    <cellStyle name="Normal 4 4 5 3 6" xfId="26706" xr:uid="{F18DF76D-AA10-4C6C-A6DD-4859F6888837}"/>
    <cellStyle name="Normal 4 4 5 4" xfId="1699" xr:uid="{00000000-0005-0000-0000-0000E5150000}"/>
    <cellStyle name="Normal 4 4 5 4 2" xfId="3929" xr:uid="{00000000-0005-0000-0000-0000E6150000}"/>
    <cellStyle name="Normal 4 4 5 4 2 2" xfId="8151" xr:uid="{00000000-0005-0000-0000-0000E7150000}"/>
    <cellStyle name="Normal 4 4 5 4 2 2 2" xfId="16601" xr:uid="{59A301CD-A0D3-4B32-ACCD-03A80883B24F}"/>
    <cellStyle name="Normal 4 4 5 4 2 2 3" xfId="25041" xr:uid="{6046FEF5-B2D6-40A9-BC95-0618001FFEBC}"/>
    <cellStyle name="Normal 4 4 5 4 2 2 4" xfId="33481" xr:uid="{F1E31F8B-A69F-4A4D-899F-07BCC33FE2E4}"/>
    <cellStyle name="Normal 4 4 5 4 2 3" xfId="12383" xr:uid="{02E114F8-A53A-4F05-8DB6-54497695F7FE}"/>
    <cellStyle name="Normal 4 4 5 4 2 4" xfId="20824" xr:uid="{CA5DC847-F631-449E-9690-FD17E9BB926E}"/>
    <cellStyle name="Normal 4 4 5 4 2 5" xfId="29264" xr:uid="{A53296FA-0E72-4E91-9AF1-3D7407F89236}"/>
    <cellStyle name="Normal 4 4 5 4 3" xfId="6006" xr:uid="{00000000-0005-0000-0000-0000E8150000}"/>
    <cellStyle name="Normal 4 4 5 4 3 2" xfId="14456" xr:uid="{2C0D4247-C256-4E24-9CD3-01A1675E23FA}"/>
    <cellStyle name="Normal 4 4 5 4 3 3" xfId="22896" xr:uid="{404B1E2A-FC98-43DE-B93C-F2DFE8BF1020}"/>
    <cellStyle name="Normal 4 4 5 4 3 4" xfId="31336" xr:uid="{61AF69A4-2460-4982-9BE3-C81A6514F08E}"/>
    <cellStyle name="Normal 4 4 5 4 4" xfId="10238" xr:uid="{175D0499-5E88-4078-AE57-9AB4F3588025}"/>
    <cellStyle name="Normal 4 4 5 4 5" xfId="18679" xr:uid="{BC3A0851-248C-4051-A229-FA561213FD53}"/>
    <cellStyle name="Normal 4 4 5 4 6" xfId="27119" xr:uid="{8E000FEB-075E-44A5-80E1-ED00C892288E}"/>
    <cellStyle name="Normal 4 4 5 5" xfId="2113" xr:uid="{00000000-0005-0000-0000-0000E9150000}"/>
    <cellStyle name="Normal 4 4 5 5 2" xfId="4342" xr:uid="{00000000-0005-0000-0000-0000EA150000}"/>
    <cellStyle name="Normal 4 4 5 5 2 2" xfId="8564" xr:uid="{00000000-0005-0000-0000-0000EB150000}"/>
    <cellStyle name="Normal 4 4 5 5 2 2 2" xfId="17014" xr:uid="{70D13970-EB3E-4129-8A5E-BDECFA551409}"/>
    <cellStyle name="Normal 4 4 5 5 2 2 3" xfId="25454" xr:uid="{779C3290-37D3-4385-B476-10A4216DA40D}"/>
    <cellStyle name="Normal 4 4 5 5 2 2 4" xfId="33894" xr:uid="{C8C1838B-09DC-4FC5-9151-E2E86B570BEF}"/>
    <cellStyle name="Normal 4 4 5 5 2 3" xfId="12796" xr:uid="{553A72C8-CE9F-409F-9AA8-C14C34506CBB}"/>
    <cellStyle name="Normal 4 4 5 5 2 4" xfId="21237" xr:uid="{2B47AD7A-C3DB-4AD7-BBFA-5B6E24592F09}"/>
    <cellStyle name="Normal 4 4 5 5 2 5" xfId="29677" xr:uid="{5165E669-F301-43B9-B070-639CB75DA8DF}"/>
    <cellStyle name="Normal 4 4 5 5 3" xfId="6419" xr:uid="{00000000-0005-0000-0000-0000EC150000}"/>
    <cellStyle name="Normal 4 4 5 5 3 2" xfId="14869" xr:uid="{2409D020-F283-4755-B72B-D36366FF52AB}"/>
    <cellStyle name="Normal 4 4 5 5 3 3" xfId="23309" xr:uid="{B7768471-6BB5-41C1-8B87-52382B95395C}"/>
    <cellStyle name="Normal 4 4 5 5 3 4" xfId="31749" xr:uid="{076E64D5-9859-492E-8C80-486EAAF95BCE}"/>
    <cellStyle name="Normal 4 4 5 5 4" xfId="10651" xr:uid="{48F208D4-3B43-4669-BA91-7B3F75596B64}"/>
    <cellStyle name="Normal 4 4 5 5 5" xfId="19092" xr:uid="{12B49AE8-435B-47A1-BFBA-2616E5EC31B6}"/>
    <cellStyle name="Normal 4 4 5 5 6" xfId="27532" xr:uid="{B384946B-222F-4C0D-950E-2D51198F7F08}"/>
    <cellStyle name="Normal 4 4 5 6" xfId="2549" xr:uid="{00000000-0005-0000-0000-0000ED150000}"/>
    <cellStyle name="Normal 4 4 5 6 2" xfId="6832" xr:uid="{00000000-0005-0000-0000-0000EE150000}"/>
    <cellStyle name="Normal 4 4 5 6 2 2" xfId="15282" xr:uid="{A433C651-E2FD-499C-B363-6D781D12D56C}"/>
    <cellStyle name="Normal 4 4 5 6 2 3" xfId="23722" xr:uid="{28A867A5-9CA3-4E74-AA86-85564535FD48}"/>
    <cellStyle name="Normal 4 4 5 6 2 4" xfId="32162" xr:uid="{3744169B-5355-4937-8C51-7AEB4A6BA685}"/>
    <cellStyle name="Normal 4 4 5 6 3" xfId="11064" xr:uid="{32E1C26F-4E7D-4749-A128-066FF9FABCF0}"/>
    <cellStyle name="Normal 4 4 5 6 4" xfId="19505" xr:uid="{34629EB7-90EF-4B52-B228-3D744C21D239}"/>
    <cellStyle name="Normal 4 4 5 6 5" xfId="27945" xr:uid="{288C177D-7B18-490F-819D-594B42F5E166}"/>
    <cellStyle name="Normal 4 4 5 7" xfId="4767" xr:uid="{00000000-0005-0000-0000-0000EF150000}"/>
    <cellStyle name="Normal 4 4 5 7 2" xfId="13217" xr:uid="{F5DD4318-C62C-4F0B-95D8-FD1D29103EF7}"/>
    <cellStyle name="Normal 4 4 5 7 3" xfId="21657" xr:uid="{D3B2FA1B-278B-4492-A197-72AF44F9BEF0}"/>
    <cellStyle name="Normal 4 4 5 7 4" xfId="30097" xr:uid="{ADCE0CD4-857D-4429-BBB7-EE835BAC1BCA}"/>
    <cellStyle name="Normal 4 4 5 8" xfId="8999" xr:uid="{3FB2D6F9-B026-4BFA-85EF-F88A4C2713CC}"/>
    <cellStyle name="Normal 4 4 5 9" xfId="17440" xr:uid="{C2F32CCB-9D74-4A5C-B159-375FD2AF723F}"/>
    <cellStyle name="Normal 4 4 6" xfId="853" xr:uid="{00000000-0005-0000-0000-0000F0150000}"/>
    <cellStyle name="Normal 4 4 6 2" xfId="3088" xr:uid="{00000000-0005-0000-0000-0000F1150000}"/>
    <cellStyle name="Normal 4 4 6 2 2" xfId="7310" xr:uid="{00000000-0005-0000-0000-0000F2150000}"/>
    <cellStyle name="Normal 4 4 6 2 2 2" xfId="15760" xr:uid="{EF137764-5D8B-411B-B7DC-3B4F71E0E987}"/>
    <cellStyle name="Normal 4 4 6 2 2 3" xfId="24200" xr:uid="{6B24FC2E-E6A1-4D6E-AE6E-F2BB817C91DA}"/>
    <cellStyle name="Normal 4 4 6 2 2 4" xfId="32640" xr:uid="{1C4F6F37-F61E-49F7-88A9-EB778A44A606}"/>
    <cellStyle name="Normal 4 4 6 2 3" xfId="11542" xr:uid="{AB8AC094-FFC8-488E-B0EA-748A99205DCC}"/>
    <cellStyle name="Normal 4 4 6 2 4" xfId="19983" xr:uid="{287B9D92-F45F-4103-A720-E7196D27DD89}"/>
    <cellStyle name="Normal 4 4 6 2 5" xfId="28423" xr:uid="{052E9AC6-6D43-45C3-A7DE-326E3399A780}"/>
    <cellStyle name="Normal 4 4 6 3" xfId="5165" xr:uid="{00000000-0005-0000-0000-0000F3150000}"/>
    <cellStyle name="Normal 4 4 6 3 2" xfId="13615" xr:uid="{C02BB3A4-68B5-49A5-9757-0BE8CB68AED4}"/>
    <cellStyle name="Normal 4 4 6 3 3" xfId="22055" xr:uid="{242EEE18-2828-4FF0-A133-A818C2B18E2C}"/>
    <cellStyle name="Normal 4 4 6 3 4" xfId="30495" xr:uid="{7948CCD2-6A06-4C9A-9C02-2F7A3CC4799C}"/>
    <cellStyle name="Normal 4 4 6 4" xfId="9397" xr:uid="{A9B9EF7C-4FCC-499C-86A0-7E9917BEDDAD}"/>
    <cellStyle name="Normal 4 4 6 5" xfId="17838" xr:uid="{41CA4288-5FA4-41BA-BCE5-B4A16F7E1D13}"/>
    <cellStyle name="Normal 4 4 6 6" xfId="26278" xr:uid="{57B5A13A-CDD5-4C8C-8D7B-20E4ECFE40F9}"/>
    <cellStyle name="Normal 4 4 7" xfId="1271" xr:uid="{00000000-0005-0000-0000-0000F4150000}"/>
    <cellStyle name="Normal 4 4 7 2" xfId="3501" xr:uid="{00000000-0005-0000-0000-0000F5150000}"/>
    <cellStyle name="Normal 4 4 7 2 2" xfId="7723" xr:uid="{00000000-0005-0000-0000-0000F6150000}"/>
    <cellStyle name="Normal 4 4 7 2 2 2" xfId="16173" xr:uid="{AE74D82E-AAD0-46D8-8090-EFCDBC99DF76}"/>
    <cellStyle name="Normal 4 4 7 2 2 3" xfId="24613" xr:uid="{DFDB2245-FF3F-4B9E-BC93-728A96FB332A}"/>
    <cellStyle name="Normal 4 4 7 2 2 4" xfId="33053" xr:uid="{22C07EA6-4040-4620-ACC0-6A28FD6E4245}"/>
    <cellStyle name="Normal 4 4 7 2 3" xfId="11955" xr:uid="{8F9A6837-C78B-4361-A43D-6FF0075D4417}"/>
    <cellStyle name="Normal 4 4 7 2 4" xfId="20396" xr:uid="{02357EFB-4748-4B51-BC2F-FAA7D825320A}"/>
    <cellStyle name="Normal 4 4 7 2 5" xfId="28836" xr:uid="{B27DA79F-6DA3-492E-8FAA-D89E672514F2}"/>
    <cellStyle name="Normal 4 4 7 3" xfId="5578" xr:uid="{00000000-0005-0000-0000-0000F7150000}"/>
    <cellStyle name="Normal 4 4 7 3 2" xfId="14028" xr:uid="{3E9A97CE-09D4-44A3-AFB7-6686F20DB151}"/>
    <cellStyle name="Normal 4 4 7 3 3" xfId="22468" xr:uid="{0BE57A82-8125-4344-B2B5-B41CAAAE3642}"/>
    <cellStyle name="Normal 4 4 7 3 4" xfId="30908" xr:uid="{357F31F8-2992-410A-8015-9B82773235A3}"/>
    <cellStyle name="Normal 4 4 7 4" xfId="9810" xr:uid="{06F41634-9507-460A-80D0-36E47944B4FB}"/>
    <cellStyle name="Normal 4 4 7 5" xfId="18251" xr:uid="{6340B24A-90E2-4637-8AF7-BA097E10F4F6}"/>
    <cellStyle name="Normal 4 4 7 6" xfId="26691" xr:uid="{DB6B88D3-4F71-4BFD-9A86-FA814EC39EA1}"/>
    <cellStyle name="Normal 4 4 8" xfId="1684" xr:uid="{00000000-0005-0000-0000-0000F8150000}"/>
    <cellStyle name="Normal 4 4 8 2" xfId="3914" xr:uid="{00000000-0005-0000-0000-0000F9150000}"/>
    <cellStyle name="Normal 4 4 8 2 2" xfId="8136" xr:uid="{00000000-0005-0000-0000-0000FA150000}"/>
    <cellStyle name="Normal 4 4 8 2 2 2" xfId="16586" xr:uid="{B2C082BA-BA32-4A9D-AB78-8E89D1CBA500}"/>
    <cellStyle name="Normal 4 4 8 2 2 3" xfId="25026" xr:uid="{4A0992FE-D33A-4C0F-9FA6-F04B5A94AC0F}"/>
    <cellStyle name="Normal 4 4 8 2 2 4" xfId="33466" xr:uid="{7FBAD815-DC26-4109-8F14-B7B5C932A2FC}"/>
    <cellStyle name="Normal 4 4 8 2 3" xfId="12368" xr:uid="{8724C951-1C5B-49EF-A25C-BDF2FB24528C}"/>
    <cellStyle name="Normal 4 4 8 2 4" xfId="20809" xr:uid="{3C2A4791-A3ED-45C0-9D0E-02D3231F48C8}"/>
    <cellStyle name="Normal 4 4 8 2 5" xfId="29249" xr:uid="{59C0BE7B-C879-4EAB-ABF1-F749B2013AC0}"/>
    <cellStyle name="Normal 4 4 8 3" xfId="5991" xr:uid="{00000000-0005-0000-0000-0000FB150000}"/>
    <cellStyle name="Normal 4 4 8 3 2" xfId="14441" xr:uid="{9462A161-79EA-465F-B67D-10B49449DB6F}"/>
    <cellStyle name="Normal 4 4 8 3 3" xfId="22881" xr:uid="{BC3987C9-361A-4B1E-B186-975A389FA591}"/>
    <cellStyle name="Normal 4 4 8 3 4" xfId="31321" xr:uid="{5046E424-748A-457A-B696-FE845D55F055}"/>
    <cellStyle name="Normal 4 4 8 4" xfId="10223" xr:uid="{E2618E75-A9E1-4A47-B39C-532CDD297886}"/>
    <cellStyle name="Normal 4 4 8 5" xfId="18664" xr:uid="{5776C0F0-23EE-4BD5-BE74-552D9E831F96}"/>
    <cellStyle name="Normal 4 4 8 6" xfId="27104" xr:uid="{635E1C12-9436-4613-9785-DB5AAA96842E}"/>
    <cellStyle name="Normal 4 4 9" xfId="2098" xr:uid="{00000000-0005-0000-0000-0000FC150000}"/>
    <cellStyle name="Normal 4 4 9 2" xfId="4327" xr:uid="{00000000-0005-0000-0000-0000FD150000}"/>
    <cellStyle name="Normal 4 4 9 2 2" xfId="8549" xr:uid="{00000000-0005-0000-0000-0000FE150000}"/>
    <cellStyle name="Normal 4 4 9 2 2 2" xfId="16999" xr:uid="{D6600AF1-F3C6-4125-8819-607C914973C8}"/>
    <cellStyle name="Normal 4 4 9 2 2 3" xfId="25439" xr:uid="{B8612640-8779-450A-B5A9-2398B4151935}"/>
    <cellStyle name="Normal 4 4 9 2 2 4" xfId="33879" xr:uid="{FA5C7950-BFBE-47E0-AEBE-CA0B1A103C0D}"/>
    <cellStyle name="Normal 4 4 9 2 3" xfId="12781" xr:uid="{EF4A292F-6D04-4C98-826E-AE2916D048F7}"/>
    <cellStyle name="Normal 4 4 9 2 4" xfId="21222" xr:uid="{F139B0B8-337E-4DF9-BE5B-CEF86B571D1E}"/>
    <cellStyle name="Normal 4 4 9 2 5" xfId="29662" xr:uid="{A5AF1E95-3F95-4E6C-AB58-D9E6E2166355}"/>
    <cellStyle name="Normal 4 4 9 3" xfId="6404" xr:uid="{00000000-0005-0000-0000-0000FF150000}"/>
    <cellStyle name="Normal 4 4 9 3 2" xfId="14854" xr:uid="{6A6289B0-4D7F-4F19-8A98-9AAB62F1D15C}"/>
    <cellStyle name="Normal 4 4 9 3 3" xfId="23294" xr:uid="{A2ADC7AE-A153-46D1-BD00-70C895549F90}"/>
    <cellStyle name="Normal 4 4 9 3 4" xfId="31734" xr:uid="{A1C395C1-FA3F-4FA3-A901-750DF97EA410}"/>
    <cellStyle name="Normal 4 4 9 4" xfId="10636" xr:uid="{D6E0EA30-B390-4E02-81B6-A261DCFDCB24}"/>
    <cellStyle name="Normal 4 4 9 5" xfId="19077" xr:uid="{94399717-60BC-435B-ABC5-3B0D101A4501}"/>
    <cellStyle name="Normal 4 4 9 6" xfId="27517" xr:uid="{7C258453-C1A8-428A-9E5D-2F5AE3CC8F27}"/>
    <cellStyle name="Normal 4 5" xfId="394" xr:uid="{00000000-0005-0000-0000-000000160000}"/>
    <cellStyle name="Normal 4 6" xfId="395" xr:uid="{00000000-0005-0000-0000-000001160000}"/>
    <cellStyle name="Normal 4 6 10" xfId="4768" xr:uid="{00000000-0005-0000-0000-000002160000}"/>
    <cellStyle name="Normal 4 6 10 2" xfId="13218" xr:uid="{6C59A91F-B0FF-4083-BCCB-199014237852}"/>
    <cellStyle name="Normal 4 6 10 3" xfId="21658" xr:uid="{1416E6FD-059B-4300-BD54-D3E9E5092FBE}"/>
    <cellStyle name="Normal 4 6 10 4" xfId="30098" xr:uid="{272C4CB8-6EE6-4495-807D-493F74D68FD7}"/>
    <cellStyle name="Normal 4 6 11" xfId="9000" xr:uid="{AF506CE5-2C9E-4C1F-B91D-4DD0CA68F21F}"/>
    <cellStyle name="Normal 4 6 12" xfId="17441" xr:uid="{372BC9C7-6CBE-4E99-988A-83F8A1AA48D7}"/>
    <cellStyle name="Normal 4 6 13" xfId="25881" xr:uid="{1C85B560-4B45-4496-9F3A-2EC52953AA80}"/>
    <cellStyle name="Normal 4 6 2" xfId="396" xr:uid="{00000000-0005-0000-0000-000003160000}"/>
    <cellStyle name="Normal 4 6 2 10" xfId="9001" xr:uid="{A57727E4-4857-4DCC-9B36-5EEA8A4781F9}"/>
    <cellStyle name="Normal 4 6 2 11" xfId="17442" xr:uid="{52FCB652-7121-4715-A2D8-0B88757641AD}"/>
    <cellStyle name="Normal 4 6 2 12" xfId="25882" xr:uid="{6BD2E6BB-E048-435D-91FB-846DE293A762}"/>
    <cellStyle name="Normal 4 6 2 2" xfId="397" xr:uid="{00000000-0005-0000-0000-000004160000}"/>
    <cellStyle name="Normal 4 6 2 2 10" xfId="17443" xr:uid="{70645320-A297-4E29-8CE6-D94C693E2349}"/>
    <cellStyle name="Normal 4 6 2 2 11" xfId="25883" xr:uid="{642D626B-EFAD-4136-88B0-500083E7EC16}"/>
    <cellStyle name="Normal 4 6 2 2 2" xfId="398" xr:uid="{00000000-0005-0000-0000-000005160000}"/>
    <cellStyle name="Normal 4 6 2 2 2 10" xfId="25884" xr:uid="{428805DE-9267-4994-BBBE-BE0FCE10ED81}"/>
    <cellStyle name="Normal 4 6 2 2 2 2" xfId="872" xr:uid="{00000000-0005-0000-0000-000006160000}"/>
    <cellStyle name="Normal 4 6 2 2 2 2 2" xfId="3107" xr:uid="{00000000-0005-0000-0000-000007160000}"/>
    <cellStyle name="Normal 4 6 2 2 2 2 2 2" xfId="7329" xr:uid="{00000000-0005-0000-0000-000008160000}"/>
    <cellStyle name="Normal 4 6 2 2 2 2 2 2 2" xfId="15779" xr:uid="{BEE4F894-E45B-4CA2-8F38-3724654847C1}"/>
    <cellStyle name="Normal 4 6 2 2 2 2 2 2 3" xfId="24219" xr:uid="{BE694B99-4CEA-4A18-94AC-B32D292EAC65}"/>
    <cellStyle name="Normal 4 6 2 2 2 2 2 2 4" xfId="32659" xr:uid="{48CDF854-3150-468A-A299-240870F1185E}"/>
    <cellStyle name="Normal 4 6 2 2 2 2 2 3" xfId="11561" xr:uid="{A37AFB0C-DBAE-4EE0-A8C8-D7FE0FA411BA}"/>
    <cellStyle name="Normal 4 6 2 2 2 2 2 4" xfId="20002" xr:uid="{5A649BD0-AD4C-4335-A5F8-51D0086AA473}"/>
    <cellStyle name="Normal 4 6 2 2 2 2 2 5" xfId="28442" xr:uid="{C4A158B5-6D19-40EF-BCD3-80596037AF99}"/>
    <cellStyle name="Normal 4 6 2 2 2 2 3" xfId="5184" xr:uid="{00000000-0005-0000-0000-000009160000}"/>
    <cellStyle name="Normal 4 6 2 2 2 2 3 2" xfId="13634" xr:uid="{2ECFC9D0-A041-417B-A2CA-1598F5D48808}"/>
    <cellStyle name="Normal 4 6 2 2 2 2 3 3" xfId="22074" xr:uid="{ADC904B3-2641-453D-8523-B12D86ED594F}"/>
    <cellStyle name="Normal 4 6 2 2 2 2 3 4" xfId="30514" xr:uid="{D4C3B59A-8C63-4869-AB6E-EFC82E50A0D3}"/>
    <cellStyle name="Normal 4 6 2 2 2 2 4" xfId="9416" xr:uid="{48D3E67B-59C5-4FED-A08F-508469FA4377}"/>
    <cellStyle name="Normal 4 6 2 2 2 2 5" xfId="17857" xr:uid="{16F7F85F-D8A3-4BD9-B278-793BD7DABC4F}"/>
    <cellStyle name="Normal 4 6 2 2 2 2 6" xfId="26297" xr:uid="{F2A22759-9BA4-463B-ABE6-C437949F5246}"/>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2 2 2" xfId="16192" xr:uid="{A322F42D-6BBB-4129-AB86-16D2E017BF8A}"/>
    <cellStyle name="Normal 4 6 2 2 2 3 2 2 3" xfId="24632" xr:uid="{CA2B0520-27E8-49F4-82C0-C26F17003A57}"/>
    <cellStyle name="Normal 4 6 2 2 2 3 2 2 4" xfId="33072" xr:uid="{63DA5179-ABC2-4AE8-949E-0C2082910E20}"/>
    <cellStyle name="Normal 4 6 2 2 2 3 2 3" xfId="11974" xr:uid="{DA3814FA-F8EB-4101-8FB9-95949CD09729}"/>
    <cellStyle name="Normal 4 6 2 2 2 3 2 4" xfId="20415" xr:uid="{A411066F-2300-4532-AF6B-AC6B23BC52F4}"/>
    <cellStyle name="Normal 4 6 2 2 2 3 2 5" xfId="28855" xr:uid="{85020AF1-EF5F-46F2-90B2-051993193F56}"/>
    <cellStyle name="Normal 4 6 2 2 2 3 3" xfId="5597" xr:uid="{00000000-0005-0000-0000-00000D160000}"/>
    <cellStyle name="Normal 4 6 2 2 2 3 3 2" xfId="14047" xr:uid="{EEBD9E20-82F6-49A0-9E2E-A0812D52C679}"/>
    <cellStyle name="Normal 4 6 2 2 2 3 3 3" xfId="22487" xr:uid="{D0247B0D-D463-4A12-94B5-99EF8A2A7B6F}"/>
    <cellStyle name="Normal 4 6 2 2 2 3 3 4" xfId="30927" xr:uid="{C95CABD3-66A8-4705-B0B8-5DBB2BAC070D}"/>
    <cellStyle name="Normal 4 6 2 2 2 3 4" xfId="9829" xr:uid="{A20CD5A6-6DCA-4B32-8A6E-42C24906EE46}"/>
    <cellStyle name="Normal 4 6 2 2 2 3 5" xfId="18270" xr:uid="{95CCF4AC-76B7-4FC6-B83F-90A1D41AB2C7}"/>
    <cellStyle name="Normal 4 6 2 2 2 3 6" xfId="26710" xr:uid="{F19988F3-5AAD-4626-8D6C-DF925AECD9EA}"/>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2 2 2" xfId="16605" xr:uid="{B37A46DD-ECA6-4054-B949-A545198845A7}"/>
    <cellStyle name="Normal 4 6 2 2 2 4 2 2 3" xfId="25045" xr:uid="{83A1FAE3-6C28-4B3F-8A4B-56B0EA7D187C}"/>
    <cellStyle name="Normal 4 6 2 2 2 4 2 2 4" xfId="33485" xr:uid="{1BAE1073-6AE9-48A7-9A86-3D1622003978}"/>
    <cellStyle name="Normal 4 6 2 2 2 4 2 3" xfId="12387" xr:uid="{42723C01-5144-4136-ACC6-983BE1AF5A36}"/>
    <cellStyle name="Normal 4 6 2 2 2 4 2 4" xfId="20828" xr:uid="{80C21DC2-ADA6-4F01-B3B3-96365754CA53}"/>
    <cellStyle name="Normal 4 6 2 2 2 4 2 5" xfId="29268" xr:uid="{093C6C73-0E05-4411-AEC0-074694618099}"/>
    <cellStyle name="Normal 4 6 2 2 2 4 3" xfId="6010" xr:uid="{00000000-0005-0000-0000-000011160000}"/>
    <cellStyle name="Normal 4 6 2 2 2 4 3 2" xfId="14460" xr:uid="{787C9490-0BAC-43A8-806F-AC76E4B0718A}"/>
    <cellStyle name="Normal 4 6 2 2 2 4 3 3" xfId="22900" xr:uid="{40504460-B6F7-4E0A-B4C7-A6FF37285AD8}"/>
    <cellStyle name="Normal 4 6 2 2 2 4 3 4" xfId="31340" xr:uid="{A9A4E636-13D8-4030-A761-A8F6AA1F2E55}"/>
    <cellStyle name="Normal 4 6 2 2 2 4 4" xfId="10242" xr:uid="{EEE56B42-2565-484F-ADD5-EEB062A64F9C}"/>
    <cellStyle name="Normal 4 6 2 2 2 4 5" xfId="18683" xr:uid="{6873B9A7-F530-4AB9-95E3-03BE6918D81E}"/>
    <cellStyle name="Normal 4 6 2 2 2 4 6" xfId="27123" xr:uid="{9FD1CFE2-66A8-44F8-AA2A-0CE366305FFB}"/>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2 2 2" xfId="17018" xr:uid="{376E91FD-EB27-477B-88B6-2288A4B342D5}"/>
    <cellStyle name="Normal 4 6 2 2 2 5 2 2 3" xfId="25458" xr:uid="{754359D2-1137-4FDD-A04E-0586311D10C8}"/>
    <cellStyle name="Normal 4 6 2 2 2 5 2 2 4" xfId="33898" xr:uid="{BEA189ED-0317-4174-AEFD-D83F50BDFBC1}"/>
    <cellStyle name="Normal 4 6 2 2 2 5 2 3" xfId="12800" xr:uid="{5188DA04-92CE-4D92-AA13-6A6ED5801C90}"/>
    <cellStyle name="Normal 4 6 2 2 2 5 2 4" xfId="21241" xr:uid="{F54A8B31-C821-4428-8243-D638488D94D2}"/>
    <cellStyle name="Normal 4 6 2 2 2 5 2 5" xfId="29681" xr:uid="{B935BA7E-E05B-495C-B742-D6BDCB52DC39}"/>
    <cellStyle name="Normal 4 6 2 2 2 5 3" xfId="6423" xr:uid="{00000000-0005-0000-0000-000015160000}"/>
    <cellStyle name="Normal 4 6 2 2 2 5 3 2" xfId="14873" xr:uid="{A3290DC0-3A10-45E0-844A-32761F6A3310}"/>
    <cellStyle name="Normal 4 6 2 2 2 5 3 3" xfId="23313" xr:uid="{E7DD6C54-760F-499E-8FBC-4EA57EF80C81}"/>
    <cellStyle name="Normal 4 6 2 2 2 5 3 4" xfId="31753" xr:uid="{BC6430F1-5A53-4DF4-9550-2A9D388FBDDC}"/>
    <cellStyle name="Normal 4 6 2 2 2 5 4" xfId="10655" xr:uid="{AC9B6C56-1851-46B9-80A9-117C7C672910}"/>
    <cellStyle name="Normal 4 6 2 2 2 5 5" xfId="19096" xr:uid="{713421B4-5817-44FC-9B77-C120F816FCF5}"/>
    <cellStyle name="Normal 4 6 2 2 2 5 6" xfId="27536" xr:uid="{69FBC997-8C81-4508-BB78-0A0463BB93FC}"/>
    <cellStyle name="Normal 4 6 2 2 2 6" xfId="2553" xr:uid="{00000000-0005-0000-0000-000016160000}"/>
    <cellStyle name="Normal 4 6 2 2 2 6 2" xfId="6836" xr:uid="{00000000-0005-0000-0000-000017160000}"/>
    <cellStyle name="Normal 4 6 2 2 2 6 2 2" xfId="15286" xr:uid="{15560BED-F350-4B0F-8380-447D97526A71}"/>
    <cellStyle name="Normal 4 6 2 2 2 6 2 3" xfId="23726" xr:uid="{3D0CFCF8-718B-461D-9F05-26933694F5FC}"/>
    <cellStyle name="Normal 4 6 2 2 2 6 2 4" xfId="32166" xr:uid="{5491AB06-7D0A-4DBB-8B0A-95430EC1B4B5}"/>
    <cellStyle name="Normal 4 6 2 2 2 6 3" xfId="11068" xr:uid="{5142CA17-9BAF-43E7-A56B-1F3B356987C3}"/>
    <cellStyle name="Normal 4 6 2 2 2 6 4" xfId="19509" xr:uid="{77EB0BC7-991D-4793-B4DE-C3B2A5358C66}"/>
    <cellStyle name="Normal 4 6 2 2 2 6 5" xfId="27949" xr:uid="{C31E872B-7CAC-4EB0-AD65-D10A5E8BFB41}"/>
    <cellStyle name="Normal 4 6 2 2 2 7" xfId="4771" xr:uid="{00000000-0005-0000-0000-000018160000}"/>
    <cellStyle name="Normal 4 6 2 2 2 7 2" xfId="13221" xr:uid="{440FFF60-0AB2-422F-8C79-47A423435302}"/>
    <cellStyle name="Normal 4 6 2 2 2 7 3" xfId="21661" xr:uid="{5AA3E5B4-FEA6-4C4D-BCA8-C6777CC2B09B}"/>
    <cellStyle name="Normal 4 6 2 2 2 7 4" xfId="30101" xr:uid="{D0E18861-B5D1-4E00-83EA-7AC419111FA5}"/>
    <cellStyle name="Normal 4 6 2 2 2 8" xfId="9003" xr:uid="{CCFABB2F-0FEE-4629-B3D0-66CDD366A397}"/>
    <cellStyle name="Normal 4 6 2 2 2 9" xfId="17444" xr:uid="{F1298D28-5EC6-431B-8C4F-41147D3B1D95}"/>
    <cellStyle name="Normal 4 6 2 2 3" xfId="871" xr:uid="{00000000-0005-0000-0000-000019160000}"/>
    <cellStyle name="Normal 4 6 2 2 3 2" xfId="3106" xr:uid="{00000000-0005-0000-0000-00001A160000}"/>
    <cellStyle name="Normal 4 6 2 2 3 2 2" xfId="7328" xr:uid="{00000000-0005-0000-0000-00001B160000}"/>
    <cellStyle name="Normal 4 6 2 2 3 2 2 2" xfId="15778" xr:uid="{BD02842E-ECC4-4BED-8138-EDA2642E60C4}"/>
    <cellStyle name="Normal 4 6 2 2 3 2 2 3" xfId="24218" xr:uid="{6219A569-AA98-4129-96A4-5B1175825434}"/>
    <cellStyle name="Normal 4 6 2 2 3 2 2 4" xfId="32658" xr:uid="{A2588998-051A-45EF-9E7F-14237B3E6285}"/>
    <cellStyle name="Normal 4 6 2 2 3 2 3" xfId="11560" xr:uid="{B6B15B48-FFDA-42F9-AF50-BAE08AA3E3B2}"/>
    <cellStyle name="Normal 4 6 2 2 3 2 4" xfId="20001" xr:uid="{E24549D6-E573-406C-ABDD-835C4D05BE9B}"/>
    <cellStyle name="Normal 4 6 2 2 3 2 5" xfId="28441" xr:uid="{9FEBF5FF-3840-4C89-B208-99CCCB966DB2}"/>
    <cellStyle name="Normal 4 6 2 2 3 3" xfId="5183" xr:uid="{00000000-0005-0000-0000-00001C160000}"/>
    <cellStyle name="Normal 4 6 2 2 3 3 2" xfId="13633" xr:uid="{F6B9114D-6D5C-46EC-8C9B-82F07D848E8B}"/>
    <cellStyle name="Normal 4 6 2 2 3 3 3" xfId="22073" xr:uid="{0452C139-FEC3-4EBC-8449-A46444F9A2A8}"/>
    <cellStyle name="Normal 4 6 2 2 3 3 4" xfId="30513" xr:uid="{098706D6-A203-4266-B36A-C30C5466C03F}"/>
    <cellStyle name="Normal 4 6 2 2 3 4" xfId="9415" xr:uid="{734115B8-D3EE-4576-9A4F-9A8ADE72511B}"/>
    <cellStyle name="Normal 4 6 2 2 3 5" xfId="17856" xr:uid="{1AB93C0E-375D-442C-B2DB-11B2FFA94609}"/>
    <cellStyle name="Normal 4 6 2 2 3 6" xfId="26296" xr:uid="{19245605-E5F3-4884-9765-9EC5F92559EC}"/>
    <cellStyle name="Normal 4 6 2 2 4" xfId="1289" xr:uid="{00000000-0005-0000-0000-00001D160000}"/>
    <cellStyle name="Normal 4 6 2 2 4 2" xfId="3519" xr:uid="{00000000-0005-0000-0000-00001E160000}"/>
    <cellStyle name="Normal 4 6 2 2 4 2 2" xfId="7741" xr:uid="{00000000-0005-0000-0000-00001F160000}"/>
    <cellStyle name="Normal 4 6 2 2 4 2 2 2" xfId="16191" xr:uid="{70B659B5-48F4-4D10-AB4B-CD8D70C75010}"/>
    <cellStyle name="Normal 4 6 2 2 4 2 2 3" xfId="24631" xr:uid="{123A88F2-F115-40AE-882B-13EE2E13990B}"/>
    <cellStyle name="Normal 4 6 2 2 4 2 2 4" xfId="33071" xr:uid="{AF278702-282C-4074-B82D-5000A16212F3}"/>
    <cellStyle name="Normal 4 6 2 2 4 2 3" xfId="11973" xr:uid="{11BDA9AF-2203-4D95-A4B0-46EC50463250}"/>
    <cellStyle name="Normal 4 6 2 2 4 2 4" xfId="20414" xr:uid="{1A103147-500F-4861-8DC6-118C93CC5753}"/>
    <cellStyle name="Normal 4 6 2 2 4 2 5" xfId="28854" xr:uid="{FAD5E261-9EEA-4DD7-9936-99FE46EA20C1}"/>
    <cellStyle name="Normal 4 6 2 2 4 3" xfId="5596" xr:uid="{00000000-0005-0000-0000-000020160000}"/>
    <cellStyle name="Normal 4 6 2 2 4 3 2" xfId="14046" xr:uid="{A38B038D-A6A8-4C4D-8532-FC5DA137E588}"/>
    <cellStyle name="Normal 4 6 2 2 4 3 3" xfId="22486" xr:uid="{EBCBA6C6-B551-47FD-9C41-BB225CF59556}"/>
    <cellStyle name="Normal 4 6 2 2 4 3 4" xfId="30926" xr:uid="{785D1476-B7DB-4DFB-95D9-29AE448344C0}"/>
    <cellStyle name="Normal 4 6 2 2 4 4" xfId="9828" xr:uid="{4DAFEBA3-8087-4DB3-8117-F85E2B97D225}"/>
    <cellStyle name="Normal 4 6 2 2 4 5" xfId="18269" xr:uid="{222AD007-D09D-4322-A883-528378CEF17B}"/>
    <cellStyle name="Normal 4 6 2 2 4 6" xfId="26709" xr:uid="{0787AE77-B4C5-4764-A4B5-6E2DEE1B9BA7}"/>
    <cellStyle name="Normal 4 6 2 2 5" xfId="1702" xr:uid="{00000000-0005-0000-0000-000021160000}"/>
    <cellStyle name="Normal 4 6 2 2 5 2" xfId="3932" xr:uid="{00000000-0005-0000-0000-000022160000}"/>
    <cellStyle name="Normal 4 6 2 2 5 2 2" xfId="8154" xr:uid="{00000000-0005-0000-0000-000023160000}"/>
    <cellStyle name="Normal 4 6 2 2 5 2 2 2" xfId="16604" xr:uid="{DB90A68D-ECBF-4867-A659-6D5CDE0657DF}"/>
    <cellStyle name="Normal 4 6 2 2 5 2 2 3" xfId="25044" xr:uid="{74DCF9A7-1A30-4754-AB1E-C65B3164B997}"/>
    <cellStyle name="Normal 4 6 2 2 5 2 2 4" xfId="33484" xr:uid="{2F8711E2-CC57-4BBD-AC18-BA587D368014}"/>
    <cellStyle name="Normal 4 6 2 2 5 2 3" xfId="12386" xr:uid="{165CB03F-769E-4BD0-83C9-D97E78DFF7F3}"/>
    <cellStyle name="Normal 4 6 2 2 5 2 4" xfId="20827" xr:uid="{BB5CB71D-761F-495B-917D-D5B927C2C4B4}"/>
    <cellStyle name="Normal 4 6 2 2 5 2 5" xfId="29267" xr:uid="{7A5020CC-8D65-4924-83E0-A192097B2352}"/>
    <cellStyle name="Normal 4 6 2 2 5 3" xfId="6009" xr:uid="{00000000-0005-0000-0000-000024160000}"/>
    <cellStyle name="Normal 4 6 2 2 5 3 2" xfId="14459" xr:uid="{329A2D92-9E2F-4447-B844-A9C18AB298E3}"/>
    <cellStyle name="Normal 4 6 2 2 5 3 3" xfId="22899" xr:uid="{2E901106-2336-4D80-881E-E013DEA56B97}"/>
    <cellStyle name="Normal 4 6 2 2 5 3 4" xfId="31339" xr:uid="{D60F6B4B-5357-4E04-A567-183F5380741B}"/>
    <cellStyle name="Normal 4 6 2 2 5 4" xfId="10241" xr:uid="{7C6C938B-EF58-4156-8BAB-51BA6BB344C3}"/>
    <cellStyle name="Normal 4 6 2 2 5 5" xfId="18682" xr:uid="{76AE6FF9-309C-4660-B60D-7A54DA8D3422}"/>
    <cellStyle name="Normal 4 6 2 2 5 6" xfId="27122" xr:uid="{A85294AB-3F1D-4028-A7FC-31B51113B21D}"/>
    <cellStyle name="Normal 4 6 2 2 6" xfId="2116" xr:uid="{00000000-0005-0000-0000-000025160000}"/>
    <cellStyle name="Normal 4 6 2 2 6 2" xfId="4345" xr:uid="{00000000-0005-0000-0000-000026160000}"/>
    <cellStyle name="Normal 4 6 2 2 6 2 2" xfId="8567" xr:uid="{00000000-0005-0000-0000-000027160000}"/>
    <cellStyle name="Normal 4 6 2 2 6 2 2 2" xfId="17017" xr:uid="{E515838A-F77D-4F8D-B590-90DD1159FF81}"/>
    <cellStyle name="Normal 4 6 2 2 6 2 2 3" xfId="25457" xr:uid="{032434BF-5381-4F72-8411-483D9D425633}"/>
    <cellStyle name="Normal 4 6 2 2 6 2 2 4" xfId="33897" xr:uid="{C22046B8-00DC-4AB1-8465-7F7C7867A5AD}"/>
    <cellStyle name="Normal 4 6 2 2 6 2 3" xfId="12799" xr:uid="{F001795C-57EB-4D25-BE23-BAAD404D5094}"/>
    <cellStyle name="Normal 4 6 2 2 6 2 4" xfId="21240" xr:uid="{6EA56412-A63E-4F76-81AF-26A2000B6D63}"/>
    <cellStyle name="Normal 4 6 2 2 6 2 5" xfId="29680" xr:uid="{28CAFDC6-3546-4E5B-B914-20B41243D246}"/>
    <cellStyle name="Normal 4 6 2 2 6 3" xfId="6422" xr:uid="{00000000-0005-0000-0000-000028160000}"/>
    <cellStyle name="Normal 4 6 2 2 6 3 2" xfId="14872" xr:uid="{66791EE5-CF0E-40D7-A238-E4D2FF379887}"/>
    <cellStyle name="Normal 4 6 2 2 6 3 3" xfId="23312" xr:uid="{6353C271-E49F-485F-8EF8-C678D4AA291B}"/>
    <cellStyle name="Normal 4 6 2 2 6 3 4" xfId="31752" xr:uid="{85FB1119-2220-42A3-ADCE-B1D1E393D09D}"/>
    <cellStyle name="Normal 4 6 2 2 6 4" xfId="10654" xr:uid="{F476CA38-BD89-4D5E-B41A-8008BC1FDF62}"/>
    <cellStyle name="Normal 4 6 2 2 6 5" xfId="19095" xr:uid="{02C7600E-DC4E-4FFD-BDA7-222D09A96489}"/>
    <cellStyle name="Normal 4 6 2 2 6 6" xfId="27535" xr:uid="{E06C8071-73AF-4A83-8AE2-11829DB913F0}"/>
    <cellStyle name="Normal 4 6 2 2 7" xfId="2552" xr:uid="{00000000-0005-0000-0000-000029160000}"/>
    <cellStyle name="Normal 4 6 2 2 7 2" xfId="6835" xr:uid="{00000000-0005-0000-0000-00002A160000}"/>
    <cellStyle name="Normal 4 6 2 2 7 2 2" xfId="15285" xr:uid="{48C86833-1F87-4932-B966-B121A4EBBE87}"/>
    <cellStyle name="Normal 4 6 2 2 7 2 3" xfId="23725" xr:uid="{07460460-F073-46B8-BC64-A65D83211CCB}"/>
    <cellStyle name="Normal 4 6 2 2 7 2 4" xfId="32165" xr:uid="{36544235-EF0D-413B-9EA4-923651CCD362}"/>
    <cellStyle name="Normal 4 6 2 2 7 3" xfId="11067" xr:uid="{9246047A-AD21-48B9-A1E6-80AB01B77147}"/>
    <cellStyle name="Normal 4 6 2 2 7 4" xfId="19508" xr:uid="{E5D5F3A3-987E-4C6D-AEB5-A157F6F7C108}"/>
    <cellStyle name="Normal 4 6 2 2 7 5" xfId="27948" xr:uid="{266917CD-23BB-4B37-BB76-58EB9CE9EFBC}"/>
    <cellStyle name="Normal 4 6 2 2 8" xfId="4770" xr:uid="{00000000-0005-0000-0000-00002B160000}"/>
    <cellStyle name="Normal 4 6 2 2 8 2" xfId="13220" xr:uid="{2E2BA2AC-8CC9-4DFC-AB81-68176C275994}"/>
    <cellStyle name="Normal 4 6 2 2 8 3" xfId="21660" xr:uid="{45DE7D1E-E135-4F75-862E-35BD41937A1D}"/>
    <cellStyle name="Normal 4 6 2 2 8 4" xfId="30100" xr:uid="{73C6455D-D89C-4D80-AC13-7EE0E29B02C6}"/>
    <cellStyle name="Normal 4 6 2 2 9" xfId="9002" xr:uid="{C3872044-A0BF-44CE-9FE6-56E20BAF9086}"/>
    <cellStyle name="Normal 4 6 2 3" xfId="399" xr:uid="{00000000-0005-0000-0000-00002C160000}"/>
    <cellStyle name="Normal 4 6 2 3 10" xfId="25885" xr:uid="{FDCA9547-4759-4245-88E6-07BBE17F2CE6}"/>
    <cellStyle name="Normal 4 6 2 3 2" xfId="873" xr:uid="{00000000-0005-0000-0000-00002D160000}"/>
    <cellStyle name="Normal 4 6 2 3 2 2" xfId="3108" xr:uid="{00000000-0005-0000-0000-00002E160000}"/>
    <cellStyle name="Normal 4 6 2 3 2 2 2" xfId="7330" xr:uid="{00000000-0005-0000-0000-00002F160000}"/>
    <cellStyle name="Normal 4 6 2 3 2 2 2 2" xfId="15780" xr:uid="{84CB1907-CC49-4BF5-B23B-F3A6BD0ECD7E}"/>
    <cellStyle name="Normal 4 6 2 3 2 2 2 3" xfId="24220" xr:uid="{28224B4A-C3B9-438E-AE6E-4FE901E375EA}"/>
    <cellStyle name="Normal 4 6 2 3 2 2 2 4" xfId="32660" xr:uid="{4C44D58D-7F1B-4DD4-AEE1-6B20B6B65322}"/>
    <cellStyle name="Normal 4 6 2 3 2 2 3" xfId="11562" xr:uid="{DBB47F6E-A71D-4D3D-BF6A-707E7023AC61}"/>
    <cellStyle name="Normal 4 6 2 3 2 2 4" xfId="20003" xr:uid="{FDAE188D-993D-4011-9303-E75085684E87}"/>
    <cellStyle name="Normal 4 6 2 3 2 2 5" xfId="28443" xr:uid="{170D128C-0159-4EEB-9154-DDCED6BC2FA4}"/>
    <cellStyle name="Normal 4 6 2 3 2 3" xfId="5185" xr:uid="{00000000-0005-0000-0000-000030160000}"/>
    <cellStyle name="Normal 4 6 2 3 2 3 2" xfId="13635" xr:uid="{3EF02AD4-D746-447D-9B6C-7AACCC78AC2F}"/>
    <cellStyle name="Normal 4 6 2 3 2 3 3" xfId="22075" xr:uid="{4BA3B28D-CAAC-4EC1-B130-175BAC2B1D3E}"/>
    <cellStyle name="Normal 4 6 2 3 2 3 4" xfId="30515" xr:uid="{0F28CF38-EB68-4E59-9549-44DD9DE22281}"/>
    <cellStyle name="Normal 4 6 2 3 2 4" xfId="9417" xr:uid="{E604F30E-CA62-4AE9-913A-F6FDEADDD7CD}"/>
    <cellStyle name="Normal 4 6 2 3 2 5" xfId="17858" xr:uid="{6B868241-8358-44FB-BBF7-0A8605C08FC5}"/>
    <cellStyle name="Normal 4 6 2 3 2 6" xfId="26298" xr:uid="{4D810C2B-4026-4083-83E4-93E4F6E7BD9B}"/>
    <cellStyle name="Normal 4 6 2 3 3" xfId="1291" xr:uid="{00000000-0005-0000-0000-000031160000}"/>
    <cellStyle name="Normal 4 6 2 3 3 2" xfId="3521" xr:uid="{00000000-0005-0000-0000-000032160000}"/>
    <cellStyle name="Normal 4 6 2 3 3 2 2" xfId="7743" xr:uid="{00000000-0005-0000-0000-000033160000}"/>
    <cellStyle name="Normal 4 6 2 3 3 2 2 2" xfId="16193" xr:uid="{1EBE2FB5-A3C9-48B1-A5FD-1C6C06D309A5}"/>
    <cellStyle name="Normal 4 6 2 3 3 2 2 3" xfId="24633" xr:uid="{52832F46-677E-4696-8D7A-2D2ADC58E518}"/>
    <cellStyle name="Normal 4 6 2 3 3 2 2 4" xfId="33073" xr:uid="{3E4F4E69-227B-449C-B84B-7489F86F54C8}"/>
    <cellStyle name="Normal 4 6 2 3 3 2 3" xfId="11975" xr:uid="{1B11FAFD-1DCC-4124-B0B0-2528D0CD3CFB}"/>
    <cellStyle name="Normal 4 6 2 3 3 2 4" xfId="20416" xr:uid="{2173B87D-0AF4-4C7D-85EA-59E404C94FC4}"/>
    <cellStyle name="Normal 4 6 2 3 3 2 5" xfId="28856" xr:uid="{D1E637C3-E7DB-4E89-9C64-9742759C3696}"/>
    <cellStyle name="Normal 4 6 2 3 3 3" xfId="5598" xr:uid="{00000000-0005-0000-0000-000034160000}"/>
    <cellStyle name="Normal 4 6 2 3 3 3 2" xfId="14048" xr:uid="{544D2C1B-0FC3-48CD-9517-610CADB00B06}"/>
    <cellStyle name="Normal 4 6 2 3 3 3 3" xfId="22488" xr:uid="{25C96EF1-2210-4DD9-A1BF-034505F09A5B}"/>
    <cellStyle name="Normal 4 6 2 3 3 3 4" xfId="30928" xr:uid="{2787315D-8C0D-422C-A621-FD7C24347203}"/>
    <cellStyle name="Normal 4 6 2 3 3 4" xfId="9830" xr:uid="{6CAC33B9-4E76-467B-AF01-D81A9CCCC980}"/>
    <cellStyle name="Normal 4 6 2 3 3 5" xfId="18271" xr:uid="{2CA9C044-3F7B-4847-A023-B337593DD120}"/>
    <cellStyle name="Normal 4 6 2 3 3 6" xfId="26711" xr:uid="{95F0C5D7-1E39-46A6-88CE-6A3D8B2E32B9}"/>
    <cellStyle name="Normal 4 6 2 3 4" xfId="1704" xr:uid="{00000000-0005-0000-0000-000035160000}"/>
    <cellStyle name="Normal 4 6 2 3 4 2" xfId="3934" xr:uid="{00000000-0005-0000-0000-000036160000}"/>
    <cellStyle name="Normal 4 6 2 3 4 2 2" xfId="8156" xr:uid="{00000000-0005-0000-0000-000037160000}"/>
    <cellStyle name="Normal 4 6 2 3 4 2 2 2" xfId="16606" xr:uid="{4A2E7FE6-6C39-4593-A0F7-9BBDE3200B6A}"/>
    <cellStyle name="Normal 4 6 2 3 4 2 2 3" xfId="25046" xr:uid="{083A4836-C097-4D70-ADD2-1B58F693426B}"/>
    <cellStyle name="Normal 4 6 2 3 4 2 2 4" xfId="33486" xr:uid="{5D43D07B-4C8D-450F-A3C6-ABBC54D5408A}"/>
    <cellStyle name="Normal 4 6 2 3 4 2 3" xfId="12388" xr:uid="{AA782941-2E4A-431C-97EA-06305481387F}"/>
    <cellStyle name="Normal 4 6 2 3 4 2 4" xfId="20829" xr:uid="{734C2466-3110-421F-800E-874B98F5C5FA}"/>
    <cellStyle name="Normal 4 6 2 3 4 2 5" xfId="29269" xr:uid="{F8AECC0A-A1D4-4E3E-871C-5568177745E9}"/>
    <cellStyle name="Normal 4 6 2 3 4 3" xfId="6011" xr:uid="{00000000-0005-0000-0000-000038160000}"/>
    <cellStyle name="Normal 4 6 2 3 4 3 2" xfId="14461" xr:uid="{E5548ACB-8E1E-4386-92F8-9751B33902C2}"/>
    <cellStyle name="Normal 4 6 2 3 4 3 3" xfId="22901" xr:uid="{7C0E9C19-001C-4872-9581-CF646A800D0B}"/>
    <cellStyle name="Normal 4 6 2 3 4 3 4" xfId="31341" xr:uid="{735D8E56-8689-4195-B06E-9BCB57598E5D}"/>
    <cellStyle name="Normal 4 6 2 3 4 4" xfId="10243" xr:uid="{A7254FB9-BEEA-425E-942D-9A3EA196C9CB}"/>
    <cellStyle name="Normal 4 6 2 3 4 5" xfId="18684" xr:uid="{546E5802-DD5D-453B-ABB1-EB4622CFA376}"/>
    <cellStyle name="Normal 4 6 2 3 4 6" xfId="27124" xr:uid="{8F782500-7342-49F0-BFE6-F015CA162098}"/>
    <cellStyle name="Normal 4 6 2 3 5" xfId="2118" xr:uid="{00000000-0005-0000-0000-000039160000}"/>
    <cellStyle name="Normal 4 6 2 3 5 2" xfId="4347" xr:uid="{00000000-0005-0000-0000-00003A160000}"/>
    <cellStyle name="Normal 4 6 2 3 5 2 2" xfId="8569" xr:uid="{00000000-0005-0000-0000-00003B160000}"/>
    <cellStyle name="Normal 4 6 2 3 5 2 2 2" xfId="17019" xr:uid="{10F591AA-1A89-4B61-B87A-64EC6B7C2131}"/>
    <cellStyle name="Normal 4 6 2 3 5 2 2 3" xfId="25459" xr:uid="{C26E3478-ACCE-47FF-8426-748EDAB4E415}"/>
    <cellStyle name="Normal 4 6 2 3 5 2 2 4" xfId="33899" xr:uid="{F3EFC8DA-48A8-4073-A57C-A87E17C1652E}"/>
    <cellStyle name="Normal 4 6 2 3 5 2 3" xfId="12801" xr:uid="{1C4B8E27-4898-4F0B-B733-B15784BA6DD5}"/>
    <cellStyle name="Normal 4 6 2 3 5 2 4" xfId="21242" xr:uid="{14C9C038-F0FD-45F6-AFF0-1769C5840B61}"/>
    <cellStyle name="Normal 4 6 2 3 5 2 5" xfId="29682" xr:uid="{0116DCAF-58E0-42DA-A764-3530A18CB002}"/>
    <cellStyle name="Normal 4 6 2 3 5 3" xfId="6424" xr:uid="{00000000-0005-0000-0000-00003C160000}"/>
    <cellStyle name="Normal 4 6 2 3 5 3 2" xfId="14874" xr:uid="{82B8D746-8836-4CB9-87D2-AD8A879C6D4E}"/>
    <cellStyle name="Normal 4 6 2 3 5 3 3" xfId="23314" xr:uid="{8F9B6A7B-CA35-4E25-97A4-86D50526B764}"/>
    <cellStyle name="Normal 4 6 2 3 5 3 4" xfId="31754" xr:uid="{3633F884-FAB9-41EF-920F-CA5D5143ADD8}"/>
    <cellStyle name="Normal 4 6 2 3 5 4" xfId="10656" xr:uid="{11F0826B-49F0-4292-96EA-F4414EE9BEF8}"/>
    <cellStyle name="Normal 4 6 2 3 5 5" xfId="19097" xr:uid="{4BA95DFE-9CDE-4CAF-8E4D-0DC13DFF5607}"/>
    <cellStyle name="Normal 4 6 2 3 5 6" xfId="27537" xr:uid="{EF9E1E22-2106-44BD-8D40-BCFB106FF0BE}"/>
    <cellStyle name="Normal 4 6 2 3 6" xfId="2554" xr:uid="{00000000-0005-0000-0000-00003D160000}"/>
    <cellStyle name="Normal 4 6 2 3 6 2" xfId="6837" xr:uid="{00000000-0005-0000-0000-00003E160000}"/>
    <cellStyle name="Normal 4 6 2 3 6 2 2" xfId="15287" xr:uid="{9B2AA426-D1C1-4586-BDE1-4A91A948376C}"/>
    <cellStyle name="Normal 4 6 2 3 6 2 3" xfId="23727" xr:uid="{A39CB664-C894-4B6E-85C8-88929C6A7FED}"/>
    <cellStyle name="Normal 4 6 2 3 6 2 4" xfId="32167" xr:uid="{5B41B117-A53B-4290-987E-5E741A620445}"/>
    <cellStyle name="Normal 4 6 2 3 6 3" xfId="11069" xr:uid="{68A2E4F8-3EE7-46D7-8489-DEB59AF79CFB}"/>
    <cellStyle name="Normal 4 6 2 3 6 4" xfId="19510" xr:uid="{A14B9AB4-463B-4BC8-A341-CC335DC8A80D}"/>
    <cellStyle name="Normal 4 6 2 3 6 5" xfId="27950" xr:uid="{9E9995B1-92CD-4EF6-B31A-6FD3E46F171B}"/>
    <cellStyle name="Normal 4 6 2 3 7" xfId="4772" xr:uid="{00000000-0005-0000-0000-00003F160000}"/>
    <cellStyle name="Normal 4 6 2 3 7 2" xfId="13222" xr:uid="{B8A791A5-3C89-4519-9F13-8600C58EFEA9}"/>
    <cellStyle name="Normal 4 6 2 3 7 3" xfId="21662" xr:uid="{7FD626B9-DFA5-4A90-A623-EE1A7E6175E2}"/>
    <cellStyle name="Normal 4 6 2 3 7 4" xfId="30102" xr:uid="{2EB09556-44EF-4E23-B6FC-33D85E8816C6}"/>
    <cellStyle name="Normal 4 6 2 3 8" xfId="9004" xr:uid="{0AFBC200-B6EB-4AD2-8013-E41F3F1BC383}"/>
    <cellStyle name="Normal 4 6 2 3 9" xfId="17445" xr:uid="{E7F0E409-49B8-4B30-AB97-7E3E8B5A166E}"/>
    <cellStyle name="Normal 4 6 2 4" xfId="870" xr:uid="{00000000-0005-0000-0000-000040160000}"/>
    <cellStyle name="Normal 4 6 2 4 2" xfId="3105" xr:uid="{00000000-0005-0000-0000-000041160000}"/>
    <cellStyle name="Normal 4 6 2 4 2 2" xfId="7327" xr:uid="{00000000-0005-0000-0000-000042160000}"/>
    <cellStyle name="Normal 4 6 2 4 2 2 2" xfId="15777" xr:uid="{905EAE14-D1B3-4CF7-9C93-12598EC51BD6}"/>
    <cellStyle name="Normal 4 6 2 4 2 2 3" xfId="24217" xr:uid="{AE637B92-EF7F-4180-A71B-C8A1793E237E}"/>
    <cellStyle name="Normal 4 6 2 4 2 2 4" xfId="32657" xr:uid="{8CB92C70-4B17-4FB6-877B-D09F07CE8F4D}"/>
    <cellStyle name="Normal 4 6 2 4 2 3" xfId="11559" xr:uid="{E0DA9D0F-FEB6-4614-A0C2-2933825B8797}"/>
    <cellStyle name="Normal 4 6 2 4 2 4" xfId="20000" xr:uid="{2E505163-0C8D-4C87-B53B-DB9E7DE0836D}"/>
    <cellStyle name="Normal 4 6 2 4 2 5" xfId="28440" xr:uid="{6EC29228-047B-42E7-8EF8-4724317B3545}"/>
    <cellStyle name="Normal 4 6 2 4 3" xfId="5182" xr:uid="{00000000-0005-0000-0000-000043160000}"/>
    <cellStyle name="Normal 4 6 2 4 3 2" xfId="13632" xr:uid="{75258F31-F661-4BB8-AA5E-717ED2794509}"/>
    <cellStyle name="Normal 4 6 2 4 3 3" xfId="22072" xr:uid="{30E8A03E-ECDC-4B4E-823B-5CF81C867FF3}"/>
    <cellStyle name="Normal 4 6 2 4 3 4" xfId="30512" xr:uid="{AFEBB7A4-913B-4F3B-AEEE-81955E8B2EE5}"/>
    <cellStyle name="Normal 4 6 2 4 4" xfId="9414" xr:uid="{8F92F964-FD4E-4DE1-8890-5B70D27A6986}"/>
    <cellStyle name="Normal 4 6 2 4 5" xfId="17855" xr:uid="{D5013D28-9B07-474C-A528-0DE9EE28512E}"/>
    <cellStyle name="Normal 4 6 2 4 6" xfId="26295" xr:uid="{7DC399D7-5557-4C95-8591-1CE20B0E08C8}"/>
    <cellStyle name="Normal 4 6 2 5" xfId="1288" xr:uid="{00000000-0005-0000-0000-000044160000}"/>
    <cellStyle name="Normal 4 6 2 5 2" xfId="3518" xr:uid="{00000000-0005-0000-0000-000045160000}"/>
    <cellStyle name="Normal 4 6 2 5 2 2" xfId="7740" xr:uid="{00000000-0005-0000-0000-000046160000}"/>
    <cellStyle name="Normal 4 6 2 5 2 2 2" xfId="16190" xr:uid="{6FFE8EBA-43ED-48A6-9296-2303389001B2}"/>
    <cellStyle name="Normal 4 6 2 5 2 2 3" xfId="24630" xr:uid="{511FFD86-FFD4-462B-9AB5-ABE5DDD9B0EC}"/>
    <cellStyle name="Normal 4 6 2 5 2 2 4" xfId="33070" xr:uid="{05678134-A698-42C2-87FE-A63CEA1D60C2}"/>
    <cellStyle name="Normal 4 6 2 5 2 3" xfId="11972" xr:uid="{886ACE46-4A10-4F4F-AA24-5EE5B014CEBA}"/>
    <cellStyle name="Normal 4 6 2 5 2 4" xfId="20413" xr:uid="{790D0499-EC3C-4BCB-8C42-6BB3907FCC86}"/>
    <cellStyle name="Normal 4 6 2 5 2 5" xfId="28853" xr:uid="{49887183-59B4-4CB0-B70C-DCEF1DE67927}"/>
    <cellStyle name="Normal 4 6 2 5 3" xfId="5595" xr:uid="{00000000-0005-0000-0000-000047160000}"/>
    <cellStyle name="Normal 4 6 2 5 3 2" xfId="14045" xr:uid="{7258099C-69D2-482E-A3CE-2CADF0D6426C}"/>
    <cellStyle name="Normal 4 6 2 5 3 3" xfId="22485" xr:uid="{C45346B3-E6D9-44D9-AD58-182E6D9BE719}"/>
    <cellStyle name="Normal 4 6 2 5 3 4" xfId="30925" xr:uid="{14BE16D7-9E60-456C-88F8-6B94A4667F2C}"/>
    <cellStyle name="Normal 4 6 2 5 4" xfId="9827" xr:uid="{DB7AABDA-87A6-4ADE-BD49-048C346BC70A}"/>
    <cellStyle name="Normal 4 6 2 5 5" xfId="18268" xr:uid="{0A8F645D-BAD2-4CA0-9E06-A195BF112E43}"/>
    <cellStyle name="Normal 4 6 2 5 6" xfId="26708" xr:uid="{F2B85BFB-B8C4-477F-B906-B14B509F8C61}"/>
    <cellStyle name="Normal 4 6 2 6" xfId="1701" xr:uid="{00000000-0005-0000-0000-000048160000}"/>
    <cellStyle name="Normal 4 6 2 6 2" xfId="3931" xr:uid="{00000000-0005-0000-0000-000049160000}"/>
    <cellStyle name="Normal 4 6 2 6 2 2" xfId="8153" xr:uid="{00000000-0005-0000-0000-00004A160000}"/>
    <cellStyle name="Normal 4 6 2 6 2 2 2" xfId="16603" xr:uid="{D19AD698-8F8A-4010-B6CD-E6A33501546D}"/>
    <cellStyle name="Normal 4 6 2 6 2 2 3" xfId="25043" xr:uid="{E5F5F347-9D5F-402E-B2CE-CA19690241C9}"/>
    <cellStyle name="Normal 4 6 2 6 2 2 4" xfId="33483" xr:uid="{D814FD19-BD68-4A05-A7B6-793710A5DE80}"/>
    <cellStyle name="Normal 4 6 2 6 2 3" xfId="12385" xr:uid="{4DB52E9A-9BC5-4946-9246-90C5C3D0D412}"/>
    <cellStyle name="Normal 4 6 2 6 2 4" xfId="20826" xr:uid="{16E34054-79BD-41E2-94E3-86A19E3031CF}"/>
    <cellStyle name="Normal 4 6 2 6 2 5" xfId="29266" xr:uid="{74D565A9-3663-4892-820B-CE5D430A1E23}"/>
    <cellStyle name="Normal 4 6 2 6 3" xfId="6008" xr:uid="{00000000-0005-0000-0000-00004B160000}"/>
    <cellStyle name="Normal 4 6 2 6 3 2" xfId="14458" xr:uid="{76255B84-1855-41A3-8A8E-E69B7B0BB65E}"/>
    <cellStyle name="Normal 4 6 2 6 3 3" xfId="22898" xr:uid="{4D5146E9-3CDA-4C28-85AC-228449E49C02}"/>
    <cellStyle name="Normal 4 6 2 6 3 4" xfId="31338" xr:uid="{4F62B5AA-DBF7-456D-94E1-4434F9E22B34}"/>
    <cellStyle name="Normal 4 6 2 6 4" xfId="10240" xr:uid="{883E4434-52A9-4EA0-A801-C8819F556E10}"/>
    <cellStyle name="Normal 4 6 2 6 5" xfId="18681" xr:uid="{92ADB05D-1F64-4A6C-AB9F-E5A50599E96E}"/>
    <cellStyle name="Normal 4 6 2 6 6" xfId="27121" xr:uid="{5C791679-B5C2-4FAF-84E9-96AA259124F2}"/>
    <cellStyle name="Normal 4 6 2 7" xfId="2115" xr:uid="{00000000-0005-0000-0000-00004C160000}"/>
    <cellStyle name="Normal 4 6 2 7 2" xfId="4344" xr:uid="{00000000-0005-0000-0000-00004D160000}"/>
    <cellStyle name="Normal 4 6 2 7 2 2" xfId="8566" xr:uid="{00000000-0005-0000-0000-00004E160000}"/>
    <cellStyle name="Normal 4 6 2 7 2 2 2" xfId="17016" xr:uid="{53038D8B-62A5-4DA4-A14F-6AF1C9A2BFCB}"/>
    <cellStyle name="Normal 4 6 2 7 2 2 3" xfId="25456" xr:uid="{E5DEE933-4EB8-4B08-B62B-B71E9A4A5565}"/>
    <cellStyle name="Normal 4 6 2 7 2 2 4" xfId="33896" xr:uid="{16B555CC-AB4F-43A8-8DE5-5115CD4C9029}"/>
    <cellStyle name="Normal 4 6 2 7 2 3" xfId="12798" xr:uid="{4FE8D328-DF29-42C6-96A2-B3C5CB27DABE}"/>
    <cellStyle name="Normal 4 6 2 7 2 4" xfId="21239" xr:uid="{C3965621-7136-4993-87FC-EB14663BAB93}"/>
    <cellStyle name="Normal 4 6 2 7 2 5" xfId="29679" xr:uid="{5AA570FC-F964-419A-9107-01A764E1B925}"/>
    <cellStyle name="Normal 4 6 2 7 3" xfId="6421" xr:uid="{00000000-0005-0000-0000-00004F160000}"/>
    <cellStyle name="Normal 4 6 2 7 3 2" xfId="14871" xr:uid="{60BCEC59-B196-4404-A92E-49062DBB74B6}"/>
    <cellStyle name="Normal 4 6 2 7 3 3" xfId="23311" xr:uid="{40CCAA83-D950-49B8-8001-C17E66135939}"/>
    <cellStyle name="Normal 4 6 2 7 3 4" xfId="31751" xr:uid="{8108E6B9-BA8F-4C03-B4D3-E0E5730C0504}"/>
    <cellStyle name="Normal 4 6 2 7 4" xfId="10653" xr:uid="{3BDBA1C2-D9D4-4BB1-B72D-5D4CA0B1473D}"/>
    <cellStyle name="Normal 4 6 2 7 5" xfId="19094" xr:uid="{D2B7CEFC-DD6B-4F3F-B212-2510C34C5CC8}"/>
    <cellStyle name="Normal 4 6 2 7 6" xfId="27534" xr:uid="{CAF4F686-CBB0-4140-8D09-AE9D29A91CE2}"/>
    <cellStyle name="Normal 4 6 2 8" xfId="2551" xr:uid="{00000000-0005-0000-0000-000050160000}"/>
    <cellStyle name="Normal 4 6 2 8 2" xfId="6834" xr:uid="{00000000-0005-0000-0000-000051160000}"/>
    <cellStyle name="Normal 4 6 2 8 2 2" xfId="15284" xr:uid="{2DB48329-4DDF-4301-B1EB-2AEE6C128066}"/>
    <cellStyle name="Normal 4 6 2 8 2 3" xfId="23724" xr:uid="{981189D8-6E11-4E3B-AD1E-0F11B5F3B947}"/>
    <cellStyle name="Normal 4 6 2 8 2 4" xfId="32164" xr:uid="{96C1244A-F575-4C46-AB8A-D46ADC7BFFC0}"/>
    <cellStyle name="Normal 4 6 2 8 3" xfId="11066" xr:uid="{A275261B-5FE9-422C-8DCD-034290E8C6AE}"/>
    <cellStyle name="Normal 4 6 2 8 4" xfId="19507" xr:uid="{2015B3F4-266D-412C-B8D4-BAEA1D26FB02}"/>
    <cellStyle name="Normal 4 6 2 8 5" xfId="27947" xr:uid="{A089C887-CC80-40AF-BA6F-A6A92BD78456}"/>
    <cellStyle name="Normal 4 6 2 9" xfId="4769" xr:uid="{00000000-0005-0000-0000-000052160000}"/>
    <cellStyle name="Normal 4 6 2 9 2" xfId="13219" xr:uid="{80211ACF-619D-4083-B08A-A906366C455B}"/>
    <cellStyle name="Normal 4 6 2 9 3" xfId="21659" xr:uid="{CB07E2A1-6B53-403C-9F81-F48A15022296}"/>
    <cellStyle name="Normal 4 6 2 9 4" xfId="30099" xr:uid="{09F1A515-B48D-4814-95A2-8514A9319FD7}"/>
    <cellStyle name="Normal 4 6 3" xfId="400" xr:uid="{00000000-0005-0000-0000-000053160000}"/>
    <cellStyle name="Normal 4 6 3 10" xfId="17446" xr:uid="{7C43DE29-0CB3-4877-8718-AC93EB27D082}"/>
    <cellStyle name="Normal 4 6 3 11" xfId="25886" xr:uid="{F7CE0296-F8DB-49C2-A86D-08EC51624A4C}"/>
    <cellStyle name="Normal 4 6 3 2" xfId="401" xr:uid="{00000000-0005-0000-0000-000054160000}"/>
    <cellStyle name="Normal 4 6 3 2 10" xfId="25887" xr:uid="{B762AE05-B470-4F4C-B8C5-465994BC4991}"/>
    <cellStyle name="Normal 4 6 3 2 2" xfId="875" xr:uid="{00000000-0005-0000-0000-000055160000}"/>
    <cellStyle name="Normal 4 6 3 2 2 2" xfId="3110" xr:uid="{00000000-0005-0000-0000-000056160000}"/>
    <cellStyle name="Normal 4 6 3 2 2 2 2" xfId="7332" xr:uid="{00000000-0005-0000-0000-000057160000}"/>
    <cellStyle name="Normal 4 6 3 2 2 2 2 2" xfId="15782" xr:uid="{B09123B0-08B2-446D-9DA2-5316F7F20887}"/>
    <cellStyle name="Normal 4 6 3 2 2 2 2 3" xfId="24222" xr:uid="{27039257-0359-48C8-BAD1-CF879B8F63F2}"/>
    <cellStyle name="Normal 4 6 3 2 2 2 2 4" xfId="32662" xr:uid="{B93E19FD-83CF-4BCE-8BFF-93710241D994}"/>
    <cellStyle name="Normal 4 6 3 2 2 2 3" xfId="11564" xr:uid="{59F1DC5E-A36A-4558-8D44-4B5F55AE20DF}"/>
    <cellStyle name="Normal 4 6 3 2 2 2 4" xfId="20005" xr:uid="{96BF292A-6852-45D0-86AD-85F25B4383EB}"/>
    <cellStyle name="Normal 4 6 3 2 2 2 5" xfId="28445" xr:uid="{B90574A9-21D8-4B3B-945E-6E73A729AE6C}"/>
    <cellStyle name="Normal 4 6 3 2 2 3" xfId="5187" xr:uid="{00000000-0005-0000-0000-000058160000}"/>
    <cellStyle name="Normal 4 6 3 2 2 3 2" xfId="13637" xr:uid="{D3CB1E37-A84A-4CF2-B635-97BF73A2DC01}"/>
    <cellStyle name="Normal 4 6 3 2 2 3 3" xfId="22077" xr:uid="{2845F6EC-FB2A-4098-8470-7CE32275C41A}"/>
    <cellStyle name="Normal 4 6 3 2 2 3 4" xfId="30517" xr:uid="{67537ADC-8BF9-4466-89D3-F11ECF7DC538}"/>
    <cellStyle name="Normal 4 6 3 2 2 4" xfId="9419" xr:uid="{A7A440C5-A827-4AC9-AC90-9EA43BB3C826}"/>
    <cellStyle name="Normal 4 6 3 2 2 5" xfId="17860" xr:uid="{2A90FB09-2DD1-434C-A144-99533BE64E33}"/>
    <cellStyle name="Normal 4 6 3 2 2 6" xfId="26300" xr:uid="{6CE8CB76-2B5D-496B-B318-E763D33B7307}"/>
    <cellStyle name="Normal 4 6 3 2 3" xfId="1293" xr:uid="{00000000-0005-0000-0000-000059160000}"/>
    <cellStyle name="Normal 4 6 3 2 3 2" xfId="3523" xr:uid="{00000000-0005-0000-0000-00005A160000}"/>
    <cellStyle name="Normal 4 6 3 2 3 2 2" xfId="7745" xr:uid="{00000000-0005-0000-0000-00005B160000}"/>
    <cellStyle name="Normal 4 6 3 2 3 2 2 2" xfId="16195" xr:uid="{612D3C2D-C813-4F35-B1AC-30418C9CA2BC}"/>
    <cellStyle name="Normal 4 6 3 2 3 2 2 3" xfId="24635" xr:uid="{867F9B5A-AB3A-4D09-A954-5795ADB9A534}"/>
    <cellStyle name="Normal 4 6 3 2 3 2 2 4" xfId="33075" xr:uid="{25061F88-E473-430E-8629-6729364A2EB6}"/>
    <cellStyle name="Normal 4 6 3 2 3 2 3" xfId="11977" xr:uid="{027404D7-3FA9-495D-9E43-B2595294D1EC}"/>
    <cellStyle name="Normal 4 6 3 2 3 2 4" xfId="20418" xr:uid="{E4B8644E-8186-4AC8-AE00-0FECCC785453}"/>
    <cellStyle name="Normal 4 6 3 2 3 2 5" xfId="28858" xr:uid="{B9B69D4B-B018-4FC5-817A-FDC8906425D5}"/>
    <cellStyle name="Normal 4 6 3 2 3 3" xfId="5600" xr:uid="{00000000-0005-0000-0000-00005C160000}"/>
    <cellStyle name="Normal 4 6 3 2 3 3 2" xfId="14050" xr:uid="{DBC8D5A1-00C7-4EAA-97E1-6D28F41DF5FA}"/>
    <cellStyle name="Normal 4 6 3 2 3 3 3" xfId="22490" xr:uid="{4A79CCF3-6FB9-403F-87C7-FDC585193A57}"/>
    <cellStyle name="Normal 4 6 3 2 3 3 4" xfId="30930" xr:uid="{17190F2D-CAB9-4375-9ED0-552E19BE0412}"/>
    <cellStyle name="Normal 4 6 3 2 3 4" xfId="9832" xr:uid="{43DD6FBF-C889-4C48-A172-51289F2E217D}"/>
    <cellStyle name="Normal 4 6 3 2 3 5" xfId="18273" xr:uid="{C95DB04B-CDD0-4930-9418-D84E6B1FC23A}"/>
    <cellStyle name="Normal 4 6 3 2 3 6" xfId="26713" xr:uid="{F69221CC-4380-4C03-A283-75F4D21CB827}"/>
    <cellStyle name="Normal 4 6 3 2 4" xfId="1706" xr:uid="{00000000-0005-0000-0000-00005D160000}"/>
    <cellStyle name="Normal 4 6 3 2 4 2" xfId="3936" xr:uid="{00000000-0005-0000-0000-00005E160000}"/>
    <cellStyle name="Normal 4 6 3 2 4 2 2" xfId="8158" xr:uid="{00000000-0005-0000-0000-00005F160000}"/>
    <cellStyle name="Normal 4 6 3 2 4 2 2 2" xfId="16608" xr:uid="{6040D43D-BD80-4DCA-856E-753ABE99A4B5}"/>
    <cellStyle name="Normal 4 6 3 2 4 2 2 3" xfId="25048" xr:uid="{3A4EAA1A-8057-4B97-9182-EFC2905E5ACA}"/>
    <cellStyle name="Normal 4 6 3 2 4 2 2 4" xfId="33488" xr:uid="{3BB7DC5E-B1C1-4A98-896C-F19B8F8E1DFC}"/>
    <cellStyle name="Normal 4 6 3 2 4 2 3" xfId="12390" xr:uid="{3A570E54-D4E5-4C8D-9A11-B14082DC597B}"/>
    <cellStyle name="Normal 4 6 3 2 4 2 4" xfId="20831" xr:uid="{89222BBB-C136-4BD0-AA66-61E4390DDCCC}"/>
    <cellStyle name="Normal 4 6 3 2 4 2 5" xfId="29271" xr:uid="{9E381CFA-CE13-4435-9933-FB6B52CF695A}"/>
    <cellStyle name="Normal 4 6 3 2 4 3" xfId="6013" xr:uid="{00000000-0005-0000-0000-000060160000}"/>
    <cellStyle name="Normal 4 6 3 2 4 3 2" xfId="14463" xr:uid="{5B8E7270-946C-4A5B-A022-3E4CEE92E992}"/>
    <cellStyle name="Normal 4 6 3 2 4 3 3" xfId="22903" xr:uid="{C90DF4E6-8252-49F9-AD13-62A4C313594B}"/>
    <cellStyle name="Normal 4 6 3 2 4 3 4" xfId="31343" xr:uid="{8135D54A-B861-42CE-87B1-AC35764994BC}"/>
    <cellStyle name="Normal 4 6 3 2 4 4" xfId="10245" xr:uid="{3460135C-83DC-4514-9EC1-1AC858475C2F}"/>
    <cellStyle name="Normal 4 6 3 2 4 5" xfId="18686" xr:uid="{ABC6BDC0-69AF-4BF7-BF5E-F9C2A995E110}"/>
    <cellStyle name="Normal 4 6 3 2 4 6" xfId="27126" xr:uid="{ADEF09D1-1B21-4BDA-BFFB-195EBE37B90E}"/>
    <cellStyle name="Normal 4 6 3 2 5" xfId="2120" xr:uid="{00000000-0005-0000-0000-000061160000}"/>
    <cellStyle name="Normal 4 6 3 2 5 2" xfId="4349" xr:uid="{00000000-0005-0000-0000-000062160000}"/>
    <cellStyle name="Normal 4 6 3 2 5 2 2" xfId="8571" xr:uid="{00000000-0005-0000-0000-000063160000}"/>
    <cellStyle name="Normal 4 6 3 2 5 2 2 2" xfId="17021" xr:uid="{0B013BB5-BB4C-426A-9948-92E899E889B5}"/>
    <cellStyle name="Normal 4 6 3 2 5 2 2 3" xfId="25461" xr:uid="{0453E225-5319-49FB-B526-3E06FDDA8314}"/>
    <cellStyle name="Normal 4 6 3 2 5 2 2 4" xfId="33901" xr:uid="{9B75B2C7-FB02-4023-8462-24FF6549E7BB}"/>
    <cellStyle name="Normal 4 6 3 2 5 2 3" xfId="12803" xr:uid="{65081CE8-E0D9-4F55-8EBE-2AF5A756B508}"/>
    <cellStyle name="Normal 4 6 3 2 5 2 4" xfId="21244" xr:uid="{4D41741E-B4BD-4CB3-9CA8-E766111251D9}"/>
    <cellStyle name="Normal 4 6 3 2 5 2 5" xfId="29684" xr:uid="{B5207E2E-90CB-449B-8E2F-201005E4783D}"/>
    <cellStyle name="Normal 4 6 3 2 5 3" xfId="6426" xr:uid="{00000000-0005-0000-0000-000064160000}"/>
    <cellStyle name="Normal 4 6 3 2 5 3 2" xfId="14876" xr:uid="{6ABF02FB-E026-43C9-8983-ABB257A4CA56}"/>
    <cellStyle name="Normal 4 6 3 2 5 3 3" xfId="23316" xr:uid="{D83FE24D-2582-4C01-AB4C-58365A3F3DB1}"/>
    <cellStyle name="Normal 4 6 3 2 5 3 4" xfId="31756" xr:uid="{4777A271-7B71-49C0-96DD-3C1876BABB08}"/>
    <cellStyle name="Normal 4 6 3 2 5 4" xfId="10658" xr:uid="{E1829167-D510-4809-926F-DBCE1C14CC43}"/>
    <cellStyle name="Normal 4 6 3 2 5 5" xfId="19099" xr:uid="{D1CC8D0C-8CAE-42EF-BE91-2547DC1BAB8E}"/>
    <cellStyle name="Normal 4 6 3 2 5 6" xfId="27539" xr:uid="{434F91E1-3E0D-4832-9A04-41CB4935A903}"/>
    <cellStyle name="Normal 4 6 3 2 6" xfId="2556" xr:uid="{00000000-0005-0000-0000-000065160000}"/>
    <cellStyle name="Normal 4 6 3 2 6 2" xfId="6839" xr:uid="{00000000-0005-0000-0000-000066160000}"/>
    <cellStyle name="Normal 4 6 3 2 6 2 2" xfId="15289" xr:uid="{5E2EE57A-D79E-4E4B-9AE7-BEF8726C3BD8}"/>
    <cellStyle name="Normal 4 6 3 2 6 2 3" xfId="23729" xr:uid="{B6D771EB-3556-4FD9-9A91-370B184294A7}"/>
    <cellStyle name="Normal 4 6 3 2 6 2 4" xfId="32169" xr:uid="{F65D11EF-20C4-4947-9916-A187B1B6F43F}"/>
    <cellStyle name="Normal 4 6 3 2 6 3" xfId="11071" xr:uid="{40662F02-D219-47DE-97E5-15D4DACC46C1}"/>
    <cellStyle name="Normal 4 6 3 2 6 4" xfId="19512" xr:uid="{FD2F3118-373F-4D2D-B4A6-069F4E03723D}"/>
    <cellStyle name="Normal 4 6 3 2 6 5" xfId="27952" xr:uid="{FD82ACD6-FDBE-45BD-9EEC-29CBF5F25ED1}"/>
    <cellStyle name="Normal 4 6 3 2 7" xfId="4774" xr:uid="{00000000-0005-0000-0000-000067160000}"/>
    <cellStyle name="Normal 4 6 3 2 7 2" xfId="13224" xr:uid="{ED5D6D87-1D81-4F97-B99E-1A4A4EE725CC}"/>
    <cellStyle name="Normal 4 6 3 2 7 3" xfId="21664" xr:uid="{6B42F9AD-E90D-40F5-9522-B3D1B3931AFA}"/>
    <cellStyle name="Normal 4 6 3 2 7 4" xfId="30104" xr:uid="{8316F8F5-8F32-42EE-BBC7-B432DCE187C2}"/>
    <cellStyle name="Normal 4 6 3 2 8" xfId="9006" xr:uid="{0B2B69FE-FF59-4CE3-A063-9B54ED4C828F}"/>
    <cellStyle name="Normal 4 6 3 2 9" xfId="17447" xr:uid="{94D1BA34-5187-42BE-98E7-1BDF60E36014}"/>
    <cellStyle name="Normal 4 6 3 3" xfId="874" xr:uid="{00000000-0005-0000-0000-000068160000}"/>
    <cellStyle name="Normal 4 6 3 3 2" xfId="3109" xr:uid="{00000000-0005-0000-0000-000069160000}"/>
    <cellStyle name="Normal 4 6 3 3 2 2" xfId="7331" xr:uid="{00000000-0005-0000-0000-00006A160000}"/>
    <cellStyle name="Normal 4 6 3 3 2 2 2" xfId="15781" xr:uid="{1A1CD019-9FAF-49D9-A7CD-772035CBA185}"/>
    <cellStyle name="Normal 4 6 3 3 2 2 3" xfId="24221" xr:uid="{E37D7508-9742-445E-969D-2C17009BD430}"/>
    <cellStyle name="Normal 4 6 3 3 2 2 4" xfId="32661" xr:uid="{AE60F8C4-6F76-429D-8FCE-37E39B82BD37}"/>
    <cellStyle name="Normal 4 6 3 3 2 3" xfId="11563" xr:uid="{485CE868-2956-4174-BC49-931633F8E34F}"/>
    <cellStyle name="Normal 4 6 3 3 2 4" xfId="20004" xr:uid="{7993F4BC-9773-4C52-943B-032C41979BF7}"/>
    <cellStyle name="Normal 4 6 3 3 2 5" xfId="28444" xr:uid="{8986CD71-5CDC-4C53-B860-BB0B9CF40800}"/>
    <cellStyle name="Normal 4 6 3 3 3" xfId="5186" xr:uid="{00000000-0005-0000-0000-00006B160000}"/>
    <cellStyle name="Normal 4 6 3 3 3 2" xfId="13636" xr:uid="{04B353D1-DF3F-4B8C-99B3-C52FFE3B8A6E}"/>
    <cellStyle name="Normal 4 6 3 3 3 3" xfId="22076" xr:uid="{2262E04E-CBDA-43E4-8C34-A85D0DDE2985}"/>
    <cellStyle name="Normal 4 6 3 3 3 4" xfId="30516" xr:uid="{45DBFB37-DA85-4903-83E6-CC477148994A}"/>
    <cellStyle name="Normal 4 6 3 3 4" xfId="9418" xr:uid="{FF0B057F-BC93-4138-922B-32C519AB013A}"/>
    <cellStyle name="Normal 4 6 3 3 5" xfId="17859" xr:uid="{F782A71E-3992-4CCA-8CEE-264642ED1149}"/>
    <cellStyle name="Normal 4 6 3 3 6" xfId="26299" xr:uid="{0FE4A24A-BC40-46DF-ACC2-68CB5FC051C5}"/>
    <cellStyle name="Normal 4 6 3 4" xfId="1292" xr:uid="{00000000-0005-0000-0000-00006C160000}"/>
    <cellStyle name="Normal 4 6 3 4 2" xfId="3522" xr:uid="{00000000-0005-0000-0000-00006D160000}"/>
    <cellStyle name="Normal 4 6 3 4 2 2" xfId="7744" xr:uid="{00000000-0005-0000-0000-00006E160000}"/>
    <cellStyle name="Normal 4 6 3 4 2 2 2" xfId="16194" xr:uid="{3CFB101B-0EAA-4B29-BC6A-3C666523DE3A}"/>
    <cellStyle name="Normal 4 6 3 4 2 2 3" xfId="24634" xr:uid="{396470CA-A19B-4DB3-8DA9-AF8DF1B89819}"/>
    <cellStyle name="Normal 4 6 3 4 2 2 4" xfId="33074" xr:uid="{171EEAF9-5C6D-4009-8661-D2E1FCC4FD30}"/>
    <cellStyle name="Normal 4 6 3 4 2 3" xfId="11976" xr:uid="{D8689704-4537-40D9-9B5A-646C646410AA}"/>
    <cellStyle name="Normal 4 6 3 4 2 4" xfId="20417" xr:uid="{36091ABE-CAFB-4DF8-911D-6C2B1933F028}"/>
    <cellStyle name="Normal 4 6 3 4 2 5" xfId="28857" xr:uid="{40CCCB6D-2C49-4B95-A1C2-33E431A8CC8B}"/>
    <cellStyle name="Normal 4 6 3 4 3" xfId="5599" xr:uid="{00000000-0005-0000-0000-00006F160000}"/>
    <cellStyle name="Normal 4 6 3 4 3 2" xfId="14049" xr:uid="{310C2A85-4821-4D1D-AD44-EFB2CB4F95A7}"/>
    <cellStyle name="Normal 4 6 3 4 3 3" xfId="22489" xr:uid="{BA3A6804-8F87-4AA3-BD55-200006D887E3}"/>
    <cellStyle name="Normal 4 6 3 4 3 4" xfId="30929" xr:uid="{E608257F-278A-4530-A138-01BD205E4AFF}"/>
    <cellStyle name="Normal 4 6 3 4 4" xfId="9831" xr:uid="{FE5BF1D0-4DE2-4DD2-9B36-D3D09E1D115B}"/>
    <cellStyle name="Normal 4 6 3 4 5" xfId="18272" xr:uid="{60382BB4-1C33-4895-B1DD-C56F63510755}"/>
    <cellStyle name="Normal 4 6 3 4 6" xfId="26712" xr:uid="{7B21AF9B-32F1-4834-B0EB-DE5B8778BAD3}"/>
    <cellStyle name="Normal 4 6 3 5" xfId="1705" xr:uid="{00000000-0005-0000-0000-000070160000}"/>
    <cellStyle name="Normal 4 6 3 5 2" xfId="3935" xr:uid="{00000000-0005-0000-0000-000071160000}"/>
    <cellStyle name="Normal 4 6 3 5 2 2" xfId="8157" xr:uid="{00000000-0005-0000-0000-000072160000}"/>
    <cellStyle name="Normal 4 6 3 5 2 2 2" xfId="16607" xr:uid="{E9914B14-3BB5-4870-99F7-C6474613FEEF}"/>
    <cellStyle name="Normal 4 6 3 5 2 2 3" xfId="25047" xr:uid="{A3F818CE-03FC-47C2-A7C4-B1740881D674}"/>
    <cellStyle name="Normal 4 6 3 5 2 2 4" xfId="33487" xr:uid="{2BF0372F-45D4-43F0-99BB-4EA08EE2F2BE}"/>
    <cellStyle name="Normal 4 6 3 5 2 3" xfId="12389" xr:uid="{E2C65A54-2557-4C3C-BE8D-A898042AEDE9}"/>
    <cellStyle name="Normal 4 6 3 5 2 4" xfId="20830" xr:uid="{ED6C241D-6DE5-4BFA-BD0A-7419AA289F5E}"/>
    <cellStyle name="Normal 4 6 3 5 2 5" xfId="29270" xr:uid="{3AAA2459-BF17-4257-A1E6-1B9DEDBF0310}"/>
    <cellStyle name="Normal 4 6 3 5 3" xfId="6012" xr:uid="{00000000-0005-0000-0000-000073160000}"/>
    <cellStyle name="Normal 4 6 3 5 3 2" xfId="14462" xr:uid="{8203EB85-E955-42F5-9464-45765C376488}"/>
    <cellStyle name="Normal 4 6 3 5 3 3" xfId="22902" xr:uid="{71D8FA8E-5D3A-44D7-9117-D2317741194E}"/>
    <cellStyle name="Normal 4 6 3 5 3 4" xfId="31342" xr:uid="{A86977D7-8444-4B9F-84B3-46FFD56E1ACE}"/>
    <cellStyle name="Normal 4 6 3 5 4" xfId="10244" xr:uid="{B6C3F58B-8CC2-4621-828C-4305B0BBFBEE}"/>
    <cellStyle name="Normal 4 6 3 5 5" xfId="18685" xr:uid="{DBACD24E-F59B-4B47-87F1-5945DE588657}"/>
    <cellStyle name="Normal 4 6 3 5 6" xfId="27125" xr:uid="{8A8D9B3A-238D-4D56-A48A-A1A9B0DBFFA5}"/>
    <cellStyle name="Normal 4 6 3 6" xfId="2119" xr:uid="{00000000-0005-0000-0000-000074160000}"/>
    <cellStyle name="Normal 4 6 3 6 2" xfId="4348" xr:uid="{00000000-0005-0000-0000-000075160000}"/>
    <cellStyle name="Normal 4 6 3 6 2 2" xfId="8570" xr:uid="{00000000-0005-0000-0000-000076160000}"/>
    <cellStyle name="Normal 4 6 3 6 2 2 2" xfId="17020" xr:uid="{BA2E6811-BC9E-41C6-B05B-2F2F6C54D9FB}"/>
    <cellStyle name="Normal 4 6 3 6 2 2 3" xfId="25460" xr:uid="{DFDE3F38-75E7-4041-A699-9E754D089F23}"/>
    <cellStyle name="Normal 4 6 3 6 2 2 4" xfId="33900" xr:uid="{E77FB441-6F76-46D0-8F2B-43ADDF40BBEF}"/>
    <cellStyle name="Normal 4 6 3 6 2 3" xfId="12802" xr:uid="{6FA503F4-5379-4DC1-A5BA-A87F2B22A6CB}"/>
    <cellStyle name="Normal 4 6 3 6 2 4" xfId="21243" xr:uid="{9C45927B-4AD8-4CA5-BCEE-B7E2FB08444C}"/>
    <cellStyle name="Normal 4 6 3 6 2 5" xfId="29683" xr:uid="{9C265BD5-E2B8-4EB4-889B-1441D9A2B3C9}"/>
    <cellStyle name="Normal 4 6 3 6 3" xfId="6425" xr:uid="{00000000-0005-0000-0000-000077160000}"/>
    <cellStyle name="Normal 4 6 3 6 3 2" xfId="14875" xr:uid="{5946F363-0B69-435F-A1FD-C2D647F5FD43}"/>
    <cellStyle name="Normal 4 6 3 6 3 3" xfId="23315" xr:uid="{140F07F4-D959-48BA-A193-F2F8691E4F24}"/>
    <cellStyle name="Normal 4 6 3 6 3 4" xfId="31755" xr:uid="{C9A4E221-D3A8-4C97-B034-6814FC7CEAAD}"/>
    <cellStyle name="Normal 4 6 3 6 4" xfId="10657" xr:uid="{AD6B3107-9068-4526-8371-54937443C10D}"/>
    <cellStyle name="Normal 4 6 3 6 5" xfId="19098" xr:uid="{C6F6A07D-65AF-4676-B918-7CB228FB0E12}"/>
    <cellStyle name="Normal 4 6 3 6 6" xfId="27538" xr:uid="{61E6A716-E047-49E0-8B91-41DDBCFF8AE9}"/>
    <cellStyle name="Normal 4 6 3 7" xfId="2555" xr:uid="{00000000-0005-0000-0000-000078160000}"/>
    <cellStyle name="Normal 4 6 3 7 2" xfId="6838" xr:uid="{00000000-0005-0000-0000-000079160000}"/>
    <cellStyle name="Normal 4 6 3 7 2 2" xfId="15288" xr:uid="{64F88B49-6FCD-4DD6-B71C-3221218F5F74}"/>
    <cellStyle name="Normal 4 6 3 7 2 3" xfId="23728" xr:uid="{A94AE18E-A24A-4482-8D42-3D63045612C9}"/>
    <cellStyle name="Normal 4 6 3 7 2 4" xfId="32168" xr:uid="{1A8D32B0-039D-4C99-88C6-0B5D19C1F9AF}"/>
    <cellStyle name="Normal 4 6 3 7 3" xfId="11070" xr:uid="{CBED4C26-4FA9-4DB8-970C-4A8224959649}"/>
    <cellStyle name="Normal 4 6 3 7 4" xfId="19511" xr:uid="{AB101354-FDDE-486B-B38A-E58FBC91FFAF}"/>
    <cellStyle name="Normal 4 6 3 7 5" xfId="27951" xr:uid="{2D352F98-7F35-4758-9C56-160A76A7A0FA}"/>
    <cellStyle name="Normal 4 6 3 8" xfId="4773" xr:uid="{00000000-0005-0000-0000-00007A160000}"/>
    <cellStyle name="Normal 4 6 3 8 2" xfId="13223" xr:uid="{14CDE5BE-18FD-446B-8379-2ADE0E2BE0AE}"/>
    <cellStyle name="Normal 4 6 3 8 3" xfId="21663" xr:uid="{23041522-9F13-4D34-8A34-D850DADEE5F9}"/>
    <cellStyle name="Normal 4 6 3 8 4" xfId="30103" xr:uid="{F35AC9BA-E5CC-4EAF-A915-77165F3DB04E}"/>
    <cellStyle name="Normal 4 6 3 9" xfId="9005" xr:uid="{6571509D-6A5B-4A9F-B2A7-DF514B476E6D}"/>
    <cellStyle name="Normal 4 6 4" xfId="402" xr:uid="{00000000-0005-0000-0000-00007B160000}"/>
    <cellStyle name="Normal 4 6 4 10" xfId="25888" xr:uid="{E8C3860A-24D6-4E5F-B7C9-C29E86BCE492}"/>
    <cellStyle name="Normal 4 6 4 2" xfId="876" xr:uid="{00000000-0005-0000-0000-00007C160000}"/>
    <cellStyle name="Normal 4 6 4 2 2" xfId="3111" xr:uid="{00000000-0005-0000-0000-00007D160000}"/>
    <cellStyle name="Normal 4 6 4 2 2 2" xfId="7333" xr:uid="{00000000-0005-0000-0000-00007E160000}"/>
    <cellStyle name="Normal 4 6 4 2 2 2 2" xfId="15783" xr:uid="{194B2858-61BF-41C9-8868-3845E55A4BA3}"/>
    <cellStyle name="Normal 4 6 4 2 2 2 3" xfId="24223" xr:uid="{E92DE4D9-E8BF-4C5F-88D1-0894BB0AAA58}"/>
    <cellStyle name="Normal 4 6 4 2 2 2 4" xfId="32663" xr:uid="{568832CF-75CF-4B8D-B6A2-848777AD7C60}"/>
    <cellStyle name="Normal 4 6 4 2 2 3" xfId="11565" xr:uid="{797783CF-E5ED-41C8-B50B-5C0EAC5CF24F}"/>
    <cellStyle name="Normal 4 6 4 2 2 4" xfId="20006" xr:uid="{AA44BE4B-848B-401E-90E2-03D5E6C9B9B1}"/>
    <cellStyle name="Normal 4 6 4 2 2 5" xfId="28446" xr:uid="{6B3F7832-D79E-44C5-9AF0-2210F021F181}"/>
    <cellStyle name="Normal 4 6 4 2 3" xfId="5188" xr:uid="{00000000-0005-0000-0000-00007F160000}"/>
    <cellStyle name="Normal 4 6 4 2 3 2" xfId="13638" xr:uid="{B2D23552-23CC-48B4-B221-B0C545CEA593}"/>
    <cellStyle name="Normal 4 6 4 2 3 3" xfId="22078" xr:uid="{33429303-231D-4D13-9CD2-00AC8338B160}"/>
    <cellStyle name="Normal 4 6 4 2 3 4" xfId="30518" xr:uid="{42BF64AF-E96E-4784-822E-775E8A9F8B3D}"/>
    <cellStyle name="Normal 4 6 4 2 4" xfId="9420" xr:uid="{090CCC5B-7EB2-4D93-858C-969F131DEBE5}"/>
    <cellStyle name="Normal 4 6 4 2 5" xfId="17861" xr:uid="{1E70B72E-977F-4C26-8C6C-C304205D99A4}"/>
    <cellStyle name="Normal 4 6 4 2 6" xfId="26301" xr:uid="{2E65B1BD-DFE1-4065-809D-8024B0B8F7B0}"/>
    <cellStyle name="Normal 4 6 4 3" xfId="1294" xr:uid="{00000000-0005-0000-0000-000080160000}"/>
    <cellStyle name="Normal 4 6 4 3 2" xfId="3524" xr:uid="{00000000-0005-0000-0000-000081160000}"/>
    <cellStyle name="Normal 4 6 4 3 2 2" xfId="7746" xr:uid="{00000000-0005-0000-0000-000082160000}"/>
    <cellStyle name="Normal 4 6 4 3 2 2 2" xfId="16196" xr:uid="{944F9E28-E1BE-4250-91EB-9A1B0C923FC8}"/>
    <cellStyle name="Normal 4 6 4 3 2 2 3" xfId="24636" xr:uid="{45102E29-4771-45A3-B58F-3B3651FF39F3}"/>
    <cellStyle name="Normal 4 6 4 3 2 2 4" xfId="33076" xr:uid="{849719B5-ED70-4E5C-9B96-0E7295F43163}"/>
    <cellStyle name="Normal 4 6 4 3 2 3" xfId="11978" xr:uid="{0ABAF342-5856-4474-B918-259C686EA664}"/>
    <cellStyle name="Normal 4 6 4 3 2 4" xfId="20419" xr:uid="{6034AAB7-34F8-424C-88E2-63543BF17622}"/>
    <cellStyle name="Normal 4 6 4 3 2 5" xfId="28859" xr:uid="{ECE82F4A-0526-4570-BFDB-2CF608112494}"/>
    <cellStyle name="Normal 4 6 4 3 3" xfId="5601" xr:uid="{00000000-0005-0000-0000-000083160000}"/>
    <cellStyle name="Normal 4 6 4 3 3 2" xfId="14051" xr:uid="{52D90400-EDDC-4100-B752-B4780AF503CD}"/>
    <cellStyle name="Normal 4 6 4 3 3 3" xfId="22491" xr:uid="{07BED611-1F01-45DC-A2A2-3A10DA9B941E}"/>
    <cellStyle name="Normal 4 6 4 3 3 4" xfId="30931" xr:uid="{9A89C8E0-6558-4BA9-9949-58AD358270B3}"/>
    <cellStyle name="Normal 4 6 4 3 4" xfId="9833" xr:uid="{EE54A913-41E4-4440-B50E-6B35BE0F677C}"/>
    <cellStyle name="Normal 4 6 4 3 5" xfId="18274" xr:uid="{CBD1D4D7-1787-49C8-A110-FBB28261BC72}"/>
    <cellStyle name="Normal 4 6 4 3 6" xfId="26714" xr:uid="{58995FEE-76F1-4192-A9C1-F80B8061EFF6}"/>
    <cellStyle name="Normal 4 6 4 4" xfId="1707" xr:uid="{00000000-0005-0000-0000-000084160000}"/>
    <cellStyle name="Normal 4 6 4 4 2" xfId="3937" xr:uid="{00000000-0005-0000-0000-000085160000}"/>
    <cellStyle name="Normal 4 6 4 4 2 2" xfId="8159" xr:uid="{00000000-0005-0000-0000-000086160000}"/>
    <cellStyle name="Normal 4 6 4 4 2 2 2" xfId="16609" xr:uid="{6C22365C-29D3-4F27-8FB9-88E7C32FEBFC}"/>
    <cellStyle name="Normal 4 6 4 4 2 2 3" xfId="25049" xr:uid="{3C1F05E8-6BBF-4A8A-9828-AB1871907417}"/>
    <cellStyle name="Normal 4 6 4 4 2 2 4" xfId="33489" xr:uid="{1A111DDE-2711-4D75-8657-22BBF26F4B7F}"/>
    <cellStyle name="Normal 4 6 4 4 2 3" xfId="12391" xr:uid="{15B6B739-2857-438E-9CD4-F86DF94855CF}"/>
    <cellStyle name="Normal 4 6 4 4 2 4" xfId="20832" xr:uid="{09C14B34-968D-4584-A3E4-3D8BB8E83751}"/>
    <cellStyle name="Normal 4 6 4 4 2 5" xfId="29272" xr:uid="{A4104C67-AACC-4D7F-BBF2-C06E243C8933}"/>
    <cellStyle name="Normal 4 6 4 4 3" xfId="6014" xr:uid="{00000000-0005-0000-0000-000087160000}"/>
    <cellStyle name="Normal 4 6 4 4 3 2" xfId="14464" xr:uid="{3DE15A97-935E-424C-967D-F07054B6E7A9}"/>
    <cellStyle name="Normal 4 6 4 4 3 3" xfId="22904" xr:uid="{D925687F-EAA0-4F26-AF3F-341C38F10571}"/>
    <cellStyle name="Normal 4 6 4 4 3 4" xfId="31344" xr:uid="{3137C125-E27E-4AB8-BE6D-AA3E005AE3FA}"/>
    <cellStyle name="Normal 4 6 4 4 4" xfId="10246" xr:uid="{0600CFC3-3B51-4F2C-8A33-99AAB6F068D2}"/>
    <cellStyle name="Normal 4 6 4 4 5" xfId="18687" xr:uid="{70B7FCFC-D49F-4C9E-85CE-3D9478EF33F8}"/>
    <cellStyle name="Normal 4 6 4 4 6" xfId="27127" xr:uid="{F36CB243-3B4E-4C73-9066-D6D058B15FCD}"/>
    <cellStyle name="Normal 4 6 4 5" xfId="2121" xr:uid="{00000000-0005-0000-0000-000088160000}"/>
    <cellStyle name="Normal 4 6 4 5 2" xfId="4350" xr:uid="{00000000-0005-0000-0000-000089160000}"/>
    <cellStyle name="Normal 4 6 4 5 2 2" xfId="8572" xr:uid="{00000000-0005-0000-0000-00008A160000}"/>
    <cellStyle name="Normal 4 6 4 5 2 2 2" xfId="17022" xr:uid="{12261A72-DFCE-4C14-AAAE-AFD2081E394D}"/>
    <cellStyle name="Normal 4 6 4 5 2 2 3" xfId="25462" xr:uid="{C20F5394-22B4-4D86-8AD2-E80F3CDDACC6}"/>
    <cellStyle name="Normal 4 6 4 5 2 2 4" xfId="33902" xr:uid="{D92A6576-B1AB-4B3F-B325-DF5A264309C2}"/>
    <cellStyle name="Normal 4 6 4 5 2 3" xfId="12804" xr:uid="{C87E1707-957D-4BA6-B531-3EB924956BB7}"/>
    <cellStyle name="Normal 4 6 4 5 2 4" xfId="21245" xr:uid="{75A7C489-5104-4C89-ACEE-3C19E1848120}"/>
    <cellStyle name="Normal 4 6 4 5 2 5" xfId="29685" xr:uid="{7835AF7F-1617-42C9-AE36-877D4CD59843}"/>
    <cellStyle name="Normal 4 6 4 5 3" xfId="6427" xr:uid="{00000000-0005-0000-0000-00008B160000}"/>
    <cellStyle name="Normal 4 6 4 5 3 2" xfId="14877" xr:uid="{C8730015-0188-4982-BA95-E75338202FC9}"/>
    <cellStyle name="Normal 4 6 4 5 3 3" xfId="23317" xr:uid="{682C2073-2140-4FD4-9DA9-D47F057B4364}"/>
    <cellStyle name="Normal 4 6 4 5 3 4" xfId="31757" xr:uid="{D9844454-7184-4D3E-846D-F9FBEAD7795A}"/>
    <cellStyle name="Normal 4 6 4 5 4" xfId="10659" xr:uid="{C3A893FA-4287-4070-9842-D26BCC6818C4}"/>
    <cellStyle name="Normal 4 6 4 5 5" xfId="19100" xr:uid="{E1512E01-CF18-4435-8E4E-F8BBD5789579}"/>
    <cellStyle name="Normal 4 6 4 5 6" xfId="27540" xr:uid="{19797919-7A41-4B96-9E9C-D7A7F7F748E0}"/>
    <cellStyle name="Normal 4 6 4 6" xfId="2557" xr:uid="{00000000-0005-0000-0000-00008C160000}"/>
    <cellStyle name="Normal 4 6 4 6 2" xfId="6840" xr:uid="{00000000-0005-0000-0000-00008D160000}"/>
    <cellStyle name="Normal 4 6 4 6 2 2" xfId="15290" xr:uid="{95B5CAB8-26DA-466B-9B32-C5A92C151867}"/>
    <cellStyle name="Normal 4 6 4 6 2 3" xfId="23730" xr:uid="{6F7FCB63-919A-4BBA-AF7E-7D9F1699C3AE}"/>
    <cellStyle name="Normal 4 6 4 6 2 4" xfId="32170" xr:uid="{6BC2358E-CDA1-478B-8896-5A7A77643E0C}"/>
    <cellStyle name="Normal 4 6 4 6 3" xfId="11072" xr:uid="{A65CBCB2-F7A0-47B8-A870-DCD3024BCF3F}"/>
    <cellStyle name="Normal 4 6 4 6 4" xfId="19513" xr:uid="{02330130-1436-4522-AE21-F75D1F7C73A4}"/>
    <cellStyle name="Normal 4 6 4 6 5" xfId="27953" xr:uid="{C1F57C33-2CE8-492F-9866-AD1DCF3BBAAD}"/>
    <cellStyle name="Normal 4 6 4 7" xfId="4775" xr:uid="{00000000-0005-0000-0000-00008E160000}"/>
    <cellStyle name="Normal 4 6 4 7 2" xfId="13225" xr:uid="{3535C143-C48C-41D3-9E6E-C1BFA5694573}"/>
    <cellStyle name="Normal 4 6 4 7 3" xfId="21665" xr:uid="{50A25BEB-D8FB-4466-9029-B078D38BECF7}"/>
    <cellStyle name="Normal 4 6 4 7 4" xfId="30105" xr:uid="{F57EC7D2-F163-41F1-ABF5-11E167C3C409}"/>
    <cellStyle name="Normal 4 6 4 8" xfId="9007" xr:uid="{670C3996-107A-46EB-9D55-16BF2C6C3F06}"/>
    <cellStyle name="Normal 4 6 4 9" xfId="17448" xr:uid="{650CCA17-AF0F-45E0-8E81-49678E69402B}"/>
    <cellStyle name="Normal 4 6 5" xfId="869" xr:uid="{00000000-0005-0000-0000-00008F160000}"/>
    <cellStyle name="Normal 4 6 5 2" xfId="3104" xr:uid="{00000000-0005-0000-0000-000090160000}"/>
    <cellStyle name="Normal 4 6 5 2 2" xfId="7326" xr:uid="{00000000-0005-0000-0000-000091160000}"/>
    <cellStyle name="Normal 4 6 5 2 2 2" xfId="15776" xr:uid="{B0D75006-C3EC-4217-A88C-85456ACC2656}"/>
    <cellStyle name="Normal 4 6 5 2 2 3" xfId="24216" xr:uid="{97265AFF-7DDD-43FD-96E6-B6D5E2F7A3D6}"/>
    <cellStyle name="Normal 4 6 5 2 2 4" xfId="32656" xr:uid="{1BBF6BD7-4229-426A-A96A-805B60C3D579}"/>
    <cellStyle name="Normal 4 6 5 2 3" xfId="11558" xr:uid="{C8257528-0522-40F6-99A6-16665B9C20E3}"/>
    <cellStyle name="Normal 4 6 5 2 4" xfId="19999" xr:uid="{9B22EEF7-5101-48AF-8CF6-3E60F8F0B646}"/>
    <cellStyle name="Normal 4 6 5 2 5" xfId="28439" xr:uid="{2E574C7F-24D0-4AAD-A85F-AB18505BA77B}"/>
    <cellStyle name="Normal 4 6 5 3" xfId="5181" xr:uid="{00000000-0005-0000-0000-000092160000}"/>
    <cellStyle name="Normal 4 6 5 3 2" xfId="13631" xr:uid="{239740A6-FAFE-4DC0-9599-59431813B6B0}"/>
    <cellStyle name="Normal 4 6 5 3 3" xfId="22071" xr:uid="{87C459AE-E952-4070-8B28-E31AB8DEE865}"/>
    <cellStyle name="Normal 4 6 5 3 4" xfId="30511" xr:uid="{DCEF79C3-7B3A-401A-88EA-7B38895DD240}"/>
    <cellStyle name="Normal 4 6 5 4" xfId="9413" xr:uid="{EF008EA6-0215-40BC-9279-5FA31643834E}"/>
    <cellStyle name="Normal 4 6 5 5" xfId="17854" xr:uid="{F8D32412-09B2-4DB8-967D-11EAFA26FA0C}"/>
    <cellStyle name="Normal 4 6 5 6" xfId="26294" xr:uid="{8CA97364-B86F-4027-868D-707322BE11CD}"/>
    <cellStyle name="Normal 4 6 6" xfId="1287" xr:uid="{00000000-0005-0000-0000-000093160000}"/>
    <cellStyle name="Normal 4 6 6 2" xfId="3517" xr:uid="{00000000-0005-0000-0000-000094160000}"/>
    <cellStyle name="Normal 4 6 6 2 2" xfId="7739" xr:uid="{00000000-0005-0000-0000-000095160000}"/>
    <cellStyle name="Normal 4 6 6 2 2 2" xfId="16189" xr:uid="{A93ECFB0-62BA-458A-AEEC-68FAD74C77FD}"/>
    <cellStyle name="Normal 4 6 6 2 2 3" xfId="24629" xr:uid="{A549ACAA-587C-4645-A9DE-8ECE5A2A2721}"/>
    <cellStyle name="Normal 4 6 6 2 2 4" xfId="33069" xr:uid="{52A3EA58-845D-4C14-8C8E-39B619628D12}"/>
    <cellStyle name="Normal 4 6 6 2 3" xfId="11971" xr:uid="{3C0BC394-DA6B-41C1-81DD-03387069B73D}"/>
    <cellStyle name="Normal 4 6 6 2 4" xfId="20412" xr:uid="{C8D5A747-92D3-40CD-BB75-FB6EDA5A0C23}"/>
    <cellStyle name="Normal 4 6 6 2 5" xfId="28852" xr:uid="{32A16633-DB35-4A06-AC5A-058881CBC5CA}"/>
    <cellStyle name="Normal 4 6 6 3" xfId="5594" xr:uid="{00000000-0005-0000-0000-000096160000}"/>
    <cellStyle name="Normal 4 6 6 3 2" xfId="14044" xr:uid="{92AFF7FF-D26B-4E17-81B6-EDFF10927C62}"/>
    <cellStyle name="Normal 4 6 6 3 3" xfId="22484" xr:uid="{22BCD91B-A218-4D86-8B2B-D96C35A18559}"/>
    <cellStyle name="Normal 4 6 6 3 4" xfId="30924" xr:uid="{A32CF46F-56C9-4088-B464-7D477180DE99}"/>
    <cellStyle name="Normal 4 6 6 4" xfId="9826" xr:uid="{96FFB5B2-53D6-4DBB-B1D6-1EB5C3F96CF6}"/>
    <cellStyle name="Normal 4 6 6 5" xfId="18267" xr:uid="{953FD4CF-6880-4EB1-AB20-39A6F1814092}"/>
    <cellStyle name="Normal 4 6 6 6" xfId="26707" xr:uid="{20F9CF31-A054-49C2-8DD6-528AF7B27052}"/>
    <cellStyle name="Normal 4 6 7" xfId="1700" xr:uid="{00000000-0005-0000-0000-000097160000}"/>
    <cellStyle name="Normal 4 6 7 2" xfId="3930" xr:uid="{00000000-0005-0000-0000-000098160000}"/>
    <cellStyle name="Normal 4 6 7 2 2" xfId="8152" xr:uid="{00000000-0005-0000-0000-000099160000}"/>
    <cellStyle name="Normal 4 6 7 2 2 2" xfId="16602" xr:uid="{A57C60E0-54C2-41C0-96E4-7ABC8AB99824}"/>
    <cellStyle name="Normal 4 6 7 2 2 3" xfId="25042" xr:uid="{26986468-14A7-47BE-B74A-81FFAFA764C8}"/>
    <cellStyle name="Normal 4 6 7 2 2 4" xfId="33482" xr:uid="{C7A8FAC9-5195-400C-9136-767E28EECC46}"/>
    <cellStyle name="Normal 4 6 7 2 3" xfId="12384" xr:uid="{4E906921-15CE-47BA-9EF5-79B11453A15D}"/>
    <cellStyle name="Normal 4 6 7 2 4" xfId="20825" xr:uid="{FC385345-25A2-4A43-AD4F-581B83DA93B0}"/>
    <cellStyle name="Normal 4 6 7 2 5" xfId="29265" xr:uid="{B54FB015-E990-4B72-ACEF-C46607F9017B}"/>
    <cellStyle name="Normal 4 6 7 3" xfId="6007" xr:uid="{00000000-0005-0000-0000-00009A160000}"/>
    <cellStyle name="Normal 4 6 7 3 2" xfId="14457" xr:uid="{98DDF570-D65C-4C9D-AD4F-4E0DA279D460}"/>
    <cellStyle name="Normal 4 6 7 3 3" xfId="22897" xr:uid="{A8154C17-EDB5-4A39-8480-97C13F613DF5}"/>
    <cellStyle name="Normal 4 6 7 3 4" xfId="31337" xr:uid="{5FDEF706-D810-49EC-9BAE-66FCC515EDBB}"/>
    <cellStyle name="Normal 4 6 7 4" xfId="10239" xr:uid="{21A228A7-0F7C-4180-89F4-A694DD4AE8A8}"/>
    <cellStyle name="Normal 4 6 7 5" xfId="18680" xr:uid="{0C1A312A-A7F6-4E19-8279-92D85400FF05}"/>
    <cellStyle name="Normal 4 6 7 6" xfId="27120" xr:uid="{644BE149-73A9-408E-A2A6-A0D03E904926}"/>
    <cellStyle name="Normal 4 6 8" xfId="2114" xr:uid="{00000000-0005-0000-0000-00009B160000}"/>
    <cellStyle name="Normal 4 6 8 2" xfId="4343" xr:uid="{00000000-0005-0000-0000-00009C160000}"/>
    <cellStyle name="Normal 4 6 8 2 2" xfId="8565" xr:uid="{00000000-0005-0000-0000-00009D160000}"/>
    <cellStyle name="Normal 4 6 8 2 2 2" xfId="17015" xr:uid="{A793AC2C-96F8-4E4F-BF62-5C4095ADDF04}"/>
    <cellStyle name="Normal 4 6 8 2 2 3" xfId="25455" xr:uid="{CA79FF4C-1326-4D4D-8EB9-5B552DD9A5BB}"/>
    <cellStyle name="Normal 4 6 8 2 2 4" xfId="33895" xr:uid="{845E630F-3CA8-46A6-85F8-3999746B188E}"/>
    <cellStyle name="Normal 4 6 8 2 3" xfId="12797" xr:uid="{AE68B0A3-DB32-44FD-9E1B-9466F5AA0D44}"/>
    <cellStyle name="Normal 4 6 8 2 4" xfId="21238" xr:uid="{10E92F7E-25DE-4CB5-9FB8-A0FE98ECFA78}"/>
    <cellStyle name="Normal 4 6 8 2 5" xfId="29678" xr:uid="{C2992E1D-5AD1-4777-9A54-73F1DCFFC5C3}"/>
    <cellStyle name="Normal 4 6 8 3" xfId="6420" xr:uid="{00000000-0005-0000-0000-00009E160000}"/>
    <cellStyle name="Normal 4 6 8 3 2" xfId="14870" xr:uid="{F77BCD03-D1DB-4318-83A5-6ED7AC9554CF}"/>
    <cellStyle name="Normal 4 6 8 3 3" xfId="23310" xr:uid="{E578B2FC-7DAB-47FA-97B0-2A047405AEDD}"/>
    <cellStyle name="Normal 4 6 8 3 4" xfId="31750" xr:uid="{55EE8B35-EB37-46CE-A45B-D9DAD644D5FC}"/>
    <cellStyle name="Normal 4 6 8 4" xfId="10652" xr:uid="{03E4730D-362F-4F1B-B94B-6479C3D2F0F3}"/>
    <cellStyle name="Normal 4 6 8 5" xfId="19093" xr:uid="{9E13FA91-7305-402C-8C77-FA06D1303DE9}"/>
    <cellStyle name="Normal 4 6 8 6" xfId="27533" xr:uid="{DF220788-0B00-4D2E-ADB4-DEF88AABFC36}"/>
    <cellStyle name="Normal 4 6 9" xfId="2550" xr:uid="{00000000-0005-0000-0000-00009F160000}"/>
    <cellStyle name="Normal 4 6 9 2" xfId="6833" xr:uid="{00000000-0005-0000-0000-0000A0160000}"/>
    <cellStyle name="Normal 4 6 9 2 2" xfId="15283" xr:uid="{786EBC89-9E4B-4568-B0D3-074ED80180EC}"/>
    <cellStyle name="Normal 4 6 9 2 3" xfId="23723" xr:uid="{734813FC-5761-4259-A319-20EB3167F77F}"/>
    <cellStyle name="Normal 4 6 9 2 4" xfId="32163" xr:uid="{FE043DF9-19A2-4017-A71B-E981DC63AC49}"/>
    <cellStyle name="Normal 4 6 9 3" xfId="11065" xr:uid="{34475359-ECA3-4BF8-8404-60C30424D30B}"/>
    <cellStyle name="Normal 4 6 9 4" xfId="19506" xr:uid="{52EB6CD1-8535-4FDB-BAD2-06F671BEE9C1}"/>
    <cellStyle name="Normal 4 6 9 5" xfId="27946" xr:uid="{D07E24AF-964E-4712-BB51-0C3D9BF403B9}"/>
    <cellStyle name="Normal 4 7" xfId="403" xr:uid="{00000000-0005-0000-0000-0000A1160000}"/>
    <cellStyle name="Normal 4 7 10" xfId="17449" xr:uid="{F91E945F-C68B-44D2-88ED-9CFD7D5948CA}"/>
    <cellStyle name="Normal 4 7 11" xfId="25889" xr:uid="{3687A608-CAB7-48DE-BE97-18B104F08D2F}"/>
    <cellStyle name="Normal 4 7 2" xfId="404" xr:uid="{00000000-0005-0000-0000-0000A2160000}"/>
    <cellStyle name="Normal 4 7 2 10" xfId="25890" xr:uid="{4C2376C7-4F30-4597-AE46-A3A2794954F8}"/>
    <cellStyle name="Normal 4 7 2 2" xfId="878" xr:uid="{00000000-0005-0000-0000-0000A3160000}"/>
    <cellStyle name="Normal 4 7 2 2 2" xfId="3113" xr:uid="{00000000-0005-0000-0000-0000A4160000}"/>
    <cellStyle name="Normal 4 7 2 2 2 2" xfId="7335" xr:uid="{00000000-0005-0000-0000-0000A5160000}"/>
    <cellStyle name="Normal 4 7 2 2 2 2 2" xfId="15785" xr:uid="{E650D36F-2693-48E4-991F-E5A0AE26DB56}"/>
    <cellStyle name="Normal 4 7 2 2 2 2 3" xfId="24225" xr:uid="{30D8EACE-1284-482D-B25D-05C936922E57}"/>
    <cellStyle name="Normal 4 7 2 2 2 2 4" xfId="32665" xr:uid="{62496F84-EC71-4CF9-91C3-1B06AE4D0C6E}"/>
    <cellStyle name="Normal 4 7 2 2 2 3" xfId="11567" xr:uid="{3F069FD8-062A-48E4-91D8-BBB639834B41}"/>
    <cellStyle name="Normal 4 7 2 2 2 4" xfId="20008" xr:uid="{A867D252-3A4C-4DFC-A7E9-5B92844A8B2B}"/>
    <cellStyle name="Normal 4 7 2 2 2 5" xfId="28448" xr:uid="{BD05E305-23D2-43C4-A43C-502C8BA6B923}"/>
    <cellStyle name="Normal 4 7 2 2 3" xfId="5190" xr:uid="{00000000-0005-0000-0000-0000A6160000}"/>
    <cellStyle name="Normal 4 7 2 2 3 2" xfId="13640" xr:uid="{C73DD9CC-B467-4B81-AE37-F5CFED8FAD11}"/>
    <cellStyle name="Normal 4 7 2 2 3 3" xfId="22080" xr:uid="{EBD768E3-8EDB-456D-A6EA-B50716B28990}"/>
    <cellStyle name="Normal 4 7 2 2 3 4" xfId="30520" xr:uid="{26F122B5-14FA-4BB8-A781-0EEA3C6AA3E4}"/>
    <cellStyle name="Normal 4 7 2 2 4" xfId="9422" xr:uid="{E8510453-E210-4155-B1F9-8F30147809CF}"/>
    <cellStyle name="Normal 4 7 2 2 5" xfId="17863" xr:uid="{BDD094E8-4B99-497A-81AD-D637D4AC1C7F}"/>
    <cellStyle name="Normal 4 7 2 2 6" xfId="26303" xr:uid="{83EB0F34-73C8-43E4-900D-9F94DE0C84D9}"/>
    <cellStyle name="Normal 4 7 2 3" xfId="1296" xr:uid="{00000000-0005-0000-0000-0000A7160000}"/>
    <cellStyle name="Normal 4 7 2 3 2" xfId="3526" xr:uid="{00000000-0005-0000-0000-0000A8160000}"/>
    <cellStyle name="Normal 4 7 2 3 2 2" xfId="7748" xr:uid="{00000000-0005-0000-0000-0000A9160000}"/>
    <cellStyle name="Normal 4 7 2 3 2 2 2" xfId="16198" xr:uid="{7BF004AF-E3DC-4692-88EB-8A0159FEFA46}"/>
    <cellStyle name="Normal 4 7 2 3 2 2 3" xfId="24638" xr:uid="{4AB74A5C-97FD-4A6F-945F-126D4AA6BAAD}"/>
    <cellStyle name="Normal 4 7 2 3 2 2 4" xfId="33078" xr:uid="{B6D1E086-AF75-4B22-88A9-6A04649BD9B9}"/>
    <cellStyle name="Normal 4 7 2 3 2 3" xfId="11980" xr:uid="{341F4B3C-AB87-4049-AACC-7431BFA0766D}"/>
    <cellStyle name="Normal 4 7 2 3 2 4" xfId="20421" xr:uid="{6170E65B-26CE-44DA-99F0-1D77C5ECFFC8}"/>
    <cellStyle name="Normal 4 7 2 3 2 5" xfId="28861" xr:uid="{D289FCB2-2067-4B28-A495-1AB14906F601}"/>
    <cellStyle name="Normal 4 7 2 3 3" xfId="5603" xr:uid="{00000000-0005-0000-0000-0000AA160000}"/>
    <cellStyle name="Normal 4 7 2 3 3 2" xfId="14053" xr:uid="{44F06E4D-A4E4-4EAA-B26C-4F44B347B0DA}"/>
    <cellStyle name="Normal 4 7 2 3 3 3" xfId="22493" xr:uid="{48F7C960-8C46-4F3C-ABE7-46FF210213CA}"/>
    <cellStyle name="Normal 4 7 2 3 3 4" xfId="30933" xr:uid="{D15394EA-7658-4240-90A6-B8539079C9FB}"/>
    <cellStyle name="Normal 4 7 2 3 4" xfId="9835" xr:uid="{C5A36FDA-3E0F-4DAC-B7D6-3AA98C9E5E9A}"/>
    <cellStyle name="Normal 4 7 2 3 5" xfId="18276" xr:uid="{60C7441E-5472-4F56-9CA9-4B3338DD38FB}"/>
    <cellStyle name="Normal 4 7 2 3 6" xfId="26716" xr:uid="{618A91DD-4492-44AD-BECD-9CA877C4C1B9}"/>
    <cellStyle name="Normal 4 7 2 4" xfId="1709" xr:uid="{00000000-0005-0000-0000-0000AB160000}"/>
    <cellStyle name="Normal 4 7 2 4 2" xfId="3939" xr:uid="{00000000-0005-0000-0000-0000AC160000}"/>
    <cellStyle name="Normal 4 7 2 4 2 2" xfId="8161" xr:uid="{00000000-0005-0000-0000-0000AD160000}"/>
    <cellStyle name="Normal 4 7 2 4 2 2 2" xfId="16611" xr:uid="{C13E99B6-5760-4149-B053-A5FF1A5788E1}"/>
    <cellStyle name="Normal 4 7 2 4 2 2 3" xfId="25051" xr:uid="{EA1D6509-7172-4269-AE0D-810178C67C5F}"/>
    <cellStyle name="Normal 4 7 2 4 2 2 4" xfId="33491" xr:uid="{81B6CBE8-F977-40D0-8B6E-2067CDF55157}"/>
    <cellStyle name="Normal 4 7 2 4 2 3" xfId="12393" xr:uid="{6C37AB16-0D89-4706-A00F-3E64A9F06115}"/>
    <cellStyle name="Normal 4 7 2 4 2 4" xfId="20834" xr:uid="{71F1348F-797D-4398-8C0F-D23074C78188}"/>
    <cellStyle name="Normal 4 7 2 4 2 5" xfId="29274" xr:uid="{BB0174AF-3494-44A3-B2A0-1301436A5F7D}"/>
    <cellStyle name="Normal 4 7 2 4 3" xfId="6016" xr:uid="{00000000-0005-0000-0000-0000AE160000}"/>
    <cellStyle name="Normal 4 7 2 4 3 2" xfId="14466" xr:uid="{76FECB75-300F-4BB1-A07C-40365AA851FF}"/>
    <cellStyle name="Normal 4 7 2 4 3 3" xfId="22906" xr:uid="{A7B33978-5E33-41C0-BE9B-B2C168DAE0C8}"/>
    <cellStyle name="Normal 4 7 2 4 3 4" xfId="31346" xr:uid="{683C8560-B0E8-4E08-95FC-1CA3CC72FAEB}"/>
    <cellStyle name="Normal 4 7 2 4 4" xfId="10248" xr:uid="{558B692D-92F4-4540-92DE-04B498108B51}"/>
    <cellStyle name="Normal 4 7 2 4 5" xfId="18689" xr:uid="{1AC40963-B81D-47BD-B1B9-C09B2EC27EEC}"/>
    <cellStyle name="Normal 4 7 2 4 6" xfId="27129" xr:uid="{AF236056-F19D-4CA3-A965-DA7D655D23F6}"/>
    <cellStyle name="Normal 4 7 2 5" xfId="2123" xr:uid="{00000000-0005-0000-0000-0000AF160000}"/>
    <cellStyle name="Normal 4 7 2 5 2" xfId="4352" xr:uid="{00000000-0005-0000-0000-0000B0160000}"/>
    <cellStyle name="Normal 4 7 2 5 2 2" xfId="8574" xr:uid="{00000000-0005-0000-0000-0000B1160000}"/>
    <cellStyle name="Normal 4 7 2 5 2 2 2" xfId="17024" xr:uid="{E3C6A408-B570-41B1-A2B1-78066129D450}"/>
    <cellStyle name="Normal 4 7 2 5 2 2 3" xfId="25464" xr:uid="{EB2ACCA5-9236-428F-BAD4-3BDCCDF61D56}"/>
    <cellStyle name="Normal 4 7 2 5 2 2 4" xfId="33904" xr:uid="{5FC84D78-54AF-4F8F-993D-AE1AE551F002}"/>
    <cellStyle name="Normal 4 7 2 5 2 3" xfId="12806" xr:uid="{1112D9AF-3C72-46DD-834D-6934512787C4}"/>
    <cellStyle name="Normal 4 7 2 5 2 4" xfId="21247" xr:uid="{A8E1CC3E-C6D9-4B75-B28E-A3FA2E0ADE7C}"/>
    <cellStyle name="Normal 4 7 2 5 2 5" xfId="29687" xr:uid="{DAC00620-6702-459F-9570-836F65ED646C}"/>
    <cellStyle name="Normal 4 7 2 5 3" xfId="6429" xr:uid="{00000000-0005-0000-0000-0000B2160000}"/>
    <cellStyle name="Normal 4 7 2 5 3 2" xfId="14879" xr:uid="{90C621FC-1958-42DE-94BE-455F8C533BFA}"/>
    <cellStyle name="Normal 4 7 2 5 3 3" xfId="23319" xr:uid="{2CC53E05-59BA-449C-988C-4BBC37E8797E}"/>
    <cellStyle name="Normal 4 7 2 5 3 4" xfId="31759" xr:uid="{A02EB60F-A18A-459F-A2D7-160B2E020C49}"/>
    <cellStyle name="Normal 4 7 2 5 4" xfId="10661" xr:uid="{8A0156BF-CAA6-415A-B076-27DD60CA6D1C}"/>
    <cellStyle name="Normal 4 7 2 5 5" xfId="19102" xr:uid="{66540E02-CA3E-46B2-A7E7-594E0DA386D5}"/>
    <cellStyle name="Normal 4 7 2 5 6" xfId="27542" xr:uid="{E47608EB-F868-44B4-BE3C-C057FBB397E6}"/>
    <cellStyle name="Normal 4 7 2 6" xfId="2559" xr:uid="{00000000-0005-0000-0000-0000B3160000}"/>
    <cellStyle name="Normal 4 7 2 6 2" xfId="6842" xr:uid="{00000000-0005-0000-0000-0000B4160000}"/>
    <cellStyle name="Normal 4 7 2 6 2 2" xfId="15292" xr:uid="{0EF8EF8D-5BD4-425B-AB9E-AE10B8B0D097}"/>
    <cellStyle name="Normal 4 7 2 6 2 3" xfId="23732" xr:uid="{2E16E6AC-9FD2-4C8F-89B2-BD64202F9BF0}"/>
    <cellStyle name="Normal 4 7 2 6 2 4" xfId="32172" xr:uid="{E6561667-337A-4BC1-AA74-9055560570F3}"/>
    <cellStyle name="Normal 4 7 2 6 3" xfId="11074" xr:uid="{EC405A99-94F3-41AD-9910-35B4215F8EA8}"/>
    <cellStyle name="Normal 4 7 2 6 4" xfId="19515" xr:uid="{D3A7A6EE-D2C1-4917-9A64-B97CDE04B5F4}"/>
    <cellStyle name="Normal 4 7 2 6 5" xfId="27955" xr:uid="{0CF01AB9-D6A6-400C-9026-867443241363}"/>
    <cellStyle name="Normal 4 7 2 7" xfId="4777" xr:uid="{00000000-0005-0000-0000-0000B5160000}"/>
    <cellStyle name="Normal 4 7 2 7 2" xfId="13227" xr:uid="{C4E01DD1-5E4A-42B6-8424-517BB089C117}"/>
    <cellStyle name="Normal 4 7 2 7 3" xfId="21667" xr:uid="{148D3F5F-562A-406D-8E0D-A376E81E5412}"/>
    <cellStyle name="Normal 4 7 2 7 4" xfId="30107" xr:uid="{AD0E0932-CD20-44F9-9BD3-AC5A44E298DF}"/>
    <cellStyle name="Normal 4 7 2 8" xfId="9009" xr:uid="{FAF18F34-4498-4275-AFB1-B86336C7D956}"/>
    <cellStyle name="Normal 4 7 2 9" xfId="17450" xr:uid="{EDDEE860-D8F9-47FB-8717-F1578774C297}"/>
    <cellStyle name="Normal 4 7 3" xfId="877" xr:uid="{00000000-0005-0000-0000-0000B6160000}"/>
    <cellStyle name="Normal 4 7 3 2" xfId="3112" xr:uid="{00000000-0005-0000-0000-0000B7160000}"/>
    <cellStyle name="Normal 4 7 3 2 2" xfId="7334" xr:uid="{00000000-0005-0000-0000-0000B8160000}"/>
    <cellStyle name="Normal 4 7 3 2 2 2" xfId="15784" xr:uid="{54F1375B-70DF-45BF-BBF9-A7F6923A14BE}"/>
    <cellStyle name="Normal 4 7 3 2 2 3" xfId="24224" xr:uid="{117224E5-2330-4A38-B226-9ED5D77CB384}"/>
    <cellStyle name="Normal 4 7 3 2 2 4" xfId="32664" xr:uid="{714387BA-D1E1-4FFA-B3A0-9F4F9A86B154}"/>
    <cellStyle name="Normal 4 7 3 2 3" xfId="11566" xr:uid="{2AA6CF8F-4C22-4559-911D-831363EBD00D}"/>
    <cellStyle name="Normal 4 7 3 2 4" xfId="20007" xr:uid="{8F684376-AA3D-4F0C-8858-12EFA4500DD2}"/>
    <cellStyle name="Normal 4 7 3 2 5" xfId="28447" xr:uid="{61F4E73D-8A6C-4882-A380-D86A162EAC07}"/>
    <cellStyle name="Normal 4 7 3 3" xfId="5189" xr:uid="{00000000-0005-0000-0000-0000B9160000}"/>
    <cellStyle name="Normal 4 7 3 3 2" xfId="13639" xr:uid="{5195A6C6-A8FD-4B92-9A73-50A02C62E1B7}"/>
    <cellStyle name="Normal 4 7 3 3 3" xfId="22079" xr:uid="{42D82DE3-0F3D-4B6C-951E-C97D161A8796}"/>
    <cellStyle name="Normal 4 7 3 3 4" xfId="30519" xr:uid="{78E7432B-D885-49AE-BDBA-E4A49C6521C0}"/>
    <cellStyle name="Normal 4 7 3 4" xfId="9421" xr:uid="{E428602C-6870-45AA-9C04-05CDCDADCAB7}"/>
    <cellStyle name="Normal 4 7 3 5" xfId="17862" xr:uid="{EFFF90FE-EAB5-40F5-82F6-94B038E35EB0}"/>
    <cellStyle name="Normal 4 7 3 6" xfId="26302" xr:uid="{785F0185-97A0-4CCF-A383-FAE0251F3118}"/>
    <cellStyle name="Normal 4 7 4" xfId="1295" xr:uid="{00000000-0005-0000-0000-0000BA160000}"/>
    <cellStyle name="Normal 4 7 4 2" xfId="3525" xr:uid="{00000000-0005-0000-0000-0000BB160000}"/>
    <cellStyle name="Normal 4 7 4 2 2" xfId="7747" xr:uid="{00000000-0005-0000-0000-0000BC160000}"/>
    <cellStyle name="Normal 4 7 4 2 2 2" xfId="16197" xr:uid="{E2233490-7142-4E67-BACF-D6FDB69B8C21}"/>
    <cellStyle name="Normal 4 7 4 2 2 3" xfId="24637" xr:uid="{1FB377EF-4C72-4E38-B4F8-0EC8D90E5944}"/>
    <cellStyle name="Normal 4 7 4 2 2 4" xfId="33077" xr:uid="{707C4FFE-64B0-4FF9-B4E9-E3511FCA209B}"/>
    <cellStyle name="Normal 4 7 4 2 3" xfId="11979" xr:uid="{48BEF469-DE15-43B4-822E-127CE2497C66}"/>
    <cellStyle name="Normal 4 7 4 2 4" xfId="20420" xr:uid="{7E209D5E-846E-43B1-A64A-C77DE351B3AB}"/>
    <cellStyle name="Normal 4 7 4 2 5" xfId="28860" xr:uid="{A14E552C-8DCE-4D2C-9FE1-C81BFA39B201}"/>
    <cellStyle name="Normal 4 7 4 3" xfId="5602" xr:uid="{00000000-0005-0000-0000-0000BD160000}"/>
    <cellStyle name="Normal 4 7 4 3 2" xfId="14052" xr:uid="{B439B99E-0700-498B-B4E9-5372B1121BBE}"/>
    <cellStyle name="Normal 4 7 4 3 3" xfId="22492" xr:uid="{A231E6F9-4C22-4E8E-B90B-D0F26300632B}"/>
    <cellStyle name="Normal 4 7 4 3 4" xfId="30932" xr:uid="{DB66FE9A-4E55-4902-9147-47412413D9CC}"/>
    <cellStyle name="Normal 4 7 4 4" xfId="9834" xr:uid="{A1852287-BFE2-403C-9D4F-3C1003DEFFCF}"/>
    <cellStyle name="Normal 4 7 4 5" xfId="18275" xr:uid="{E49AE423-8571-40C6-BB9F-54C019840C87}"/>
    <cellStyle name="Normal 4 7 4 6" xfId="26715" xr:uid="{5949AE83-64CD-4EB8-9E08-58D73B487964}"/>
    <cellStyle name="Normal 4 7 5" xfId="1708" xr:uid="{00000000-0005-0000-0000-0000BE160000}"/>
    <cellStyle name="Normal 4 7 5 2" xfId="3938" xr:uid="{00000000-0005-0000-0000-0000BF160000}"/>
    <cellStyle name="Normal 4 7 5 2 2" xfId="8160" xr:uid="{00000000-0005-0000-0000-0000C0160000}"/>
    <cellStyle name="Normal 4 7 5 2 2 2" xfId="16610" xr:uid="{497D1E3F-A46A-4BCB-95E1-53343E680023}"/>
    <cellStyle name="Normal 4 7 5 2 2 3" xfId="25050" xr:uid="{22C14FDF-BAF1-401E-9000-FFB933D9BDBF}"/>
    <cellStyle name="Normal 4 7 5 2 2 4" xfId="33490" xr:uid="{636C46ED-4052-4840-8408-7510F11814A2}"/>
    <cellStyle name="Normal 4 7 5 2 3" xfId="12392" xr:uid="{72383DC9-17FC-4C73-AD0E-E7541A82C72A}"/>
    <cellStyle name="Normal 4 7 5 2 4" xfId="20833" xr:uid="{D9B5A0BB-5805-4CE7-99CB-CE2FD45C92F3}"/>
    <cellStyle name="Normal 4 7 5 2 5" xfId="29273" xr:uid="{82770301-2818-462D-AF1E-1C630875265D}"/>
    <cellStyle name="Normal 4 7 5 3" xfId="6015" xr:uid="{00000000-0005-0000-0000-0000C1160000}"/>
    <cellStyle name="Normal 4 7 5 3 2" xfId="14465" xr:uid="{B85DAD9B-288C-4901-926D-63CF88C25C95}"/>
    <cellStyle name="Normal 4 7 5 3 3" xfId="22905" xr:uid="{52471E72-BC01-4728-B869-0AF8A42A3353}"/>
    <cellStyle name="Normal 4 7 5 3 4" xfId="31345" xr:uid="{4ABD84EB-477F-4CDE-92AF-830CA4DBB830}"/>
    <cellStyle name="Normal 4 7 5 4" xfId="10247" xr:uid="{71F27F40-F356-4EA2-93AA-0FA788E2A734}"/>
    <cellStyle name="Normal 4 7 5 5" xfId="18688" xr:uid="{A1B70B19-9B6D-450F-912B-D22C00A2B641}"/>
    <cellStyle name="Normal 4 7 5 6" xfId="27128" xr:uid="{E231719F-6AD2-4C3E-9099-5EA5063CCF0C}"/>
    <cellStyle name="Normal 4 7 6" xfId="2122" xr:uid="{00000000-0005-0000-0000-0000C2160000}"/>
    <cellStyle name="Normal 4 7 6 2" xfId="4351" xr:uid="{00000000-0005-0000-0000-0000C3160000}"/>
    <cellStyle name="Normal 4 7 6 2 2" xfId="8573" xr:uid="{00000000-0005-0000-0000-0000C4160000}"/>
    <cellStyle name="Normal 4 7 6 2 2 2" xfId="17023" xr:uid="{027BF87E-05EB-4AE6-B090-7309FA9F3745}"/>
    <cellStyle name="Normal 4 7 6 2 2 3" xfId="25463" xr:uid="{E908C54D-67C8-492E-8A0D-77DBD56AB620}"/>
    <cellStyle name="Normal 4 7 6 2 2 4" xfId="33903" xr:uid="{90D9CF22-E94B-4E62-89DB-5D02461281AC}"/>
    <cellStyle name="Normal 4 7 6 2 3" xfId="12805" xr:uid="{02D91A56-B14E-4638-A91D-BC6B59BC5E8F}"/>
    <cellStyle name="Normal 4 7 6 2 4" xfId="21246" xr:uid="{71CC6037-81EF-4EA4-908B-E8F9023DAA5F}"/>
    <cellStyle name="Normal 4 7 6 2 5" xfId="29686" xr:uid="{F2B4EAB9-A9D9-430E-A588-4E9B75A05C3C}"/>
    <cellStyle name="Normal 4 7 6 3" xfId="6428" xr:uid="{00000000-0005-0000-0000-0000C5160000}"/>
    <cellStyle name="Normal 4 7 6 3 2" xfId="14878" xr:uid="{45BAEC5A-FCB8-4794-A177-E7C756124A66}"/>
    <cellStyle name="Normal 4 7 6 3 3" xfId="23318" xr:uid="{501CA81C-9FB6-4251-8B9D-29CF4D35B220}"/>
    <cellStyle name="Normal 4 7 6 3 4" xfId="31758" xr:uid="{9F2AF5E5-20BF-4832-A406-F9D4834F0AFC}"/>
    <cellStyle name="Normal 4 7 6 4" xfId="10660" xr:uid="{0B327435-A1F3-443D-8090-CA81CE069190}"/>
    <cellStyle name="Normal 4 7 6 5" xfId="19101" xr:uid="{3E047041-E870-4A19-8689-A6FA9A277DF2}"/>
    <cellStyle name="Normal 4 7 6 6" xfId="27541" xr:uid="{E1E948AE-7975-481D-98AA-80B548B49D88}"/>
    <cellStyle name="Normal 4 7 7" xfId="2558" xr:uid="{00000000-0005-0000-0000-0000C6160000}"/>
    <cellStyle name="Normal 4 7 7 2" xfId="6841" xr:uid="{00000000-0005-0000-0000-0000C7160000}"/>
    <cellStyle name="Normal 4 7 7 2 2" xfId="15291" xr:uid="{10F54327-BCD1-499F-953F-8544CE92B670}"/>
    <cellStyle name="Normal 4 7 7 2 3" xfId="23731" xr:uid="{F0D689D8-2D77-4629-BA30-A324D35D9BCD}"/>
    <cellStyle name="Normal 4 7 7 2 4" xfId="32171" xr:uid="{F82B975C-9F0C-43E5-AAC5-BDD1C7DA3936}"/>
    <cellStyle name="Normal 4 7 7 3" xfId="11073" xr:uid="{1E1A7C92-1118-46AF-A2CC-3135E87B316E}"/>
    <cellStyle name="Normal 4 7 7 4" xfId="19514" xr:uid="{7F212C44-BBA4-4C40-AC4E-339ACDE921C6}"/>
    <cellStyle name="Normal 4 7 7 5" xfId="27954" xr:uid="{BF748506-A15A-4793-8706-720CEB1A4B0F}"/>
    <cellStyle name="Normal 4 7 8" xfId="4776" xr:uid="{00000000-0005-0000-0000-0000C8160000}"/>
    <cellStyle name="Normal 4 7 8 2" xfId="13226" xr:uid="{A1629696-63A5-4FC7-ADFD-844674FA05EB}"/>
    <cellStyle name="Normal 4 7 8 3" xfId="21666" xr:uid="{645A4C55-30F5-4826-9A49-5C70DB947EDC}"/>
    <cellStyle name="Normal 4 7 8 4" xfId="30106" xr:uid="{BECE733B-B358-4372-A9C9-8BBDAA0D56A0}"/>
    <cellStyle name="Normal 4 7 9" xfId="9008" xr:uid="{92CCC4A8-60B1-490F-9DC5-5EF3A1BC2A4E}"/>
    <cellStyle name="Normal 4 8" xfId="405" xr:uid="{00000000-0005-0000-0000-0000C9160000}"/>
    <cellStyle name="Normal 4 8 10" xfId="25891" xr:uid="{46C47521-603E-48AB-9B40-167A9E26E70B}"/>
    <cellStyle name="Normal 4 8 2" xfId="879" xr:uid="{00000000-0005-0000-0000-0000CA160000}"/>
    <cellStyle name="Normal 4 8 2 2" xfId="3114" xr:uid="{00000000-0005-0000-0000-0000CB160000}"/>
    <cellStyle name="Normal 4 8 2 2 2" xfId="7336" xr:uid="{00000000-0005-0000-0000-0000CC160000}"/>
    <cellStyle name="Normal 4 8 2 2 2 2" xfId="15786" xr:uid="{636A5294-A23C-4A4B-86DC-24482C81BAF3}"/>
    <cellStyle name="Normal 4 8 2 2 2 3" xfId="24226" xr:uid="{F66A48EC-56D5-4C73-AA92-536602D2308B}"/>
    <cellStyle name="Normal 4 8 2 2 2 4" xfId="32666" xr:uid="{9B8498FD-D673-4A3E-9227-2F3DDB6148CB}"/>
    <cellStyle name="Normal 4 8 2 2 3" xfId="11568" xr:uid="{910AAE91-491D-40C8-BC99-CD2D305FE543}"/>
    <cellStyle name="Normal 4 8 2 2 4" xfId="20009" xr:uid="{11B1A2C9-4E96-44D2-B5C7-024F050D461F}"/>
    <cellStyle name="Normal 4 8 2 2 5" xfId="28449" xr:uid="{AA8572C9-0908-4A5F-99AC-7FB3342259F6}"/>
    <cellStyle name="Normal 4 8 2 3" xfId="5191" xr:uid="{00000000-0005-0000-0000-0000CD160000}"/>
    <cellStyle name="Normal 4 8 2 3 2" xfId="13641" xr:uid="{61A75D49-6BC8-4C37-8CC3-C8236EFD2674}"/>
    <cellStyle name="Normal 4 8 2 3 3" xfId="22081" xr:uid="{78561E1F-7DA5-4D31-9FBB-1065C3724E78}"/>
    <cellStyle name="Normal 4 8 2 3 4" xfId="30521" xr:uid="{32B1E397-9FF8-489D-BBB2-D25D824DF74D}"/>
    <cellStyle name="Normal 4 8 2 4" xfId="9423" xr:uid="{9A6E7F1B-55F3-4CE4-916B-D548714D887F}"/>
    <cellStyle name="Normal 4 8 2 5" xfId="17864" xr:uid="{6688CFEF-6DB7-445D-953F-1BC4CFA5097F}"/>
    <cellStyle name="Normal 4 8 2 6" xfId="26304" xr:uid="{E8B6071A-E372-4993-B277-1DBEEA09C7D0}"/>
    <cellStyle name="Normal 4 8 3" xfId="1297" xr:uid="{00000000-0005-0000-0000-0000CE160000}"/>
    <cellStyle name="Normal 4 8 3 2" xfId="3527" xr:uid="{00000000-0005-0000-0000-0000CF160000}"/>
    <cellStyle name="Normal 4 8 3 2 2" xfId="7749" xr:uid="{00000000-0005-0000-0000-0000D0160000}"/>
    <cellStyle name="Normal 4 8 3 2 2 2" xfId="16199" xr:uid="{739BE033-2AAC-445E-BA06-DFF4FEFAF33C}"/>
    <cellStyle name="Normal 4 8 3 2 2 3" xfId="24639" xr:uid="{616B7E43-8AE9-41CB-8328-1E67F1047ACD}"/>
    <cellStyle name="Normal 4 8 3 2 2 4" xfId="33079" xr:uid="{A3E84E17-2ECD-4809-BC2D-10F5B560C7AE}"/>
    <cellStyle name="Normal 4 8 3 2 3" xfId="11981" xr:uid="{2B3C0D3B-325D-4885-9A26-53585078C592}"/>
    <cellStyle name="Normal 4 8 3 2 4" xfId="20422" xr:uid="{C12C2F9A-15E5-4067-9B37-3A29000BA38C}"/>
    <cellStyle name="Normal 4 8 3 2 5" xfId="28862" xr:uid="{C451FE1A-B8AF-4C47-9F78-2A3D870A5FAC}"/>
    <cellStyle name="Normal 4 8 3 3" xfId="5604" xr:uid="{00000000-0005-0000-0000-0000D1160000}"/>
    <cellStyle name="Normal 4 8 3 3 2" xfId="14054" xr:uid="{0AE052A9-3226-478A-9BF3-A20E4C289585}"/>
    <cellStyle name="Normal 4 8 3 3 3" xfId="22494" xr:uid="{54E2B31B-FA6E-4E0C-8CB1-0D0B8E54C6DE}"/>
    <cellStyle name="Normal 4 8 3 3 4" xfId="30934" xr:uid="{FF5A7276-4FE6-4DBD-A7E2-1F705962E866}"/>
    <cellStyle name="Normal 4 8 3 4" xfId="9836" xr:uid="{F955553F-8643-4252-9C6C-17450F697FC6}"/>
    <cellStyle name="Normal 4 8 3 5" xfId="18277" xr:uid="{295390D2-4C73-49B4-BE97-3F32B28291E4}"/>
    <cellStyle name="Normal 4 8 3 6" xfId="26717" xr:uid="{3365D453-CAF5-4C4F-99A4-803DF827A69C}"/>
    <cellStyle name="Normal 4 8 4" xfId="1710" xr:uid="{00000000-0005-0000-0000-0000D2160000}"/>
    <cellStyle name="Normal 4 8 4 2" xfId="3940" xr:uid="{00000000-0005-0000-0000-0000D3160000}"/>
    <cellStyle name="Normal 4 8 4 2 2" xfId="8162" xr:uid="{00000000-0005-0000-0000-0000D4160000}"/>
    <cellStyle name="Normal 4 8 4 2 2 2" xfId="16612" xr:uid="{EA72DF85-2E52-4432-96B5-7EE41BE3B3B2}"/>
    <cellStyle name="Normal 4 8 4 2 2 3" xfId="25052" xr:uid="{A437ABF9-800C-4CE4-BB16-CDAEBE5B7A67}"/>
    <cellStyle name="Normal 4 8 4 2 2 4" xfId="33492" xr:uid="{1EF79BC3-36A5-4BD4-82FE-BF05AAA041CE}"/>
    <cellStyle name="Normal 4 8 4 2 3" xfId="12394" xr:uid="{CBD052A2-6916-4ED1-B0A1-E2C6E4E4BD10}"/>
    <cellStyle name="Normal 4 8 4 2 4" xfId="20835" xr:uid="{A468B331-350E-41FE-9D9C-DFECA1857E87}"/>
    <cellStyle name="Normal 4 8 4 2 5" xfId="29275" xr:uid="{DA6B0F5C-4E33-419A-BB9C-35E7E4DD1FF1}"/>
    <cellStyle name="Normal 4 8 4 3" xfId="6017" xr:uid="{00000000-0005-0000-0000-0000D5160000}"/>
    <cellStyle name="Normal 4 8 4 3 2" xfId="14467" xr:uid="{39C1A20A-69A0-4E05-B235-870A9EE79E24}"/>
    <cellStyle name="Normal 4 8 4 3 3" xfId="22907" xr:uid="{7A6A164A-AFA4-4704-992C-743FD50A0500}"/>
    <cellStyle name="Normal 4 8 4 3 4" xfId="31347" xr:uid="{012C0A55-EF04-4230-8BA2-6500C985F176}"/>
    <cellStyle name="Normal 4 8 4 4" xfId="10249" xr:uid="{0DA95525-2DA4-43C2-A072-21A3B87DE9D9}"/>
    <cellStyle name="Normal 4 8 4 5" xfId="18690" xr:uid="{90342254-17A4-49DE-B7AB-3D9D28747A5A}"/>
    <cellStyle name="Normal 4 8 4 6" xfId="27130" xr:uid="{F5BCA96D-53AA-4C5A-8A46-CD0221540195}"/>
    <cellStyle name="Normal 4 8 5" xfId="2124" xr:uid="{00000000-0005-0000-0000-0000D6160000}"/>
    <cellStyle name="Normal 4 8 5 2" xfId="4353" xr:uid="{00000000-0005-0000-0000-0000D7160000}"/>
    <cellStyle name="Normal 4 8 5 2 2" xfId="8575" xr:uid="{00000000-0005-0000-0000-0000D8160000}"/>
    <cellStyle name="Normal 4 8 5 2 2 2" xfId="17025" xr:uid="{541421B5-90AA-44B3-86F9-8C8105944F3F}"/>
    <cellStyle name="Normal 4 8 5 2 2 3" xfId="25465" xr:uid="{E71A2958-A4F7-491B-A693-27553FED93FB}"/>
    <cellStyle name="Normal 4 8 5 2 2 4" xfId="33905" xr:uid="{C35F6832-5E50-4809-BEA9-B480F6FEDCFF}"/>
    <cellStyle name="Normal 4 8 5 2 3" xfId="12807" xr:uid="{27D97D51-65D5-48BE-81E4-53FD028CD4F6}"/>
    <cellStyle name="Normal 4 8 5 2 4" xfId="21248" xr:uid="{4E77696C-2F2F-40C8-89B7-0BA01516D988}"/>
    <cellStyle name="Normal 4 8 5 2 5" xfId="29688" xr:uid="{DF303C4D-D4DD-4E33-B844-3B662C352D08}"/>
    <cellStyle name="Normal 4 8 5 3" xfId="6430" xr:uid="{00000000-0005-0000-0000-0000D9160000}"/>
    <cellStyle name="Normal 4 8 5 3 2" xfId="14880" xr:uid="{968D3E92-3E88-4B99-90A7-DD5E57BDE3EF}"/>
    <cellStyle name="Normal 4 8 5 3 3" xfId="23320" xr:uid="{DE721CC6-C7CB-41DB-AEB4-DC462B9FB6C7}"/>
    <cellStyle name="Normal 4 8 5 3 4" xfId="31760" xr:uid="{FCA4D90E-4702-410D-9B83-68C4EE0C9957}"/>
    <cellStyle name="Normal 4 8 5 4" xfId="10662" xr:uid="{AC50D85A-8EB3-4F56-A1C7-6F415D0040B9}"/>
    <cellStyle name="Normal 4 8 5 5" xfId="19103" xr:uid="{118C6BFB-B313-485B-A293-E74507C7EF11}"/>
    <cellStyle name="Normal 4 8 5 6" xfId="27543" xr:uid="{00945127-68A5-43EC-8023-92D1EF0AC9F3}"/>
    <cellStyle name="Normal 4 8 6" xfId="2560" xr:uid="{00000000-0005-0000-0000-0000DA160000}"/>
    <cellStyle name="Normal 4 8 6 2" xfId="6843" xr:uid="{00000000-0005-0000-0000-0000DB160000}"/>
    <cellStyle name="Normal 4 8 6 2 2" xfId="15293" xr:uid="{8DFD0A19-42DB-4C3E-AB89-9A4329989850}"/>
    <cellStyle name="Normal 4 8 6 2 3" xfId="23733" xr:uid="{CE301262-08A2-4820-8001-33B64D65C4EE}"/>
    <cellStyle name="Normal 4 8 6 2 4" xfId="32173" xr:uid="{9735E4AF-F18C-480D-868D-14571A29E36B}"/>
    <cellStyle name="Normal 4 8 6 3" xfId="11075" xr:uid="{AFA2C3EF-E2EE-43A1-B9FC-E52A31BA9AB6}"/>
    <cellStyle name="Normal 4 8 6 4" xfId="19516" xr:uid="{1FD876BB-8503-4C47-9201-2118DDC2ED91}"/>
    <cellStyle name="Normal 4 8 6 5" xfId="27956" xr:uid="{7EC19C90-3485-411F-B4E6-54A4ECD72BEC}"/>
    <cellStyle name="Normal 4 8 7" xfId="4778" xr:uid="{00000000-0005-0000-0000-0000DC160000}"/>
    <cellStyle name="Normal 4 8 7 2" xfId="13228" xr:uid="{BABF1476-A341-4E1E-861E-D4EBD4E49C83}"/>
    <cellStyle name="Normal 4 8 7 3" xfId="21668" xr:uid="{B4D743B3-EFF5-4B33-ADEF-DCD338A7275A}"/>
    <cellStyle name="Normal 4 8 7 4" xfId="30108" xr:uid="{FEAE8A83-B70C-49FD-B780-A5BE3CE2A80E}"/>
    <cellStyle name="Normal 4 8 8" xfId="9010" xr:uid="{BFA68133-9FFB-44E3-8612-37884F92291D}"/>
    <cellStyle name="Normal 4 8 9" xfId="17451" xr:uid="{96DA1653-45CC-4C61-8E3B-6BEAB2945B91}"/>
    <cellStyle name="Normal 4 9" xfId="4715" xr:uid="{00000000-0005-0000-0000-0000DD160000}"/>
    <cellStyle name="Normal 4 9 2" xfId="13165" xr:uid="{454E9BE2-618C-4F2A-8533-1060BD458F46}"/>
    <cellStyle name="Normal 4 9 3" xfId="21605" xr:uid="{BB707BA2-8A9F-4C41-8D4D-8D0D9118E383}"/>
    <cellStyle name="Normal 4 9 4" xfId="30045" xr:uid="{BF1FD77F-BB70-4361-8278-8B32E2B9445F}"/>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2 2 2" xfId="16613" xr:uid="{85B53E02-5718-4A79-A7C2-775F2B98BABE}"/>
    <cellStyle name="Normal 5 10 2 2 3" xfId="25053" xr:uid="{B8FD4550-AFDF-4264-8951-E1CBA93C3282}"/>
    <cellStyle name="Normal 5 10 2 2 4" xfId="33493" xr:uid="{A0ADA101-CAF6-4416-AE07-BCD757AEC548}"/>
    <cellStyle name="Normal 5 10 2 3" xfId="12395" xr:uid="{EAF34593-AB63-4FDD-979F-7E2AD945054C}"/>
    <cellStyle name="Normal 5 10 2 4" xfId="20836" xr:uid="{B09912B5-97F1-4EAD-8B57-5DC1C2786D84}"/>
    <cellStyle name="Normal 5 10 2 5" xfId="29276" xr:uid="{5B09AC9F-AF00-49C0-8F1C-36C9F7B46767}"/>
    <cellStyle name="Normal 5 10 3" xfId="6018" xr:uid="{00000000-0005-0000-0000-0000E2160000}"/>
    <cellStyle name="Normal 5 10 3 2" xfId="14468" xr:uid="{C0B3C7EB-FA83-498C-9C65-55039E44AE79}"/>
    <cellStyle name="Normal 5 10 3 3" xfId="22908" xr:uid="{9C23D58B-3173-4199-B861-E8714195E542}"/>
    <cellStyle name="Normal 5 10 3 4" xfId="31348" xr:uid="{BF88066E-D7A9-44C3-80C3-E50BB54FDAA6}"/>
    <cellStyle name="Normal 5 10 4" xfId="10250" xr:uid="{08A7EA90-C236-44E8-B524-C6B5D66F7F99}"/>
    <cellStyle name="Normal 5 10 5" xfId="18691" xr:uid="{81070942-82B1-43B8-B2F2-4873CAC24B88}"/>
    <cellStyle name="Normal 5 10 6" xfId="27131" xr:uid="{6DE6BB60-BB5A-490D-B736-16ADF4473D95}"/>
    <cellStyle name="Normal 5 11" xfId="2125" xr:uid="{00000000-0005-0000-0000-0000E3160000}"/>
    <cellStyle name="Normal 5 11 2" xfId="4354" xr:uid="{00000000-0005-0000-0000-0000E4160000}"/>
    <cellStyle name="Normal 5 11 2 2" xfId="8576" xr:uid="{00000000-0005-0000-0000-0000E5160000}"/>
    <cellStyle name="Normal 5 11 2 2 2" xfId="17026" xr:uid="{A90C8AB1-5D45-4EF5-91DA-0F6899BD4B7A}"/>
    <cellStyle name="Normal 5 11 2 2 3" xfId="25466" xr:uid="{3CAB09A5-D164-42DB-8AFA-695DCC41F73C}"/>
    <cellStyle name="Normal 5 11 2 2 4" xfId="33906" xr:uid="{CCC1BAC2-548F-4117-8C9D-53D4F2E14007}"/>
    <cellStyle name="Normal 5 11 2 3" xfId="12808" xr:uid="{2C2B06B2-25AF-4DA4-AD31-7EA8DF59792C}"/>
    <cellStyle name="Normal 5 11 2 4" xfId="21249" xr:uid="{8153BF9A-0912-4691-B5C1-F3C8F6C2CC2E}"/>
    <cellStyle name="Normal 5 11 2 5" xfId="29689" xr:uid="{1ADA9FB8-8588-4175-984A-FB0F5142B7B2}"/>
    <cellStyle name="Normal 5 11 3" xfId="6431" xr:uid="{00000000-0005-0000-0000-0000E6160000}"/>
    <cellStyle name="Normal 5 11 3 2" xfId="14881" xr:uid="{C9991ACB-A4D0-4FEE-8BBD-021CFACAEC4A}"/>
    <cellStyle name="Normal 5 11 3 3" xfId="23321" xr:uid="{3DF3A4BF-5AA1-424E-91EB-7EFC9111A5AD}"/>
    <cellStyle name="Normal 5 11 3 4" xfId="31761" xr:uid="{6D100903-28CD-4258-9D43-5B799DE4A522}"/>
    <cellStyle name="Normal 5 11 4" xfId="10663" xr:uid="{DC79B595-1494-4CA4-8306-E307244E2509}"/>
    <cellStyle name="Normal 5 11 5" xfId="19104" xr:uid="{8E02ABC3-4BEB-481B-91B6-8A1815DDBF96}"/>
    <cellStyle name="Normal 5 11 6" xfId="27544" xr:uid="{32512B89-BC00-46F5-A56E-8CE245A87597}"/>
    <cellStyle name="Normal 5 12" xfId="2561" xr:uid="{00000000-0005-0000-0000-0000E7160000}"/>
    <cellStyle name="Normal 5 12 2" xfId="6844" xr:uid="{00000000-0005-0000-0000-0000E8160000}"/>
    <cellStyle name="Normal 5 12 2 2" xfId="15294" xr:uid="{AC46DFEC-1887-42F9-AB2E-D48CC91B2DD3}"/>
    <cellStyle name="Normal 5 12 2 3" xfId="23734" xr:uid="{000CEF64-F619-4C1E-83EF-875D7E147B9D}"/>
    <cellStyle name="Normal 5 12 2 4" xfId="32174" xr:uid="{F5C22315-A56E-4971-B91D-89C772525E7A}"/>
    <cellStyle name="Normal 5 12 3" xfId="11076" xr:uid="{BAE7B169-858F-4C8F-99AD-6774B2192368}"/>
    <cellStyle name="Normal 5 12 4" xfId="19517" xr:uid="{05CB777C-99B3-4EB2-9C58-3CD2E1EADF2B}"/>
    <cellStyle name="Normal 5 12 5" xfId="27957" xr:uid="{CF006339-439A-4827-AF78-0564C934D109}"/>
    <cellStyle name="Normal 5 13" xfId="4779" xr:uid="{00000000-0005-0000-0000-0000E9160000}"/>
    <cellStyle name="Normal 5 13 2" xfId="13229" xr:uid="{2838B5BB-8E05-4869-BA85-6914EC94D64A}"/>
    <cellStyle name="Normal 5 13 3" xfId="21669" xr:uid="{12F47BCC-65D7-479F-B72E-CB474811A6F6}"/>
    <cellStyle name="Normal 5 13 4" xfId="30109" xr:uid="{901D3C1C-22CF-4923-A7B8-20826183BD93}"/>
    <cellStyle name="Normal 5 14" xfId="9011" xr:uid="{27EB619E-C26A-4AC8-A6E6-D5FF2CE718A4}"/>
    <cellStyle name="Normal 5 15" xfId="17452" xr:uid="{E1A19FF8-2DB0-42E1-8A06-F93CFF94212E}"/>
    <cellStyle name="Normal 5 16" xfId="25892" xr:uid="{185E7B14-3A48-4E5F-A6DD-8F7ACB9D6DB6}"/>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2 2 2" xfId="17027" xr:uid="{20809767-E347-4B16-89AE-A32E9F1A0759}"/>
    <cellStyle name="Normal 5 2 10 2 2 3" xfId="25467" xr:uid="{4D69D51C-1B74-4350-9E92-A2CF79A9C45D}"/>
    <cellStyle name="Normal 5 2 10 2 2 4" xfId="33907" xr:uid="{F237D5A3-0F07-4A5F-B404-A57BEAE4F4B9}"/>
    <cellStyle name="Normal 5 2 10 2 3" xfId="12809" xr:uid="{A8EC1084-C05C-488A-B845-C8F5C5A19F1C}"/>
    <cellStyle name="Normal 5 2 10 2 4" xfId="21250" xr:uid="{F01A046F-6FD5-4B76-A019-062CCEDE6C31}"/>
    <cellStyle name="Normal 5 2 10 2 5" xfId="29690" xr:uid="{CABAA0CF-E203-47BA-9340-11581DFEB6DD}"/>
    <cellStyle name="Normal 5 2 10 3" xfId="6432" xr:uid="{00000000-0005-0000-0000-0000EE160000}"/>
    <cellStyle name="Normal 5 2 10 3 2" xfId="14882" xr:uid="{26FC07A2-40D2-4B9C-8F89-DFC2146B0BD6}"/>
    <cellStyle name="Normal 5 2 10 3 3" xfId="23322" xr:uid="{31678EDE-418C-4259-9011-0A905A07F727}"/>
    <cellStyle name="Normal 5 2 10 3 4" xfId="31762" xr:uid="{8ED3205C-F653-4AFF-8746-312CAB84C8C4}"/>
    <cellStyle name="Normal 5 2 10 4" xfId="10664" xr:uid="{6F2ED4DE-EF94-4412-A008-CD855BCF41FD}"/>
    <cellStyle name="Normal 5 2 10 5" xfId="19105" xr:uid="{688D075A-1713-4458-B23D-34621251A9A1}"/>
    <cellStyle name="Normal 5 2 10 6" xfId="27545" xr:uid="{E41DC43C-EFBC-44A4-832F-210ACD2FFA46}"/>
    <cellStyle name="Normal 5 2 11" xfId="2562" xr:uid="{00000000-0005-0000-0000-0000EF160000}"/>
    <cellStyle name="Normal 5 2 11 2" xfId="6845" xr:uid="{00000000-0005-0000-0000-0000F0160000}"/>
    <cellStyle name="Normal 5 2 11 2 2" xfId="15295" xr:uid="{FA50DDF5-3B82-4918-B9A1-EF37EA441C0C}"/>
    <cellStyle name="Normal 5 2 11 2 3" xfId="23735" xr:uid="{7AB4F364-DFA1-4D90-9E42-67DAFB4EB510}"/>
    <cellStyle name="Normal 5 2 11 2 4" xfId="32175" xr:uid="{135385DB-51FC-41E4-A2BA-0E9CCECCBFA0}"/>
    <cellStyle name="Normal 5 2 11 3" xfId="11077" xr:uid="{8B0084E9-5ADE-41FD-B726-DFEDC5D487D7}"/>
    <cellStyle name="Normal 5 2 11 4" xfId="19518" xr:uid="{A0778C12-766B-4C43-9343-0C86EAFBA456}"/>
    <cellStyle name="Normal 5 2 11 5" xfId="27958" xr:uid="{2E78C156-A89D-4717-B655-28CF8A9ADAB5}"/>
    <cellStyle name="Normal 5 2 12" xfId="4780" xr:uid="{00000000-0005-0000-0000-0000F1160000}"/>
    <cellStyle name="Normal 5 2 12 2" xfId="13230" xr:uid="{E3986299-094B-4377-AF5C-74399A759218}"/>
    <cellStyle name="Normal 5 2 12 3" xfId="21670" xr:uid="{0AFB3C16-A116-4EE6-B3F7-2F344861B5B2}"/>
    <cellStyle name="Normal 5 2 12 4" xfId="30110" xr:uid="{82093C2F-BC55-4F65-87BE-4022D02F3FE7}"/>
    <cellStyle name="Normal 5 2 13" xfId="9012" xr:uid="{6A2AE8F6-A988-4E9C-B93F-6BD31CC7930F}"/>
    <cellStyle name="Normal 5 2 14" xfId="17453" xr:uid="{30997DD1-0AAB-4680-BBC6-CE60220DEAF9}"/>
    <cellStyle name="Normal 5 2 15" xfId="25893" xr:uid="{1541B1CE-D84F-46A7-8E01-D0571CD1C256}"/>
    <cellStyle name="Normal 5 2 2" xfId="408" xr:uid="{00000000-0005-0000-0000-0000F2160000}"/>
    <cellStyle name="Normal 5 2 2 10" xfId="2563" xr:uid="{00000000-0005-0000-0000-0000F3160000}"/>
    <cellStyle name="Normal 5 2 2 10 2" xfId="6846" xr:uid="{00000000-0005-0000-0000-0000F4160000}"/>
    <cellStyle name="Normal 5 2 2 10 2 2" xfId="15296" xr:uid="{0C4347B1-140A-4F7C-BD10-19D95BA9AA3D}"/>
    <cellStyle name="Normal 5 2 2 10 2 3" xfId="23736" xr:uid="{5D6A1210-7E06-4D4E-952A-64129A2FB3F4}"/>
    <cellStyle name="Normal 5 2 2 10 2 4" xfId="32176" xr:uid="{DF647242-EFDE-4E70-BD7B-178201D86B03}"/>
    <cellStyle name="Normal 5 2 2 10 3" xfId="11078" xr:uid="{CFF753FC-7C31-4C9B-9D12-2454210B68F0}"/>
    <cellStyle name="Normal 5 2 2 10 4" xfId="19519" xr:uid="{778C51A8-540B-4B5E-B8D6-30F475AFE94F}"/>
    <cellStyle name="Normal 5 2 2 10 5" xfId="27959" xr:uid="{2EB69340-69A9-4A5B-B568-25CEEBBACC9E}"/>
    <cellStyle name="Normal 5 2 2 11" xfId="4781" xr:uid="{00000000-0005-0000-0000-0000F5160000}"/>
    <cellStyle name="Normal 5 2 2 11 2" xfId="13231" xr:uid="{10D7DEC4-AE53-4C6B-BA11-6006D1A5BE78}"/>
    <cellStyle name="Normal 5 2 2 11 3" xfId="21671" xr:uid="{53BBBB38-6444-4924-AC79-F0FB63BFE232}"/>
    <cellStyle name="Normal 5 2 2 11 4" xfId="30111" xr:uid="{F3E92FDC-67EA-407D-B4CF-965A2B18E957}"/>
    <cellStyle name="Normal 5 2 2 12" xfId="9013" xr:uid="{2D05A931-A9B3-416D-9841-A94ECCB07279}"/>
    <cellStyle name="Normal 5 2 2 13" xfId="17454" xr:uid="{4CD7E680-2C6C-4CB6-9BDE-5E5B2E04FC90}"/>
    <cellStyle name="Normal 5 2 2 14" xfId="25894" xr:uid="{8A4AC384-1724-4F55-974F-FDBC97AE065F}"/>
    <cellStyle name="Normal 5 2 2 2" xfId="409" xr:uid="{00000000-0005-0000-0000-0000F6160000}"/>
    <cellStyle name="Normal 5 2 2 2 10" xfId="4782" xr:uid="{00000000-0005-0000-0000-0000F7160000}"/>
    <cellStyle name="Normal 5 2 2 2 10 2" xfId="13232" xr:uid="{39E9359C-EBE2-448D-B374-2C5618A7917E}"/>
    <cellStyle name="Normal 5 2 2 2 10 3" xfId="21672" xr:uid="{3508A536-4EF1-470F-990B-1A2F5639E1F6}"/>
    <cellStyle name="Normal 5 2 2 2 10 4" xfId="30112" xr:uid="{F998A074-4DFE-431B-9CDE-2071FF9293E3}"/>
    <cellStyle name="Normal 5 2 2 2 11" xfId="9014" xr:uid="{B493811E-8B6F-4C66-8147-018C8EF96A91}"/>
    <cellStyle name="Normal 5 2 2 2 12" xfId="17455" xr:uid="{6B5FB669-E27A-433A-BB73-731775296E6D}"/>
    <cellStyle name="Normal 5 2 2 2 13" xfId="25895" xr:uid="{6B9B4451-1D65-4B9C-9E1C-719243656319}"/>
    <cellStyle name="Normal 5 2 2 2 2" xfId="410" xr:uid="{00000000-0005-0000-0000-0000F8160000}"/>
    <cellStyle name="Normal 5 2 2 2 2 10" xfId="9015" xr:uid="{5F24168B-7503-434B-8D4F-D6E20B906846}"/>
    <cellStyle name="Normal 5 2 2 2 2 11" xfId="17456" xr:uid="{66FB623F-9CD7-4801-8C91-70FD130654E4}"/>
    <cellStyle name="Normal 5 2 2 2 2 12" xfId="25896" xr:uid="{70FF2F05-9582-495D-B531-D13D605B7C1D}"/>
    <cellStyle name="Normal 5 2 2 2 2 2" xfId="411" xr:uid="{00000000-0005-0000-0000-0000F9160000}"/>
    <cellStyle name="Normal 5 2 2 2 2 2 10" xfId="17457" xr:uid="{95B0FB63-CF4F-47D4-849D-68AE2A932A91}"/>
    <cellStyle name="Normal 5 2 2 2 2 2 11" xfId="25897" xr:uid="{D9C96E2B-A7DB-4B87-8D18-717F1D42DB30}"/>
    <cellStyle name="Normal 5 2 2 2 2 2 2" xfId="412" xr:uid="{00000000-0005-0000-0000-0000FA160000}"/>
    <cellStyle name="Normal 5 2 2 2 2 2 2 10" xfId="25898" xr:uid="{F8DE1E81-50D7-4C66-B2B4-2F12BBED8CEB}"/>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2 2 2" xfId="15793" xr:uid="{352AA817-4D80-43E4-91E2-10A985334408}"/>
    <cellStyle name="Normal 5 2 2 2 2 2 2 2 2 2 3" xfId="24233" xr:uid="{0604660F-9B08-48EB-BA38-AD366379C833}"/>
    <cellStyle name="Normal 5 2 2 2 2 2 2 2 2 2 4" xfId="32673" xr:uid="{CF8D17FA-4300-415D-BCAE-49E295907E29}"/>
    <cellStyle name="Normal 5 2 2 2 2 2 2 2 2 3" xfId="11575" xr:uid="{087DF64F-1590-4AD6-9267-982B899D2D51}"/>
    <cellStyle name="Normal 5 2 2 2 2 2 2 2 2 4" xfId="20016" xr:uid="{1EFE3505-82AE-4B55-80FC-BE78B3236FEB}"/>
    <cellStyle name="Normal 5 2 2 2 2 2 2 2 2 5" xfId="28456" xr:uid="{FDAF4776-07FC-40BD-B40A-F06B1F6E9C51}"/>
    <cellStyle name="Normal 5 2 2 2 2 2 2 2 3" xfId="5198" xr:uid="{00000000-0005-0000-0000-0000FE160000}"/>
    <cellStyle name="Normal 5 2 2 2 2 2 2 2 3 2" xfId="13648" xr:uid="{478D9E20-C824-45D9-BF79-5E6CE043AF00}"/>
    <cellStyle name="Normal 5 2 2 2 2 2 2 2 3 3" xfId="22088" xr:uid="{265A18D6-F9E1-46B7-8DA2-EB5BA5D75C43}"/>
    <cellStyle name="Normal 5 2 2 2 2 2 2 2 3 4" xfId="30528" xr:uid="{96887751-A7FB-4BA3-BCE0-C49446A08D2F}"/>
    <cellStyle name="Normal 5 2 2 2 2 2 2 2 4" xfId="9430" xr:uid="{9A74015F-3F6E-4A2D-962E-5CD52240DEEC}"/>
    <cellStyle name="Normal 5 2 2 2 2 2 2 2 5" xfId="17871" xr:uid="{8E4E010D-CE19-4A48-8F3A-C9D7D6565AE6}"/>
    <cellStyle name="Normal 5 2 2 2 2 2 2 2 6" xfId="26311" xr:uid="{1041B511-5EEE-4C04-A9B4-6127E3B8DDA3}"/>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2 2 2" xfId="16206" xr:uid="{2E49D84F-C185-42EC-8E84-3380B1B794C1}"/>
    <cellStyle name="Normal 5 2 2 2 2 2 2 3 2 2 3" xfId="24646" xr:uid="{7ECBF086-93E9-468D-9703-C4B4BCBBD992}"/>
    <cellStyle name="Normal 5 2 2 2 2 2 2 3 2 2 4" xfId="33086" xr:uid="{A434F6EB-E734-4BC7-B5B2-D9AA08FB21FC}"/>
    <cellStyle name="Normal 5 2 2 2 2 2 2 3 2 3" xfId="11988" xr:uid="{13D99ACD-BA64-4BDF-BBDC-124235DE0006}"/>
    <cellStyle name="Normal 5 2 2 2 2 2 2 3 2 4" xfId="20429" xr:uid="{29526699-7ED8-4C63-8E8B-660DE79DBEAC}"/>
    <cellStyle name="Normal 5 2 2 2 2 2 2 3 2 5" xfId="28869" xr:uid="{34B89471-1EA3-4235-9581-E3B822A01442}"/>
    <cellStyle name="Normal 5 2 2 2 2 2 2 3 3" xfId="5611" xr:uid="{00000000-0005-0000-0000-000002170000}"/>
    <cellStyle name="Normal 5 2 2 2 2 2 2 3 3 2" xfId="14061" xr:uid="{FC9BCB78-D791-4B54-A98C-B228F339DF6A}"/>
    <cellStyle name="Normal 5 2 2 2 2 2 2 3 3 3" xfId="22501" xr:uid="{D36FA956-2E01-4A3B-8803-69874E738161}"/>
    <cellStyle name="Normal 5 2 2 2 2 2 2 3 3 4" xfId="30941" xr:uid="{B60B532C-80D9-4ED3-BEAF-72571AD0CDF3}"/>
    <cellStyle name="Normal 5 2 2 2 2 2 2 3 4" xfId="9843" xr:uid="{22B2B766-3EB0-4859-A91F-14337471D004}"/>
    <cellStyle name="Normal 5 2 2 2 2 2 2 3 5" xfId="18284" xr:uid="{E3979D9B-4BFE-4862-9997-95977A612ACA}"/>
    <cellStyle name="Normal 5 2 2 2 2 2 2 3 6" xfId="26724" xr:uid="{B503526C-22B4-48E0-B75B-C3FE6DF2F41F}"/>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2 2 2" xfId="16619" xr:uid="{B9A0FAAD-A59C-4355-9DA4-6577512C6393}"/>
    <cellStyle name="Normal 5 2 2 2 2 2 2 4 2 2 3" xfId="25059" xr:uid="{6B35F451-93D6-40EF-A5A3-51799A357FD9}"/>
    <cellStyle name="Normal 5 2 2 2 2 2 2 4 2 2 4" xfId="33499" xr:uid="{A3FA5844-696F-41C7-8C79-2EB06D7525F8}"/>
    <cellStyle name="Normal 5 2 2 2 2 2 2 4 2 3" xfId="12401" xr:uid="{7604D8D0-92B3-481B-B640-6F6C05C96B28}"/>
    <cellStyle name="Normal 5 2 2 2 2 2 2 4 2 4" xfId="20842" xr:uid="{DCBF3044-14D7-49CC-942D-78EE671003E6}"/>
    <cellStyle name="Normal 5 2 2 2 2 2 2 4 2 5" xfId="29282" xr:uid="{CE12BA09-FEDE-4B0E-AB56-39969C46D24C}"/>
    <cellStyle name="Normal 5 2 2 2 2 2 2 4 3" xfId="6024" xr:uid="{00000000-0005-0000-0000-000006170000}"/>
    <cellStyle name="Normal 5 2 2 2 2 2 2 4 3 2" xfId="14474" xr:uid="{284683EB-D974-48AD-80CE-443649922EA6}"/>
    <cellStyle name="Normal 5 2 2 2 2 2 2 4 3 3" xfId="22914" xr:uid="{0F805D7B-E2A3-4B16-BFCF-829D025E5C1C}"/>
    <cellStyle name="Normal 5 2 2 2 2 2 2 4 3 4" xfId="31354" xr:uid="{3C385D50-05ED-4FFA-9481-234CA16F5367}"/>
    <cellStyle name="Normal 5 2 2 2 2 2 2 4 4" xfId="10256" xr:uid="{6DC447BC-6DD2-49BD-A7B1-E2DC214D235E}"/>
    <cellStyle name="Normal 5 2 2 2 2 2 2 4 5" xfId="18697" xr:uid="{BC20FBCE-2C6E-41CE-A8D2-A3F26F54768A}"/>
    <cellStyle name="Normal 5 2 2 2 2 2 2 4 6" xfId="27137" xr:uid="{1EBA35EF-6C58-4949-A0F1-288B99340A83}"/>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2 2 2" xfId="17032" xr:uid="{F33CDDD1-9D34-4396-98E4-1F94E20F423A}"/>
    <cellStyle name="Normal 5 2 2 2 2 2 2 5 2 2 3" xfId="25472" xr:uid="{28A2618A-7F58-46C5-A575-3809E2DAB13F}"/>
    <cellStyle name="Normal 5 2 2 2 2 2 2 5 2 2 4" xfId="33912" xr:uid="{0D5A8637-1A60-40DC-9E9A-BE3FA9AB587E}"/>
    <cellStyle name="Normal 5 2 2 2 2 2 2 5 2 3" xfId="12814" xr:uid="{EA524EAD-2878-43C1-BA49-64FF2F3394B3}"/>
    <cellStyle name="Normal 5 2 2 2 2 2 2 5 2 4" xfId="21255" xr:uid="{A8784ECB-B320-4DA5-9CAA-D2122AF2B77C}"/>
    <cellStyle name="Normal 5 2 2 2 2 2 2 5 2 5" xfId="29695" xr:uid="{0FD9023B-1FB7-4A93-BFC0-1E0957571FFB}"/>
    <cellStyle name="Normal 5 2 2 2 2 2 2 5 3" xfId="6437" xr:uid="{00000000-0005-0000-0000-00000A170000}"/>
    <cellStyle name="Normal 5 2 2 2 2 2 2 5 3 2" xfId="14887" xr:uid="{7AEF08D1-1FDB-4840-9339-E981AD24C901}"/>
    <cellStyle name="Normal 5 2 2 2 2 2 2 5 3 3" xfId="23327" xr:uid="{129D3FE6-2820-487B-B5EA-36B5872F18BC}"/>
    <cellStyle name="Normal 5 2 2 2 2 2 2 5 3 4" xfId="31767" xr:uid="{66A34DF6-4290-4A9E-BC18-FA8803267417}"/>
    <cellStyle name="Normal 5 2 2 2 2 2 2 5 4" xfId="10669" xr:uid="{8623AAB0-CE5C-4BA5-8562-8F056DB6EE87}"/>
    <cellStyle name="Normal 5 2 2 2 2 2 2 5 5" xfId="19110" xr:uid="{37B36014-B2D7-428F-A4B4-67252EB30010}"/>
    <cellStyle name="Normal 5 2 2 2 2 2 2 5 6" xfId="27550" xr:uid="{3C868707-DEB3-47BA-A1E6-F8C1F657E12D}"/>
    <cellStyle name="Normal 5 2 2 2 2 2 2 6" xfId="2567" xr:uid="{00000000-0005-0000-0000-00000B170000}"/>
    <cellStyle name="Normal 5 2 2 2 2 2 2 6 2" xfId="6850" xr:uid="{00000000-0005-0000-0000-00000C170000}"/>
    <cellStyle name="Normal 5 2 2 2 2 2 2 6 2 2" xfId="15300" xr:uid="{05531751-B2F6-41AF-8FDE-965444AB7111}"/>
    <cellStyle name="Normal 5 2 2 2 2 2 2 6 2 3" xfId="23740" xr:uid="{3FE337DB-0C75-4F71-A28C-FB884444F6AB}"/>
    <cellStyle name="Normal 5 2 2 2 2 2 2 6 2 4" xfId="32180" xr:uid="{0595F700-80F2-4301-9EBE-31F2E1494FF0}"/>
    <cellStyle name="Normal 5 2 2 2 2 2 2 6 3" xfId="11082" xr:uid="{2C768CD0-4746-457C-A052-D627F6242D40}"/>
    <cellStyle name="Normal 5 2 2 2 2 2 2 6 4" xfId="19523" xr:uid="{F4D2F2D2-F659-471A-A555-E8D2F18141EE}"/>
    <cellStyle name="Normal 5 2 2 2 2 2 2 6 5" xfId="27963" xr:uid="{33C95BA3-4CB1-45BA-8102-24C94036F094}"/>
    <cellStyle name="Normal 5 2 2 2 2 2 2 7" xfId="4785" xr:uid="{00000000-0005-0000-0000-00000D170000}"/>
    <cellStyle name="Normal 5 2 2 2 2 2 2 7 2" xfId="13235" xr:uid="{975B645E-C77F-48B2-8932-002C09400CBC}"/>
    <cellStyle name="Normal 5 2 2 2 2 2 2 7 3" xfId="21675" xr:uid="{5FC8C686-6A5A-42C6-91B6-E0D6D6BA95E2}"/>
    <cellStyle name="Normal 5 2 2 2 2 2 2 7 4" xfId="30115" xr:uid="{BF9AC079-F504-4B6D-84DF-EF0AEC3AB058}"/>
    <cellStyle name="Normal 5 2 2 2 2 2 2 8" xfId="9017" xr:uid="{FE8002CF-D529-4F1F-9A1A-B39B6AF5CD6C}"/>
    <cellStyle name="Normal 5 2 2 2 2 2 2 9" xfId="17458" xr:uid="{845E67B9-B81B-489E-BF96-BE2AF7FB805E}"/>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2 2 2" xfId="15792" xr:uid="{44BCD334-3049-4A8D-AC27-3898742952E2}"/>
    <cellStyle name="Normal 5 2 2 2 2 2 3 2 2 3" xfId="24232" xr:uid="{E8EECFD6-E332-43AD-AAD7-CF5E5224F8D9}"/>
    <cellStyle name="Normal 5 2 2 2 2 2 3 2 2 4" xfId="32672" xr:uid="{35FE1E22-0DC2-4B63-8B59-F301943FE670}"/>
    <cellStyle name="Normal 5 2 2 2 2 2 3 2 3" xfId="11574" xr:uid="{DC6DE8BE-9761-4EE1-A17B-7847F048C4EF}"/>
    <cellStyle name="Normal 5 2 2 2 2 2 3 2 4" xfId="20015" xr:uid="{5B7B5F72-9796-4617-8AAE-B33F68E76713}"/>
    <cellStyle name="Normal 5 2 2 2 2 2 3 2 5" xfId="28455" xr:uid="{6BFD669B-ADAB-4FA2-9E98-FC7F26B198CB}"/>
    <cellStyle name="Normal 5 2 2 2 2 2 3 3" xfId="5197" xr:uid="{00000000-0005-0000-0000-000011170000}"/>
    <cellStyle name="Normal 5 2 2 2 2 2 3 3 2" xfId="13647" xr:uid="{8F9078A4-1CD9-4C4E-8463-5E0E824F8D46}"/>
    <cellStyle name="Normal 5 2 2 2 2 2 3 3 3" xfId="22087" xr:uid="{D6ACDFDC-54D5-47CE-B39A-FA910F4451A3}"/>
    <cellStyle name="Normal 5 2 2 2 2 2 3 3 4" xfId="30527" xr:uid="{13E282AC-E726-4342-AE6C-67AE03E7786F}"/>
    <cellStyle name="Normal 5 2 2 2 2 2 3 4" xfId="9429" xr:uid="{9630F3F4-FFF7-4F41-AC00-D7B50602AE48}"/>
    <cellStyle name="Normal 5 2 2 2 2 2 3 5" xfId="17870" xr:uid="{F78A2078-E8E6-4E79-B4D4-27C0E65A4AA4}"/>
    <cellStyle name="Normal 5 2 2 2 2 2 3 6" xfId="26310" xr:uid="{D102EBB5-9F4C-42B2-9A76-FCE874D00DB1}"/>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2 2 2" xfId="16205" xr:uid="{D5436B83-F82F-4297-BB5D-C568D03A54AF}"/>
    <cellStyle name="Normal 5 2 2 2 2 2 4 2 2 3" xfId="24645" xr:uid="{1A3E9647-5B86-421B-BE52-47BB2045D6A9}"/>
    <cellStyle name="Normal 5 2 2 2 2 2 4 2 2 4" xfId="33085" xr:uid="{3526D885-A130-4EB7-8860-A159F3B9734C}"/>
    <cellStyle name="Normal 5 2 2 2 2 2 4 2 3" xfId="11987" xr:uid="{24F307BC-2EC5-497B-AC78-2310B83F4136}"/>
    <cellStyle name="Normal 5 2 2 2 2 2 4 2 4" xfId="20428" xr:uid="{5B50B4CC-E017-400C-9A58-DDCF300CC2DB}"/>
    <cellStyle name="Normal 5 2 2 2 2 2 4 2 5" xfId="28868" xr:uid="{E3380AED-E1B2-4740-8B83-ECA97EEA025D}"/>
    <cellStyle name="Normal 5 2 2 2 2 2 4 3" xfId="5610" xr:uid="{00000000-0005-0000-0000-000015170000}"/>
    <cellStyle name="Normal 5 2 2 2 2 2 4 3 2" xfId="14060" xr:uid="{88CB3BF5-18DB-43B6-AC6F-EC56EC60CCE6}"/>
    <cellStyle name="Normal 5 2 2 2 2 2 4 3 3" xfId="22500" xr:uid="{43D161CC-D791-4ED3-8839-FFEC44A10D68}"/>
    <cellStyle name="Normal 5 2 2 2 2 2 4 3 4" xfId="30940" xr:uid="{5E511388-25E4-4EAB-85D5-0030689AE3D4}"/>
    <cellStyle name="Normal 5 2 2 2 2 2 4 4" xfId="9842" xr:uid="{2521C159-41FF-42E9-B766-941225B22781}"/>
    <cellStyle name="Normal 5 2 2 2 2 2 4 5" xfId="18283" xr:uid="{9EA6F996-B3DD-4560-8300-DD1B548F0B27}"/>
    <cellStyle name="Normal 5 2 2 2 2 2 4 6" xfId="26723" xr:uid="{B65149E5-A9CC-4430-A2FF-2D13BAE02DC6}"/>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2 2 2" xfId="16618" xr:uid="{80CD0A6B-BF0D-435E-8F4B-E47AE1962DE4}"/>
    <cellStyle name="Normal 5 2 2 2 2 2 5 2 2 3" xfId="25058" xr:uid="{C3FA47C8-3854-4358-86DC-4D3645AA4B3F}"/>
    <cellStyle name="Normal 5 2 2 2 2 2 5 2 2 4" xfId="33498" xr:uid="{07086B15-7706-4E1B-9992-931951BE6362}"/>
    <cellStyle name="Normal 5 2 2 2 2 2 5 2 3" xfId="12400" xr:uid="{91ABDCCC-D82A-4C60-A830-219C2D9F07E7}"/>
    <cellStyle name="Normal 5 2 2 2 2 2 5 2 4" xfId="20841" xr:uid="{82AFF12F-24E9-46A6-BC92-0568B8862FF5}"/>
    <cellStyle name="Normal 5 2 2 2 2 2 5 2 5" xfId="29281" xr:uid="{2CAABA64-68CD-4B93-80D1-39AE5B577778}"/>
    <cellStyle name="Normal 5 2 2 2 2 2 5 3" xfId="6023" xr:uid="{00000000-0005-0000-0000-000019170000}"/>
    <cellStyle name="Normal 5 2 2 2 2 2 5 3 2" xfId="14473" xr:uid="{BF627FCB-6733-4FC2-A3F8-169E54B98899}"/>
    <cellStyle name="Normal 5 2 2 2 2 2 5 3 3" xfId="22913" xr:uid="{7E23209E-9D78-4B87-8F4D-9D0D99FAD08F}"/>
    <cellStyle name="Normal 5 2 2 2 2 2 5 3 4" xfId="31353" xr:uid="{8DADB14E-FF86-4210-9D69-A471A8B2C9B6}"/>
    <cellStyle name="Normal 5 2 2 2 2 2 5 4" xfId="10255" xr:uid="{BA74312B-B5A4-431E-B717-6D6E7181E23D}"/>
    <cellStyle name="Normal 5 2 2 2 2 2 5 5" xfId="18696" xr:uid="{FE599CD4-09C2-4265-9460-528F54959C7E}"/>
    <cellStyle name="Normal 5 2 2 2 2 2 5 6" xfId="27136" xr:uid="{B3A51ECF-E3C3-4186-B3E1-5DC91A06D227}"/>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2 2 2" xfId="17031" xr:uid="{B2F34B08-9C49-4891-A696-8998FE63746B}"/>
    <cellStyle name="Normal 5 2 2 2 2 2 6 2 2 3" xfId="25471" xr:uid="{9BD54957-7F1B-4453-9D30-08C48CF2BA7D}"/>
    <cellStyle name="Normal 5 2 2 2 2 2 6 2 2 4" xfId="33911" xr:uid="{10F9B836-AB6F-486B-9736-B38B2F4752C3}"/>
    <cellStyle name="Normal 5 2 2 2 2 2 6 2 3" xfId="12813" xr:uid="{D42ABE5E-0A40-4CD7-B64E-930B89D7DF9C}"/>
    <cellStyle name="Normal 5 2 2 2 2 2 6 2 4" xfId="21254" xr:uid="{1BF08180-1A0A-4B3C-AC6D-33E4AE374AB7}"/>
    <cellStyle name="Normal 5 2 2 2 2 2 6 2 5" xfId="29694" xr:uid="{2D90697F-C538-4D75-A484-D225ABD2A935}"/>
    <cellStyle name="Normal 5 2 2 2 2 2 6 3" xfId="6436" xr:uid="{00000000-0005-0000-0000-00001D170000}"/>
    <cellStyle name="Normal 5 2 2 2 2 2 6 3 2" xfId="14886" xr:uid="{DF67609A-B29A-4F5D-89A0-263635919701}"/>
    <cellStyle name="Normal 5 2 2 2 2 2 6 3 3" xfId="23326" xr:uid="{B589DBB1-C133-437A-B6E4-754EE571871D}"/>
    <cellStyle name="Normal 5 2 2 2 2 2 6 3 4" xfId="31766" xr:uid="{BC0466D3-732C-4159-A083-D0A72052C71D}"/>
    <cellStyle name="Normal 5 2 2 2 2 2 6 4" xfId="10668" xr:uid="{10DAE20E-F208-405C-9C8A-23571C00545A}"/>
    <cellStyle name="Normal 5 2 2 2 2 2 6 5" xfId="19109" xr:uid="{01ABC92E-37EC-45B8-B704-9A2B3C463337}"/>
    <cellStyle name="Normal 5 2 2 2 2 2 6 6" xfId="27549" xr:uid="{3B384AFA-5605-452D-BA20-6DC7AAE7631D}"/>
    <cellStyle name="Normal 5 2 2 2 2 2 7" xfId="2566" xr:uid="{00000000-0005-0000-0000-00001E170000}"/>
    <cellStyle name="Normal 5 2 2 2 2 2 7 2" xfId="6849" xr:uid="{00000000-0005-0000-0000-00001F170000}"/>
    <cellStyle name="Normal 5 2 2 2 2 2 7 2 2" xfId="15299" xr:uid="{4522E50B-2B8E-4A44-BE05-6372FE652B1A}"/>
    <cellStyle name="Normal 5 2 2 2 2 2 7 2 3" xfId="23739" xr:uid="{A608B19B-6CD8-4FDF-8FF7-B253BB84F4D4}"/>
    <cellStyle name="Normal 5 2 2 2 2 2 7 2 4" xfId="32179" xr:uid="{5BFB8687-7EA4-4C1E-9E12-2498393A932D}"/>
    <cellStyle name="Normal 5 2 2 2 2 2 7 3" xfId="11081" xr:uid="{888DD886-AB15-4F3A-B28C-65C0FD3A8408}"/>
    <cellStyle name="Normal 5 2 2 2 2 2 7 4" xfId="19522" xr:uid="{001C3F9F-2BA5-43E1-BB4B-054EEC5F29F8}"/>
    <cellStyle name="Normal 5 2 2 2 2 2 7 5" xfId="27962" xr:uid="{0FDB4CE0-DA34-4080-B290-5BD0DB5DA94E}"/>
    <cellStyle name="Normal 5 2 2 2 2 2 8" xfId="4784" xr:uid="{00000000-0005-0000-0000-000020170000}"/>
    <cellStyle name="Normal 5 2 2 2 2 2 8 2" xfId="13234" xr:uid="{0BCE8DDC-B127-40A7-AA6C-AE37E0E07FA3}"/>
    <cellStyle name="Normal 5 2 2 2 2 2 8 3" xfId="21674" xr:uid="{D571E820-9461-467F-A6AC-EC3A1C0890E1}"/>
    <cellStyle name="Normal 5 2 2 2 2 2 8 4" xfId="30114" xr:uid="{FC759767-A753-4CB5-93D9-65E43B47724F}"/>
    <cellStyle name="Normal 5 2 2 2 2 2 9" xfId="9016" xr:uid="{59D01D9B-6C5B-4465-9617-4A03F4805803}"/>
    <cellStyle name="Normal 5 2 2 2 2 3" xfId="413" xr:uid="{00000000-0005-0000-0000-000021170000}"/>
    <cellStyle name="Normal 5 2 2 2 2 3 10" xfId="25899" xr:uid="{1F373BA6-1CF0-403B-8529-25FE9D6C09F1}"/>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2 2 2" xfId="15794" xr:uid="{B46C4143-E58E-445F-8EFE-3DF4CDDA7DA6}"/>
    <cellStyle name="Normal 5 2 2 2 2 3 2 2 2 3" xfId="24234" xr:uid="{88D74CD3-47A6-414B-8A01-C5E310678FD7}"/>
    <cellStyle name="Normal 5 2 2 2 2 3 2 2 2 4" xfId="32674" xr:uid="{1C671319-AE3E-4F79-A771-F1C810E691AE}"/>
    <cellStyle name="Normal 5 2 2 2 2 3 2 2 3" xfId="11576" xr:uid="{EA164626-5373-4A76-BA4E-C94710852873}"/>
    <cellStyle name="Normal 5 2 2 2 2 3 2 2 4" xfId="20017" xr:uid="{06CD3C5E-09A4-45D3-9B33-5860D45C6BD0}"/>
    <cellStyle name="Normal 5 2 2 2 2 3 2 2 5" xfId="28457" xr:uid="{9094B234-97EA-48C5-8A06-7A92C58C54DC}"/>
    <cellStyle name="Normal 5 2 2 2 2 3 2 3" xfId="5199" xr:uid="{00000000-0005-0000-0000-000025170000}"/>
    <cellStyle name="Normal 5 2 2 2 2 3 2 3 2" xfId="13649" xr:uid="{6D3E8ADC-4CB7-4F60-8FFD-5EE6D9F5972E}"/>
    <cellStyle name="Normal 5 2 2 2 2 3 2 3 3" xfId="22089" xr:uid="{FAEEBB49-C768-4E88-B69A-E16A0AE88439}"/>
    <cellStyle name="Normal 5 2 2 2 2 3 2 3 4" xfId="30529" xr:uid="{56F3D8C7-69E7-4DA3-BC77-5C401F1D7300}"/>
    <cellStyle name="Normal 5 2 2 2 2 3 2 4" xfId="9431" xr:uid="{7D04FABE-6F93-4AA6-A57F-57770E540EA9}"/>
    <cellStyle name="Normal 5 2 2 2 2 3 2 5" xfId="17872" xr:uid="{87F7B367-6F66-4549-8F23-092CE6C0C4AB}"/>
    <cellStyle name="Normal 5 2 2 2 2 3 2 6" xfId="26312" xr:uid="{5013182B-F170-44C5-849B-EDD0DB946593}"/>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2 2 2" xfId="16207" xr:uid="{54E83A57-0467-4E14-BE40-FE7A02F3D0F0}"/>
    <cellStyle name="Normal 5 2 2 2 2 3 3 2 2 3" xfId="24647" xr:uid="{6D881B59-9755-421D-ABEE-A220D9E05068}"/>
    <cellStyle name="Normal 5 2 2 2 2 3 3 2 2 4" xfId="33087" xr:uid="{75194E5D-35FD-4CB4-92DF-C85E155B6EFE}"/>
    <cellStyle name="Normal 5 2 2 2 2 3 3 2 3" xfId="11989" xr:uid="{7A872390-BD24-426D-9FF2-14DF09520A16}"/>
    <cellStyle name="Normal 5 2 2 2 2 3 3 2 4" xfId="20430" xr:uid="{96A9CE4A-2471-4796-9F66-16B495BDDB05}"/>
    <cellStyle name="Normal 5 2 2 2 2 3 3 2 5" xfId="28870" xr:uid="{582BF006-F18A-42A8-921C-DC7C7E0C32B0}"/>
    <cellStyle name="Normal 5 2 2 2 2 3 3 3" xfId="5612" xr:uid="{00000000-0005-0000-0000-000029170000}"/>
    <cellStyle name="Normal 5 2 2 2 2 3 3 3 2" xfId="14062" xr:uid="{D87D8E51-C9C8-4D38-8B60-D47E18081C90}"/>
    <cellStyle name="Normal 5 2 2 2 2 3 3 3 3" xfId="22502" xr:uid="{2C72E326-FADD-4BA5-8027-D64DAA605A19}"/>
    <cellStyle name="Normal 5 2 2 2 2 3 3 3 4" xfId="30942" xr:uid="{01FC65E8-0A82-4FB2-A68C-09D1EA45DF74}"/>
    <cellStyle name="Normal 5 2 2 2 2 3 3 4" xfId="9844" xr:uid="{15C96B3D-F644-4382-A1CD-B3808978DE93}"/>
    <cellStyle name="Normal 5 2 2 2 2 3 3 5" xfId="18285" xr:uid="{49AFCDC0-5938-4276-BD49-920FE74CD306}"/>
    <cellStyle name="Normal 5 2 2 2 2 3 3 6" xfId="26725" xr:uid="{1AAD894B-508D-4F16-A9A3-AA53ABF2CAD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2 2 2" xfId="16620" xr:uid="{F33EAB9F-B053-4CE2-80B3-41ECA455134B}"/>
    <cellStyle name="Normal 5 2 2 2 2 3 4 2 2 3" xfId="25060" xr:uid="{2A3B299D-C8CA-4FEF-9FED-25FF48E2DB91}"/>
    <cellStyle name="Normal 5 2 2 2 2 3 4 2 2 4" xfId="33500" xr:uid="{67DD88C2-FD0D-4A1B-BC59-31F9310EBF03}"/>
    <cellStyle name="Normal 5 2 2 2 2 3 4 2 3" xfId="12402" xr:uid="{1DFE930B-179C-444F-B13F-D652FAF9DB1C}"/>
    <cellStyle name="Normal 5 2 2 2 2 3 4 2 4" xfId="20843" xr:uid="{42087A77-EBD1-41A4-A6E5-C8C71476870D}"/>
    <cellStyle name="Normal 5 2 2 2 2 3 4 2 5" xfId="29283" xr:uid="{B1F3126D-E1C0-4A75-A892-438A96BE41A3}"/>
    <cellStyle name="Normal 5 2 2 2 2 3 4 3" xfId="6025" xr:uid="{00000000-0005-0000-0000-00002D170000}"/>
    <cellStyle name="Normal 5 2 2 2 2 3 4 3 2" xfId="14475" xr:uid="{EED215A6-6A17-4FAA-8381-8B5D3EC5E589}"/>
    <cellStyle name="Normal 5 2 2 2 2 3 4 3 3" xfId="22915" xr:uid="{46C5FB9B-E52C-41AF-B578-54EA236613CC}"/>
    <cellStyle name="Normal 5 2 2 2 2 3 4 3 4" xfId="31355" xr:uid="{0473158B-C226-4BF2-9B96-74162C082F51}"/>
    <cellStyle name="Normal 5 2 2 2 2 3 4 4" xfId="10257" xr:uid="{9FCC9EA6-B179-4E3D-8142-A402B1A06BA1}"/>
    <cellStyle name="Normal 5 2 2 2 2 3 4 5" xfId="18698" xr:uid="{6177FB2E-7B72-4758-9FC2-127CBF360A5D}"/>
    <cellStyle name="Normal 5 2 2 2 2 3 4 6" xfId="27138" xr:uid="{AD0DFB52-E155-438E-BBB5-DC833F68813A}"/>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2 2 2" xfId="17033" xr:uid="{3EAB42EC-4CF5-4F00-B242-CD14EBECB223}"/>
    <cellStyle name="Normal 5 2 2 2 2 3 5 2 2 3" xfId="25473" xr:uid="{64CE2941-EE75-44D4-A2B1-7D2139179920}"/>
    <cellStyle name="Normal 5 2 2 2 2 3 5 2 2 4" xfId="33913" xr:uid="{87B6A560-03D9-409D-B928-C2948AB3BA92}"/>
    <cellStyle name="Normal 5 2 2 2 2 3 5 2 3" xfId="12815" xr:uid="{A0BB8350-A006-4609-B370-FE0647AFBAC5}"/>
    <cellStyle name="Normal 5 2 2 2 2 3 5 2 4" xfId="21256" xr:uid="{0C693149-786C-4614-A160-59DC1E191639}"/>
    <cellStyle name="Normal 5 2 2 2 2 3 5 2 5" xfId="29696" xr:uid="{2712670C-CBDA-4196-96CD-A7F2057811A4}"/>
    <cellStyle name="Normal 5 2 2 2 2 3 5 3" xfId="6438" xr:uid="{00000000-0005-0000-0000-000031170000}"/>
    <cellStyle name="Normal 5 2 2 2 2 3 5 3 2" xfId="14888" xr:uid="{BC7E365F-76BB-4F3E-B0CE-D27F454C9925}"/>
    <cellStyle name="Normal 5 2 2 2 2 3 5 3 3" xfId="23328" xr:uid="{47E9850E-011F-4017-B2B1-420921E9387B}"/>
    <cellStyle name="Normal 5 2 2 2 2 3 5 3 4" xfId="31768" xr:uid="{E10327C4-FDA8-4628-877A-802A42C6EC0B}"/>
    <cellStyle name="Normal 5 2 2 2 2 3 5 4" xfId="10670" xr:uid="{C3FC4D0A-03C5-452A-96DF-EA266E244431}"/>
    <cellStyle name="Normal 5 2 2 2 2 3 5 5" xfId="19111" xr:uid="{C29DD5A6-51F0-4DFF-AAB8-66C595593C1A}"/>
    <cellStyle name="Normal 5 2 2 2 2 3 5 6" xfId="27551" xr:uid="{09B28EC0-0174-4C07-ACD7-E51C39879BFE}"/>
    <cellStyle name="Normal 5 2 2 2 2 3 6" xfId="2568" xr:uid="{00000000-0005-0000-0000-000032170000}"/>
    <cellStyle name="Normal 5 2 2 2 2 3 6 2" xfId="6851" xr:uid="{00000000-0005-0000-0000-000033170000}"/>
    <cellStyle name="Normal 5 2 2 2 2 3 6 2 2" xfId="15301" xr:uid="{6B680F7A-9A50-4E01-8E60-5FC168A3F04F}"/>
    <cellStyle name="Normal 5 2 2 2 2 3 6 2 3" xfId="23741" xr:uid="{A22750A2-F190-488C-B163-73AC63166674}"/>
    <cellStyle name="Normal 5 2 2 2 2 3 6 2 4" xfId="32181" xr:uid="{F5D67EAB-6B1F-428D-9FD2-AE6F15E29FA0}"/>
    <cellStyle name="Normal 5 2 2 2 2 3 6 3" xfId="11083" xr:uid="{AA24F4B9-7702-485D-8088-03DCA55710E8}"/>
    <cellStyle name="Normal 5 2 2 2 2 3 6 4" xfId="19524" xr:uid="{123472CA-FEA2-41F8-B9FA-62359D203A88}"/>
    <cellStyle name="Normal 5 2 2 2 2 3 6 5" xfId="27964" xr:uid="{908C4B0C-750F-4A8E-A1D5-084A48841299}"/>
    <cellStyle name="Normal 5 2 2 2 2 3 7" xfId="4786" xr:uid="{00000000-0005-0000-0000-000034170000}"/>
    <cellStyle name="Normal 5 2 2 2 2 3 7 2" xfId="13236" xr:uid="{E20BBABE-72BA-48D3-87E6-8E69B1E7D385}"/>
    <cellStyle name="Normal 5 2 2 2 2 3 7 3" xfId="21676" xr:uid="{CF079BD6-09CF-4023-8CBA-24A6B029C4CE}"/>
    <cellStyle name="Normal 5 2 2 2 2 3 7 4" xfId="30116" xr:uid="{D510AF78-EA3C-4405-8255-5BC14E648BEA}"/>
    <cellStyle name="Normal 5 2 2 2 2 3 8" xfId="9018" xr:uid="{8EFC35AA-C87B-4C31-AF0F-7443AD1B9425}"/>
    <cellStyle name="Normal 5 2 2 2 2 3 9" xfId="17459" xr:uid="{CE19F10B-9640-49C5-84DB-890F5081C240}"/>
    <cellStyle name="Normal 5 2 2 2 2 4" xfId="884" xr:uid="{00000000-0005-0000-0000-000035170000}"/>
    <cellStyle name="Normal 5 2 2 2 2 4 2" xfId="3119" xr:uid="{00000000-0005-0000-0000-000036170000}"/>
    <cellStyle name="Normal 5 2 2 2 2 4 2 2" xfId="7341" xr:uid="{00000000-0005-0000-0000-000037170000}"/>
    <cellStyle name="Normal 5 2 2 2 2 4 2 2 2" xfId="15791" xr:uid="{C56AB7FF-09CC-49CF-AFD6-E27B5CA83FDD}"/>
    <cellStyle name="Normal 5 2 2 2 2 4 2 2 3" xfId="24231" xr:uid="{15B0DF9C-4803-47D0-9DC6-B8E018910602}"/>
    <cellStyle name="Normal 5 2 2 2 2 4 2 2 4" xfId="32671" xr:uid="{43127863-BFBD-4EDF-BC3F-EE458DBC484F}"/>
    <cellStyle name="Normal 5 2 2 2 2 4 2 3" xfId="11573" xr:uid="{C671DD44-13F4-4A25-B87E-4DA0A80F7637}"/>
    <cellStyle name="Normal 5 2 2 2 2 4 2 4" xfId="20014" xr:uid="{92F4A2DA-75C1-461D-9EEC-1DD1ADE0269A}"/>
    <cellStyle name="Normal 5 2 2 2 2 4 2 5" xfId="28454" xr:uid="{91B7AF70-A2E6-4B8F-A2AE-638E21D46CC7}"/>
    <cellStyle name="Normal 5 2 2 2 2 4 3" xfId="5196" xr:uid="{00000000-0005-0000-0000-000038170000}"/>
    <cellStyle name="Normal 5 2 2 2 2 4 3 2" xfId="13646" xr:uid="{AD77EF6F-36E4-43A0-A1D1-A070F68FBD81}"/>
    <cellStyle name="Normal 5 2 2 2 2 4 3 3" xfId="22086" xr:uid="{A65944F4-0142-4CA9-9DF3-DE9509D69FA8}"/>
    <cellStyle name="Normal 5 2 2 2 2 4 3 4" xfId="30526" xr:uid="{E941B53F-461F-45DF-A590-67F886F4FB18}"/>
    <cellStyle name="Normal 5 2 2 2 2 4 4" xfId="9428" xr:uid="{73AEC487-9D56-4F52-807A-511376FC148C}"/>
    <cellStyle name="Normal 5 2 2 2 2 4 5" xfId="17869" xr:uid="{D240A92C-6A42-4EC2-A9AD-821DC82B3339}"/>
    <cellStyle name="Normal 5 2 2 2 2 4 6" xfId="26309" xr:uid="{1F33C774-10A8-43E7-8FB5-57623E3FFF78}"/>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2 2 2" xfId="16204" xr:uid="{8AC90D87-268B-456F-BAD8-FC47CD52E334}"/>
    <cellStyle name="Normal 5 2 2 2 2 5 2 2 3" xfId="24644" xr:uid="{179EFEA3-80C2-4BC9-AFF4-60FC686923F1}"/>
    <cellStyle name="Normal 5 2 2 2 2 5 2 2 4" xfId="33084" xr:uid="{4C0D4634-0D98-4EED-97DA-94E028DACA6A}"/>
    <cellStyle name="Normal 5 2 2 2 2 5 2 3" xfId="11986" xr:uid="{041C5AC5-43AE-44D6-BAF9-7BF4318E2422}"/>
    <cellStyle name="Normal 5 2 2 2 2 5 2 4" xfId="20427" xr:uid="{8004A1C4-4FB6-48B9-B47E-1C78CA59A055}"/>
    <cellStyle name="Normal 5 2 2 2 2 5 2 5" xfId="28867" xr:uid="{B1062FFF-2B70-4DD9-A798-2D8EE14627C4}"/>
    <cellStyle name="Normal 5 2 2 2 2 5 3" xfId="5609" xr:uid="{00000000-0005-0000-0000-00003C170000}"/>
    <cellStyle name="Normal 5 2 2 2 2 5 3 2" xfId="14059" xr:uid="{2B2E3955-A896-4325-BEBB-D08B3171F553}"/>
    <cellStyle name="Normal 5 2 2 2 2 5 3 3" xfId="22499" xr:uid="{436864DD-2F8B-4990-ABAB-DA2C8307E68D}"/>
    <cellStyle name="Normal 5 2 2 2 2 5 3 4" xfId="30939" xr:uid="{70EF1204-838C-436A-8E0D-75C0FAAED70E}"/>
    <cellStyle name="Normal 5 2 2 2 2 5 4" xfId="9841" xr:uid="{3A9FBD1F-16EE-42DD-A0AA-D496E12DD148}"/>
    <cellStyle name="Normal 5 2 2 2 2 5 5" xfId="18282" xr:uid="{1D042A97-6052-4720-94FB-2DE4A02A1E4C}"/>
    <cellStyle name="Normal 5 2 2 2 2 5 6" xfId="26722" xr:uid="{71DA235E-ECF4-47F1-BA2E-876BF0EF0ADE}"/>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2 2 2" xfId="16617" xr:uid="{B695C272-43A2-443B-B420-914E5B75EED6}"/>
    <cellStyle name="Normal 5 2 2 2 2 6 2 2 3" xfId="25057" xr:uid="{C63A51C7-2519-4E88-A6A2-03AED4D5E83B}"/>
    <cellStyle name="Normal 5 2 2 2 2 6 2 2 4" xfId="33497" xr:uid="{D43D0591-3FF7-415C-9783-700E6F88C935}"/>
    <cellStyle name="Normal 5 2 2 2 2 6 2 3" xfId="12399" xr:uid="{B1BF1E76-5543-46DE-A1FA-5FAA659D2EA2}"/>
    <cellStyle name="Normal 5 2 2 2 2 6 2 4" xfId="20840" xr:uid="{0725B5C3-625E-4844-9513-A41E5B74285F}"/>
    <cellStyle name="Normal 5 2 2 2 2 6 2 5" xfId="29280" xr:uid="{D2797A82-AD65-42B5-B85D-82F0482C67C3}"/>
    <cellStyle name="Normal 5 2 2 2 2 6 3" xfId="6022" xr:uid="{00000000-0005-0000-0000-000040170000}"/>
    <cellStyle name="Normal 5 2 2 2 2 6 3 2" xfId="14472" xr:uid="{7273BAB0-92CC-46A2-B18F-A1747211CB40}"/>
    <cellStyle name="Normal 5 2 2 2 2 6 3 3" xfId="22912" xr:uid="{83404F74-654A-4C3B-A669-13BB34B2FD96}"/>
    <cellStyle name="Normal 5 2 2 2 2 6 3 4" xfId="31352" xr:uid="{BD9DCB38-013B-4B99-979F-FF6BB500A1D0}"/>
    <cellStyle name="Normal 5 2 2 2 2 6 4" xfId="10254" xr:uid="{385D7E19-2290-4866-BBDC-0519D82540D3}"/>
    <cellStyle name="Normal 5 2 2 2 2 6 5" xfId="18695" xr:uid="{64761626-E898-4C90-B594-43A5D2C06860}"/>
    <cellStyle name="Normal 5 2 2 2 2 6 6" xfId="27135" xr:uid="{C3C4393D-49BF-40BE-B1FF-47C1357D7A4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2 2 2" xfId="17030" xr:uid="{9A84D93E-E20F-4328-A056-C7256DC37CBE}"/>
    <cellStyle name="Normal 5 2 2 2 2 7 2 2 3" xfId="25470" xr:uid="{CB91717D-B5B4-4FCD-BF18-3C460B634227}"/>
    <cellStyle name="Normal 5 2 2 2 2 7 2 2 4" xfId="33910" xr:uid="{5E471688-EFC2-4A0E-919F-00207BE42465}"/>
    <cellStyle name="Normal 5 2 2 2 2 7 2 3" xfId="12812" xr:uid="{DDEB4864-6DBD-4383-9FE9-7476EC57C01E}"/>
    <cellStyle name="Normal 5 2 2 2 2 7 2 4" xfId="21253" xr:uid="{D0444E77-2D14-4544-A6A8-7E5237FDA28C}"/>
    <cellStyle name="Normal 5 2 2 2 2 7 2 5" xfId="29693" xr:uid="{4C242747-3E01-421C-9529-C864CC4D5814}"/>
    <cellStyle name="Normal 5 2 2 2 2 7 3" xfId="6435" xr:uid="{00000000-0005-0000-0000-000044170000}"/>
    <cellStyle name="Normal 5 2 2 2 2 7 3 2" xfId="14885" xr:uid="{17A9CAE8-3FB9-4310-90FB-FB1770AC3E40}"/>
    <cellStyle name="Normal 5 2 2 2 2 7 3 3" xfId="23325" xr:uid="{80645C32-CD73-4AE6-ACDD-1E3E8CA5578F}"/>
    <cellStyle name="Normal 5 2 2 2 2 7 3 4" xfId="31765" xr:uid="{3B2D58C8-09E3-465C-8C06-830FD7A09C38}"/>
    <cellStyle name="Normal 5 2 2 2 2 7 4" xfId="10667" xr:uid="{B5FBF688-0981-4808-84E2-BE0124CAC506}"/>
    <cellStyle name="Normal 5 2 2 2 2 7 5" xfId="19108" xr:uid="{6C29033A-98DA-44D8-B8A9-C20A63F553F1}"/>
    <cellStyle name="Normal 5 2 2 2 2 7 6" xfId="27548" xr:uid="{204EA4E8-473D-40C7-BA8A-B054C9F43055}"/>
    <cellStyle name="Normal 5 2 2 2 2 8" xfId="2565" xr:uid="{00000000-0005-0000-0000-000045170000}"/>
    <cellStyle name="Normal 5 2 2 2 2 8 2" xfId="6848" xr:uid="{00000000-0005-0000-0000-000046170000}"/>
    <cellStyle name="Normal 5 2 2 2 2 8 2 2" xfId="15298" xr:uid="{ECAFA3C3-F53B-4A1B-8270-249ACC1795F8}"/>
    <cellStyle name="Normal 5 2 2 2 2 8 2 3" xfId="23738" xr:uid="{EEB08055-5EC3-4552-94DC-B61A64034E74}"/>
    <cellStyle name="Normal 5 2 2 2 2 8 2 4" xfId="32178" xr:uid="{547D8778-8876-4917-B5A8-118F20DC70EC}"/>
    <cellStyle name="Normal 5 2 2 2 2 8 3" xfId="11080" xr:uid="{E3C14DD8-DCC2-4677-9230-2736B4AD10BF}"/>
    <cellStyle name="Normal 5 2 2 2 2 8 4" xfId="19521" xr:uid="{00A0FB29-55D6-4D12-BD77-EC5D841084C4}"/>
    <cellStyle name="Normal 5 2 2 2 2 8 5" xfId="27961" xr:uid="{6E258E70-51C7-4AAA-B031-2DB7E0E05CF6}"/>
    <cellStyle name="Normal 5 2 2 2 2 9" xfId="4783" xr:uid="{00000000-0005-0000-0000-000047170000}"/>
    <cellStyle name="Normal 5 2 2 2 2 9 2" xfId="13233" xr:uid="{BF773F8D-6F62-4564-8DDB-C5F5B8E91B3A}"/>
    <cellStyle name="Normal 5 2 2 2 2 9 3" xfId="21673" xr:uid="{BA0DD928-A06A-4452-AF8B-0F9A3F209EFF}"/>
    <cellStyle name="Normal 5 2 2 2 2 9 4" xfId="30113" xr:uid="{37BE8659-2767-4D98-A4EC-95D3C28DE13D}"/>
    <cellStyle name="Normal 5 2 2 2 3" xfId="414" xr:uid="{00000000-0005-0000-0000-000048170000}"/>
    <cellStyle name="Normal 5 2 2 2 3 10" xfId="17460" xr:uid="{E4241162-009A-4380-81CD-8216651DB171}"/>
    <cellStyle name="Normal 5 2 2 2 3 11" xfId="25900" xr:uid="{041C1174-A86B-4BEB-A979-4C1D9F694920}"/>
    <cellStyle name="Normal 5 2 2 2 3 2" xfId="415" xr:uid="{00000000-0005-0000-0000-000049170000}"/>
    <cellStyle name="Normal 5 2 2 2 3 2 10" xfId="25901" xr:uid="{841B064E-77BE-4DB6-812B-E72AA52E6E63}"/>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2 2 2" xfId="15796" xr:uid="{9D3FBCF4-9345-4375-A2C3-5A29E6F15897}"/>
    <cellStyle name="Normal 5 2 2 2 3 2 2 2 2 3" xfId="24236" xr:uid="{0186487C-4B0C-4387-96E6-0B6FB2A7506A}"/>
    <cellStyle name="Normal 5 2 2 2 3 2 2 2 2 4" xfId="32676" xr:uid="{B9E0BACE-85D6-4829-8559-541C9544FA23}"/>
    <cellStyle name="Normal 5 2 2 2 3 2 2 2 3" xfId="11578" xr:uid="{3D619E4D-B188-47D6-BCF7-E33EEC08EFE6}"/>
    <cellStyle name="Normal 5 2 2 2 3 2 2 2 4" xfId="20019" xr:uid="{890A7110-1263-4855-8260-3FEE1568E291}"/>
    <cellStyle name="Normal 5 2 2 2 3 2 2 2 5" xfId="28459" xr:uid="{4F823786-F23C-4811-A97F-8649F7F6F64A}"/>
    <cellStyle name="Normal 5 2 2 2 3 2 2 3" xfId="5201" xr:uid="{00000000-0005-0000-0000-00004D170000}"/>
    <cellStyle name="Normal 5 2 2 2 3 2 2 3 2" xfId="13651" xr:uid="{ED8DE44B-D227-44D0-AFCA-C5C7D91B5122}"/>
    <cellStyle name="Normal 5 2 2 2 3 2 2 3 3" xfId="22091" xr:uid="{9534DFFC-397B-4A43-802D-580F19332A6C}"/>
    <cellStyle name="Normal 5 2 2 2 3 2 2 3 4" xfId="30531" xr:uid="{D1BAF55B-00CA-4D03-A3E3-52EC50305B87}"/>
    <cellStyle name="Normal 5 2 2 2 3 2 2 4" xfId="9433" xr:uid="{0A75AF77-E75D-4667-9254-52DD0145DCDC}"/>
    <cellStyle name="Normal 5 2 2 2 3 2 2 5" xfId="17874" xr:uid="{29B5BB96-C97C-4BF5-86A5-F60D247AB704}"/>
    <cellStyle name="Normal 5 2 2 2 3 2 2 6" xfId="26314" xr:uid="{6B23A406-FBC5-4C0F-A095-8F3ED7B07302}"/>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2 2 2" xfId="16209" xr:uid="{1F25CB1E-B6A9-4124-8907-D7AC54AB1E58}"/>
    <cellStyle name="Normal 5 2 2 2 3 2 3 2 2 3" xfId="24649" xr:uid="{31FEE540-1F63-422C-8656-4EFAA02D4AF3}"/>
    <cellStyle name="Normal 5 2 2 2 3 2 3 2 2 4" xfId="33089" xr:uid="{E2ECA3F0-BB95-4E1D-962F-B4F918E2ACBA}"/>
    <cellStyle name="Normal 5 2 2 2 3 2 3 2 3" xfId="11991" xr:uid="{D23AE9AC-8187-41D8-B2DD-703A518C135D}"/>
    <cellStyle name="Normal 5 2 2 2 3 2 3 2 4" xfId="20432" xr:uid="{CD4879D4-F24F-4FB0-890F-045431EEE1A8}"/>
    <cellStyle name="Normal 5 2 2 2 3 2 3 2 5" xfId="28872" xr:uid="{5827216C-2899-4964-932C-D8F363A75F0A}"/>
    <cellStyle name="Normal 5 2 2 2 3 2 3 3" xfId="5614" xr:uid="{00000000-0005-0000-0000-000051170000}"/>
    <cellStyle name="Normal 5 2 2 2 3 2 3 3 2" xfId="14064" xr:uid="{9CBFF44A-3430-4A02-91AD-1B848797BABC}"/>
    <cellStyle name="Normal 5 2 2 2 3 2 3 3 3" xfId="22504" xr:uid="{EBC0921B-6F43-47E0-8616-6CBE53478BCA}"/>
    <cellStyle name="Normal 5 2 2 2 3 2 3 3 4" xfId="30944" xr:uid="{B2ABFF8B-CE02-4790-BD1C-8AAC2125D843}"/>
    <cellStyle name="Normal 5 2 2 2 3 2 3 4" xfId="9846" xr:uid="{0F9636A3-9274-4E7F-9B73-665136BF3B80}"/>
    <cellStyle name="Normal 5 2 2 2 3 2 3 5" xfId="18287" xr:uid="{ADF478D0-35CB-49EC-B24F-D3FBCB23F85D}"/>
    <cellStyle name="Normal 5 2 2 2 3 2 3 6" xfId="26727" xr:uid="{F9A758E1-03F2-42EA-BEC4-8D2E751D2F83}"/>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2 2 2" xfId="16622" xr:uid="{8C5DBA8B-7F26-4D77-84BA-FB45C535BB28}"/>
    <cellStyle name="Normal 5 2 2 2 3 2 4 2 2 3" xfId="25062" xr:uid="{BC1FBBE3-FB10-48B8-BAE5-AB83DA91DCCD}"/>
    <cellStyle name="Normal 5 2 2 2 3 2 4 2 2 4" xfId="33502" xr:uid="{77D37BBE-06AC-4624-AFFA-45C52F518195}"/>
    <cellStyle name="Normal 5 2 2 2 3 2 4 2 3" xfId="12404" xr:uid="{30FFC3A1-5E87-4B73-96C3-8378A0CC878E}"/>
    <cellStyle name="Normal 5 2 2 2 3 2 4 2 4" xfId="20845" xr:uid="{103E25FA-89C8-4F01-ACA4-E0EE1B7DA85F}"/>
    <cellStyle name="Normal 5 2 2 2 3 2 4 2 5" xfId="29285" xr:uid="{7E3AF0A6-A80B-4686-BCA4-B74DDED0C4BA}"/>
    <cellStyle name="Normal 5 2 2 2 3 2 4 3" xfId="6027" xr:uid="{00000000-0005-0000-0000-000055170000}"/>
    <cellStyle name="Normal 5 2 2 2 3 2 4 3 2" xfId="14477" xr:uid="{08C7BE2C-7789-4EC9-BDE7-5AC8C7C20849}"/>
    <cellStyle name="Normal 5 2 2 2 3 2 4 3 3" xfId="22917" xr:uid="{18546050-3174-4B3A-838D-6CF12426225F}"/>
    <cellStyle name="Normal 5 2 2 2 3 2 4 3 4" xfId="31357" xr:uid="{43119C52-8346-42CB-90A6-B3CB48AC9556}"/>
    <cellStyle name="Normal 5 2 2 2 3 2 4 4" xfId="10259" xr:uid="{4908C7E6-D76A-464D-AED1-C90891252B73}"/>
    <cellStyle name="Normal 5 2 2 2 3 2 4 5" xfId="18700" xr:uid="{7E317521-FE94-49DE-9727-3F0E2D64CED3}"/>
    <cellStyle name="Normal 5 2 2 2 3 2 4 6" xfId="27140" xr:uid="{164A3D55-7C3D-4740-80F4-2B9FCB413ACE}"/>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2 2 2" xfId="17035" xr:uid="{644177CE-84D3-49D9-9DBB-4E2E0EDC269E}"/>
    <cellStyle name="Normal 5 2 2 2 3 2 5 2 2 3" xfId="25475" xr:uid="{33DCEB12-46CE-44FF-BA46-8582350A5D0C}"/>
    <cellStyle name="Normal 5 2 2 2 3 2 5 2 2 4" xfId="33915" xr:uid="{71154A1B-065C-48C2-AB15-E7C35DB45565}"/>
    <cellStyle name="Normal 5 2 2 2 3 2 5 2 3" xfId="12817" xr:uid="{89C1384B-2ED2-464C-AE7C-925F3791FA7D}"/>
    <cellStyle name="Normal 5 2 2 2 3 2 5 2 4" xfId="21258" xr:uid="{E40A4CB1-641E-4873-9CA9-5DE68C828D10}"/>
    <cellStyle name="Normal 5 2 2 2 3 2 5 2 5" xfId="29698" xr:uid="{AB1018F2-5760-4FF1-A062-D53805B39166}"/>
    <cellStyle name="Normal 5 2 2 2 3 2 5 3" xfId="6440" xr:uid="{00000000-0005-0000-0000-000059170000}"/>
    <cellStyle name="Normal 5 2 2 2 3 2 5 3 2" xfId="14890" xr:uid="{40A20FB4-4829-48AC-8E14-A4F5D12C7FDA}"/>
    <cellStyle name="Normal 5 2 2 2 3 2 5 3 3" xfId="23330" xr:uid="{365C7B1F-EB55-4DEB-B924-A274C4EA9709}"/>
    <cellStyle name="Normal 5 2 2 2 3 2 5 3 4" xfId="31770" xr:uid="{B27EF17F-DEF0-4C43-BD97-44615948A636}"/>
    <cellStyle name="Normal 5 2 2 2 3 2 5 4" xfId="10672" xr:uid="{07CF39AD-899B-4591-A99F-34C6FAA8E3DC}"/>
    <cellStyle name="Normal 5 2 2 2 3 2 5 5" xfId="19113" xr:uid="{7596756F-755F-4498-A96B-19A100B63692}"/>
    <cellStyle name="Normal 5 2 2 2 3 2 5 6" xfId="27553" xr:uid="{B5AA3AF7-81F5-4C71-8420-78CA39187372}"/>
    <cellStyle name="Normal 5 2 2 2 3 2 6" xfId="2570" xr:uid="{00000000-0005-0000-0000-00005A170000}"/>
    <cellStyle name="Normal 5 2 2 2 3 2 6 2" xfId="6853" xr:uid="{00000000-0005-0000-0000-00005B170000}"/>
    <cellStyle name="Normal 5 2 2 2 3 2 6 2 2" xfId="15303" xr:uid="{2248AE71-F70E-412D-A8C4-4478BE12C387}"/>
    <cellStyle name="Normal 5 2 2 2 3 2 6 2 3" xfId="23743" xr:uid="{8A10B3D8-C845-4346-AAFD-D1B0891EE193}"/>
    <cellStyle name="Normal 5 2 2 2 3 2 6 2 4" xfId="32183" xr:uid="{EE443985-A255-4EF5-8138-6F28B07812B9}"/>
    <cellStyle name="Normal 5 2 2 2 3 2 6 3" xfId="11085" xr:uid="{E615C543-9608-4279-BE64-2DF6AA1D1BEB}"/>
    <cellStyle name="Normal 5 2 2 2 3 2 6 4" xfId="19526" xr:uid="{7E8E5BBD-876C-440D-99BC-136879A3A5C1}"/>
    <cellStyle name="Normal 5 2 2 2 3 2 6 5" xfId="27966" xr:uid="{F3B1BE99-5481-4DF9-9707-E635947378D0}"/>
    <cellStyle name="Normal 5 2 2 2 3 2 7" xfId="4788" xr:uid="{00000000-0005-0000-0000-00005C170000}"/>
    <cellStyle name="Normal 5 2 2 2 3 2 7 2" xfId="13238" xr:uid="{42E1C3F8-02FA-4FE7-A4C9-5621937C3DF2}"/>
    <cellStyle name="Normal 5 2 2 2 3 2 7 3" xfId="21678" xr:uid="{02816B45-5122-4A82-9848-44C365AD83D0}"/>
    <cellStyle name="Normal 5 2 2 2 3 2 7 4" xfId="30118" xr:uid="{58667C65-372F-443C-90E3-F457F7079C7B}"/>
    <cellStyle name="Normal 5 2 2 2 3 2 8" xfId="9020" xr:uid="{82375C5D-4EBE-4A41-A5EC-8A2B9DB2F169}"/>
    <cellStyle name="Normal 5 2 2 2 3 2 9" xfId="17461" xr:uid="{3DF75F40-F71F-44D5-8289-FE73F556FCA7}"/>
    <cellStyle name="Normal 5 2 2 2 3 3" xfId="888" xr:uid="{00000000-0005-0000-0000-00005D170000}"/>
    <cellStyle name="Normal 5 2 2 2 3 3 2" xfId="3123" xr:uid="{00000000-0005-0000-0000-00005E170000}"/>
    <cellStyle name="Normal 5 2 2 2 3 3 2 2" xfId="7345" xr:uid="{00000000-0005-0000-0000-00005F170000}"/>
    <cellStyle name="Normal 5 2 2 2 3 3 2 2 2" xfId="15795" xr:uid="{24D45073-4177-4E1B-B476-90DE60E8B2C8}"/>
    <cellStyle name="Normal 5 2 2 2 3 3 2 2 3" xfId="24235" xr:uid="{644765FB-CE4D-4B71-BF40-D7E9AAEE53B3}"/>
    <cellStyle name="Normal 5 2 2 2 3 3 2 2 4" xfId="32675" xr:uid="{AC931A64-ABF6-452F-8D0F-715F61805780}"/>
    <cellStyle name="Normal 5 2 2 2 3 3 2 3" xfId="11577" xr:uid="{67A040FD-F949-4A66-B5CF-094F9E158DA8}"/>
    <cellStyle name="Normal 5 2 2 2 3 3 2 4" xfId="20018" xr:uid="{DBFCD5E2-16C8-45B3-97F9-C37271EC9AD5}"/>
    <cellStyle name="Normal 5 2 2 2 3 3 2 5" xfId="28458" xr:uid="{F04D7F61-1360-40BB-80F1-BAC1FFA2624F}"/>
    <cellStyle name="Normal 5 2 2 2 3 3 3" xfId="5200" xr:uid="{00000000-0005-0000-0000-000060170000}"/>
    <cellStyle name="Normal 5 2 2 2 3 3 3 2" xfId="13650" xr:uid="{53C8B095-E671-4E7F-9966-E5A5BED3E28B}"/>
    <cellStyle name="Normal 5 2 2 2 3 3 3 3" xfId="22090" xr:uid="{CC0CF4C5-3E8E-4927-9A15-D1242B7956CC}"/>
    <cellStyle name="Normal 5 2 2 2 3 3 3 4" xfId="30530" xr:uid="{8BF903B2-EF84-4DE5-B63A-C31483731E6D}"/>
    <cellStyle name="Normal 5 2 2 2 3 3 4" xfId="9432" xr:uid="{4CA44C29-662C-4923-B86D-3DEEF69FA53B}"/>
    <cellStyle name="Normal 5 2 2 2 3 3 5" xfId="17873" xr:uid="{835867E9-1756-4DFC-A9F2-EF5A8A7E6D9F}"/>
    <cellStyle name="Normal 5 2 2 2 3 3 6" xfId="26313" xr:uid="{FED12C9B-9D6D-4A6F-975D-572BDDA0A589}"/>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2 2 2" xfId="16208" xr:uid="{99A43A9D-A61B-4013-8C39-6640F9322F87}"/>
    <cellStyle name="Normal 5 2 2 2 3 4 2 2 3" xfId="24648" xr:uid="{82AA607B-DF6D-4FD8-9789-D69B3DC78425}"/>
    <cellStyle name="Normal 5 2 2 2 3 4 2 2 4" xfId="33088" xr:uid="{638B0C4D-D590-4457-9635-DB8E5131B1DA}"/>
    <cellStyle name="Normal 5 2 2 2 3 4 2 3" xfId="11990" xr:uid="{F6CC7EE0-2922-4C90-AFBD-2784B80A6E4D}"/>
    <cellStyle name="Normal 5 2 2 2 3 4 2 4" xfId="20431" xr:uid="{44686DC6-E809-4B92-8ACC-10456C91A4AA}"/>
    <cellStyle name="Normal 5 2 2 2 3 4 2 5" xfId="28871" xr:uid="{CFFE4960-C47C-4088-B051-B700CF946C17}"/>
    <cellStyle name="Normal 5 2 2 2 3 4 3" xfId="5613" xr:uid="{00000000-0005-0000-0000-000064170000}"/>
    <cellStyle name="Normal 5 2 2 2 3 4 3 2" xfId="14063" xr:uid="{3321CB9A-EAD8-458F-A7FD-E901FC0D28FB}"/>
    <cellStyle name="Normal 5 2 2 2 3 4 3 3" xfId="22503" xr:uid="{F4FD7229-3137-4C1F-86E6-F60EFB714C48}"/>
    <cellStyle name="Normal 5 2 2 2 3 4 3 4" xfId="30943" xr:uid="{9C376EDA-2D5C-4607-8C6F-8ECEF4E7AC88}"/>
    <cellStyle name="Normal 5 2 2 2 3 4 4" xfId="9845" xr:uid="{CDE8BF29-8401-44BA-9C18-32A82EB3F7FD}"/>
    <cellStyle name="Normal 5 2 2 2 3 4 5" xfId="18286" xr:uid="{B6CC924E-3781-48C2-871F-ABDC31912EA0}"/>
    <cellStyle name="Normal 5 2 2 2 3 4 6" xfId="26726" xr:uid="{766D0C56-0B3D-4605-BDB9-BDBD5C568FE7}"/>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2 2 2" xfId="16621" xr:uid="{A569941B-BF54-45C7-9AEC-269C1787E48D}"/>
    <cellStyle name="Normal 5 2 2 2 3 5 2 2 3" xfId="25061" xr:uid="{127E5FA3-8A7E-4BB3-8521-386A89550141}"/>
    <cellStyle name="Normal 5 2 2 2 3 5 2 2 4" xfId="33501" xr:uid="{984409BC-A98B-4173-880A-4FB38D09DBD7}"/>
    <cellStyle name="Normal 5 2 2 2 3 5 2 3" xfId="12403" xr:uid="{134ECE76-8BF8-4A43-B484-99F175B3F5A8}"/>
    <cellStyle name="Normal 5 2 2 2 3 5 2 4" xfId="20844" xr:uid="{107E2D8C-98DC-4DC2-B1E0-FDFF30213DF6}"/>
    <cellStyle name="Normal 5 2 2 2 3 5 2 5" xfId="29284" xr:uid="{D7DCEB32-ED9D-4FC9-8605-96999CC7D6B8}"/>
    <cellStyle name="Normal 5 2 2 2 3 5 3" xfId="6026" xr:uid="{00000000-0005-0000-0000-000068170000}"/>
    <cellStyle name="Normal 5 2 2 2 3 5 3 2" xfId="14476" xr:uid="{D2F98480-799F-4FBC-A12C-9584BBD0B5EA}"/>
    <cellStyle name="Normal 5 2 2 2 3 5 3 3" xfId="22916" xr:uid="{02997A83-B083-4A5B-A726-E5642ECE43F4}"/>
    <cellStyle name="Normal 5 2 2 2 3 5 3 4" xfId="31356" xr:uid="{E6EFD3D4-5559-4971-9EC0-1685874208C4}"/>
    <cellStyle name="Normal 5 2 2 2 3 5 4" xfId="10258" xr:uid="{CF60E3F5-2594-4C6A-9E0D-7406CC439AF1}"/>
    <cellStyle name="Normal 5 2 2 2 3 5 5" xfId="18699" xr:uid="{03519CB8-AA4A-4452-9372-79D50C0C165C}"/>
    <cellStyle name="Normal 5 2 2 2 3 5 6" xfId="27139" xr:uid="{DA993547-68E6-4FDE-865B-600F60F3A405}"/>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2 2 2" xfId="17034" xr:uid="{5CFBC745-C993-46FC-BBF2-12ABFBEA5EAA}"/>
    <cellStyle name="Normal 5 2 2 2 3 6 2 2 3" xfId="25474" xr:uid="{8FB5077F-799C-44D7-98A7-EBA3D8B3484C}"/>
    <cellStyle name="Normal 5 2 2 2 3 6 2 2 4" xfId="33914" xr:uid="{7162F1CD-BC64-4AFC-9BD7-45F3C7B12D1E}"/>
    <cellStyle name="Normal 5 2 2 2 3 6 2 3" xfId="12816" xr:uid="{412E952E-1881-4373-B148-B4DB033D7F2C}"/>
    <cellStyle name="Normal 5 2 2 2 3 6 2 4" xfId="21257" xr:uid="{5631B043-49EE-4A47-B49B-CD9A97DFBD5C}"/>
    <cellStyle name="Normal 5 2 2 2 3 6 2 5" xfId="29697" xr:uid="{6207692C-F980-46A3-ADBF-2D5FD6DC9E80}"/>
    <cellStyle name="Normal 5 2 2 2 3 6 3" xfId="6439" xr:uid="{00000000-0005-0000-0000-00006C170000}"/>
    <cellStyle name="Normal 5 2 2 2 3 6 3 2" xfId="14889" xr:uid="{BA44721D-415B-4C63-9261-89021C156026}"/>
    <cellStyle name="Normal 5 2 2 2 3 6 3 3" xfId="23329" xr:uid="{9D06A528-223C-4E2B-B913-FA39C3097048}"/>
    <cellStyle name="Normal 5 2 2 2 3 6 3 4" xfId="31769" xr:uid="{65886061-8598-4DD4-94AA-DF140E388DE7}"/>
    <cellStyle name="Normal 5 2 2 2 3 6 4" xfId="10671" xr:uid="{9B547E7D-3C5D-4313-881E-77E3D4924478}"/>
    <cellStyle name="Normal 5 2 2 2 3 6 5" xfId="19112" xr:uid="{C8E67A05-D2D4-487F-ADA7-9F07216F118C}"/>
    <cellStyle name="Normal 5 2 2 2 3 6 6" xfId="27552" xr:uid="{E586ABE2-55AC-47C7-A727-E41FD4B08630}"/>
    <cellStyle name="Normal 5 2 2 2 3 7" xfId="2569" xr:uid="{00000000-0005-0000-0000-00006D170000}"/>
    <cellStyle name="Normal 5 2 2 2 3 7 2" xfId="6852" xr:uid="{00000000-0005-0000-0000-00006E170000}"/>
    <cellStyle name="Normal 5 2 2 2 3 7 2 2" xfId="15302" xr:uid="{AE91A8F8-A114-4120-BAD9-FF1791FAA279}"/>
    <cellStyle name="Normal 5 2 2 2 3 7 2 3" xfId="23742" xr:uid="{4A6FEECB-684D-44A0-8123-4D20CF4095EE}"/>
    <cellStyle name="Normal 5 2 2 2 3 7 2 4" xfId="32182" xr:uid="{3EEAD2A0-DB48-4137-87A4-F445D6FC47EA}"/>
    <cellStyle name="Normal 5 2 2 2 3 7 3" xfId="11084" xr:uid="{640D5B8F-44C9-4F3D-98A8-7160442C212F}"/>
    <cellStyle name="Normal 5 2 2 2 3 7 4" xfId="19525" xr:uid="{8367E5EF-B8E1-4E48-95FD-24195E8A1CF6}"/>
    <cellStyle name="Normal 5 2 2 2 3 7 5" xfId="27965" xr:uid="{00F726C6-EDD1-4908-8CD9-9DAF72898A10}"/>
    <cellStyle name="Normal 5 2 2 2 3 8" xfId="4787" xr:uid="{00000000-0005-0000-0000-00006F170000}"/>
    <cellStyle name="Normal 5 2 2 2 3 8 2" xfId="13237" xr:uid="{059B7020-4322-42E5-8215-042B3A471060}"/>
    <cellStyle name="Normal 5 2 2 2 3 8 3" xfId="21677" xr:uid="{700B789E-4307-4EE3-BCA6-78BEFF472166}"/>
    <cellStyle name="Normal 5 2 2 2 3 8 4" xfId="30117" xr:uid="{23FC4B2D-9409-4721-BC09-C3D5309F1839}"/>
    <cellStyle name="Normal 5 2 2 2 3 9" xfId="9019" xr:uid="{2969744E-B025-4454-B1AD-6945DCABA8FC}"/>
    <cellStyle name="Normal 5 2 2 2 4" xfId="416" xr:uid="{00000000-0005-0000-0000-000070170000}"/>
    <cellStyle name="Normal 5 2 2 2 4 10" xfId="25902" xr:uid="{944305B4-1ED9-41C1-B7A8-C822123F4C7A}"/>
    <cellStyle name="Normal 5 2 2 2 4 2" xfId="890" xr:uid="{00000000-0005-0000-0000-000071170000}"/>
    <cellStyle name="Normal 5 2 2 2 4 2 2" xfId="3125" xr:uid="{00000000-0005-0000-0000-000072170000}"/>
    <cellStyle name="Normal 5 2 2 2 4 2 2 2" xfId="7347" xr:uid="{00000000-0005-0000-0000-000073170000}"/>
    <cellStyle name="Normal 5 2 2 2 4 2 2 2 2" xfId="15797" xr:uid="{13082321-62AF-4401-91F1-8BF33CFB76C0}"/>
    <cellStyle name="Normal 5 2 2 2 4 2 2 2 3" xfId="24237" xr:uid="{B9933A93-87F9-4A9E-8D64-6E69734BFD16}"/>
    <cellStyle name="Normal 5 2 2 2 4 2 2 2 4" xfId="32677" xr:uid="{C4717D28-8BA9-4F02-95C3-9DCBDADB719C}"/>
    <cellStyle name="Normal 5 2 2 2 4 2 2 3" xfId="11579" xr:uid="{9014AB30-1426-43CE-B7EB-5282E1340E63}"/>
    <cellStyle name="Normal 5 2 2 2 4 2 2 4" xfId="20020" xr:uid="{F4768C79-2ECD-4094-B356-9E11631AEC8E}"/>
    <cellStyle name="Normal 5 2 2 2 4 2 2 5" xfId="28460" xr:uid="{7983B76A-5F04-45ED-95C9-9E6778764F0A}"/>
    <cellStyle name="Normal 5 2 2 2 4 2 3" xfId="5202" xr:uid="{00000000-0005-0000-0000-000074170000}"/>
    <cellStyle name="Normal 5 2 2 2 4 2 3 2" xfId="13652" xr:uid="{0CBFD2E1-B90F-4F8F-A28E-EF2D8AD97957}"/>
    <cellStyle name="Normal 5 2 2 2 4 2 3 3" xfId="22092" xr:uid="{FB3B84AD-3BD9-47A8-8352-602B13065B65}"/>
    <cellStyle name="Normal 5 2 2 2 4 2 3 4" xfId="30532" xr:uid="{F2A6681C-D489-4E62-B7FC-179BDC2AD7AD}"/>
    <cellStyle name="Normal 5 2 2 2 4 2 4" xfId="9434" xr:uid="{A10EFA45-188A-423C-8A9C-C2541FA96735}"/>
    <cellStyle name="Normal 5 2 2 2 4 2 5" xfId="17875" xr:uid="{9A939F1E-712E-41F1-B5ED-F90B9254D516}"/>
    <cellStyle name="Normal 5 2 2 2 4 2 6" xfId="26315" xr:uid="{57F63B08-5CF4-44C1-AF0E-937E1D1CC288}"/>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2 2 2" xfId="16210" xr:uid="{6FA5F81A-7366-4F55-81B5-25A907BA8E5F}"/>
    <cellStyle name="Normal 5 2 2 2 4 3 2 2 3" xfId="24650" xr:uid="{17CA30F9-DF5C-496E-B5B9-3E709F2F78C0}"/>
    <cellStyle name="Normal 5 2 2 2 4 3 2 2 4" xfId="33090" xr:uid="{2460DF53-2DA2-4DF3-90DB-F9D2E92F33D4}"/>
    <cellStyle name="Normal 5 2 2 2 4 3 2 3" xfId="11992" xr:uid="{799D1E9C-ABC9-4641-BEB8-7B901724A80C}"/>
    <cellStyle name="Normal 5 2 2 2 4 3 2 4" xfId="20433" xr:uid="{25935F5A-BECD-4F96-BB22-08D25EA6E303}"/>
    <cellStyle name="Normal 5 2 2 2 4 3 2 5" xfId="28873" xr:uid="{339E073B-58FB-46AD-BFF9-50A2C0A87E7C}"/>
    <cellStyle name="Normal 5 2 2 2 4 3 3" xfId="5615" xr:uid="{00000000-0005-0000-0000-000078170000}"/>
    <cellStyle name="Normal 5 2 2 2 4 3 3 2" xfId="14065" xr:uid="{BD43B593-D8A3-414D-AD6D-35DC621369EB}"/>
    <cellStyle name="Normal 5 2 2 2 4 3 3 3" xfId="22505" xr:uid="{49A37594-B8DC-4EAD-A723-514790AAFC57}"/>
    <cellStyle name="Normal 5 2 2 2 4 3 3 4" xfId="30945" xr:uid="{3079E4C4-7A24-461B-9B93-78A94262D253}"/>
    <cellStyle name="Normal 5 2 2 2 4 3 4" xfId="9847" xr:uid="{447E7EF0-4054-4B98-B890-10A779EFA914}"/>
    <cellStyle name="Normal 5 2 2 2 4 3 5" xfId="18288" xr:uid="{C04D9D12-15DB-4968-AC6D-F65D0C77124B}"/>
    <cellStyle name="Normal 5 2 2 2 4 3 6" xfId="26728" xr:uid="{1B1BBCCC-DE03-4724-8F5B-792804092689}"/>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2 2 2" xfId="16623" xr:uid="{5F9C25F9-81C5-4300-B1E2-F5AD0BBB902F}"/>
    <cellStyle name="Normal 5 2 2 2 4 4 2 2 3" xfId="25063" xr:uid="{F70E916D-DDFB-4697-BD02-F5C81F996551}"/>
    <cellStyle name="Normal 5 2 2 2 4 4 2 2 4" xfId="33503" xr:uid="{D11B96AB-6418-4A03-8C05-3CAACE4E5081}"/>
    <cellStyle name="Normal 5 2 2 2 4 4 2 3" xfId="12405" xr:uid="{5E934166-8684-453A-991F-D95B0177FC48}"/>
    <cellStyle name="Normal 5 2 2 2 4 4 2 4" xfId="20846" xr:uid="{64D7C0BF-0F33-4FA0-9363-9206221F1C53}"/>
    <cellStyle name="Normal 5 2 2 2 4 4 2 5" xfId="29286" xr:uid="{1CB4177B-CB97-4FDC-99F1-C7EE74A30FE3}"/>
    <cellStyle name="Normal 5 2 2 2 4 4 3" xfId="6028" xr:uid="{00000000-0005-0000-0000-00007C170000}"/>
    <cellStyle name="Normal 5 2 2 2 4 4 3 2" xfId="14478" xr:uid="{9D0CB9D2-E7BB-44C0-8782-FC2AA28C3A04}"/>
    <cellStyle name="Normal 5 2 2 2 4 4 3 3" xfId="22918" xr:uid="{8A056751-4488-4237-A1C9-CCEFA071FE37}"/>
    <cellStyle name="Normal 5 2 2 2 4 4 3 4" xfId="31358" xr:uid="{DECA53E5-FB79-4368-9238-EFF0B52E027E}"/>
    <cellStyle name="Normal 5 2 2 2 4 4 4" xfId="10260" xr:uid="{232C1465-70BA-4864-8DA7-2F729E49EBF9}"/>
    <cellStyle name="Normal 5 2 2 2 4 4 5" xfId="18701" xr:uid="{93B090F6-D0C5-4630-A39A-603DD5E6DB1A}"/>
    <cellStyle name="Normal 5 2 2 2 4 4 6" xfId="27141" xr:uid="{39BB54AC-C0ED-4AF4-9B5C-0E40886AFE97}"/>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2 2 2" xfId="17036" xr:uid="{5F55B01F-DA78-4C1C-AE34-9189BE435E65}"/>
    <cellStyle name="Normal 5 2 2 2 4 5 2 2 3" xfId="25476" xr:uid="{58594DF1-32B2-406D-A599-044A6C8BEDD9}"/>
    <cellStyle name="Normal 5 2 2 2 4 5 2 2 4" xfId="33916" xr:uid="{F5DFEF88-8BFF-4938-B31F-2F7662824B53}"/>
    <cellStyle name="Normal 5 2 2 2 4 5 2 3" xfId="12818" xr:uid="{BC0E3598-2161-43BE-8FD5-B22E33CE3D76}"/>
    <cellStyle name="Normal 5 2 2 2 4 5 2 4" xfId="21259" xr:uid="{950B00A0-8BCB-4E76-958A-57EE902E8BD8}"/>
    <cellStyle name="Normal 5 2 2 2 4 5 2 5" xfId="29699" xr:uid="{1BB44647-8AA1-4BA6-AB85-0A48915F56F5}"/>
    <cellStyle name="Normal 5 2 2 2 4 5 3" xfId="6441" xr:uid="{00000000-0005-0000-0000-000080170000}"/>
    <cellStyle name="Normal 5 2 2 2 4 5 3 2" xfId="14891" xr:uid="{62AE622B-B56A-4F4D-A643-128D1410F014}"/>
    <cellStyle name="Normal 5 2 2 2 4 5 3 3" xfId="23331" xr:uid="{2F39BC58-AF91-4478-9F9F-3A667E38F937}"/>
    <cellStyle name="Normal 5 2 2 2 4 5 3 4" xfId="31771" xr:uid="{4A752F7A-F226-4375-97BB-DE8DC36AB487}"/>
    <cellStyle name="Normal 5 2 2 2 4 5 4" xfId="10673" xr:uid="{EFB3DA37-DCDF-4C58-A724-C3B38DECA0E9}"/>
    <cellStyle name="Normal 5 2 2 2 4 5 5" xfId="19114" xr:uid="{A275D3D1-953E-4772-8732-DA34EAD3A7BB}"/>
    <cellStyle name="Normal 5 2 2 2 4 5 6" xfId="27554" xr:uid="{9CC25ABB-30A7-44EA-B2C0-5EB8E25B41F3}"/>
    <cellStyle name="Normal 5 2 2 2 4 6" xfId="2571" xr:uid="{00000000-0005-0000-0000-000081170000}"/>
    <cellStyle name="Normal 5 2 2 2 4 6 2" xfId="6854" xr:uid="{00000000-0005-0000-0000-000082170000}"/>
    <cellStyle name="Normal 5 2 2 2 4 6 2 2" xfId="15304" xr:uid="{5BFC074B-A6CF-4089-9FFB-EE1EE8E455ED}"/>
    <cellStyle name="Normal 5 2 2 2 4 6 2 3" xfId="23744" xr:uid="{F6517593-35D2-455F-A03D-CA771AB55C96}"/>
    <cellStyle name="Normal 5 2 2 2 4 6 2 4" xfId="32184" xr:uid="{9930E8AE-B637-4AD4-AAD8-D60C3D2A5A15}"/>
    <cellStyle name="Normal 5 2 2 2 4 6 3" xfId="11086" xr:uid="{FDBB8409-D796-4F5F-8D8F-3CA53AB37119}"/>
    <cellStyle name="Normal 5 2 2 2 4 6 4" xfId="19527" xr:uid="{7FD25C6A-8D7B-476E-9ADA-67E1B7C3559E}"/>
    <cellStyle name="Normal 5 2 2 2 4 6 5" xfId="27967" xr:uid="{43E896AF-1B00-4CF7-A3CD-922BCBD02EEF}"/>
    <cellStyle name="Normal 5 2 2 2 4 7" xfId="4789" xr:uid="{00000000-0005-0000-0000-000083170000}"/>
    <cellStyle name="Normal 5 2 2 2 4 7 2" xfId="13239" xr:uid="{42179373-D532-4A6E-AE5B-DF0E6C6206B6}"/>
    <cellStyle name="Normal 5 2 2 2 4 7 3" xfId="21679" xr:uid="{603A2DCB-BEC5-4D94-AE71-55058EC7F6E8}"/>
    <cellStyle name="Normal 5 2 2 2 4 7 4" xfId="30119" xr:uid="{459C8F39-07B2-4A76-825F-556D7254FB1A}"/>
    <cellStyle name="Normal 5 2 2 2 4 8" xfId="9021" xr:uid="{F9803966-DB2D-48DD-A590-C4B683D46F34}"/>
    <cellStyle name="Normal 5 2 2 2 4 9" xfId="17462" xr:uid="{947C397F-0D95-4A2B-86E3-2DD41C1215C2}"/>
    <cellStyle name="Normal 5 2 2 2 5" xfId="883" xr:uid="{00000000-0005-0000-0000-000084170000}"/>
    <cellStyle name="Normal 5 2 2 2 5 2" xfId="3118" xr:uid="{00000000-0005-0000-0000-000085170000}"/>
    <cellStyle name="Normal 5 2 2 2 5 2 2" xfId="7340" xr:uid="{00000000-0005-0000-0000-000086170000}"/>
    <cellStyle name="Normal 5 2 2 2 5 2 2 2" xfId="15790" xr:uid="{A3156227-BB3E-4304-AE5A-F474BEA10F84}"/>
    <cellStyle name="Normal 5 2 2 2 5 2 2 3" xfId="24230" xr:uid="{1B175932-0A57-4B7B-9295-87ABAD2BB820}"/>
    <cellStyle name="Normal 5 2 2 2 5 2 2 4" xfId="32670" xr:uid="{D29DCCB0-C894-4586-BF3F-E4A88F7A31C0}"/>
    <cellStyle name="Normal 5 2 2 2 5 2 3" xfId="11572" xr:uid="{19915A3D-D8C4-4895-A823-C5DFC3D35B12}"/>
    <cellStyle name="Normal 5 2 2 2 5 2 4" xfId="20013" xr:uid="{DC70F16C-B4B0-4A99-9AB5-57D2C56155CE}"/>
    <cellStyle name="Normal 5 2 2 2 5 2 5" xfId="28453" xr:uid="{A43F8DC0-3C29-4A2C-AE4B-3CE8DBC8830B}"/>
    <cellStyle name="Normal 5 2 2 2 5 3" xfId="5195" xr:uid="{00000000-0005-0000-0000-000087170000}"/>
    <cellStyle name="Normal 5 2 2 2 5 3 2" xfId="13645" xr:uid="{3905F995-CEC2-4ADC-A939-91583C52BC56}"/>
    <cellStyle name="Normal 5 2 2 2 5 3 3" xfId="22085" xr:uid="{0DE1367F-21E5-4060-9778-8C60AEF945C4}"/>
    <cellStyle name="Normal 5 2 2 2 5 3 4" xfId="30525" xr:uid="{7C91E1CB-9D84-4AEA-822B-C70F3EE3638F}"/>
    <cellStyle name="Normal 5 2 2 2 5 4" xfId="9427" xr:uid="{C4737F15-5772-4C2B-AB1F-33005927B907}"/>
    <cellStyle name="Normal 5 2 2 2 5 5" xfId="17868" xr:uid="{779F4545-19C7-4989-BE72-082861F3CBC2}"/>
    <cellStyle name="Normal 5 2 2 2 5 6" xfId="26308" xr:uid="{AA409D79-EB89-4428-A8E2-B51C65768325}"/>
    <cellStyle name="Normal 5 2 2 2 6" xfId="1301" xr:uid="{00000000-0005-0000-0000-000088170000}"/>
    <cellStyle name="Normal 5 2 2 2 6 2" xfId="3531" xr:uid="{00000000-0005-0000-0000-000089170000}"/>
    <cellStyle name="Normal 5 2 2 2 6 2 2" xfId="7753" xr:uid="{00000000-0005-0000-0000-00008A170000}"/>
    <cellStyle name="Normal 5 2 2 2 6 2 2 2" xfId="16203" xr:uid="{C2334900-1E6F-48A4-AEE6-DDC892F038EA}"/>
    <cellStyle name="Normal 5 2 2 2 6 2 2 3" xfId="24643" xr:uid="{365337EC-C6E1-46C0-B6E5-A8EF420482B3}"/>
    <cellStyle name="Normal 5 2 2 2 6 2 2 4" xfId="33083" xr:uid="{94917358-028A-4628-9427-3C9C58FD9C2E}"/>
    <cellStyle name="Normal 5 2 2 2 6 2 3" xfId="11985" xr:uid="{16BB2CC4-E5E2-44F9-8E7D-662878E900DC}"/>
    <cellStyle name="Normal 5 2 2 2 6 2 4" xfId="20426" xr:uid="{799DDBCC-A1E4-4C2B-8847-6246010E8E3C}"/>
    <cellStyle name="Normal 5 2 2 2 6 2 5" xfId="28866" xr:uid="{6EC9572C-F326-477C-96DF-78862A3E03DC}"/>
    <cellStyle name="Normal 5 2 2 2 6 3" xfId="5608" xr:uid="{00000000-0005-0000-0000-00008B170000}"/>
    <cellStyle name="Normal 5 2 2 2 6 3 2" xfId="14058" xr:uid="{A95FA4FC-0C6B-4B75-A5E2-69B6D231E308}"/>
    <cellStyle name="Normal 5 2 2 2 6 3 3" xfId="22498" xr:uid="{FBAA30E4-87C4-4DBB-A43B-38A786068663}"/>
    <cellStyle name="Normal 5 2 2 2 6 3 4" xfId="30938" xr:uid="{054A9E46-C5E1-432A-B945-7175DAC72C8D}"/>
    <cellStyle name="Normal 5 2 2 2 6 4" xfId="9840" xr:uid="{15DCEAAE-2308-47F9-AA1B-C4BA2A25D80E}"/>
    <cellStyle name="Normal 5 2 2 2 6 5" xfId="18281" xr:uid="{6661D885-144D-4AAB-924D-939EB8AF6A5C}"/>
    <cellStyle name="Normal 5 2 2 2 6 6" xfId="26721" xr:uid="{0A22E64E-9DAA-464A-AE29-440F315B1959}"/>
    <cellStyle name="Normal 5 2 2 2 7" xfId="1714" xr:uid="{00000000-0005-0000-0000-00008C170000}"/>
    <cellStyle name="Normal 5 2 2 2 7 2" xfId="3944" xr:uid="{00000000-0005-0000-0000-00008D170000}"/>
    <cellStyle name="Normal 5 2 2 2 7 2 2" xfId="8166" xr:uid="{00000000-0005-0000-0000-00008E170000}"/>
    <cellStyle name="Normal 5 2 2 2 7 2 2 2" xfId="16616" xr:uid="{1B7EC3CF-911E-4FD3-87B1-17C45D894A80}"/>
    <cellStyle name="Normal 5 2 2 2 7 2 2 3" xfId="25056" xr:uid="{9C8DC4A6-72F1-4C37-815F-0D02868913CB}"/>
    <cellStyle name="Normal 5 2 2 2 7 2 2 4" xfId="33496" xr:uid="{86239AB0-B8EA-4218-A104-F5F1B796CE4B}"/>
    <cellStyle name="Normal 5 2 2 2 7 2 3" xfId="12398" xr:uid="{E98A9201-C025-4EAA-83EB-3BB3D3A3A367}"/>
    <cellStyle name="Normal 5 2 2 2 7 2 4" xfId="20839" xr:uid="{D6C8BDD0-0D17-455C-9637-C15A5F8989DE}"/>
    <cellStyle name="Normal 5 2 2 2 7 2 5" xfId="29279" xr:uid="{0C2401A7-4395-4037-97B7-2F8C17CBE8B0}"/>
    <cellStyle name="Normal 5 2 2 2 7 3" xfId="6021" xr:uid="{00000000-0005-0000-0000-00008F170000}"/>
    <cellStyle name="Normal 5 2 2 2 7 3 2" xfId="14471" xr:uid="{B5C24F53-767B-45DB-90AC-56792F78A984}"/>
    <cellStyle name="Normal 5 2 2 2 7 3 3" xfId="22911" xr:uid="{F1460DF6-403E-4946-AAAA-43ED7BB91331}"/>
    <cellStyle name="Normal 5 2 2 2 7 3 4" xfId="31351" xr:uid="{D305FF5F-2B23-42AC-B729-5E7A7003C2E7}"/>
    <cellStyle name="Normal 5 2 2 2 7 4" xfId="10253" xr:uid="{13C498AD-4258-4692-B0C2-5F3F9B6AFA1A}"/>
    <cellStyle name="Normal 5 2 2 2 7 5" xfId="18694" xr:uid="{E29F8742-2669-4E84-99F4-B7AF5577B0BA}"/>
    <cellStyle name="Normal 5 2 2 2 7 6" xfId="27134" xr:uid="{17F9A6A5-A3F1-46DE-AC1B-266A20BEEEC8}"/>
    <cellStyle name="Normal 5 2 2 2 8" xfId="2128" xr:uid="{00000000-0005-0000-0000-000090170000}"/>
    <cellStyle name="Normal 5 2 2 2 8 2" xfId="4357" xr:uid="{00000000-0005-0000-0000-000091170000}"/>
    <cellStyle name="Normal 5 2 2 2 8 2 2" xfId="8579" xr:uid="{00000000-0005-0000-0000-000092170000}"/>
    <cellStyle name="Normal 5 2 2 2 8 2 2 2" xfId="17029" xr:uid="{BB6916A3-ABB5-4DE5-BC52-6F1D66B92D6E}"/>
    <cellStyle name="Normal 5 2 2 2 8 2 2 3" xfId="25469" xr:uid="{E3E5FE0E-C9C6-42C7-BC9A-9394D740DCA8}"/>
    <cellStyle name="Normal 5 2 2 2 8 2 2 4" xfId="33909" xr:uid="{F8ED0705-F287-4407-A650-5E844A4BDCF5}"/>
    <cellStyle name="Normal 5 2 2 2 8 2 3" xfId="12811" xr:uid="{EA5369AE-BE80-4ACE-9BBE-D48EDD154F5F}"/>
    <cellStyle name="Normal 5 2 2 2 8 2 4" xfId="21252" xr:uid="{0DA28AD6-785A-4E5C-B205-847E29239FC4}"/>
    <cellStyle name="Normal 5 2 2 2 8 2 5" xfId="29692" xr:uid="{CAED6037-FEB0-4316-841E-E47092356B95}"/>
    <cellStyle name="Normal 5 2 2 2 8 3" xfId="6434" xr:uid="{00000000-0005-0000-0000-000093170000}"/>
    <cellStyle name="Normal 5 2 2 2 8 3 2" xfId="14884" xr:uid="{906E958A-CF76-4E20-A291-B44791BAA099}"/>
    <cellStyle name="Normal 5 2 2 2 8 3 3" xfId="23324" xr:uid="{1CD2A25E-B3F9-43E3-A1F7-B6210774668B}"/>
    <cellStyle name="Normal 5 2 2 2 8 3 4" xfId="31764" xr:uid="{75E5AD3D-C89D-4D88-B5D4-302A794C5903}"/>
    <cellStyle name="Normal 5 2 2 2 8 4" xfId="10666" xr:uid="{CB915A39-E3B0-4967-87C2-154DE8A8381D}"/>
    <cellStyle name="Normal 5 2 2 2 8 5" xfId="19107" xr:uid="{EE4D0CFF-1B70-4DCE-AE43-8F9D31007ABE}"/>
    <cellStyle name="Normal 5 2 2 2 8 6" xfId="27547" xr:uid="{82DA20A9-CFA2-4E7F-B4F1-543E97E857A0}"/>
    <cellStyle name="Normal 5 2 2 2 9" xfId="2564" xr:uid="{00000000-0005-0000-0000-000094170000}"/>
    <cellStyle name="Normal 5 2 2 2 9 2" xfId="6847" xr:uid="{00000000-0005-0000-0000-000095170000}"/>
    <cellStyle name="Normal 5 2 2 2 9 2 2" xfId="15297" xr:uid="{793E34D8-1D0A-4968-910D-81A6CEBC4891}"/>
    <cellStyle name="Normal 5 2 2 2 9 2 3" xfId="23737" xr:uid="{625AE341-B4AC-4DD0-87DB-8D3D6CEF25AF}"/>
    <cellStyle name="Normal 5 2 2 2 9 2 4" xfId="32177" xr:uid="{C8D00B77-2A6D-4F17-B1DA-912BDC9A88B2}"/>
    <cellStyle name="Normal 5 2 2 2 9 3" xfId="11079" xr:uid="{54278613-8032-4D2E-A45E-8B2F78AC93F1}"/>
    <cellStyle name="Normal 5 2 2 2 9 4" xfId="19520" xr:uid="{A0723B3E-FD81-4744-B2F9-673D525458BE}"/>
    <cellStyle name="Normal 5 2 2 2 9 5" xfId="27960" xr:uid="{B9C0CC33-AED7-4D82-B714-A617B19CE07A}"/>
    <cellStyle name="Normal 5 2 2 3" xfId="417" xr:uid="{00000000-0005-0000-0000-000096170000}"/>
    <cellStyle name="Normal 5 2 2 3 10" xfId="9022" xr:uid="{A56A4E89-52CE-4E68-9E16-DBFACABA6C1E}"/>
    <cellStyle name="Normal 5 2 2 3 11" xfId="17463" xr:uid="{F9CCDDC5-FA52-4067-B254-6C65FA6D92EE}"/>
    <cellStyle name="Normal 5 2 2 3 12" xfId="25903" xr:uid="{91D2900D-F51D-4CBC-BAAD-B0ABBC5DC743}"/>
    <cellStyle name="Normal 5 2 2 3 2" xfId="418" xr:uid="{00000000-0005-0000-0000-000097170000}"/>
    <cellStyle name="Normal 5 2 2 3 2 10" xfId="17464" xr:uid="{E08A1114-6D81-455A-B23D-9E9F47599171}"/>
    <cellStyle name="Normal 5 2 2 3 2 11" xfId="25904" xr:uid="{6C4A527E-863B-4285-8158-6833A17D75AE}"/>
    <cellStyle name="Normal 5 2 2 3 2 2" xfId="419" xr:uid="{00000000-0005-0000-0000-000098170000}"/>
    <cellStyle name="Normal 5 2 2 3 2 2 10" xfId="25905" xr:uid="{D0024607-0967-48CA-99C0-3BAEEB61F3CE}"/>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2 2 2" xfId="15800" xr:uid="{5BAD2AA2-0040-4DD1-AC79-0FD21AD0F10E}"/>
    <cellStyle name="Normal 5 2 2 3 2 2 2 2 2 3" xfId="24240" xr:uid="{21931FA1-4FCF-49BB-8C11-192862AB2FEC}"/>
    <cellStyle name="Normal 5 2 2 3 2 2 2 2 2 4" xfId="32680" xr:uid="{C1E21224-0E4E-4FDB-B112-43427C545708}"/>
    <cellStyle name="Normal 5 2 2 3 2 2 2 2 3" xfId="11582" xr:uid="{5CF723DB-35AE-4946-B999-95019232177B}"/>
    <cellStyle name="Normal 5 2 2 3 2 2 2 2 4" xfId="20023" xr:uid="{609F2931-C2FA-439F-811B-475039C86361}"/>
    <cellStyle name="Normal 5 2 2 3 2 2 2 2 5" xfId="28463" xr:uid="{03D424DE-0271-4389-A52F-67B6F98E8955}"/>
    <cellStyle name="Normal 5 2 2 3 2 2 2 3" xfId="5205" xr:uid="{00000000-0005-0000-0000-00009C170000}"/>
    <cellStyle name="Normal 5 2 2 3 2 2 2 3 2" xfId="13655" xr:uid="{AFF211E5-377D-418C-9AB3-EC3BA14B6929}"/>
    <cellStyle name="Normal 5 2 2 3 2 2 2 3 3" xfId="22095" xr:uid="{934E1EBD-A472-4606-A28A-04F521A212C4}"/>
    <cellStyle name="Normal 5 2 2 3 2 2 2 3 4" xfId="30535" xr:uid="{F1EDD7DC-A6B7-43C2-B2EA-3105E777DAFE}"/>
    <cellStyle name="Normal 5 2 2 3 2 2 2 4" xfId="9437" xr:uid="{30D816FD-80F8-4680-97BB-E1EADF5D8E05}"/>
    <cellStyle name="Normal 5 2 2 3 2 2 2 5" xfId="17878" xr:uid="{A25BD6D9-2BFD-4482-82DC-1D4D11C9AF30}"/>
    <cellStyle name="Normal 5 2 2 3 2 2 2 6" xfId="26318" xr:uid="{66BC6A2B-9DC7-4324-A8A9-C041D1BD13D5}"/>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2 2 2" xfId="16213" xr:uid="{2B2EC26C-C33C-47E7-83E3-B205893380BA}"/>
    <cellStyle name="Normal 5 2 2 3 2 2 3 2 2 3" xfId="24653" xr:uid="{4D1FF260-10F9-463C-A112-0577EE9D01DC}"/>
    <cellStyle name="Normal 5 2 2 3 2 2 3 2 2 4" xfId="33093" xr:uid="{17B94DE3-B70D-4779-9E0E-B94F1F784B5F}"/>
    <cellStyle name="Normal 5 2 2 3 2 2 3 2 3" xfId="11995" xr:uid="{0D58D5CC-3DA2-412C-8545-4D919BC6F895}"/>
    <cellStyle name="Normal 5 2 2 3 2 2 3 2 4" xfId="20436" xr:uid="{53CDD37B-D264-4DD1-8375-598DB809B25C}"/>
    <cellStyle name="Normal 5 2 2 3 2 2 3 2 5" xfId="28876" xr:uid="{F9F1FC87-FDED-4F52-8DC8-2947538BA41F}"/>
    <cellStyle name="Normal 5 2 2 3 2 2 3 3" xfId="5618" xr:uid="{00000000-0005-0000-0000-0000A0170000}"/>
    <cellStyle name="Normal 5 2 2 3 2 2 3 3 2" xfId="14068" xr:uid="{6D996E32-EBCD-4495-8D2E-B65A363DEF85}"/>
    <cellStyle name="Normal 5 2 2 3 2 2 3 3 3" xfId="22508" xr:uid="{7D47B667-44BD-4484-9C00-4B8BACEF3526}"/>
    <cellStyle name="Normal 5 2 2 3 2 2 3 3 4" xfId="30948" xr:uid="{0E97D1D8-FBD8-4BCB-8FA1-A3D603557097}"/>
    <cellStyle name="Normal 5 2 2 3 2 2 3 4" xfId="9850" xr:uid="{3E717541-BDB8-485E-B8E1-86D389AD9457}"/>
    <cellStyle name="Normal 5 2 2 3 2 2 3 5" xfId="18291" xr:uid="{168AA505-2323-4E23-A862-7BE9C6838EF5}"/>
    <cellStyle name="Normal 5 2 2 3 2 2 3 6" xfId="26731" xr:uid="{6A5C4722-8DB3-44FE-8853-04B6749971D4}"/>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2 2 2" xfId="16626" xr:uid="{59B3660B-99BC-450F-87C2-EDCECF0F81E1}"/>
    <cellStyle name="Normal 5 2 2 3 2 2 4 2 2 3" xfId="25066" xr:uid="{167D7A41-3E4F-4CFD-A6A4-AF6F17EDE005}"/>
    <cellStyle name="Normal 5 2 2 3 2 2 4 2 2 4" xfId="33506" xr:uid="{9557A5ED-F1E8-4F6F-93B0-52428A089C8E}"/>
    <cellStyle name="Normal 5 2 2 3 2 2 4 2 3" xfId="12408" xr:uid="{7FAAC768-6117-4528-ACC3-408F21296F69}"/>
    <cellStyle name="Normal 5 2 2 3 2 2 4 2 4" xfId="20849" xr:uid="{DBB228B9-39A4-4BC3-BEBE-510AA0CEA370}"/>
    <cellStyle name="Normal 5 2 2 3 2 2 4 2 5" xfId="29289" xr:uid="{CC96C402-616C-4C3F-AD27-CE7483AF3AEF}"/>
    <cellStyle name="Normal 5 2 2 3 2 2 4 3" xfId="6031" xr:uid="{00000000-0005-0000-0000-0000A4170000}"/>
    <cellStyle name="Normal 5 2 2 3 2 2 4 3 2" xfId="14481" xr:uid="{7DCD8140-63A4-4CCA-843A-A18B39D32FB4}"/>
    <cellStyle name="Normal 5 2 2 3 2 2 4 3 3" xfId="22921" xr:uid="{D3344E1C-FD18-4681-9E19-7A460A007CFA}"/>
    <cellStyle name="Normal 5 2 2 3 2 2 4 3 4" xfId="31361" xr:uid="{0969E1F8-E312-4794-AFDD-ED1A54BCA86B}"/>
    <cellStyle name="Normal 5 2 2 3 2 2 4 4" xfId="10263" xr:uid="{E14955F6-4E87-4902-95C8-F717CEEB46DC}"/>
    <cellStyle name="Normal 5 2 2 3 2 2 4 5" xfId="18704" xr:uid="{81512857-5FEE-47E9-B730-8468982EAB69}"/>
    <cellStyle name="Normal 5 2 2 3 2 2 4 6" xfId="27144" xr:uid="{7C2207D2-3E88-4591-BB6A-4487637D7E68}"/>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2 2 2" xfId="17039" xr:uid="{BEDD492B-CB75-48AF-9D2B-8ED0465709A5}"/>
    <cellStyle name="Normal 5 2 2 3 2 2 5 2 2 3" xfId="25479" xr:uid="{3B786A1B-459E-4CC2-ACE5-0770168BD0C9}"/>
    <cellStyle name="Normal 5 2 2 3 2 2 5 2 2 4" xfId="33919" xr:uid="{57A50AF9-2195-4153-B093-115C5039644B}"/>
    <cellStyle name="Normal 5 2 2 3 2 2 5 2 3" xfId="12821" xr:uid="{4B5E750D-22A5-4B80-8B9E-0B41EBCDF7E0}"/>
    <cellStyle name="Normal 5 2 2 3 2 2 5 2 4" xfId="21262" xr:uid="{B643236F-7589-4B4B-94EB-5E38BBE01283}"/>
    <cellStyle name="Normal 5 2 2 3 2 2 5 2 5" xfId="29702" xr:uid="{D826FC3D-E9D4-48C4-91CA-5F4BDB22445E}"/>
    <cellStyle name="Normal 5 2 2 3 2 2 5 3" xfId="6444" xr:uid="{00000000-0005-0000-0000-0000A8170000}"/>
    <cellStyle name="Normal 5 2 2 3 2 2 5 3 2" xfId="14894" xr:uid="{2BF6DE58-DF47-41B1-9D3D-E9285D160508}"/>
    <cellStyle name="Normal 5 2 2 3 2 2 5 3 3" xfId="23334" xr:uid="{58548D4E-AF48-46CE-9213-500001092236}"/>
    <cellStyle name="Normal 5 2 2 3 2 2 5 3 4" xfId="31774" xr:uid="{1EE92557-56A0-429B-9798-311F46316316}"/>
    <cellStyle name="Normal 5 2 2 3 2 2 5 4" xfId="10676" xr:uid="{EF5809D9-192A-439C-BC45-8DEB932FFC4B}"/>
    <cellStyle name="Normal 5 2 2 3 2 2 5 5" xfId="19117" xr:uid="{16475E97-C564-44E4-A576-67B01DFDCBBE}"/>
    <cellStyle name="Normal 5 2 2 3 2 2 5 6" xfId="27557" xr:uid="{6BA37779-536D-4184-8460-69154C8C989C}"/>
    <cellStyle name="Normal 5 2 2 3 2 2 6" xfId="2574" xr:uid="{00000000-0005-0000-0000-0000A9170000}"/>
    <cellStyle name="Normal 5 2 2 3 2 2 6 2" xfId="6857" xr:uid="{00000000-0005-0000-0000-0000AA170000}"/>
    <cellStyle name="Normal 5 2 2 3 2 2 6 2 2" xfId="15307" xr:uid="{0109CDA3-E87C-44BD-80DA-2D4545ABB70B}"/>
    <cellStyle name="Normal 5 2 2 3 2 2 6 2 3" xfId="23747" xr:uid="{DBA778ED-7E6F-439A-9349-F18C58841627}"/>
    <cellStyle name="Normal 5 2 2 3 2 2 6 2 4" xfId="32187" xr:uid="{E9029DC3-FB82-4C30-9FEF-DBC13F84F37C}"/>
    <cellStyle name="Normal 5 2 2 3 2 2 6 3" xfId="11089" xr:uid="{25EF194C-B2F5-486E-AC18-B5521029ECF7}"/>
    <cellStyle name="Normal 5 2 2 3 2 2 6 4" xfId="19530" xr:uid="{A4619312-C758-474E-B9D7-087F27305397}"/>
    <cellStyle name="Normal 5 2 2 3 2 2 6 5" xfId="27970" xr:uid="{B350AAC8-B730-487F-A06C-492CDA51A516}"/>
    <cellStyle name="Normal 5 2 2 3 2 2 7" xfId="4792" xr:uid="{00000000-0005-0000-0000-0000AB170000}"/>
    <cellStyle name="Normal 5 2 2 3 2 2 7 2" xfId="13242" xr:uid="{42188AC9-B677-43CF-9750-9429E5061CEC}"/>
    <cellStyle name="Normal 5 2 2 3 2 2 7 3" xfId="21682" xr:uid="{43FA3A09-B80E-42BA-A752-ED9605571C9F}"/>
    <cellStyle name="Normal 5 2 2 3 2 2 7 4" xfId="30122" xr:uid="{F95AD100-BBE4-471E-AC1B-98DB5F5D7997}"/>
    <cellStyle name="Normal 5 2 2 3 2 2 8" xfId="9024" xr:uid="{0F411E9E-A5F5-4061-A9D7-657F86DE9D8F}"/>
    <cellStyle name="Normal 5 2 2 3 2 2 9" xfId="17465" xr:uid="{322DC077-8ADD-495A-A36C-DCC55A36CD1B}"/>
    <cellStyle name="Normal 5 2 2 3 2 3" xfId="892" xr:uid="{00000000-0005-0000-0000-0000AC170000}"/>
    <cellStyle name="Normal 5 2 2 3 2 3 2" xfId="3127" xr:uid="{00000000-0005-0000-0000-0000AD170000}"/>
    <cellStyle name="Normal 5 2 2 3 2 3 2 2" xfId="7349" xr:uid="{00000000-0005-0000-0000-0000AE170000}"/>
    <cellStyle name="Normal 5 2 2 3 2 3 2 2 2" xfId="15799" xr:uid="{1638C0FB-3896-4C4A-AA81-EF2338FDA45D}"/>
    <cellStyle name="Normal 5 2 2 3 2 3 2 2 3" xfId="24239" xr:uid="{4F4B0460-3534-4901-9B54-42A234D5DC46}"/>
    <cellStyle name="Normal 5 2 2 3 2 3 2 2 4" xfId="32679" xr:uid="{32E7469F-3699-4A0F-9CFE-FAA5D114477F}"/>
    <cellStyle name="Normal 5 2 2 3 2 3 2 3" xfId="11581" xr:uid="{2749BAE4-633E-47D3-A17E-A636A40094C6}"/>
    <cellStyle name="Normal 5 2 2 3 2 3 2 4" xfId="20022" xr:uid="{8698519E-6F3F-4AD6-BBC3-914E072F0A88}"/>
    <cellStyle name="Normal 5 2 2 3 2 3 2 5" xfId="28462" xr:uid="{988AAF1D-22B0-4F51-8FEE-6FDDFED46F0C}"/>
    <cellStyle name="Normal 5 2 2 3 2 3 3" xfId="5204" xr:uid="{00000000-0005-0000-0000-0000AF170000}"/>
    <cellStyle name="Normal 5 2 2 3 2 3 3 2" xfId="13654" xr:uid="{244DDA02-6EB8-4BC0-94BC-1FB00AE75D37}"/>
    <cellStyle name="Normal 5 2 2 3 2 3 3 3" xfId="22094" xr:uid="{B6BF5799-586C-426D-812F-350E8BCAD4A4}"/>
    <cellStyle name="Normal 5 2 2 3 2 3 3 4" xfId="30534" xr:uid="{898309AF-597A-49E8-B67A-D7554A41F529}"/>
    <cellStyle name="Normal 5 2 2 3 2 3 4" xfId="9436" xr:uid="{BF266259-ACFE-495E-9FB2-7A5AFE4A4CA8}"/>
    <cellStyle name="Normal 5 2 2 3 2 3 5" xfId="17877" xr:uid="{41531DAD-1CDA-4E5B-93C2-8D390543E3CD}"/>
    <cellStyle name="Normal 5 2 2 3 2 3 6" xfId="26317" xr:uid="{DF84C690-0A2C-4AD3-8A13-E959C9ABA47E}"/>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2 2 2" xfId="16212" xr:uid="{C1F77890-6EF9-421C-BC91-19449BF97F80}"/>
    <cellStyle name="Normal 5 2 2 3 2 4 2 2 3" xfId="24652" xr:uid="{0ED5E9AF-9696-4224-BC4A-7194004E8439}"/>
    <cellStyle name="Normal 5 2 2 3 2 4 2 2 4" xfId="33092" xr:uid="{8C65BC99-3632-4CEF-8848-3B497B6F1FAA}"/>
    <cellStyle name="Normal 5 2 2 3 2 4 2 3" xfId="11994" xr:uid="{E0E422D5-5C48-44C1-BC64-48D40EF1FC08}"/>
    <cellStyle name="Normal 5 2 2 3 2 4 2 4" xfId="20435" xr:uid="{85487AEE-4959-4B71-890B-AA666E4E6819}"/>
    <cellStyle name="Normal 5 2 2 3 2 4 2 5" xfId="28875" xr:uid="{ADC8CAE2-FE9C-489C-930F-71BDCA99673E}"/>
    <cellStyle name="Normal 5 2 2 3 2 4 3" xfId="5617" xr:uid="{00000000-0005-0000-0000-0000B3170000}"/>
    <cellStyle name="Normal 5 2 2 3 2 4 3 2" xfId="14067" xr:uid="{09D36DBC-F760-4052-A8FD-A3C630AF0420}"/>
    <cellStyle name="Normal 5 2 2 3 2 4 3 3" xfId="22507" xr:uid="{9311F17F-0168-4E75-98D8-9B1131A0A407}"/>
    <cellStyle name="Normal 5 2 2 3 2 4 3 4" xfId="30947" xr:uid="{833E06C2-ED11-4247-A95D-7CCC4AA59C90}"/>
    <cellStyle name="Normal 5 2 2 3 2 4 4" xfId="9849" xr:uid="{65862FF4-CCAF-42B8-98A6-B77CD5D12A40}"/>
    <cellStyle name="Normal 5 2 2 3 2 4 5" xfId="18290" xr:uid="{EB4BE58E-34C6-456A-9A16-E7A9DA6366D1}"/>
    <cellStyle name="Normal 5 2 2 3 2 4 6" xfId="26730" xr:uid="{AB3C4259-F0F4-49F1-9CEF-19D84B4E5B0F}"/>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2 2 2" xfId="16625" xr:uid="{BAC96F2E-7146-46F9-9C7F-6123C05E0A72}"/>
    <cellStyle name="Normal 5 2 2 3 2 5 2 2 3" xfId="25065" xr:uid="{D3E8661A-9CDC-4086-B3FB-FD347B758274}"/>
    <cellStyle name="Normal 5 2 2 3 2 5 2 2 4" xfId="33505" xr:uid="{723D3249-9DA1-4E20-8052-C1D45B2164AF}"/>
    <cellStyle name="Normal 5 2 2 3 2 5 2 3" xfId="12407" xr:uid="{C82F4F9F-0B10-4156-A1E7-3F727CDDBFF3}"/>
    <cellStyle name="Normal 5 2 2 3 2 5 2 4" xfId="20848" xr:uid="{BAFFDF11-ED2F-4A41-AB89-36E0CB947052}"/>
    <cellStyle name="Normal 5 2 2 3 2 5 2 5" xfId="29288" xr:uid="{A9F249F0-4289-4DD7-8136-B54521680E21}"/>
    <cellStyle name="Normal 5 2 2 3 2 5 3" xfId="6030" xr:uid="{00000000-0005-0000-0000-0000B7170000}"/>
    <cellStyle name="Normal 5 2 2 3 2 5 3 2" xfId="14480" xr:uid="{E9B6D8AB-00D6-4617-A101-C66BE249867E}"/>
    <cellStyle name="Normal 5 2 2 3 2 5 3 3" xfId="22920" xr:uid="{398AF432-C457-4F57-8CC3-5C1CCDAE8A5E}"/>
    <cellStyle name="Normal 5 2 2 3 2 5 3 4" xfId="31360" xr:uid="{90D72BAB-5E4F-455E-B5EE-046A34B2BC39}"/>
    <cellStyle name="Normal 5 2 2 3 2 5 4" xfId="10262" xr:uid="{A1674435-49F8-4903-A9AC-5FD6176DF0C3}"/>
    <cellStyle name="Normal 5 2 2 3 2 5 5" xfId="18703" xr:uid="{D8E221D8-D987-41BF-8C58-8820A0D04E89}"/>
    <cellStyle name="Normal 5 2 2 3 2 5 6" xfId="27143" xr:uid="{16FE7CB3-24D5-410D-9A06-E3A9D878DEF4}"/>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2 2 2" xfId="17038" xr:uid="{3FFDC6B8-48EC-4D73-A36B-CDF6CAB05031}"/>
    <cellStyle name="Normal 5 2 2 3 2 6 2 2 3" xfId="25478" xr:uid="{2EE9004E-3C78-4B33-BB76-050A3A958FF5}"/>
    <cellStyle name="Normal 5 2 2 3 2 6 2 2 4" xfId="33918" xr:uid="{B4E0F9C1-5746-4C26-8BF1-CA5BF02DDCD2}"/>
    <cellStyle name="Normal 5 2 2 3 2 6 2 3" xfId="12820" xr:uid="{D39D1DE1-6D18-4EF4-AFE7-35E5E3A0DFDB}"/>
    <cellStyle name="Normal 5 2 2 3 2 6 2 4" xfId="21261" xr:uid="{905AB60E-010B-40F6-BEE1-8690B22CD4D6}"/>
    <cellStyle name="Normal 5 2 2 3 2 6 2 5" xfId="29701" xr:uid="{8D711C24-A9A8-4B9A-81C9-EC21EDEA8E3A}"/>
    <cellStyle name="Normal 5 2 2 3 2 6 3" xfId="6443" xr:uid="{00000000-0005-0000-0000-0000BB170000}"/>
    <cellStyle name="Normal 5 2 2 3 2 6 3 2" xfId="14893" xr:uid="{E804D438-33F7-4B88-994B-395378FCC471}"/>
    <cellStyle name="Normal 5 2 2 3 2 6 3 3" xfId="23333" xr:uid="{3D00C9F7-40FE-4C5A-9A6C-310BFF134CC5}"/>
    <cellStyle name="Normal 5 2 2 3 2 6 3 4" xfId="31773" xr:uid="{8A6EDA0B-2257-4249-90E0-4A00AE146C5C}"/>
    <cellStyle name="Normal 5 2 2 3 2 6 4" xfId="10675" xr:uid="{F797AB60-6D89-478D-AB2B-87BAD78444D4}"/>
    <cellStyle name="Normal 5 2 2 3 2 6 5" xfId="19116" xr:uid="{91491A69-1825-4355-B91E-5322536AAD01}"/>
    <cellStyle name="Normal 5 2 2 3 2 6 6" xfId="27556" xr:uid="{1B7723C1-39B2-4956-A85B-9BC8B7FAE423}"/>
    <cellStyle name="Normal 5 2 2 3 2 7" xfId="2573" xr:uid="{00000000-0005-0000-0000-0000BC170000}"/>
    <cellStyle name="Normal 5 2 2 3 2 7 2" xfId="6856" xr:uid="{00000000-0005-0000-0000-0000BD170000}"/>
    <cellStyle name="Normal 5 2 2 3 2 7 2 2" xfId="15306" xr:uid="{5AF70136-7213-4E63-9FE4-113D1A373CE8}"/>
    <cellStyle name="Normal 5 2 2 3 2 7 2 3" xfId="23746" xr:uid="{273F7547-D1E7-45A9-A537-68348B8DBD52}"/>
    <cellStyle name="Normal 5 2 2 3 2 7 2 4" xfId="32186" xr:uid="{0AF60D59-5B4A-48B5-BA6C-8A67E321356B}"/>
    <cellStyle name="Normal 5 2 2 3 2 7 3" xfId="11088" xr:uid="{915DF0C8-5975-42DB-8E66-E00D98E15A12}"/>
    <cellStyle name="Normal 5 2 2 3 2 7 4" xfId="19529" xr:uid="{E2951907-E1EE-49DF-A6B6-2263F86962A9}"/>
    <cellStyle name="Normal 5 2 2 3 2 7 5" xfId="27969" xr:uid="{56FBBCD9-DF0C-4248-BBED-5579ADDB946C}"/>
    <cellStyle name="Normal 5 2 2 3 2 8" xfId="4791" xr:uid="{00000000-0005-0000-0000-0000BE170000}"/>
    <cellStyle name="Normal 5 2 2 3 2 8 2" xfId="13241" xr:uid="{90FCC20E-CD23-46EC-947B-993580F284D9}"/>
    <cellStyle name="Normal 5 2 2 3 2 8 3" xfId="21681" xr:uid="{16FA5B2D-240E-44C2-A294-8652876696B7}"/>
    <cellStyle name="Normal 5 2 2 3 2 8 4" xfId="30121" xr:uid="{BB455989-19E7-4558-A793-39C4FE1BF0E3}"/>
    <cellStyle name="Normal 5 2 2 3 2 9" xfId="9023" xr:uid="{2CFEFA8D-DAE8-4AA2-9167-60BAE746E8BD}"/>
    <cellStyle name="Normal 5 2 2 3 3" xfId="420" xr:uid="{00000000-0005-0000-0000-0000BF170000}"/>
    <cellStyle name="Normal 5 2 2 3 3 10" xfId="25906" xr:uid="{D959BA3A-1701-4FF2-A2FF-CB77E24C220B}"/>
    <cellStyle name="Normal 5 2 2 3 3 2" xfId="894" xr:uid="{00000000-0005-0000-0000-0000C0170000}"/>
    <cellStyle name="Normal 5 2 2 3 3 2 2" xfId="3129" xr:uid="{00000000-0005-0000-0000-0000C1170000}"/>
    <cellStyle name="Normal 5 2 2 3 3 2 2 2" xfId="7351" xr:uid="{00000000-0005-0000-0000-0000C2170000}"/>
    <cellStyle name="Normal 5 2 2 3 3 2 2 2 2" xfId="15801" xr:uid="{0456867F-4392-4454-898C-CF34F8CFB82F}"/>
    <cellStyle name="Normal 5 2 2 3 3 2 2 2 3" xfId="24241" xr:uid="{2F56A7D1-24B8-46ED-974E-DBE9D87A21DE}"/>
    <cellStyle name="Normal 5 2 2 3 3 2 2 2 4" xfId="32681" xr:uid="{77B27EAE-278A-445A-B853-C8FB46D4227E}"/>
    <cellStyle name="Normal 5 2 2 3 3 2 2 3" xfId="11583" xr:uid="{B56AB63E-D1D1-44DE-8E14-79478B01EBAA}"/>
    <cellStyle name="Normal 5 2 2 3 3 2 2 4" xfId="20024" xr:uid="{617D011C-9737-4D1B-B934-4242BF3F379F}"/>
    <cellStyle name="Normal 5 2 2 3 3 2 2 5" xfId="28464" xr:uid="{13C557B5-E208-4C72-B845-FE4067AB6528}"/>
    <cellStyle name="Normal 5 2 2 3 3 2 3" xfId="5206" xr:uid="{00000000-0005-0000-0000-0000C3170000}"/>
    <cellStyle name="Normal 5 2 2 3 3 2 3 2" xfId="13656" xr:uid="{5764D2E5-6F01-41A5-9CA4-E57783152A2A}"/>
    <cellStyle name="Normal 5 2 2 3 3 2 3 3" xfId="22096" xr:uid="{3B0E4AE8-3073-4531-A6FF-844E2C15156D}"/>
    <cellStyle name="Normal 5 2 2 3 3 2 3 4" xfId="30536" xr:uid="{E12E0DE1-0917-486C-9966-A5B79E057046}"/>
    <cellStyle name="Normal 5 2 2 3 3 2 4" xfId="9438" xr:uid="{E1BBD64D-9D0F-4804-AC78-CB87E820CBC2}"/>
    <cellStyle name="Normal 5 2 2 3 3 2 5" xfId="17879" xr:uid="{BC318F24-C9B7-4F7A-AEA5-D6F111EED2DC}"/>
    <cellStyle name="Normal 5 2 2 3 3 2 6" xfId="26319" xr:uid="{580F2E40-91C9-4AAC-94F9-E68455CCD392}"/>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2 2 2" xfId="16214" xr:uid="{9FB89E98-D7D3-4BEF-B80E-834287FEE316}"/>
    <cellStyle name="Normal 5 2 2 3 3 3 2 2 3" xfId="24654" xr:uid="{0D2EF5E3-CC53-4F56-83DB-823603DD3A3E}"/>
    <cellStyle name="Normal 5 2 2 3 3 3 2 2 4" xfId="33094" xr:uid="{13078874-2104-4C11-AA07-EBBBBF90EA44}"/>
    <cellStyle name="Normal 5 2 2 3 3 3 2 3" xfId="11996" xr:uid="{BDC8DB37-4AA1-4A7B-8F7C-907569769C57}"/>
    <cellStyle name="Normal 5 2 2 3 3 3 2 4" xfId="20437" xr:uid="{3E445093-AB23-4D7C-95B2-F5079D8CCDE2}"/>
    <cellStyle name="Normal 5 2 2 3 3 3 2 5" xfId="28877" xr:uid="{E99742E5-5D91-48B2-A97D-FCB791926417}"/>
    <cellStyle name="Normal 5 2 2 3 3 3 3" xfId="5619" xr:uid="{00000000-0005-0000-0000-0000C7170000}"/>
    <cellStyle name="Normal 5 2 2 3 3 3 3 2" xfId="14069" xr:uid="{B0B4DC57-0444-49E0-BC75-D936B38F724F}"/>
    <cellStyle name="Normal 5 2 2 3 3 3 3 3" xfId="22509" xr:uid="{707E0C7F-B9E6-4636-A815-48E238558062}"/>
    <cellStyle name="Normal 5 2 2 3 3 3 3 4" xfId="30949" xr:uid="{488DBBA9-1409-4115-BCFD-BC924FC12983}"/>
    <cellStyle name="Normal 5 2 2 3 3 3 4" xfId="9851" xr:uid="{18E0F869-8D6A-4F8D-AF15-924FBC97A3C2}"/>
    <cellStyle name="Normal 5 2 2 3 3 3 5" xfId="18292" xr:uid="{32637685-9CB1-49A6-980F-5FF9678BB1D9}"/>
    <cellStyle name="Normal 5 2 2 3 3 3 6" xfId="26732" xr:uid="{2F9B077A-B62E-4135-ADFC-9656FF5C0F6E}"/>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2 2 2" xfId="16627" xr:uid="{1149CE8A-5170-40FB-9F3F-2558FF336E07}"/>
    <cellStyle name="Normal 5 2 2 3 3 4 2 2 3" xfId="25067" xr:uid="{385ACA05-C23C-4ECF-9694-49F5733B6C21}"/>
    <cellStyle name="Normal 5 2 2 3 3 4 2 2 4" xfId="33507" xr:uid="{D7D4A842-9643-4AC5-9B83-CDA6EA8A28F4}"/>
    <cellStyle name="Normal 5 2 2 3 3 4 2 3" xfId="12409" xr:uid="{CE582C88-88B0-4BF1-A5A4-687F627886FB}"/>
    <cellStyle name="Normal 5 2 2 3 3 4 2 4" xfId="20850" xr:uid="{A01E5926-2227-4780-ABB4-15AA4D988808}"/>
    <cellStyle name="Normal 5 2 2 3 3 4 2 5" xfId="29290" xr:uid="{99C66D1E-8339-4042-98F3-1B81175FDBCB}"/>
    <cellStyle name="Normal 5 2 2 3 3 4 3" xfId="6032" xr:uid="{00000000-0005-0000-0000-0000CB170000}"/>
    <cellStyle name="Normal 5 2 2 3 3 4 3 2" xfId="14482" xr:uid="{8D1E745B-82B2-4E5B-81DF-82ECB3656CA1}"/>
    <cellStyle name="Normal 5 2 2 3 3 4 3 3" xfId="22922" xr:uid="{980F7ED9-1229-4457-807A-40CC9EE5A7C4}"/>
    <cellStyle name="Normal 5 2 2 3 3 4 3 4" xfId="31362" xr:uid="{CEA608FE-51A5-47FE-B72A-C2E439BC5E99}"/>
    <cellStyle name="Normal 5 2 2 3 3 4 4" xfId="10264" xr:uid="{60D1D9BD-5249-46B9-873D-46AAFD81941C}"/>
    <cellStyle name="Normal 5 2 2 3 3 4 5" xfId="18705" xr:uid="{02AD53F3-47CF-4B67-8A81-F549C93858CB}"/>
    <cellStyle name="Normal 5 2 2 3 3 4 6" xfId="27145" xr:uid="{AF18FC7F-5F57-49B0-862A-F1E219F7D5C9}"/>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2 2 2" xfId="17040" xr:uid="{90AA8C55-D397-49C7-A860-2ECDEB29225A}"/>
    <cellStyle name="Normal 5 2 2 3 3 5 2 2 3" xfId="25480" xr:uid="{1378BB40-2F55-4441-B7CE-733B7F35D902}"/>
    <cellStyle name="Normal 5 2 2 3 3 5 2 2 4" xfId="33920" xr:uid="{569A6DAC-397A-463A-BB2A-4FFEFCE4B50E}"/>
    <cellStyle name="Normal 5 2 2 3 3 5 2 3" xfId="12822" xr:uid="{B60C928C-098A-4DCD-84B3-34F24DD82F0B}"/>
    <cellStyle name="Normal 5 2 2 3 3 5 2 4" xfId="21263" xr:uid="{26FE5A83-ACA0-4911-A1BF-2047124E8D01}"/>
    <cellStyle name="Normal 5 2 2 3 3 5 2 5" xfId="29703" xr:uid="{13910300-7E68-4423-B619-80EEEA2B54B8}"/>
    <cellStyle name="Normal 5 2 2 3 3 5 3" xfId="6445" xr:uid="{00000000-0005-0000-0000-0000CF170000}"/>
    <cellStyle name="Normal 5 2 2 3 3 5 3 2" xfId="14895" xr:uid="{19BD69F2-9E64-48CA-A65D-9660603807F9}"/>
    <cellStyle name="Normal 5 2 2 3 3 5 3 3" xfId="23335" xr:uid="{3BAADC03-EBA4-4E6E-8CEA-61A792539125}"/>
    <cellStyle name="Normal 5 2 2 3 3 5 3 4" xfId="31775" xr:uid="{D6F13721-1F32-4C93-A327-0A7CEBEEAF03}"/>
    <cellStyle name="Normal 5 2 2 3 3 5 4" xfId="10677" xr:uid="{757DA83A-0D15-4EEE-96C3-9ADA3681B86A}"/>
    <cellStyle name="Normal 5 2 2 3 3 5 5" xfId="19118" xr:uid="{94ABDFDD-C37F-4346-84F3-629806EC6B12}"/>
    <cellStyle name="Normal 5 2 2 3 3 5 6" xfId="27558" xr:uid="{F727E9D4-12ED-4B2F-9FDD-8453B972C36F}"/>
    <cellStyle name="Normal 5 2 2 3 3 6" xfId="2575" xr:uid="{00000000-0005-0000-0000-0000D0170000}"/>
    <cellStyle name="Normal 5 2 2 3 3 6 2" xfId="6858" xr:uid="{00000000-0005-0000-0000-0000D1170000}"/>
    <cellStyle name="Normal 5 2 2 3 3 6 2 2" xfId="15308" xr:uid="{DE06CDF2-43EC-40E3-85B1-68DA72D1D950}"/>
    <cellStyle name="Normal 5 2 2 3 3 6 2 3" xfId="23748" xr:uid="{63E65444-6D5A-4A0A-B35B-2DEA83D11238}"/>
    <cellStyle name="Normal 5 2 2 3 3 6 2 4" xfId="32188" xr:uid="{4AF4A6BE-709B-4DD4-BC3C-CFF4816C9332}"/>
    <cellStyle name="Normal 5 2 2 3 3 6 3" xfId="11090" xr:uid="{335BDD6B-96DC-4CED-83D5-2E5990C834A7}"/>
    <cellStyle name="Normal 5 2 2 3 3 6 4" xfId="19531" xr:uid="{1A3E8C44-7F1C-4DE1-AA7F-74CB5C1C1D8E}"/>
    <cellStyle name="Normal 5 2 2 3 3 6 5" xfId="27971" xr:uid="{0733CCA8-C8F7-4D79-8061-8E991263B9D5}"/>
    <cellStyle name="Normal 5 2 2 3 3 7" xfId="4793" xr:uid="{00000000-0005-0000-0000-0000D2170000}"/>
    <cellStyle name="Normal 5 2 2 3 3 7 2" xfId="13243" xr:uid="{3F9C8175-1DD3-4FB4-8AC8-25F45316383D}"/>
    <cellStyle name="Normal 5 2 2 3 3 7 3" xfId="21683" xr:uid="{D049F442-EC41-4413-AC17-791A9D224202}"/>
    <cellStyle name="Normal 5 2 2 3 3 7 4" xfId="30123" xr:uid="{C44FD2D0-7106-4DB5-852C-8B8CA6B59262}"/>
    <cellStyle name="Normal 5 2 2 3 3 8" xfId="9025" xr:uid="{74686E39-0755-4885-B99E-7666E2DB13AD}"/>
    <cellStyle name="Normal 5 2 2 3 3 9" xfId="17466" xr:uid="{80396BAF-4F3B-4151-9E19-C0788F0A1235}"/>
    <cellStyle name="Normal 5 2 2 3 4" xfId="891" xr:uid="{00000000-0005-0000-0000-0000D3170000}"/>
    <cellStyle name="Normal 5 2 2 3 4 2" xfId="3126" xr:uid="{00000000-0005-0000-0000-0000D4170000}"/>
    <cellStyle name="Normal 5 2 2 3 4 2 2" xfId="7348" xr:uid="{00000000-0005-0000-0000-0000D5170000}"/>
    <cellStyle name="Normal 5 2 2 3 4 2 2 2" xfId="15798" xr:uid="{157D3316-6B2C-430B-851B-511370BFFD88}"/>
    <cellStyle name="Normal 5 2 2 3 4 2 2 3" xfId="24238" xr:uid="{ECE26343-97EE-487E-8F6B-698730EFA7AA}"/>
    <cellStyle name="Normal 5 2 2 3 4 2 2 4" xfId="32678" xr:uid="{4C24CD75-20DC-445E-84D2-6E25AB59484A}"/>
    <cellStyle name="Normal 5 2 2 3 4 2 3" xfId="11580" xr:uid="{FDC88AB6-E6C3-4B0D-80F2-3197A0B788FF}"/>
    <cellStyle name="Normal 5 2 2 3 4 2 4" xfId="20021" xr:uid="{F117DB8B-5B78-44D5-8D05-24707DB8F6AD}"/>
    <cellStyle name="Normal 5 2 2 3 4 2 5" xfId="28461" xr:uid="{60152749-57DF-464D-8D8B-F4E80A70BC98}"/>
    <cellStyle name="Normal 5 2 2 3 4 3" xfId="5203" xr:uid="{00000000-0005-0000-0000-0000D6170000}"/>
    <cellStyle name="Normal 5 2 2 3 4 3 2" xfId="13653" xr:uid="{F3EAF137-8C47-427C-9FBD-CE54ED13C1F0}"/>
    <cellStyle name="Normal 5 2 2 3 4 3 3" xfId="22093" xr:uid="{A3F898FB-752F-4A6E-BCA1-EEB9419411D3}"/>
    <cellStyle name="Normal 5 2 2 3 4 3 4" xfId="30533" xr:uid="{9689CA60-2026-414B-B477-2A2F36A458BF}"/>
    <cellStyle name="Normal 5 2 2 3 4 4" xfId="9435" xr:uid="{8ABA8E46-EB7D-4AFA-A167-F0817ACE0181}"/>
    <cellStyle name="Normal 5 2 2 3 4 5" xfId="17876" xr:uid="{C3199AC6-A554-4EDD-BD21-F38EE80BBB00}"/>
    <cellStyle name="Normal 5 2 2 3 4 6" xfId="26316" xr:uid="{C1A0A35A-F372-4538-9EFD-3EDA37345A37}"/>
    <cellStyle name="Normal 5 2 2 3 5" xfId="1309" xr:uid="{00000000-0005-0000-0000-0000D7170000}"/>
    <cellStyle name="Normal 5 2 2 3 5 2" xfId="3539" xr:uid="{00000000-0005-0000-0000-0000D8170000}"/>
    <cellStyle name="Normal 5 2 2 3 5 2 2" xfId="7761" xr:uid="{00000000-0005-0000-0000-0000D9170000}"/>
    <cellStyle name="Normal 5 2 2 3 5 2 2 2" xfId="16211" xr:uid="{E8FFA479-8647-4F97-B1F1-C293ED7F03E1}"/>
    <cellStyle name="Normal 5 2 2 3 5 2 2 3" xfId="24651" xr:uid="{9C3D643F-C733-4779-825C-BD6498519E86}"/>
    <cellStyle name="Normal 5 2 2 3 5 2 2 4" xfId="33091" xr:uid="{0199B738-6DC8-4EC0-B6AA-435F07FAB875}"/>
    <cellStyle name="Normal 5 2 2 3 5 2 3" xfId="11993" xr:uid="{F66C89A6-C577-482C-B4C9-C1B312E77231}"/>
    <cellStyle name="Normal 5 2 2 3 5 2 4" xfId="20434" xr:uid="{D118AB5A-2B39-4478-B46E-7ED09D10C0CB}"/>
    <cellStyle name="Normal 5 2 2 3 5 2 5" xfId="28874" xr:uid="{7D3C8A10-4969-42E7-B4D3-0112C3702A25}"/>
    <cellStyle name="Normal 5 2 2 3 5 3" xfId="5616" xr:uid="{00000000-0005-0000-0000-0000DA170000}"/>
    <cellStyle name="Normal 5 2 2 3 5 3 2" xfId="14066" xr:uid="{60079983-A79C-486D-ABD8-A3161E9FC78C}"/>
    <cellStyle name="Normal 5 2 2 3 5 3 3" xfId="22506" xr:uid="{5AFC5757-BC98-4EED-B922-A1A5FAC39479}"/>
    <cellStyle name="Normal 5 2 2 3 5 3 4" xfId="30946" xr:uid="{CD108C08-8B4D-4136-84E1-0DF2D90DECAA}"/>
    <cellStyle name="Normal 5 2 2 3 5 4" xfId="9848" xr:uid="{680358D0-115F-4173-906F-8B0EFB78D26D}"/>
    <cellStyle name="Normal 5 2 2 3 5 5" xfId="18289" xr:uid="{A724E1E6-4D5E-4880-8058-8F326E7A049A}"/>
    <cellStyle name="Normal 5 2 2 3 5 6" xfId="26729" xr:uid="{647B5954-CFE2-42DE-8F22-C00B49410E79}"/>
    <cellStyle name="Normal 5 2 2 3 6" xfId="1722" xr:uid="{00000000-0005-0000-0000-0000DB170000}"/>
    <cellStyle name="Normal 5 2 2 3 6 2" xfId="3952" xr:uid="{00000000-0005-0000-0000-0000DC170000}"/>
    <cellStyle name="Normal 5 2 2 3 6 2 2" xfId="8174" xr:uid="{00000000-0005-0000-0000-0000DD170000}"/>
    <cellStyle name="Normal 5 2 2 3 6 2 2 2" xfId="16624" xr:uid="{06799E48-D1AD-4878-BC6E-80910E09A52B}"/>
    <cellStyle name="Normal 5 2 2 3 6 2 2 3" xfId="25064" xr:uid="{E6928BA5-2731-4A31-ABA9-1F2108C6CD6B}"/>
    <cellStyle name="Normal 5 2 2 3 6 2 2 4" xfId="33504" xr:uid="{8296B03A-F209-4898-8B4F-A9AE669A7D66}"/>
    <cellStyle name="Normal 5 2 2 3 6 2 3" xfId="12406" xr:uid="{818357AD-4C71-4D85-B832-EE393858BB8F}"/>
    <cellStyle name="Normal 5 2 2 3 6 2 4" xfId="20847" xr:uid="{53D2FD41-B242-418F-8F0A-B9A5FA65221D}"/>
    <cellStyle name="Normal 5 2 2 3 6 2 5" xfId="29287" xr:uid="{3235C85D-03B3-44A7-B898-D182E9992C36}"/>
    <cellStyle name="Normal 5 2 2 3 6 3" xfId="6029" xr:uid="{00000000-0005-0000-0000-0000DE170000}"/>
    <cellStyle name="Normal 5 2 2 3 6 3 2" xfId="14479" xr:uid="{DBE3BB9E-1F8C-4FA8-A509-48695E554C4D}"/>
    <cellStyle name="Normal 5 2 2 3 6 3 3" xfId="22919" xr:uid="{07D4F1CA-D8ED-4F3B-8332-26A6B7AB7C35}"/>
    <cellStyle name="Normal 5 2 2 3 6 3 4" xfId="31359" xr:uid="{023900D4-647E-4258-81B8-8015DF3432A2}"/>
    <cellStyle name="Normal 5 2 2 3 6 4" xfId="10261" xr:uid="{6FA325D7-D2D9-4D41-861D-01DBD9045639}"/>
    <cellStyle name="Normal 5 2 2 3 6 5" xfId="18702" xr:uid="{1761109E-E0E8-4672-A7BD-A001967EAB75}"/>
    <cellStyle name="Normal 5 2 2 3 6 6" xfId="27142" xr:uid="{C6BF50D0-1FC9-434E-B71A-1569B3EE87EC}"/>
    <cellStyle name="Normal 5 2 2 3 7" xfId="2136" xr:uid="{00000000-0005-0000-0000-0000DF170000}"/>
    <cellStyle name="Normal 5 2 2 3 7 2" xfId="4365" xr:uid="{00000000-0005-0000-0000-0000E0170000}"/>
    <cellStyle name="Normal 5 2 2 3 7 2 2" xfId="8587" xr:uid="{00000000-0005-0000-0000-0000E1170000}"/>
    <cellStyle name="Normal 5 2 2 3 7 2 2 2" xfId="17037" xr:uid="{5AB38D91-3678-4E90-920A-93C61C96FF81}"/>
    <cellStyle name="Normal 5 2 2 3 7 2 2 3" xfId="25477" xr:uid="{328DE750-A53E-4F46-B870-EBFEB1A3DF91}"/>
    <cellStyle name="Normal 5 2 2 3 7 2 2 4" xfId="33917" xr:uid="{8039B2D9-284A-4AC9-975B-AEDBCF0F2633}"/>
    <cellStyle name="Normal 5 2 2 3 7 2 3" xfId="12819" xr:uid="{3A7B112F-C1C0-4BEE-A596-7110ABDEB9EE}"/>
    <cellStyle name="Normal 5 2 2 3 7 2 4" xfId="21260" xr:uid="{BA65DB4C-D59D-468B-90FA-6CB59D6826B1}"/>
    <cellStyle name="Normal 5 2 2 3 7 2 5" xfId="29700" xr:uid="{FF8F2F03-6BFF-4CC2-9A39-BB0F52A71FFA}"/>
    <cellStyle name="Normal 5 2 2 3 7 3" xfId="6442" xr:uid="{00000000-0005-0000-0000-0000E2170000}"/>
    <cellStyle name="Normal 5 2 2 3 7 3 2" xfId="14892" xr:uid="{FCE44835-816C-4981-991E-E51772959301}"/>
    <cellStyle name="Normal 5 2 2 3 7 3 3" xfId="23332" xr:uid="{060633A7-5011-4025-9938-4251693535FD}"/>
    <cellStyle name="Normal 5 2 2 3 7 3 4" xfId="31772" xr:uid="{239FD64F-C5AA-4494-8A93-0D079A21F94D}"/>
    <cellStyle name="Normal 5 2 2 3 7 4" xfId="10674" xr:uid="{0FB94C8E-6696-4B35-9514-3A597432072F}"/>
    <cellStyle name="Normal 5 2 2 3 7 5" xfId="19115" xr:uid="{8B870A53-F243-4D43-8184-345D62F0E872}"/>
    <cellStyle name="Normal 5 2 2 3 7 6" xfId="27555" xr:uid="{EC2800C5-2351-4BD4-982E-6B4B3ABBDDDF}"/>
    <cellStyle name="Normal 5 2 2 3 8" xfId="2572" xr:uid="{00000000-0005-0000-0000-0000E3170000}"/>
    <cellStyle name="Normal 5 2 2 3 8 2" xfId="6855" xr:uid="{00000000-0005-0000-0000-0000E4170000}"/>
    <cellStyle name="Normal 5 2 2 3 8 2 2" xfId="15305" xr:uid="{B5A05795-0A1C-4A20-BE91-078CCA890584}"/>
    <cellStyle name="Normal 5 2 2 3 8 2 3" xfId="23745" xr:uid="{567951CB-89FF-48F9-A62E-333B75231214}"/>
    <cellStyle name="Normal 5 2 2 3 8 2 4" xfId="32185" xr:uid="{498B2E0D-669B-4DA8-B49C-6A4FC2913C6D}"/>
    <cellStyle name="Normal 5 2 2 3 8 3" xfId="11087" xr:uid="{5B4CB94B-B12A-495B-B66B-15D5EECC5B56}"/>
    <cellStyle name="Normal 5 2 2 3 8 4" xfId="19528" xr:uid="{8A5717DC-7638-4CE9-B0F7-DAFF9A141881}"/>
    <cellStyle name="Normal 5 2 2 3 8 5" xfId="27968" xr:uid="{31510849-6EE5-4782-A14F-C1396C715BD9}"/>
    <cellStyle name="Normal 5 2 2 3 9" xfId="4790" xr:uid="{00000000-0005-0000-0000-0000E5170000}"/>
    <cellStyle name="Normal 5 2 2 3 9 2" xfId="13240" xr:uid="{6F4D7337-2F04-4B9F-9331-40BD494BF8E2}"/>
    <cellStyle name="Normal 5 2 2 3 9 3" xfId="21680" xr:uid="{AD78DEA2-98F8-4B88-8446-25ECEAC9BF39}"/>
    <cellStyle name="Normal 5 2 2 3 9 4" xfId="30120" xr:uid="{034312D4-E06D-4BC0-827C-142284C6147A}"/>
    <cellStyle name="Normal 5 2 2 4" xfId="421" xr:uid="{00000000-0005-0000-0000-0000E6170000}"/>
    <cellStyle name="Normal 5 2 2 4 10" xfId="17467" xr:uid="{70694989-4E3E-4945-BBCB-294ECD9F7530}"/>
    <cellStyle name="Normal 5 2 2 4 11" xfId="25907" xr:uid="{450D6B5F-1FA7-48AC-9F66-EFE6C4EA9D0C}"/>
    <cellStyle name="Normal 5 2 2 4 2" xfId="422" xr:uid="{00000000-0005-0000-0000-0000E7170000}"/>
    <cellStyle name="Normal 5 2 2 4 2 10" xfId="25908" xr:uid="{4DB14712-43EB-497C-8A0F-5CC5EE71009E}"/>
    <cellStyle name="Normal 5 2 2 4 2 2" xfId="896" xr:uid="{00000000-0005-0000-0000-0000E8170000}"/>
    <cellStyle name="Normal 5 2 2 4 2 2 2" xfId="3131" xr:uid="{00000000-0005-0000-0000-0000E9170000}"/>
    <cellStyle name="Normal 5 2 2 4 2 2 2 2" xfId="7353" xr:uid="{00000000-0005-0000-0000-0000EA170000}"/>
    <cellStyle name="Normal 5 2 2 4 2 2 2 2 2" xfId="15803" xr:uid="{1B03788A-56F5-4DBD-A816-B0815F241C5D}"/>
    <cellStyle name="Normal 5 2 2 4 2 2 2 2 3" xfId="24243" xr:uid="{510AF33B-49F4-444D-A875-6034EEFD6CB4}"/>
    <cellStyle name="Normal 5 2 2 4 2 2 2 2 4" xfId="32683" xr:uid="{40533F41-8383-46F5-9795-FCC321C013A4}"/>
    <cellStyle name="Normal 5 2 2 4 2 2 2 3" xfId="11585" xr:uid="{6D2D82F4-CD0D-446C-B2FE-5AED01FF6424}"/>
    <cellStyle name="Normal 5 2 2 4 2 2 2 4" xfId="20026" xr:uid="{65F8C0B2-1647-4D38-A295-236E30968636}"/>
    <cellStyle name="Normal 5 2 2 4 2 2 2 5" xfId="28466" xr:uid="{B19B3FED-7F48-4239-B634-14DA2242939F}"/>
    <cellStyle name="Normal 5 2 2 4 2 2 3" xfId="5208" xr:uid="{00000000-0005-0000-0000-0000EB170000}"/>
    <cellStyle name="Normal 5 2 2 4 2 2 3 2" xfId="13658" xr:uid="{AE9E5494-3E0D-49A9-BECE-F8A409B9E817}"/>
    <cellStyle name="Normal 5 2 2 4 2 2 3 3" xfId="22098" xr:uid="{332D309B-B7D1-48E2-BE67-C77BF8C93C6A}"/>
    <cellStyle name="Normal 5 2 2 4 2 2 3 4" xfId="30538" xr:uid="{032F1ECD-C7FA-47CB-96B6-1C132CBEDFEB}"/>
    <cellStyle name="Normal 5 2 2 4 2 2 4" xfId="9440" xr:uid="{B2AC6532-C909-4CDC-A97F-3E062B271EE7}"/>
    <cellStyle name="Normal 5 2 2 4 2 2 5" xfId="17881" xr:uid="{DB8884A6-F95F-41DC-B976-E564729CE933}"/>
    <cellStyle name="Normal 5 2 2 4 2 2 6" xfId="26321" xr:uid="{9502AB04-DB1B-4B6F-8420-C2D0A6456F24}"/>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2 2 2" xfId="16216" xr:uid="{960F230A-86A5-48FC-8EF3-8C40B205F0C2}"/>
    <cellStyle name="Normal 5 2 2 4 2 3 2 2 3" xfId="24656" xr:uid="{EC3E4434-BA8D-432F-A7E8-69BD91E9D133}"/>
    <cellStyle name="Normal 5 2 2 4 2 3 2 2 4" xfId="33096" xr:uid="{340C04FB-B1EF-4A05-813B-FF5815C24F78}"/>
    <cellStyle name="Normal 5 2 2 4 2 3 2 3" xfId="11998" xr:uid="{F2059745-1C0D-4B8C-93A7-E5DB038E2559}"/>
    <cellStyle name="Normal 5 2 2 4 2 3 2 4" xfId="20439" xr:uid="{D03B5C11-3D2D-4571-B058-D67A07DD0E13}"/>
    <cellStyle name="Normal 5 2 2 4 2 3 2 5" xfId="28879" xr:uid="{BFD3AC24-0A52-48CF-9F0F-AA6DA669CE03}"/>
    <cellStyle name="Normal 5 2 2 4 2 3 3" xfId="5621" xr:uid="{00000000-0005-0000-0000-0000EF170000}"/>
    <cellStyle name="Normal 5 2 2 4 2 3 3 2" xfId="14071" xr:uid="{B509776B-C8D7-48D3-814A-23A94B8DB975}"/>
    <cellStyle name="Normal 5 2 2 4 2 3 3 3" xfId="22511" xr:uid="{A14312E1-F343-4CE0-9D71-A5A958B76C61}"/>
    <cellStyle name="Normal 5 2 2 4 2 3 3 4" xfId="30951" xr:uid="{E1B6F98B-673C-43EA-9706-45D04CA8DDA9}"/>
    <cellStyle name="Normal 5 2 2 4 2 3 4" xfId="9853" xr:uid="{87D6DCA9-AA22-481D-9DD3-8D45975FCEFE}"/>
    <cellStyle name="Normal 5 2 2 4 2 3 5" xfId="18294" xr:uid="{EC227544-21EC-4241-A91F-C63DDB8A6595}"/>
    <cellStyle name="Normal 5 2 2 4 2 3 6" xfId="26734" xr:uid="{5EA10AB9-DAB1-4EF5-8AF0-62B7CD8774FB}"/>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2 2 2" xfId="16629" xr:uid="{6C995445-BEDA-48B3-884B-AC54FB20BD6E}"/>
    <cellStyle name="Normal 5 2 2 4 2 4 2 2 3" xfId="25069" xr:uid="{9D25BDA4-17A6-4F62-B26B-783D05E7BACC}"/>
    <cellStyle name="Normal 5 2 2 4 2 4 2 2 4" xfId="33509" xr:uid="{DE48A95B-E99B-4209-924D-B3D89D115ABD}"/>
    <cellStyle name="Normal 5 2 2 4 2 4 2 3" xfId="12411" xr:uid="{7E2863F3-AF93-4787-A936-E0AA398F8C73}"/>
    <cellStyle name="Normal 5 2 2 4 2 4 2 4" xfId="20852" xr:uid="{358CA56C-CEE3-4D1F-9B03-496D2123492B}"/>
    <cellStyle name="Normal 5 2 2 4 2 4 2 5" xfId="29292" xr:uid="{BF344562-2F2B-40B6-BD8B-7E0F171B5282}"/>
    <cellStyle name="Normal 5 2 2 4 2 4 3" xfId="6034" xr:uid="{00000000-0005-0000-0000-0000F3170000}"/>
    <cellStyle name="Normal 5 2 2 4 2 4 3 2" xfId="14484" xr:uid="{783BEA77-2118-4382-A1E8-3943ABA9822C}"/>
    <cellStyle name="Normal 5 2 2 4 2 4 3 3" xfId="22924" xr:uid="{5371879F-3B0A-4EFB-8C7D-C2BDD6B24784}"/>
    <cellStyle name="Normal 5 2 2 4 2 4 3 4" xfId="31364" xr:uid="{664EED38-F498-416A-AB55-75F9BAD5A608}"/>
    <cellStyle name="Normal 5 2 2 4 2 4 4" xfId="10266" xr:uid="{FCC8220D-0BDE-495D-A10C-E59AE5D1C2AF}"/>
    <cellStyle name="Normal 5 2 2 4 2 4 5" xfId="18707" xr:uid="{9A4BC71B-0C6C-4B56-AE1F-E10B0E658F95}"/>
    <cellStyle name="Normal 5 2 2 4 2 4 6" xfId="27147" xr:uid="{70119F6F-0117-4249-A872-D3360DA8617F}"/>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2 2 2" xfId="17042" xr:uid="{DAC5D65A-A994-44C0-A363-3A2ACBDCA8A0}"/>
    <cellStyle name="Normal 5 2 2 4 2 5 2 2 3" xfId="25482" xr:uid="{C3969E86-2FF2-404F-8236-3705499EA21E}"/>
    <cellStyle name="Normal 5 2 2 4 2 5 2 2 4" xfId="33922" xr:uid="{F3143A77-7C16-4957-AB3A-8B39C717FD7A}"/>
    <cellStyle name="Normal 5 2 2 4 2 5 2 3" xfId="12824" xr:uid="{0067ABCB-9856-4D72-8C10-DFE636C571DF}"/>
    <cellStyle name="Normal 5 2 2 4 2 5 2 4" xfId="21265" xr:uid="{559D83F7-CAE5-40BF-B265-3EA77DB21CA2}"/>
    <cellStyle name="Normal 5 2 2 4 2 5 2 5" xfId="29705" xr:uid="{E0A4B023-2B5D-48F6-99A8-04E9390D24C6}"/>
    <cellStyle name="Normal 5 2 2 4 2 5 3" xfId="6447" xr:uid="{00000000-0005-0000-0000-0000F7170000}"/>
    <cellStyle name="Normal 5 2 2 4 2 5 3 2" xfId="14897" xr:uid="{596AE1DE-BE64-4191-8552-2EC2B4084424}"/>
    <cellStyle name="Normal 5 2 2 4 2 5 3 3" xfId="23337" xr:uid="{BA0F235C-A1A0-4437-B5F8-B5A84DDE51DA}"/>
    <cellStyle name="Normal 5 2 2 4 2 5 3 4" xfId="31777" xr:uid="{E2CD49BD-6C8E-4505-ACB0-455C51BF89DD}"/>
    <cellStyle name="Normal 5 2 2 4 2 5 4" xfId="10679" xr:uid="{88D9B7DB-2033-417C-9AE4-2BC112F14DE1}"/>
    <cellStyle name="Normal 5 2 2 4 2 5 5" xfId="19120" xr:uid="{00365BCD-9699-4138-9583-DE78EB9698FF}"/>
    <cellStyle name="Normal 5 2 2 4 2 5 6" xfId="27560" xr:uid="{636E5A03-4EEE-4DA6-A691-B5D4EDBCD53B}"/>
    <cellStyle name="Normal 5 2 2 4 2 6" xfId="2577" xr:uid="{00000000-0005-0000-0000-0000F8170000}"/>
    <cellStyle name="Normal 5 2 2 4 2 6 2" xfId="6860" xr:uid="{00000000-0005-0000-0000-0000F9170000}"/>
    <cellStyle name="Normal 5 2 2 4 2 6 2 2" xfId="15310" xr:uid="{182F7B57-283C-4DF3-A255-322EF3C376BF}"/>
    <cellStyle name="Normal 5 2 2 4 2 6 2 3" xfId="23750" xr:uid="{A2C25696-120E-4CC9-BFFC-662881A9CEC4}"/>
    <cellStyle name="Normal 5 2 2 4 2 6 2 4" xfId="32190" xr:uid="{BFE35ABD-31EF-4CCE-8985-279E1A932C83}"/>
    <cellStyle name="Normal 5 2 2 4 2 6 3" xfId="11092" xr:uid="{07749E1A-670C-41AE-85E2-D76D380B47B3}"/>
    <cellStyle name="Normal 5 2 2 4 2 6 4" xfId="19533" xr:uid="{F6811E5D-D16C-4A65-B7C1-01BFA0F950E4}"/>
    <cellStyle name="Normal 5 2 2 4 2 6 5" xfId="27973" xr:uid="{9276A809-DEDA-461A-9C41-E3A9DD2F874A}"/>
    <cellStyle name="Normal 5 2 2 4 2 7" xfId="4795" xr:uid="{00000000-0005-0000-0000-0000FA170000}"/>
    <cellStyle name="Normal 5 2 2 4 2 7 2" xfId="13245" xr:uid="{C38E472A-0358-48F9-AAFD-EC661D2B0F18}"/>
    <cellStyle name="Normal 5 2 2 4 2 7 3" xfId="21685" xr:uid="{5D0F5FB0-46AF-4662-B424-D61E3EFBB14C}"/>
    <cellStyle name="Normal 5 2 2 4 2 7 4" xfId="30125" xr:uid="{B4875202-059E-4933-B906-F270AACD0B32}"/>
    <cellStyle name="Normal 5 2 2 4 2 8" xfId="9027" xr:uid="{DE120E3E-0C5E-49FC-A137-0175B75EA4BE}"/>
    <cellStyle name="Normal 5 2 2 4 2 9" xfId="17468" xr:uid="{B0AE3584-1766-47B3-B3FD-6F1F8EDCC7AF}"/>
    <cellStyle name="Normal 5 2 2 4 3" xfId="895" xr:uid="{00000000-0005-0000-0000-0000FB170000}"/>
    <cellStyle name="Normal 5 2 2 4 3 2" xfId="3130" xr:uid="{00000000-0005-0000-0000-0000FC170000}"/>
    <cellStyle name="Normal 5 2 2 4 3 2 2" xfId="7352" xr:uid="{00000000-0005-0000-0000-0000FD170000}"/>
    <cellStyle name="Normal 5 2 2 4 3 2 2 2" xfId="15802" xr:uid="{112A37E3-BA12-4C12-ABB2-6CC932419A96}"/>
    <cellStyle name="Normal 5 2 2 4 3 2 2 3" xfId="24242" xr:uid="{206C3EE0-480D-44ED-8629-387DDB1B3116}"/>
    <cellStyle name="Normal 5 2 2 4 3 2 2 4" xfId="32682" xr:uid="{B3320C59-6E4B-4083-B91C-F90DFE3621DC}"/>
    <cellStyle name="Normal 5 2 2 4 3 2 3" xfId="11584" xr:uid="{A6F38911-B134-444D-80BF-C97E7B267BA8}"/>
    <cellStyle name="Normal 5 2 2 4 3 2 4" xfId="20025" xr:uid="{D633D6E1-ECAB-42EF-AC95-A533650B0431}"/>
    <cellStyle name="Normal 5 2 2 4 3 2 5" xfId="28465" xr:uid="{D0D1C049-7E27-40B4-86F7-C16537E953CE}"/>
    <cellStyle name="Normal 5 2 2 4 3 3" xfId="5207" xr:uid="{00000000-0005-0000-0000-0000FE170000}"/>
    <cellStyle name="Normal 5 2 2 4 3 3 2" xfId="13657" xr:uid="{083BD69C-DFC6-4F09-9215-D250383497CE}"/>
    <cellStyle name="Normal 5 2 2 4 3 3 3" xfId="22097" xr:uid="{E15D928D-2FB2-42A9-8351-7FC7F976001F}"/>
    <cellStyle name="Normal 5 2 2 4 3 3 4" xfId="30537" xr:uid="{8727C5CF-AB86-4626-A46B-F33B0457935F}"/>
    <cellStyle name="Normal 5 2 2 4 3 4" xfId="9439" xr:uid="{906CD308-C5B9-4E42-8DB1-D48052345381}"/>
    <cellStyle name="Normal 5 2 2 4 3 5" xfId="17880" xr:uid="{D39DBA46-140E-42F8-9A03-A97377DDB8BE}"/>
    <cellStyle name="Normal 5 2 2 4 3 6" xfId="26320" xr:uid="{651C25F7-2442-46AC-BAFB-670343440C13}"/>
    <cellStyle name="Normal 5 2 2 4 4" xfId="1313" xr:uid="{00000000-0005-0000-0000-0000FF170000}"/>
    <cellStyle name="Normal 5 2 2 4 4 2" xfId="3543" xr:uid="{00000000-0005-0000-0000-000000180000}"/>
    <cellStyle name="Normal 5 2 2 4 4 2 2" xfId="7765" xr:uid="{00000000-0005-0000-0000-000001180000}"/>
    <cellStyle name="Normal 5 2 2 4 4 2 2 2" xfId="16215" xr:uid="{21DCAB02-A233-4C5C-B4F6-35D09C3A167A}"/>
    <cellStyle name="Normal 5 2 2 4 4 2 2 3" xfId="24655" xr:uid="{3CC9E41E-D53A-4F9A-B56E-24B5F1EAA959}"/>
    <cellStyle name="Normal 5 2 2 4 4 2 2 4" xfId="33095" xr:uid="{724257A3-8861-41CD-9D7B-9C91A2B21EAC}"/>
    <cellStyle name="Normal 5 2 2 4 4 2 3" xfId="11997" xr:uid="{DA4E1FE5-D29C-4A11-9F9E-2E68DDD2DDCA}"/>
    <cellStyle name="Normal 5 2 2 4 4 2 4" xfId="20438" xr:uid="{44F20D7E-CE4F-4633-B023-9F0B8AB63DB2}"/>
    <cellStyle name="Normal 5 2 2 4 4 2 5" xfId="28878" xr:uid="{7818BC57-D1E4-4D26-8933-B6560D632F46}"/>
    <cellStyle name="Normal 5 2 2 4 4 3" xfId="5620" xr:uid="{00000000-0005-0000-0000-000002180000}"/>
    <cellStyle name="Normal 5 2 2 4 4 3 2" xfId="14070" xr:uid="{0B073BF8-98AA-45AA-AF54-6276C39B7337}"/>
    <cellStyle name="Normal 5 2 2 4 4 3 3" xfId="22510" xr:uid="{3A5D7770-6083-4421-9851-F1B4F75CF2A4}"/>
    <cellStyle name="Normal 5 2 2 4 4 3 4" xfId="30950" xr:uid="{04CF9CD3-0F9B-4501-9611-602D0565BA02}"/>
    <cellStyle name="Normal 5 2 2 4 4 4" xfId="9852" xr:uid="{3F40CCCB-C46F-49CA-9E2C-AA476EC64289}"/>
    <cellStyle name="Normal 5 2 2 4 4 5" xfId="18293" xr:uid="{65983F32-2F97-41D0-B44D-1A44744BD35A}"/>
    <cellStyle name="Normal 5 2 2 4 4 6" xfId="26733" xr:uid="{582CA9A0-3785-4D90-B6A6-E9FC6343C5E4}"/>
    <cellStyle name="Normal 5 2 2 4 5" xfId="1726" xr:uid="{00000000-0005-0000-0000-000003180000}"/>
    <cellStyle name="Normal 5 2 2 4 5 2" xfId="3956" xr:uid="{00000000-0005-0000-0000-000004180000}"/>
    <cellStyle name="Normal 5 2 2 4 5 2 2" xfId="8178" xr:uid="{00000000-0005-0000-0000-000005180000}"/>
    <cellStyle name="Normal 5 2 2 4 5 2 2 2" xfId="16628" xr:uid="{120F8524-300D-4BE1-ACD6-362C5EF056D9}"/>
    <cellStyle name="Normal 5 2 2 4 5 2 2 3" xfId="25068" xr:uid="{13509D55-C720-42FE-911B-D6E536D7442D}"/>
    <cellStyle name="Normal 5 2 2 4 5 2 2 4" xfId="33508" xr:uid="{B8114527-B9B5-45B3-AE7B-78C73880619F}"/>
    <cellStyle name="Normal 5 2 2 4 5 2 3" xfId="12410" xr:uid="{391AAC2F-7BE8-4C8B-A041-4F6A5E0CB353}"/>
    <cellStyle name="Normal 5 2 2 4 5 2 4" xfId="20851" xr:uid="{49308524-7F64-45BE-8D49-88366B9F0B72}"/>
    <cellStyle name="Normal 5 2 2 4 5 2 5" xfId="29291" xr:uid="{EF30F8BB-9A8B-49FF-971F-CD5E5BB48A91}"/>
    <cellStyle name="Normal 5 2 2 4 5 3" xfId="6033" xr:uid="{00000000-0005-0000-0000-000006180000}"/>
    <cellStyle name="Normal 5 2 2 4 5 3 2" xfId="14483" xr:uid="{1C1F55BB-8810-4770-B194-2E9895B45826}"/>
    <cellStyle name="Normal 5 2 2 4 5 3 3" xfId="22923" xr:uid="{F284B5CA-4A88-4460-AFFB-BEC4192555B5}"/>
    <cellStyle name="Normal 5 2 2 4 5 3 4" xfId="31363" xr:uid="{29843DAD-7C20-4338-86C9-75F69D709F27}"/>
    <cellStyle name="Normal 5 2 2 4 5 4" xfId="10265" xr:uid="{8C9AF9D0-53BC-46C1-9439-47AB8FA51CD4}"/>
    <cellStyle name="Normal 5 2 2 4 5 5" xfId="18706" xr:uid="{8EC11949-98C1-4D07-AC9A-81824EBAECFC}"/>
    <cellStyle name="Normal 5 2 2 4 5 6" xfId="27146" xr:uid="{4F60673F-49EB-4C4A-A132-DB4C4530B18E}"/>
    <cellStyle name="Normal 5 2 2 4 6" xfId="2140" xr:uid="{00000000-0005-0000-0000-000007180000}"/>
    <cellStyle name="Normal 5 2 2 4 6 2" xfId="4369" xr:uid="{00000000-0005-0000-0000-000008180000}"/>
    <cellStyle name="Normal 5 2 2 4 6 2 2" xfId="8591" xr:uid="{00000000-0005-0000-0000-000009180000}"/>
    <cellStyle name="Normal 5 2 2 4 6 2 2 2" xfId="17041" xr:uid="{F08DCEED-7F1C-47DA-B74F-4F61E0F3C731}"/>
    <cellStyle name="Normal 5 2 2 4 6 2 2 3" xfId="25481" xr:uid="{8B45CB5A-F539-4014-9AF2-D4913205CE80}"/>
    <cellStyle name="Normal 5 2 2 4 6 2 2 4" xfId="33921" xr:uid="{C5F2F511-56B8-4B42-845E-CF4ECE5B660A}"/>
    <cellStyle name="Normal 5 2 2 4 6 2 3" xfId="12823" xr:uid="{44CB06D4-51AF-49E8-B3BC-20D167EC2B54}"/>
    <cellStyle name="Normal 5 2 2 4 6 2 4" xfId="21264" xr:uid="{150FCF52-27D3-493C-8C0E-3041DEB55BCE}"/>
    <cellStyle name="Normal 5 2 2 4 6 2 5" xfId="29704" xr:uid="{F6D5881F-8374-43A1-AEAD-C5618BE0DFA9}"/>
    <cellStyle name="Normal 5 2 2 4 6 3" xfId="6446" xr:uid="{00000000-0005-0000-0000-00000A180000}"/>
    <cellStyle name="Normal 5 2 2 4 6 3 2" xfId="14896" xr:uid="{ADB22CB1-3249-4EE9-8CCA-8000A8462110}"/>
    <cellStyle name="Normal 5 2 2 4 6 3 3" xfId="23336" xr:uid="{5E3F9369-4B80-4B58-8D43-78ECC1610820}"/>
    <cellStyle name="Normal 5 2 2 4 6 3 4" xfId="31776" xr:uid="{11E8BD56-4BC7-41A5-A9A8-23FCE9C31F82}"/>
    <cellStyle name="Normal 5 2 2 4 6 4" xfId="10678" xr:uid="{F4508A9A-40B6-4224-9523-C7330216EC6D}"/>
    <cellStyle name="Normal 5 2 2 4 6 5" xfId="19119" xr:uid="{C81EC7E0-EA28-45C4-8C06-F6A48C977F24}"/>
    <cellStyle name="Normal 5 2 2 4 6 6" xfId="27559" xr:uid="{AE9B716C-8CD1-41CC-8D8B-E2B04384D684}"/>
    <cellStyle name="Normal 5 2 2 4 7" xfId="2576" xr:uid="{00000000-0005-0000-0000-00000B180000}"/>
    <cellStyle name="Normal 5 2 2 4 7 2" xfId="6859" xr:uid="{00000000-0005-0000-0000-00000C180000}"/>
    <cellStyle name="Normal 5 2 2 4 7 2 2" xfId="15309" xr:uid="{195AB49A-66E5-4A36-ADE2-61D8B6AE4E8C}"/>
    <cellStyle name="Normal 5 2 2 4 7 2 3" xfId="23749" xr:uid="{42C0219A-76B4-439A-B285-18E9DC86E22B}"/>
    <cellStyle name="Normal 5 2 2 4 7 2 4" xfId="32189" xr:uid="{87E6C188-085C-47D2-8357-D5287EC07DB4}"/>
    <cellStyle name="Normal 5 2 2 4 7 3" xfId="11091" xr:uid="{6313F25F-03FC-4012-88BB-E2BBD0DB2093}"/>
    <cellStyle name="Normal 5 2 2 4 7 4" xfId="19532" xr:uid="{F658062D-83AF-4A3C-B4A0-687D3D8E2586}"/>
    <cellStyle name="Normal 5 2 2 4 7 5" xfId="27972" xr:uid="{86152AC7-14E7-46D2-BAED-0B3F2A3D0481}"/>
    <cellStyle name="Normal 5 2 2 4 8" xfId="4794" xr:uid="{00000000-0005-0000-0000-00000D180000}"/>
    <cellStyle name="Normal 5 2 2 4 8 2" xfId="13244" xr:uid="{06065710-4960-4C78-B4BB-620B1D715B37}"/>
    <cellStyle name="Normal 5 2 2 4 8 3" xfId="21684" xr:uid="{8D07A9A4-C339-4645-89BF-E96A3BD93A53}"/>
    <cellStyle name="Normal 5 2 2 4 8 4" xfId="30124" xr:uid="{FC5AB171-B5F1-4C35-B044-CB4F34B7CEBE}"/>
    <cellStyle name="Normal 5 2 2 4 9" xfId="9026" xr:uid="{524EBBF0-B18A-4B7B-A837-DE266D9F1BDE}"/>
    <cellStyle name="Normal 5 2 2 5" xfId="423" xr:uid="{00000000-0005-0000-0000-00000E180000}"/>
    <cellStyle name="Normal 5 2 2 5 10" xfId="25909" xr:uid="{61B5E139-9827-4814-9460-2C1CC568E3D0}"/>
    <cellStyle name="Normal 5 2 2 5 2" xfId="897" xr:uid="{00000000-0005-0000-0000-00000F180000}"/>
    <cellStyle name="Normal 5 2 2 5 2 2" xfId="3132" xr:uid="{00000000-0005-0000-0000-000010180000}"/>
    <cellStyle name="Normal 5 2 2 5 2 2 2" xfId="7354" xr:uid="{00000000-0005-0000-0000-000011180000}"/>
    <cellStyle name="Normal 5 2 2 5 2 2 2 2" xfId="15804" xr:uid="{B241F925-10BC-4AD0-A832-7A607A8501B8}"/>
    <cellStyle name="Normal 5 2 2 5 2 2 2 3" xfId="24244" xr:uid="{99606D7C-CAA8-4490-9195-419566D2D993}"/>
    <cellStyle name="Normal 5 2 2 5 2 2 2 4" xfId="32684" xr:uid="{C9FF2DD7-1470-49E9-8F8D-3FA7AD5CF608}"/>
    <cellStyle name="Normal 5 2 2 5 2 2 3" xfId="11586" xr:uid="{9D66DE43-3635-4BD0-90F0-95CE74FEFD03}"/>
    <cellStyle name="Normal 5 2 2 5 2 2 4" xfId="20027" xr:uid="{2B747121-CFA3-41DE-9ABC-8B296C6907DB}"/>
    <cellStyle name="Normal 5 2 2 5 2 2 5" xfId="28467" xr:uid="{3AAD3FAE-1192-46D1-B419-8C63BF71BF5E}"/>
    <cellStyle name="Normal 5 2 2 5 2 3" xfId="5209" xr:uid="{00000000-0005-0000-0000-000012180000}"/>
    <cellStyle name="Normal 5 2 2 5 2 3 2" xfId="13659" xr:uid="{588483E5-3757-4E47-8318-90CC3321F591}"/>
    <cellStyle name="Normal 5 2 2 5 2 3 3" xfId="22099" xr:uid="{3E6292FA-8468-4C4D-BAD4-7BBFEDF70500}"/>
    <cellStyle name="Normal 5 2 2 5 2 3 4" xfId="30539" xr:uid="{98403CAC-352D-4172-B54B-0CD7682B9213}"/>
    <cellStyle name="Normal 5 2 2 5 2 4" xfId="9441" xr:uid="{93311B67-3A28-4959-B3C3-F79CD6136331}"/>
    <cellStyle name="Normal 5 2 2 5 2 5" xfId="17882" xr:uid="{7C913C7B-DA4A-4660-AE00-EFAA5DC71DD3}"/>
    <cellStyle name="Normal 5 2 2 5 2 6" xfId="26322" xr:uid="{CE5ECACF-F339-47AB-8871-9474BB3DBBE3}"/>
    <cellStyle name="Normal 5 2 2 5 3" xfId="1315" xr:uid="{00000000-0005-0000-0000-000013180000}"/>
    <cellStyle name="Normal 5 2 2 5 3 2" xfId="3545" xr:uid="{00000000-0005-0000-0000-000014180000}"/>
    <cellStyle name="Normal 5 2 2 5 3 2 2" xfId="7767" xr:uid="{00000000-0005-0000-0000-000015180000}"/>
    <cellStyle name="Normal 5 2 2 5 3 2 2 2" xfId="16217" xr:uid="{F4E551DD-1082-4105-B2B5-FC85DC6812DE}"/>
    <cellStyle name="Normal 5 2 2 5 3 2 2 3" xfId="24657" xr:uid="{00E989BD-0676-4CE3-A135-37E26F281AB0}"/>
    <cellStyle name="Normal 5 2 2 5 3 2 2 4" xfId="33097" xr:uid="{72596EBB-2B12-437D-A717-C7990ED47B3C}"/>
    <cellStyle name="Normal 5 2 2 5 3 2 3" xfId="11999" xr:uid="{C4AA6753-5E92-48E8-856B-140B33658D6D}"/>
    <cellStyle name="Normal 5 2 2 5 3 2 4" xfId="20440" xr:uid="{F3BE0514-6CC3-460A-AB05-1EC5AE46B33F}"/>
    <cellStyle name="Normal 5 2 2 5 3 2 5" xfId="28880" xr:uid="{2F76E250-18DD-4E71-8FEE-E70F5635D07B}"/>
    <cellStyle name="Normal 5 2 2 5 3 3" xfId="5622" xr:uid="{00000000-0005-0000-0000-000016180000}"/>
    <cellStyle name="Normal 5 2 2 5 3 3 2" xfId="14072" xr:uid="{7CC7F9B5-C5D0-445F-8300-C6E40B028AEB}"/>
    <cellStyle name="Normal 5 2 2 5 3 3 3" xfId="22512" xr:uid="{BF321294-8A65-4F1A-BC27-35A401E10A90}"/>
    <cellStyle name="Normal 5 2 2 5 3 3 4" xfId="30952" xr:uid="{C0277D77-DCA2-495D-9DAA-19A5F070E929}"/>
    <cellStyle name="Normal 5 2 2 5 3 4" xfId="9854" xr:uid="{5B643E1B-64E5-4AB6-BC7E-8EA5D3C83D1F}"/>
    <cellStyle name="Normal 5 2 2 5 3 5" xfId="18295" xr:uid="{C36BA81B-479E-4B13-A914-C70C3AB53030}"/>
    <cellStyle name="Normal 5 2 2 5 3 6" xfId="26735" xr:uid="{EB19DB08-2F63-435A-9EA5-2BA6C420136D}"/>
    <cellStyle name="Normal 5 2 2 5 4" xfId="1728" xr:uid="{00000000-0005-0000-0000-000017180000}"/>
    <cellStyle name="Normal 5 2 2 5 4 2" xfId="3958" xr:uid="{00000000-0005-0000-0000-000018180000}"/>
    <cellStyle name="Normal 5 2 2 5 4 2 2" xfId="8180" xr:uid="{00000000-0005-0000-0000-000019180000}"/>
    <cellStyle name="Normal 5 2 2 5 4 2 2 2" xfId="16630" xr:uid="{9EB61077-9BEC-435C-B051-8DC5186270C8}"/>
    <cellStyle name="Normal 5 2 2 5 4 2 2 3" xfId="25070" xr:uid="{4217AC71-7BEF-4B1A-914D-28DF7B226292}"/>
    <cellStyle name="Normal 5 2 2 5 4 2 2 4" xfId="33510" xr:uid="{14D514D8-12F8-48ED-AEF8-C31151216651}"/>
    <cellStyle name="Normal 5 2 2 5 4 2 3" xfId="12412" xr:uid="{2CCEB928-BA88-469C-A3B5-024F96F5D36E}"/>
    <cellStyle name="Normal 5 2 2 5 4 2 4" xfId="20853" xr:uid="{2A1025F2-B664-4198-B69F-EB7F82F6BFD6}"/>
    <cellStyle name="Normal 5 2 2 5 4 2 5" xfId="29293" xr:uid="{6462AC3B-E6F0-4E85-8DDA-50B0D3BACCAC}"/>
    <cellStyle name="Normal 5 2 2 5 4 3" xfId="6035" xr:uid="{00000000-0005-0000-0000-00001A180000}"/>
    <cellStyle name="Normal 5 2 2 5 4 3 2" xfId="14485" xr:uid="{A9656B23-3CB8-4D45-9E68-3A3C5BF3FA40}"/>
    <cellStyle name="Normal 5 2 2 5 4 3 3" xfId="22925" xr:uid="{E57A57AE-2290-47F8-A53E-09C7162DBD8B}"/>
    <cellStyle name="Normal 5 2 2 5 4 3 4" xfId="31365" xr:uid="{70BA14F4-89B6-42EA-A616-9EA497960647}"/>
    <cellStyle name="Normal 5 2 2 5 4 4" xfId="10267" xr:uid="{F4E42FC7-BE47-4841-A3FC-ADA8DECC63E7}"/>
    <cellStyle name="Normal 5 2 2 5 4 5" xfId="18708" xr:uid="{E3EDC5A3-B5A9-4290-9DC4-DA147C9236EF}"/>
    <cellStyle name="Normal 5 2 2 5 4 6" xfId="27148" xr:uid="{87583B15-114A-4CF1-BCC5-C47051842153}"/>
    <cellStyle name="Normal 5 2 2 5 5" xfId="2142" xr:uid="{00000000-0005-0000-0000-00001B180000}"/>
    <cellStyle name="Normal 5 2 2 5 5 2" xfId="4371" xr:uid="{00000000-0005-0000-0000-00001C180000}"/>
    <cellStyle name="Normal 5 2 2 5 5 2 2" xfId="8593" xr:uid="{00000000-0005-0000-0000-00001D180000}"/>
    <cellStyle name="Normal 5 2 2 5 5 2 2 2" xfId="17043" xr:uid="{5D104B64-EF3B-4892-A40C-1F664D898A08}"/>
    <cellStyle name="Normal 5 2 2 5 5 2 2 3" xfId="25483" xr:uid="{793F1621-4300-47D2-BA57-7FD2A755E64B}"/>
    <cellStyle name="Normal 5 2 2 5 5 2 2 4" xfId="33923" xr:uid="{C188E060-8DEE-441B-B44D-131C1A4687D8}"/>
    <cellStyle name="Normal 5 2 2 5 5 2 3" xfId="12825" xr:uid="{F241B127-7226-4B1D-8BE8-87A458DCE0D4}"/>
    <cellStyle name="Normal 5 2 2 5 5 2 4" xfId="21266" xr:uid="{A33CDC64-C44C-4A11-8A57-D913E8CFC021}"/>
    <cellStyle name="Normal 5 2 2 5 5 2 5" xfId="29706" xr:uid="{715E1E89-6810-4916-B416-A13C6CF3FE97}"/>
    <cellStyle name="Normal 5 2 2 5 5 3" xfId="6448" xr:uid="{00000000-0005-0000-0000-00001E180000}"/>
    <cellStyle name="Normal 5 2 2 5 5 3 2" xfId="14898" xr:uid="{09AFC6D7-9653-4C3E-BBEE-43CDEE1F970F}"/>
    <cellStyle name="Normal 5 2 2 5 5 3 3" xfId="23338" xr:uid="{07E74A65-45B8-4985-95B5-49561988F094}"/>
    <cellStyle name="Normal 5 2 2 5 5 3 4" xfId="31778" xr:uid="{3F41DF37-07D2-4EF2-A684-8D2F17908FFF}"/>
    <cellStyle name="Normal 5 2 2 5 5 4" xfId="10680" xr:uid="{A6A2396D-059F-4696-8536-9475F676A890}"/>
    <cellStyle name="Normal 5 2 2 5 5 5" xfId="19121" xr:uid="{25C3FFFD-BE3A-4B70-A871-5B9E691BFB6D}"/>
    <cellStyle name="Normal 5 2 2 5 5 6" xfId="27561" xr:uid="{3EA5DD61-8F7B-490F-B43E-1007C309B94A}"/>
    <cellStyle name="Normal 5 2 2 5 6" xfId="2578" xr:uid="{00000000-0005-0000-0000-00001F180000}"/>
    <cellStyle name="Normal 5 2 2 5 6 2" xfId="6861" xr:uid="{00000000-0005-0000-0000-000020180000}"/>
    <cellStyle name="Normal 5 2 2 5 6 2 2" xfId="15311" xr:uid="{DAB0125C-B9EB-4A04-9C8B-8C63CF6B449E}"/>
    <cellStyle name="Normal 5 2 2 5 6 2 3" xfId="23751" xr:uid="{C001C7DC-56BB-4AC8-9A93-890E3F3F4652}"/>
    <cellStyle name="Normal 5 2 2 5 6 2 4" xfId="32191" xr:uid="{B1A065F0-2503-4923-8D6F-925910E8E2EE}"/>
    <cellStyle name="Normal 5 2 2 5 6 3" xfId="11093" xr:uid="{03A51EF5-43D4-4F38-86F5-6CEEA8AC64A6}"/>
    <cellStyle name="Normal 5 2 2 5 6 4" xfId="19534" xr:uid="{3869E480-D1BF-4F21-B770-C91953F7CA0D}"/>
    <cellStyle name="Normal 5 2 2 5 6 5" xfId="27974" xr:uid="{A38DD858-1BFE-456B-89CA-51BC3722BA59}"/>
    <cellStyle name="Normal 5 2 2 5 7" xfId="4796" xr:uid="{00000000-0005-0000-0000-000021180000}"/>
    <cellStyle name="Normal 5 2 2 5 7 2" xfId="13246" xr:uid="{7AA684BA-D27B-4326-800F-A6BC5EC2BDB3}"/>
    <cellStyle name="Normal 5 2 2 5 7 3" xfId="21686" xr:uid="{0FF6DBA7-F010-4CC5-ABD2-58DFBEB3790B}"/>
    <cellStyle name="Normal 5 2 2 5 7 4" xfId="30126" xr:uid="{A1CF8966-5DB9-4211-804A-73E0242664E0}"/>
    <cellStyle name="Normal 5 2 2 5 8" xfId="9028" xr:uid="{B8BA0011-8D19-41C1-8B7F-8F7622BA8337}"/>
    <cellStyle name="Normal 5 2 2 5 9" xfId="17469" xr:uid="{8C7D9FDE-3578-4FEC-9AC4-B5F319E44A17}"/>
    <cellStyle name="Normal 5 2 2 6" xfId="882" xr:uid="{00000000-0005-0000-0000-000022180000}"/>
    <cellStyle name="Normal 5 2 2 6 2" xfId="3117" xr:uid="{00000000-0005-0000-0000-000023180000}"/>
    <cellStyle name="Normal 5 2 2 6 2 2" xfId="7339" xr:uid="{00000000-0005-0000-0000-000024180000}"/>
    <cellStyle name="Normal 5 2 2 6 2 2 2" xfId="15789" xr:uid="{C391588F-FA22-477E-8B84-868571D49236}"/>
    <cellStyle name="Normal 5 2 2 6 2 2 3" xfId="24229" xr:uid="{A47A5F19-F323-4F00-89B2-79BC438BFD6B}"/>
    <cellStyle name="Normal 5 2 2 6 2 2 4" xfId="32669" xr:uid="{2AFD8741-4070-4A68-8285-DDA69AD32512}"/>
    <cellStyle name="Normal 5 2 2 6 2 3" xfId="11571" xr:uid="{9784AF4D-7F9F-480D-B976-81FA0B3512EF}"/>
    <cellStyle name="Normal 5 2 2 6 2 4" xfId="20012" xr:uid="{27001C06-8694-45BE-86CC-DD224E6799C0}"/>
    <cellStyle name="Normal 5 2 2 6 2 5" xfId="28452" xr:uid="{FCA948EF-E268-439C-9DFB-DCF87F2F1D8F}"/>
    <cellStyle name="Normal 5 2 2 6 3" xfId="5194" xr:uid="{00000000-0005-0000-0000-000025180000}"/>
    <cellStyle name="Normal 5 2 2 6 3 2" xfId="13644" xr:uid="{BE6B324A-37D9-4577-ABD8-850D4265C440}"/>
    <cellStyle name="Normal 5 2 2 6 3 3" xfId="22084" xr:uid="{B2961658-4E3F-48B0-83AF-850F6E13B583}"/>
    <cellStyle name="Normal 5 2 2 6 3 4" xfId="30524" xr:uid="{4EFCB1E3-B3CF-4F12-964E-30A0B5C7A695}"/>
    <cellStyle name="Normal 5 2 2 6 4" xfId="9426" xr:uid="{42955DCE-D5C2-47C6-B545-736B08CE2C4C}"/>
    <cellStyle name="Normal 5 2 2 6 5" xfId="17867" xr:uid="{99F46ACD-42E9-41AB-ABAC-FAFAEE2F0FA2}"/>
    <cellStyle name="Normal 5 2 2 6 6" xfId="26307" xr:uid="{B187F1C8-573C-4AC5-9FFA-E66C8D9F0AB2}"/>
    <cellStyle name="Normal 5 2 2 7" xfId="1300" xr:uid="{00000000-0005-0000-0000-000026180000}"/>
    <cellStyle name="Normal 5 2 2 7 2" xfId="3530" xr:uid="{00000000-0005-0000-0000-000027180000}"/>
    <cellStyle name="Normal 5 2 2 7 2 2" xfId="7752" xr:uid="{00000000-0005-0000-0000-000028180000}"/>
    <cellStyle name="Normal 5 2 2 7 2 2 2" xfId="16202" xr:uid="{B14BE271-E273-4221-A3B0-EA8BD53A9362}"/>
    <cellStyle name="Normal 5 2 2 7 2 2 3" xfId="24642" xr:uid="{ED2BBED9-0624-415F-AA7C-C54A23688F1A}"/>
    <cellStyle name="Normal 5 2 2 7 2 2 4" xfId="33082" xr:uid="{AB67A6CD-F5FD-4E76-A7D6-A31CF350AC33}"/>
    <cellStyle name="Normal 5 2 2 7 2 3" xfId="11984" xr:uid="{7FEE2865-D299-412C-8820-A6FB58394407}"/>
    <cellStyle name="Normal 5 2 2 7 2 4" xfId="20425" xr:uid="{0633B2CB-5CC4-49C8-84FB-6579422C7635}"/>
    <cellStyle name="Normal 5 2 2 7 2 5" xfId="28865" xr:uid="{B40AB607-8002-4E12-A672-F69E6253EE48}"/>
    <cellStyle name="Normal 5 2 2 7 3" xfId="5607" xr:uid="{00000000-0005-0000-0000-000029180000}"/>
    <cellStyle name="Normal 5 2 2 7 3 2" xfId="14057" xr:uid="{70D3842E-B0BB-4E08-ABE8-025CA97C04D9}"/>
    <cellStyle name="Normal 5 2 2 7 3 3" xfId="22497" xr:uid="{B60348E8-2FC6-4D1F-8F1E-77A8DE54FE23}"/>
    <cellStyle name="Normal 5 2 2 7 3 4" xfId="30937" xr:uid="{6C17EBB1-9BC3-4093-A58F-616BD01D8954}"/>
    <cellStyle name="Normal 5 2 2 7 4" xfId="9839" xr:uid="{1021AAC8-DA62-428E-B2F9-6A01A2C42A3B}"/>
    <cellStyle name="Normal 5 2 2 7 5" xfId="18280" xr:uid="{6320233D-86D4-4BD8-9594-6F71D1768EBB}"/>
    <cellStyle name="Normal 5 2 2 7 6" xfId="26720" xr:uid="{11F5E93C-3F67-4899-81C7-837B59BEDBC2}"/>
    <cellStyle name="Normal 5 2 2 8" xfId="1713" xr:uid="{00000000-0005-0000-0000-00002A180000}"/>
    <cellStyle name="Normal 5 2 2 8 2" xfId="3943" xr:uid="{00000000-0005-0000-0000-00002B180000}"/>
    <cellStyle name="Normal 5 2 2 8 2 2" xfId="8165" xr:uid="{00000000-0005-0000-0000-00002C180000}"/>
    <cellStyle name="Normal 5 2 2 8 2 2 2" xfId="16615" xr:uid="{30885819-64B7-4F12-9348-11910353B404}"/>
    <cellStyle name="Normal 5 2 2 8 2 2 3" xfId="25055" xr:uid="{27186451-BD06-4E82-A2CA-A3AC9DCEBFDA}"/>
    <cellStyle name="Normal 5 2 2 8 2 2 4" xfId="33495" xr:uid="{54572F7C-C74E-41BB-A5B6-9A1A69BA19F4}"/>
    <cellStyle name="Normal 5 2 2 8 2 3" xfId="12397" xr:uid="{C746FB58-B41B-4BBD-9B30-696473C173AD}"/>
    <cellStyle name="Normal 5 2 2 8 2 4" xfId="20838" xr:uid="{EBC1AE8B-9756-4DE7-9EEF-1C93109EE7C4}"/>
    <cellStyle name="Normal 5 2 2 8 2 5" xfId="29278" xr:uid="{61D00CD6-6179-41F4-B801-AAD4BF1FE8A6}"/>
    <cellStyle name="Normal 5 2 2 8 3" xfId="6020" xr:uid="{00000000-0005-0000-0000-00002D180000}"/>
    <cellStyle name="Normal 5 2 2 8 3 2" xfId="14470" xr:uid="{E4B6A73D-32C7-4076-A75C-B3825A03A467}"/>
    <cellStyle name="Normal 5 2 2 8 3 3" xfId="22910" xr:uid="{61F01B39-76E8-4937-98D0-BD6C07100A87}"/>
    <cellStyle name="Normal 5 2 2 8 3 4" xfId="31350" xr:uid="{2AAE678D-1C8E-45AE-B7D8-94B86BDE36E3}"/>
    <cellStyle name="Normal 5 2 2 8 4" xfId="10252" xr:uid="{C989B1BB-5231-4D07-99D0-F734BD72A519}"/>
    <cellStyle name="Normal 5 2 2 8 5" xfId="18693" xr:uid="{0BD849B5-883E-46EF-9CBE-82DD8F84AFDC}"/>
    <cellStyle name="Normal 5 2 2 8 6" xfId="27133" xr:uid="{C46B9CE3-70E3-4FE7-B1CB-FD76A85A53BC}"/>
    <cellStyle name="Normal 5 2 2 9" xfId="2127" xr:uid="{00000000-0005-0000-0000-00002E180000}"/>
    <cellStyle name="Normal 5 2 2 9 2" xfId="4356" xr:uid="{00000000-0005-0000-0000-00002F180000}"/>
    <cellStyle name="Normal 5 2 2 9 2 2" xfId="8578" xr:uid="{00000000-0005-0000-0000-000030180000}"/>
    <cellStyle name="Normal 5 2 2 9 2 2 2" xfId="17028" xr:uid="{3CD98943-4D81-452A-AA9D-9B31348E7A39}"/>
    <cellStyle name="Normal 5 2 2 9 2 2 3" xfId="25468" xr:uid="{4A487E19-7E56-4477-96D7-0BDDE04F735C}"/>
    <cellStyle name="Normal 5 2 2 9 2 2 4" xfId="33908" xr:uid="{19F533B7-F1FC-45A0-AE5F-8EBB9E2E4DA4}"/>
    <cellStyle name="Normal 5 2 2 9 2 3" xfId="12810" xr:uid="{5C4ED43E-D44B-438B-A373-4AE44AF17684}"/>
    <cellStyle name="Normal 5 2 2 9 2 4" xfId="21251" xr:uid="{3CDC3031-DA83-43E6-BBDE-E55AE80B57AE}"/>
    <cellStyle name="Normal 5 2 2 9 2 5" xfId="29691" xr:uid="{265B28A7-EB19-4CBF-A46A-89DAF7CF9B1B}"/>
    <cellStyle name="Normal 5 2 2 9 3" xfId="6433" xr:uid="{00000000-0005-0000-0000-000031180000}"/>
    <cellStyle name="Normal 5 2 2 9 3 2" xfId="14883" xr:uid="{5787F41C-DA54-4C44-B318-E3C8DCE09B0A}"/>
    <cellStyle name="Normal 5 2 2 9 3 3" xfId="23323" xr:uid="{C1066118-D411-4710-9262-F01B7C639093}"/>
    <cellStyle name="Normal 5 2 2 9 3 4" xfId="31763" xr:uid="{303AF8D5-4820-4605-99F0-1A293890C4F9}"/>
    <cellStyle name="Normal 5 2 2 9 4" xfId="10665" xr:uid="{0A941170-58AC-42A0-B52C-FBFC9ADB6E9F}"/>
    <cellStyle name="Normal 5 2 2 9 5" xfId="19106" xr:uid="{FFB63F85-E601-4367-9526-61EC094B96E8}"/>
    <cellStyle name="Normal 5 2 2 9 6" xfId="27546" xr:uid="{124D547B-BF44-4435-A626-4E87A19D42EA}"/>
    <cellStyle name="Normal 5 2 3" xfId="424" xr:uid="{00000000-0005-0000-0000-000032180000}"/>
    <cellStyle name="Normal 5 2 3 10" xfId="4797" xr:uid="{00000000-0005-0000-0000-000033180000}"/>
    <cellStyle name="Normal 5 2 3 10 2" xfId="13247" xr:uid="{3D9A61A1-B4BE-4FB7-BDD3-C7F196DF6292}"/>
    <cellStyle name="Normal 5 2 3 10 3" xfId="21687" xr:uid="{2A5EE041-0DD8-45C8-B83E-CA25B300A69F}"/>
    <cellStyle name="Normal 5 2 3 10 4" xfId="30127" xr:uid="{927A9EE0-7390-492F-BBA5-8F21E42736DA}"/>
    <cellStyle name="Normal 5 2 3 11" xfId="9029" xr:uid="{B78E3BB6-C92B-49C7-AF62-132DD1AC12BC}"/>
    <cellStyle name="Normal 5 2 3 12" xfId="17470" xr:uid="{6F126CF1-4EA1-42ED-A622-C58B7D6FAE7C}"/>
    <cellStyle name="Normal 5 2 3 13" xfId="25910" xr:uid="{2DBF3EDD-8469-44B9-8184-2127F6240F88}"/>
    <cellStyle name="Normal 5 2 3 2" xfId="425" xr:uid="{00000000-0005-0000-0000-000034180000}"/>
    <cellStyle name="Normal 5 2 3 2 10" xfId="9030" xr:uid="{C4087C1E-2BF5-45BB-A677-440DEFAD316D}"/>
    <cellStyle name="Normal 5 2 3 2 11" xfId="17471" xr:uid="{C0B57AE5-C618-4CC3-B4D9-25B10FA385F1}"/>
    <cellStyle name="Normal 5 2 3 2 12" xfId="25911" xr:uid="{60731107-E3C0-448A-A094-75582EEDD258}"/>
    <cellStyle name="Normal 5 2 3 2 2" xfId="426" xr:uid="{00000000-0005-0000-0000-000035180000}"/>
    <cellStyle name="Normal 5 2 3 2 2 10" xfId="17472" xr:uid="{77F75C26-19C6-4C07-89D4-FD59D95C005B}"/>
    <cellStyle name="Normal 5 2 3 2 2 11" xfId="25912" xr:uid="{D6F3D3FD-9374-42F5-9228-035F2EDFC654}"/>
    <cellStyle name="Normal 5 2 3 2 2 2" xfId="427" xr:uid="{00000000-0005-0000-0000-000036180000}"/>
    <cellStyle name="Normal 5 2 3 2 2 2 10" xfId="25913" xr:uid="{9A8D2AB8-FD86-4E61-B111-0D18FD97886C}"/>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2 2 2" xfId="15808" xr:uid="{3E665830-60B4-4190-8934-A16BE45C861D}"/>
    <cellStyle name="Normal 5 2 3 2 2 2 2 2 2 3" xfId="24248" xr:uid="{F9B795B1-A06F-4D5C-A28D-FDD43F2A19F4}"/>
    <cellStyle name="Normal 5 2 3 2 2 2 2 2 2 4" xfId="32688" xr:uid="{DF7532E5-796E-459D-8976-A6ECBAC9D44A}"/>
    <cellStyle name="Normal 5 2 3 2 2 2 2 2 3" xfId="11590" xr:uid="{946E51CE-BA6F-4ECD-B5A1-4CDF2EA3028C}"/>
    <cellStyle name="Normal 5 2 3 2 2 2 2 2 4" xfId="20031" xr:uid="{86E475DF-64F2-4B0A-999B-02FDB27BFC8F}"/>
    <cellStyle name="Normal 5 2 3 2 2 2 2 2 5" xfId="28471" xr:uid="{28DA1E3B-B32E-439D-BA16-81F49375A6D1}"/>
    <cellStyle name="Normal 5 2 3 2 2 2 2 3" xfId="5213" xr:uid="{00000000-0005-0000-0000-00003A180000}"/>
    <cellStyle name="Normal 5 2 3 2 2 2 2 3 2" xfId="13663" xr:uid="{9C661E5F-369F-4457-A7B9-72F470A43814}"/>
    <cellStyle name="Normal 5 2 3 2 2 2 2 3 3" xfId="22103" xr:uid="{4B778D74-E0BD-4AA7-932C-1142D82321D6}"/>
    <cellStyle name="Normal 5 2 3 2 2 2 2 3 4" xfId="30543" xr:uid="{E0B3544D-867E-410A-936E-4A4DD7B500EE}"/>
    <cellStyle name="Normal 5 2 3 2 2 2 2 4" xfId="9445" xr:uid="{FA219C9B-92DC-4113-9C11-AB1C05BF93EA}"/>
    <cellStyle name="Normal 5 2 3 2 2 2 2 5" xfId="17886" xr:uid="{59AF5DA4-637C-4116-B7FC-6AC3CF2656B9}"/>
    <cellStyle name="Normal 5 2 3 2 2 2 2 6" xfId="26326" xr:uid="{7737010B-0A89-41F9-8F53-E697131623D7}"/>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2 2 2" xfId="16221" xr:uid="{E4E049B9-AED2-49DC-B36D-1F6C9E3B440E}"/>
    <cellStyle name="Normal 5 2 3 2 2 2 3 2 2 3" xfId="24661" xr:uid="{E3DD9A2D-926B-49FF-A133-4A56561F75FC}"/>
    <cellStyle name="Normal 5 2 3 2 2 2 3 2 2 4" xfId="33101" xr:uid="{15314C9E-D769-4498-9091-ECF60580880D}"/>
    <cellStyle name="Normal 5 2 3 2 2 2 3 2 3" xfId="12003" xr:uid="{59999AFF-3BD7-4773-A628-94DA15B89B4A}"/>
    <cellStyle name="Normal 5 2 3 2 2 2 3 2 4" xfId="20444" xr:uid="{46CF5E87-ABDE-4468-878F-F299A2E280E7}"/>
    <cellStyle name="Normal 5 2 3 2 2 2 3 2 5" xfId="28884" xr:uid="{FB576922-E346-4785-BB8F-3929B7C8CBA0}"/>
    <cellStyle name="Normal 5 2 3 2 2 2 3 3" xfId="5626" xr:uid="{00000000-0005-0000-0000-00003E180000}"/>
    <cellStyle name="Normal 5 2 3 2 2 2 3 3 2" xfId="14076" xr:uid="{66D4391A-4E8D-48CB-87DD-2DB9CE6BC113}"/>
    <cellStyle name="Normal 5 2 3 2 2 2 3 3 3" xfId="22516" xr:uid="{F636D2CA-98C1-4BC7-84EF-0CA984A1A436}"/>
    <cellStyle name="Normal 5 2 3 2 2 2 3 3 4" xfId="30956" xr:uid="{8CDF5C68-E7BE-4278-B6A2-D245D2F11D1D}"/>
    <cellStyle name="Normal 5 2 3 2 2 2 3 4" xfId="9858" xr:uid="{B6E8827B-CBA5-4F13-88E0-0D57D5BF340A}"/>
    <cellStyle name="Normal 5 2 3 2 2 2 3 5" xfId="18299" xr:uid="{0067F48C-54E9-4F6B-B612-CCAA7C4FE7D4}"/>
    <cellStyle name="Normal 5 2 3 2 2 2 3 6" xfId="26739" xr:uid="{2FDE4666-48BB-4325-9C79-913930ACEB09}"/>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2 2 2" xfId="16634" xr:uid="{027C0A96-5C90-4F03-88CC-657FDFA81F51}"/>
    <cellStyle name="Normal 5 2 3 2 2 2 4 2 2 3" xfId="25074" xr:uid="{F6646EDF-A7A5-412D-9F9C-80AD616FE3AF}"/>
    <cellStyle name="Normal 5 2 3 2 2 2 4 2 2 4" xfId="33514" xr:uid="{73A5800B-071C-49E5-B54D-179DCB818B9F}"/>
    <cellStyle name="Normal 5 2 3 2 2 2 4 2 3" xfId="12416" xr:uid="{DE7C8C18-4B92-4A76-AF21-7E6B3C692264}"/>
    <cellStyle name="Normal 5 2 3 2 2 2 4 2 4" xfId="20857" xr:uid="{57804567-3AE5-46C8-90DA-E1D666FE0790}"/>
    <cellStyle name="Normal 5 2 3 2 2 2 4 2 5" xfId="29297" xr:uid="{1C4DC5F6-DA2A-4908-B107-9D8693262754}"/>
    <cellStyle name="Normal 5 2 3 2 2 2 4 3" xfId="6039" xr:uid="{00000000-0005-0000-0000-000042180000}"/>
    <cellStyle name="Normal 5 2 3 2 2 2 4 3 2" xfId="14489" xr:uid="{CD107D9E-7F2F-44CF-A3B0-32B1AEB6C77C}"/>
    <cellStyle name="Normal 5 2 3 2 2 2 4 3 3" xfId="22929" xr:uid="{5CCAE26A-844E-4912-AF2A-C7D2C636DEC2}"/>
    <cellStyle name="Normal 5 2 3 2 2 2 4 3 4" xfId="31369" xr:uid="{563607C9-B47B-49FA-A56E-57485C395082}"/>
    <cellStyle name="Normal 5 2 3 2 2 2 4 4" xfId="10271" xr:uid="{0DF2F0A3-117E-4268-B015-FC5CB8D0AADB}"/>
    <cellStyle name="Normal 5 2 3 2 2 2 4 5" xfId="18712" xr:uid="{E6DD28E5-0A45-45C5-A1C2-94DBFAD3A1BD}"/>
    <cellStyle name="Normal 5 2 3 2 2 2 4 6" xfId="27152" xr:uid="{133ACB5C-24C8-4A82-99A7-568778C258E1}"/>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2 2 2" xfId="17047" xr:uid="{406B5D9C-B43C-4205-8364-57275E42D51C}"/>
    <cellStyle name="Normal 5 2 3 2 2 2 5 2 2 3" xfId="25487" xr:uid="{CAEAA3E1-7318-4988-BA95-85B4951A489A}"/>
    <cellStyle name="Normal 5 2 3 2 2 2 5 2 2 4" xfId="33927" xr:uid="{94B8386E-6C6F-44D9-8037-92F11080B67E}"/>
    <cellStyle name="Normal 5 2 3 2 2 2 5 2 3" xfId="12829" xr:uid="{C1C6CCB1-B329-4352-8910-CFCCD78839E0}"/>
    <cellStyle name="Normal 5 2 3 2 2 2 5 2 4" xfId="21270" xr:uid="{AC5EF852-7E14-4BD7-BFAD-391ACE06935E}"/>
    <cellStyle name="Normal 5 2 3 2 2 2 5 2 5" xfId="29710" xr:uid="{1302B464-DC19-4C2C-B633-B743364ED9C1}"/>
    <cellStyle name="Normal 5 2 3 2 2 2 5 3" xfId="6452" xr:uid="{00000000-0005-0000-0000-000046180000}"/>
    <cellStyle name="Normal 5 2 3 2 2 2 5 3 2" xfId="14902" xr:uid="{778B9BD9-2EAE-4709-BF2C-00C24BB229F7}"/>
    <cellStyle name="Normal 5 2 3 2 2 2 5 3 3" xfId="23342" xr:uid="{17658BD0-C33A-4A4D-AED8-E04B592AADA2}"/>
    <cellStyle name="Normal 5 2 3 2 2 2 5 3 4" xfId="31782" xr:uid="{D3903E72-692B-40E5-B556-F504413BE7C3}"/>
    <cellStyle name="Normal 5 2 3 2 2 2 5 4" xfId="10684" xr:uid="{1084F0B0-B792-4478-9286-7FFF1B41A874}"/>
    <cellStyle name="Normal 5 2 3 2 2 2 5 5" xfId="19125" xr:uid="{41BDD6E5-83F8-4DE3-B5D4-529968CCFADB}"/>
    <cellStyle name="Normal 5 2 3 2 2 2 5 6" xfId="27565" xr:uid="{678B8BE0-07C8-43D5-95D3-81BA066184BF}"/>
    <cellStyle name="Normal 5 2 3 2 2 2 6" xfId="2582" xr:uid="{00000000-0005-0000-0000-000047180000}"/>
    <cellStyle name="Normal 5 2 3 2 2 2 6 2" xfId="6865" xr:uid="{00000000-0005-0000-0000-000048180000}"/>
    <cellStyle name="Normal 5 2 3 2 2 2 6 2 2" xfId="15315" xr:uid="{11112407-A4D3-4392-80B2-EC2A8F5DC164}"/>
    <cellStyle name="Normal 5 2 3 2 2 2 6 2 3" xfId="23755" xr:uid="{7A5C3EB1-23A2-435F-B838-BA2F5ED4E495}"/>
    <cellStyle name="Normal 5 2 3 2 2 2 6 2 4" xfId="32195" xr:uid="{FDA783E1-8E4F-4857-A6D1-DF58D3CB835A}"/>
    <cellStyle name="Normal 5 2 3 2 2 2 6 3" xfId="11097" xr:uid="{09C93399-4E00-417E-8357-7FC0AA83DE4D}"/>
    <cellStyle name="Normal 5 2 3 2 2 2 6 4" xfId="19538" xr:uid="{FD293543-ED24-46C3-91EB-923A457FBD93}"/>
    <cellStyle name="Normal 5 2 3 2 2 2 6 5" xfId="27978" xr:uid="{91EE2D88-5F12-4B1B-B12F-C71AFD708861}"/>
    <cellStyle name="Normal 5 2 3 2 2 2 7" xfId="4800" xr:uid="{00000000-0005-0000-0000-000049180000}"/>
    <cellStyle name="Normal 5 2 3 2 2 2 7 2" xfId="13250" xr:uid="{046E50ED-C00E-486A-B93D-EADC29FBAF98}"/>
    <cellStyle name="Normal 5 2 3 2 2 2 7 3" xfId="21690" xr:uid="{8D99E8FC-74A6-45AA-A45D-DD91F20182E3}"/>
    <cellStyle name="Normal 5 2 3 2 2 2 7 4" xfId="30130" xr:uid="{A16BB7F3-EE2F-4725-BEC3-946DBF12EA90}"/>
    <cellStyle name="Normal 5 2 3 2 2 2 8" xfId="9032" xr:uid="{5DC1234F-48C1-4FA0-A3DF-AA7A8DAA32F0}"/>
    <cellStyle name="Normal 5 2 3 2 2 2 9" xfId="17473" xr:uid="{24A2251A-829D-45C5-A267-A883A5E2D675}"/>
    <cellStyle name="Normal 5 2 3 2 2 3" xfId="900" xr:uid="{00000000-0005-0000-0000-00004A180000}"/>
    <cellStyle name="Normal 5 2 3 2 2 3 2" xfId="3135" xr:uid="{00000000-0005-0000-0000-00004B180000}"/>
    <cellStyle name="Normal 5 2 3 2 2 3 2 2" xfId="7357" xr:uid="{00000000-0005-0000-0000-00004C180000}"/>
    <cellStyle name="Normal 5 2 3 2 2 3 2 2 2" xfId="15807" xr:uid="{02B6FC1B-B2B8-4718-A17A-A7A8F3F4EB0E}"/>
    <cellStyle name="Normal 5 2 3 2 2 3 2 2 3" xfId="24247" xr:uid="{6F4F82D2-9DF8-4175-83D4-72A7421A036A}"/>
    <cellStyle name="Normal 5 2 3 2 2 3 2 2 4" xfId="32687" xr:uid="{AE533112-2726-47D7-82BB-2B6C0F724E27}"/>
    <cellStyle name="Normal 5 2 3 2 2 3 2 3" xfId="11589" xr:uid="{3062E57D-0B93-45D4-895B-8B4213705727}"/>
    <cellStyle name="Normal 5 2 3 2 2 3 2 4" xfId="20030" xr:uid="{2730B51F-D7ED-4612-8181-8042AAF18497}"/>
    <cellStyle name="Normal 5 2 3 2 2 3 2 5" xfId="28470" xr:uid="{1342A8C8-88A8-4468-AE0D-8A31284F21C9}"/>
    <cellStyle name="Normal 5 2 3 2 2 3 3" xfId="5212" xr:uid="{00000000-0005-0000-0000-00004D180000}"/>
    <cellStyle name="Normal 5 2 3 2 2 3 3 2" xfId="13662" xr:uid="{80607B05-DB66-4B6C-AABF-9148ED9334E8}"/>
    <cellStyle name="Normal 5 2 3 2 2 3 3 3" xfId="22102" xr:uid="{4855F1F5-5FB4-48CE-B2C3-74A8CFAB0A50}"/>
    <cellStyle name="Normal 5 2 3 2 2 3 3 4" xfId="30542" xr:uid="{A98E932B-F6F7-4520-8D6D-FB4B6C8AD029}"/>
    <cellStyle name="Normal 5 2 3 2 2 3 4" xfId="9444" xr:uid="{AA301DE7-8070-45A4-8651-146350D80C7F}"/>
    <cellStyle name="Normal 5 2 3 2 2 3 5" xfId="17885" xr:uid="{5D6A8595-7BF3-4EAE-8361-6FD1CA20FDB6}"/>
    <cellStyle name="Normal 5 2 3 2 2 3 6" xfId="26325" xr:uid="{B64B55BA-5816-428D-8593-1B0950AED417}"/>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2 2 2" xfId="16220" xr:uid="{21A45727-457A-4CB0-85F7-B16F85346976}"/>
    <cellStyle name="Normal 5 2 3 2 2 4 2 2 3" xfId="24660" xr:uid="{9EF321DE-9249-45F1-BB7A-775AD5160D92}"/>
    <cellStyle name="Normal 5 2 3 2 2 4 2 2 4" xfId="33100" xr:uid="{BC8033DF-1D91-41AC-999E-BE528889ABB8}"/>
    <cellStyle name="Normal 5 2 3 2 2 4 2 3" xfId="12002" xr:uid="{F1887DE7-782C-439A-8707-9D9FC13EB10C}"/>
    <cellStyle name="Normal 5 2 3 2 2 4 2 4" xfId="20443" xr:uid="{F7AA85ED-22F2-41F8-B3BC-D72435CB27DE}"/>
    <cellStyle name="Normal 5 2 3 2 2 4 2 5" xfId="28883" xr:uid="{B4863275-DF04-4D21-89C8-EC5826E9ED8D}"/>
    <cellStyle name="Normal 5 2 3 2 2 4 3" xfId="5625" xr:uid="{00000000-0005-0000-0000-000051180000}"/>
    <cellStyle name="Normal 5 2 3 2 2 4 3 2" xfId="14075" xr:uid="{BC317D7A-11AB-4FFD-B817-7BCC7CC54FC1}"/>
    <cellStyle name="Normal 5 2 3 2 2 4 3 3" xfId="22515" xr:uid="{B402566E-704A-4929-89D4-3C327C4401C9}"/>
    <cellStyle name="Normal 5 2 3 2 2 4 3 4" xfId="30955" xr:uid="{706447EF-1E5C-4133-B750-73C17BE61A53}"/>
    <cellStyle name="Normal 5 2 3 2 2 4 4" xfId="9857" xr:uid="{E48D53C8-19E9-4DCB-BD63-299E61AB7BE4}"/>
    <cellStyle name="Normal 5 2 3 2 2 4 5" xfId="18298" xr:uid="{F82D861C-A486-423F-B9FE-BD78CAB47D63}"/>
    <cellStyle name="Normal 5 2 3 2 2 4 6" xfId="26738" xr:uid="{DB474252-0196-495A-A698-1C4A8F4DCD0E}"/>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2 2 2" xfId="16633" xr:uid="{EB244CF6-FA9F-43CF-9E6E-D933D83795A8}"/>
    <cellStyle name="Normal 5 2 3 2 2 5 2 2 3" xfId="25073" xr:uid="{F18C6A96-899D-462A-A614-A1653F2B104D}"/>
    <cellStyle name="Normal 5 2 3 2 2 5 2 2 4" xfId="33513" xr:uid="{CC082C71-0FC8-495C-91F5-170EDC5C5DB0}"/>
    <cellStyle name="Normal 5 2 3 2 2 5 2 3" xfId="12415" xr:uid="{C3593AE4-73A1-4F95-86AE-81DCA36A96A5}"/>
    <cellStyle name="Normal 5 2 3 2 2 5 2 4" xfId="20856" xr:uid="{180D0368-5002-446E-8573-D1471BB386AA}"/>
    <cellStyle name="Normal 5 2 3 2 2 5 2 5" xfId="29296" xr:uid="{76E04F7B-AE4F-4C97-B07F-95230A1589D7}"/>
    <cellStyle name="Normal 5 2 3 2 2 5 3" xfId="6038" xr:uid="{00000000-0005-0000-0000-000055180000}"/>
    <cellStyle name="Normal 5 2 3 2 2 5 3 2" xfId="14488" xr:uid="{1E69CBD6-D531-4BA2-8C58-49080D669EF5}"/>
    <cellStyle name="Normal 5 2 3 2 2 5 3 3" xfId="22928" xr:uid="{66F8C14D-1111-413A-9B22-08C754B68BF4}"/>
    <cellStyle name="Normal 5 2 3 2 2 5 3 4" xfId="31368" xr:uid="{C3ACA0AE-80DE-42ED-AD03-828D00D5CEBE}"/>
    <cellStyle name="Normal 5 2 3 2 2 5 4" xfId="10270" xr:uid="{14BC3406-82E4-4172-8AE6-8A5315F1C6F4}"/>
    <cellStyle name="Normal 5 2 3 2 2 5 5" xfId="18711" xr:uid="{66439095-B006-459B-A86B-08044F95F3C2}"/>
    <cellStyle name="Normal 5 2 3 2 2 5 6" xfId="27151" xr:uid="{A83252F2-9C23-44FC-84E4-CC67C194096E}"/>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2 2 2" xfId="17046" xr:uid="{CA1A3FA5-3A79-4E3F-8BDF-0A5180D77384}"/>
    <cellStyle name="Normal 5 2 3 2 2 6 2 2 3" xfId="25486" xr:uid="{D47B1321-D6ED-4517-9E47-0B030C24F26C}"/>
    <cellStyle name="Normal 5 2 3 2 2 6 2 2 4" xfId="33926" xr:uid="{D35C4537-03A8-4B68-AD56-B3EA5BBEF78B}"/>
    <cellStyle name="Normal 5 2 3 2 2 6 2 3" xfId="12828" xr:uid="{A3776049-4F27-4ADB-90E1-E255D4BBAF64}"/>
    <cellStyle name="Normal 5 2 3 2 2 6 2 4" xfId="21269" xr:uid="{90FC2186-BD2B-4214-97B6-95B542EE6BA7}"/>
    <cellStyle name="Normal 5 2 3 2 2 6 2 5" xfId="29709" xr:uid="{976D7195-647F-4550-A954-1C9C186E85E5}"/>
    <cellStyle name="Normal 5 2 3 2 2 6 3" xfId="6451" xr:uid="{00000000-0005-0000-0000-000059180000}"/>
    <cellStyle name="Normal 5 2 3 2 2 6 3 2" xfId="14901" xr:uid="{EE3BDCBF-1A0B-4DF5-ABE5-D02C359BC80C}"/>
    <cellStyle name="Normal 5 2 3 2 2 6 3 3" xfId="23341" xr:uid="{6379657C-1D81-4EEB-B742-58EB0FEC843B}"/>
    <cellStyle name="Normal 5 2 3 2 2 6 3 4" xfId="31781" xr:uid="{E69F17B6-0E80-45AC-ACA8-EE0F945D5219}"/>
    <cellStyle name="Normal 5 2 3 2 2 6 4" xfId="10683" xr:uid="{24F8FAE8-80A4-4459-9745-DCD9F7ED17CB}"/>
    <cellStyle name="Normal 5 2 3 2 2 6 5" xfId="19124" xr:uid="{7AA95284-1CDD-4035-8D24-0E1F9C39F4D2}"/>
    <cellStyle name="Normal 5 2 3 2 2 6 6" xfId="27564" xr:uid="{AD04ED90-E8A2-41D1-95B2-3A99F6BF508C}"/>
    <cellStyle name="Normal 5 2 3 2 2 7" xfId="2581" xr:uid="{00000000-0005-0000-0000-00005A180000}"/>
    <cellStyle name="Normal 5 2 3 2 2 7 2" xfId="6864" xr:uid="{00000000-0005-0000-0000-00005B180000}"/>
    <cellStyle name="Normal 5 2 3 2 2 7 2 2" xfId="15314" xr:uid="{45F3D7F9-5530-43C3-9AEB-FC34DF18A837}"/>
    <cellStyle name="Normal 5 2 3 2 2 7 2 3" xfId="23754" xr:uid="{094CB2BA-6D14-4245-8BCA-909EECDB33B1}"/>
    <cellStyle name="Normal 5 2 3 2 2 7 2 4" xfId="32194" xr:uid="{694FF826-0F83-4AA6-8707-37AC530EF26D}"/>
    <cellStyle name="Normal 5 2 3 2 2 7 3" xfId="11096" xr:uid="{3D4081A2-A24D-48DD-8C7B-6A491596B7D4}"/>
    <cellStyle name="Normal 5 2 3 2 2 7 4" xfId="19537" xr:uid="{BCE111FE-93F9-4F7C-BBE0-3F280FF0D49F}"/>
    <cellStyle name="Normal 5 2 3 2 2 7 5" xfId="27977" xr:uid="{C1E8D253-6503-45ED-B031-4B04F91911D0}"/>
    <cellStyle name="Normal 5 2 3 2 2 8" xfId="4799" xr:uid="{00000000-0005-0000-0000-00005C180000}"/>
    <cellStyle name="Normal 5 2 3 2 2 8 2" xfId="13249" xr:uid="{A118A1D0-66D7-478D-95DF-DC09A63BEA0C}"/>
    <cellStyle name="Normal 5 2 3 2 2 8 3" xfId="21689" xr:uid="{3232944E-B33B-4898-8590-5877AFA2C362}"/>
    <cellStyle name="Normal 5 2 3 2 2 8 4" xfId="30129" xr:uid="{608D5EEB-39FB-4830-A379-6B906BD4A282}"/>
    <cellStyle name="Normal 5 2 3 2 2 9" xfId="9031" xr:uid="{CCE97173-A10B-40C7-8F0F-2078D4AA4B52}"/>
    <cellStyle name="Normal 5 2 3 2 3" xfId="428" xr:uid="{00000000-0005-0000-0000-00005D180000}"/>
    <cellStyle name="Normal 5 2 3 2 3 10" xfId="25914" xr:uid="{E3DABD11-7AFA-429E-9F2D-DFD6D088766A}"/>
    <cellStyle name="Normal 5 2 3 2 3 2" xfId="902" xr:uid="{00000000-0005-0000-0000-00005E180000}"/>
    <cellStyle name="Normal 5 2 3 2 3 2 2" xfId="3137" xr:uid="{00000000-0005-0000-0000-00005F180000}"/>
    <cellStyle name="Normal 5 2 3 2 3 2 2 2" xfId="7359" xr:uid="{00000000-0005-0000-0000-000060180000}"/>
    <cellStyle name="Normal 5 2 3 2 3 2 2 2 2" xfId="15809" xr:uid="{851BE416-96C3-46FC-AE0C-9595E191B26B}"/>
    <cellStyle name="Normal 5 2 3 2 3 2 2 2 3" xfId="24249" xr:uid="{69325241-CABC-43D7-B117-688C30430A0D}"/>
    <cellStyle name="Normal 5 2 3 2 3 2 2 2 4" xfId="32689" xr:uid="{D2C6E86D-A47F-46F4-A645-5E95236EBBE1}"/>
    <cellStyle name="Normal 5 2 3 2 3 2 2 3" xfId="11591" xr:uid="{8C3204A0-4942-4514-9BA3-B10FE50E4400}"/>
    <cellStyle name="Normal 5 2 3 2 3 2 2 4" xfId="20032" xr:uid="{8A695B83-40C3-49E8-A110-CB9EC40DCFEC}"/>
    <cellStyle name="Normal 5 2 3 2 3 2 2 5" xfId="28472" xr:uid="{161D9405-368E-4CD1-9886-4D64332E8D4C}"/>
    <cellStyle name="Normal 5 2 3 2 3 2 3" xfId="5214" xr:uid="{00000000-0005-0000-0000-000061180000}"/>
    <cellStyle name="Normal 5 2 3 2 3 2 3 2" xfId="13664" xr:uid="{5BC292DD-2531-4B12-A3F1-17E0D3C1A453}"/>
    <cellStyle name="Normal 5 2 3 2 3 2 3 3" xfId="22104" xr:uid="{34997ACB-B9C1-468C-B989-14F9985690D0}"/>
    <cellStyle name="Normal 5 2 3 2 3 2 3 4" xfId="30544" xr:uid="{3FAEB23E-CB8B-4823-A7F9-276A894F67CC}"/>
    <cellStyle name="Normal 5 2 3 2 3 2 4" xfId="9446" xr:uid="{743745E9-3CD0-4284-95B2-B26A26A55D76}"/>
    <cellStyle name="Normal 5 2 3 2 3 2 5" xfId="17887" xr:uid="{BF078674-E795-4878-A2E8-6B6074357F7F}"/>
    <cellStyle name="Normal 5 2 3 2 3 2 6" xfId="26327" xr:uid="{9D71482D-8A6F-4EBA-8A90-D5FFA98BB559}"/>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2 2 2" xfId="16222" xr:uid="{F36DF316-0B32-4E3B-9A9E-D4262A365BB7}"/>
    <cellStyle name="Normal 5 2 3 2 3 3 2 2 3" xfId="24662" xr:uid="{1E7C19EC-9894-4B73-9F53-486FE7385BC1}"/>
    <cellStyle name="Normal 5 2 3 2 3 3 2 2 4" xfId="33102" xr:uid="{E6D1E548-B1F0-47BF-8A1D-1123DBB6BE3D}"/>
    <cellStyle name="Normal 5 2 3 2 3 3 2 3" xfId="12004" xr:uid="{5D8E8CD2-367E-496B-A211-3F161403975B}"/>
    <cellStyle name="Normal 5 2 3 2 3 3 2 4" xfId="20445" xr:uid="{250F3702-AD99-4772-A0F5-1D3D97123B3C}"/>
    <cellStyle name="Normal 5 2 3 2 3 3 2 5" xfId="28885" xr:uid="{57B1C857-A0F5-4C94-B603-5814B55CAC2C}"/>
    <cellStyle name="Normal 5 2 3 2 3 3 3" xfId="5627" xr:uid="{00000000-0005-0000-0000-000065180000}"/>
    <cellStyle name="Normal 5 2 3 2 3 3 3 2" xfId="14077" xr:uid="{8AA42B8E-60CE-41D3-B984-4B1FE8931F01}"/>
    <cellStyle name="Normal 5 2 3 2 3 3 3 3" xfId="22517" xr:uid="{60C48600-0EA6-40B7-9B0D-47CFCA92634D}"/>
    <cellStyle name="Normal 5 2 3 2 3 3 3 4" xfId="30957" xr:uid="{F800D827-7F53-467F-9AAB-2B7760A79B77}"/>
    <cellStyle name="Normal 5 2 3 2 3 3 4" xfId="9859" xr:uid="{BAC3AE3D-3128-44B1-88F6-AB2E367D137A}"/>
    <cellStyle name="Normal 5 2 3 2 3 3 5" xfId="18300" xr:uid="{A8AEADE5-97B3-41AC-9432-5B54C989A9CD}"/>
    <cellStyle name="Normal 5 2 3 2 3 3 6" xfId="26740" xr:uid="{5109E661-1CF2-4F66-91A2-82FE67E37F56}"/>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2 2 2" xfId="16635" xr:uid="{FAD755ED-4D6C-489C-A6C7-172B762ECD9E}"/>
    <cellStyle name="Normal 5 2 3 2 3 4 2 2 3" xfId="25075" xr:uid="{8E507378-A313-4906-BD2A-CA4CC4ACDC68}"/>
    <cellStyle name="Normal 5 2 3 2 3 4 2 2 4" xfId="33515" xr:uid="{C2BCA260-76C2-45A9-8EF9-2630104BCCBE}"/>
    <cellStyle name="Normal 5 2 3 2 3 4 2 3" xfId="12417" xr:uid="{A428EF16-18FA-4E02-BF26-27C30638065A}"/>
    <cellStyle name="Normal 5 2 3 2 3 4 2 4" xfId="20858" xr:uid="{D6AE0CD6-EA26-4C88-942A-E598DB648D95}"/>
    <cellStyle name="Normal 5 2 3 2 3 4 2 5" xfId="29298" xr:uid="{6EB600F8-AC8A-4DF5-821E-BB7FA7FFF4D1}"/>
    <cellStyle name="Normal 5 2 3 2 3 4 3" xfId="6040" xr:uid="{00000000-0005-0000-0000-000069180000}"/>
    <cellStyle name="Normal 5 2 3 2 3 4 3 2" xfId="14490" xr:uid="{8CAD7BBB-47B6-46D9-8B41-41040F4F1079}"/>
    <cellStyle name="Normal 5 2 3 2 3 4 3 3" xfId="22930" xr:uid="{088DD26F-8F16-41A7-9E65-CB44203354EA}"/>
    <cellStyle name="Normal 5 2 3 2 3 4 3 4" xfId="31370" xr:uid="{C2946F52-937A-4292-B3D4-F328D5BF43C3}"/>
    <cellStyle name="Normal 5 2 3 2 3 4 4" xfId="10272" xr:uid="{43B20988-8B3A-49D5-9C76-D224AA20863A}"/>
    <cellStyle name="Normal 5 2 3 2 3 4 5" xfId="18713" xr:uid="{4E284E87-B251-4F9E-A442-6BC444C8E032}"/>
    <cellStyle name="Normal 5 2 3 2 3 4 6" xfId="27153" xr:uid="{BA3B7524-C40B-4296-BE60-DE7F84212B4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2 2 2" xfId="17048" xr:uid="{2E2D3630-48D3-49E6-A9C7-EFAE0A2FF85D}"/>
    <cellStyle name="Normal 5 2 3 2 3 5 2 2 3" xfId="25488" xr:uid="{7DFB65B4-AB72-4C36-AF2F-4003C70BF8F9}"/>
    <cellStyle name="Normal 5 2 3 2 3 5 2 2 4" xfId="33928" xr:uid="{F4186C6B-145B-4A77-A0CF-A15544D89D76}"/>
    <cellStyle name="Normal 5 2 3 2 3 5 2 3" xfId="12830" xr:uid="{2D198CCC-61C1-4A31-B323-0AC23F7F951D}"/>
    <cellStyle name="Normal 5 2 3 2 3 5 2 4" xfId="21271" xr:uid="{42C231A1-7B04-4D53-9935-B4B1EF7F6A0C}"/>
    <cellStyle name="Normal 5 2 3 2 3 5 2 5" xfId="29711" xr:uid="{9FED5534-9950-426D-873B-0BAEFFD8ABAE}"/>
    <cellStyle name="Normal 5 2 3 2 3 5 3" xfId="6453" xr:uid="{00000000-0005-0000-0000-00006D180000}"/>
    <cellStyle name="Normal 5 2 3 2 3 5 3 2" xfId="14903" xr:uid="{C28DF829-AFB7-4DCB-ABD5-56C8D053CFCC}"/>
    <cellStyle name="Normal 5 2 3 2 3 5 3 3" xfId="23343" xr:uid="{D19B3972-084E-4EDB-B02A-4F52ABF8378A}"/>
    <cellStyle name="Normal 5 2 3 2 3 5 3 4" xfId="31783" xr:uid="{A0CE4A54-6252-49C8-9023-AB4854352CFD}"/>
    <cellStyle name="Normal 5 2 3 2 3 5 4" xfId="10685" xr:uid="{00168BF8-F3BD-443E-B0E3-B894CB3997E2}"/>
    <cellStyle name="Normal 5 2 3 2 3 5 5" xfId="19126" xr:uid="{D5804181-DB20-46F2-8D7C-7EFE1264E1FB}"/>
    <cellStyle name="Normal 5 2 3 2 3 5 6" xfId="27566" xr:uid="{10C91548-5399-4230-8080-CB8B3EF00E3C}"/>
    <cellStyle name="Normal 5 2 3 2 3 6" xfId="2583" xr:uid="{00000000-0005-0000-0000-00006E180000}"/>
    <cellStyle name="Normal 5 2 3 2 3 6 2" xfId="6866" xr:uid="{00000000-0005-0000-0000-00006F180000}"/>
    <cellStyle name="Normal 5 2 3 2 3 6 2 2" xfId="15316" xr:uid="{2921DEF4-860F-4250-849F-211BB5AA3088}"/>
    <cellStyle name="Normal 5 2 3 2 3 6 2 3" xfId="23756" xr:uid="{0EAE4088-528C-46F0-93B0-5632FDA4D8CE}"/>
    <cellStyle name="Normal 5 2 3 2 3 6 2 4" xfId="32196" xr:uid="{99EC1AF6-9D78-4E7E-9A21-11B963732B59}"/>
    <cellStyle name="Normal 5 2 3 2 3 6 3" xfId="11098" xr:uid="{9992123E-7EAF-43D5-A2D6-BA17B154266E}"/>
    <cellStyle name="Normal 5 2 3 2 3 6 4" xfId="19539" xr:uid="{41C2013A-B62B-4E38-80C6-0B4C6F04D9D1}"/>
    <cellStyle name="Normal 5 2 3 2 3 6 5" xfId="27979" xr:uid="{F3AEE380-C980-4EA1-A78F-E1723CF88C3A}"/>
    <cellStyle name="Normal 5 2 3 2 3 7" xfId="4801" xr:uid="{00000000-0005-0000-0000-000070180000}"/>
    <cellStyle name="Normal 5 2 3 2 3 7 2" xfId="13251" xr:uid="{73719C8B-8BCF-4782-BCC1-2437842B1820}"/>
    <cellStyle name="Normal 5 2 3 2 3 7 3" xfId="21691" xr:uid="{E1D9A3EB-971B-4FA9-AAC9-8E0C33D8D2BD}"/>
    <cellStyle name="Normal 5 2 3 2 3 7 4" xfId="30131" xr:uid="{64393222-10F9-4CBF-BEF5-2279667F0D1E}"/>
    <cellStyle name="Normal 5 2 3 2 3 8" xfId="9033" xr:uid="{DAFC5CD4-5185-4CD6-A187-91B2BE2DB4F1}"/>
    <cellStyle name="Normal 5 2 3 2 3 9" xfId="17474" xr:uid="{39F55DA9-5837-4CBD-981F-09CDCC4E5020}"/>
    <cellStyle name="Normal 5 2 3 2 4" xfId="899" xr:uid="{00000000-0005-0000-0000-000071180000}"/>
    <cellStyle name="Normal 5 2 3 2 4 2" xfId="3134" xr:uid="{00000000-0005-0000-0000-000072180000}"/>
    <cellStyle name="Normal 5 2 3 2 4 2 2" xfId="7356" xr:uid="{00000000-0005-0000-0000-000073180000}"/>
    <cellStyle name="Normal 5 2 3 2 4 2 2 2" xfId="15806" xr:uid="{2F27C1B6-F03B-436A-84EA-ADF2E0165422}"/>
    <cellStyle name="Normal 5 2 3 2 4 2 2 3" xfId="24246" xr:uid="{84BCF94E-EF75-4436-8DD2-4D30FEC9F742}"/>
    <cellStyle name="Normal 5 2 3 2 4 2 2 4" xfId="32686" xr:uid="{79F476B3-9EE9-4BC2-905B-F7A5E9335D0D}"/>
    <cellStyle name="Normal 5 2 3 2 4 2 3" xfId="11588" xr:uid="{ED27BD80-082C-43BB-AD82-8DC3D17A15F3}"/>
    <cellStyle name="Normal 5 2 3 2 4 2 4" xfId="20029" xr:uid="{D1AC8A1A-C80F-4B97-BE3F-7DBC77C02B84}"/>
    <cellStyle name="Normal 5 2 3 2 4 2 5" xfId="28469" xr:uid="{A8F435EA-0F70-4FDF-81A9-787E87AF9DEB}"/>
    <cellStyle name="Normal 5 2 3 2 4 3" xfId="5211" xr:uid="{00000000-0005-0000-0000-000074180000}"/>
    <cellStyle name="Normal 5 2 3 2 4 3 2" xfId="13661" xr:uid="{1A9EF922-3FF2-4A90-85F3-32929422896A}"/>
    <cellStyle name="Normal 5 2 3 2 4 3 3" xfId="22101" xr:uid="{0053CB64-8C55-4831-8C8C-9B651EF91144}"/>
    <cellStyle name="Normal 5 2 3 2 4 3 4" xfId="30541" xr:uid="{B19BE7D3-F210-4DE9-B096-EBE97F09B7F0}"/>
    <cellStyle name="Normal 5 2 3 2 4 4" xfId="9443" xr:uid="{22B721CE-6F33-4F52-9EC4-BB694630BC22}"/>
    <cellStyle name="Normal 5 2 3 2 4 5" xfId="17884" xr:uid="{9EFC0378-F42B-45C0-8EE2-7B1863F61ABD}"/>
    <cellStyle name="Normal 5 2 3 2 4 6" xfId="26324" xr:uid="{A89A1FEB-B828-4EDC-AF43-81B937E68F1B}"/>
    <cellStyle name="Normal 5 2 3 2 5" xfId="1317" xr:uid="{00000000-0005-0000-0000-000075180000}"/>
    <cellStyle name="Normal 5 2 3 2 5 2" xfId="3547" xr:uid="{00000000-0005-0000-0000-000076180000}"/>
    <cellStyle name="Normal 5 2 3 2 5 2 2" xfId="7769" xr:uid="{00000000-0005-0000-0000-000077180000}"/>
    <cellStyle name="Normal 5 2 3 2 5 2 2 2" xfId="16219" xr:uid="{57D81A56-A122-499E-9FCB-5AEE8E6BF8BA}"/>
    <cellStyle name="Normal 5 2 3 2 5 2 2 3" xfId="24659" xr:uid="{EEEF83A0-3D68-474B-B100-74B487D23D2F}"/>
    <cellStyle name="Normal 5 2 3 2 5 2 2 4" xfId="33099" xr:uid="{CF3322F1-9B0F-49CD-AC03-FB7B658A9235}"/>
    <cellStyle name="Normal 5 2 3 2 5 2 3" xfId="12001" xr:uid="{E0052E08-3FE1-42F4-AD8A-152E62C79381}"/>
    <cellStyle name="Normal 5 2 3 2 5 2 4" xfId="20442" xr:uid="{4C87D7FA-3281-42C2-8636-BD087FB9FF05}"/>
    <cellStyle name="Normal 5 2 3 2 5 2 5" xfId="28882" xr:uid="{AADED4B8-1337-4E86-A55F-F65DE62A6B1D}"/>
    <cellStyle name="Normal 5 2 3 2 5 3" xfId="5624" xr:uid="{00000000-0005-0000-0000-000078180000}"/>
    <cellStyle name="Normal 5 2 3 2 5 3 2" xfId="14074" xr:uid="{79D9B8DC-1559-4087-84F5-CB83BADCA16E}"/>
    <cellStyle name="Normal 5 2 3 2 5 3 3" xfId="22514" xr:uid="{D1AEEFAE-CBD9-4B3B-8887-589470F88940}"/>
    <cellStyle name="Normal 5 2 3 2 5 3 4" xfId="30954" xr:uid="{394ABE4E-D455-440A-A49F-D2BB05CA2139}"/>
    <cellStyle name="Normal 5 2 3 2 5 4" xfId="9856" xr:uid="{32DD1452-E0B6-485C-9BAB-1CB1067C31A7}"/>
    <cellStyle name="Normal 5 2 3 2 5 5" xfId="18297" xr:uid="{71DA44DA-A91C-4264-A69A-69F41D0C3358}"/>
    <cellStyle name="Normal 5 2 3 2 5 6" xfId="26737" xr:uid="{5F40163C-888C-4C59-B032-9B6753E26CA4}"/>
    <cellStyle name="Normal 5 2 3 2 6" xfId="1730" xr:uid="{00000000-0005-0000-0000-000079180000}"/>
    <cellStyle name="Normal 5 2 3 2 6 2" xfId="3960" xr:uid="{00000000-0005-0000-0000-00007A180000}"/>
    <cellStyle name="Normal 5 2 3 2 6 2 2" xfId="8182" xr:uid="{00000000-0005-0000-0000-00007B180000}"/>
    <cellStyle name="Normal 5 2 3 2 6 2 2 2" xfId="16632" xr:uid="{D6815E31-FE9B-44BC-9994-C23D4FB19068}"/>
    <cellStyle name="Normal 5 2 3 2 6 2 2 3" xfId="25072" xr:uid="{F5021F84-EC76-4AB1-8007-79493E23D080}"/>
    <cellStyle name="Normal 5 2 3 2 6 2 2 4" xfId="33512" xr:uid="{F8EAE0A7-1F96-45E4-BBA8-F638340F5611}"/>
    <cellStyle name="Normal 5 2 3 2 6 2 3" xfId="12414" xr:uid="{3E11E355-B671-466E-A1CA-37BFAB92DE09}"/>
    <cellStyle name="Normal 5 2 3 2 6 2 4" xfId="20855" xr:uid="{815E319B-7E43-4626-9580-79F4C3902ACC}"/>
    <cellStyle name="Normal 5 2 3 2 6 2 5" xfId="29295" xr:uid="{65EBE03A-0B13-417A-A0A2-47D60637E68C}"/>
    <cellStyle name="Normal 5 2 3 2 6 3" xfId="6037" xr:uid="{00000000-0005-0000-0000-00007C180000}"/>
    <cellStyle name="Normal 5 2 3 2 6 3 2" xfId="14487" xr:uid="{67333A51-16E2-428E-9C94-4E242786486B}"/>
    <cellStyle name="Normal 5 2 3 2 6 3 3" xfId="22927" xr:uid="{7B358481-9284-4C6A-A104-4D3397B74AA7}"/>
    <cellStyle name="Normal 5 2 3 2 6 3 4" xfId="31367" xr:uid="{F4A98488-EBA9-4C31-B8C3-13A43516F345}"/>
    <cellStyle name="Normal 5 2 3 2 6 4" xfId="10269" xr:uid="{3A62ECCE-3F28-4C72-86CA-EB8F87EEECD1}"/>
    <cellStyle name="Normal 5 2 3 2 6 5" xfId="18710" xr:uid="{AC094241-6BA0-4A4F-9BD6-4BE97864A056}"/>
    <cellStyle name="Normal 5 2 3 2 6 6" xfId="27150" xr:uid="{3FD699EF-1EA0-4E9C-A4F1-4EA310209AB5}"/>
    <cellStyle name="Normal 5 2 3 2 7" xfId="2144" xr:uid="{00000000-0005-0000-0000-00007D180000}"/>
    <cellStyle name="Normal 5 2 3 2 7 2" xfId="4373" xr:uid="{00000000-0005-0000-0000-00007E180000}"/>
    <cellStyle name="Normal 5 2 3 2 7 2 2" xfId="8595" xr:uid="{00000000-0005-0000-0000-00007F180000}"/>
    <cellStyle name="Normal 5 2 3 2 7 2 2 2" xfId="17045" xr:uid="{D859A17E-E8ED-48AA-9429-E74A99B56D0C}"/>
    <cellStyle name="Normal 5 2 3 2 7 2 2 3" xfId="25485" xr:uid="{53785772-4ABA-4FCB-9DB3-396FE6D77100}"/>
    <cellStyle name="Normal 5 2 3 2 7 2 2 4" xfId="33925" xr:uid="{670466DE-42A0-4AC1-B0AA-B98142FBCF01}"/>
    <cellStyle name="Normal 5 2 3 2 7 2 3" xfId="12827" xr:uid="{0AED9895-723B-4AB8-BBB2-2C28FFAF507A}"/>
    <cellStyle name="Normal 5 2 3 2 7 2 4" xfId="21268" xr:uid="{0B620D3A-3C22-4193-AC17-90D2BE126DA1}"/>
    <cellStyle name="Normal 5 2 3 2 7 2 5" xfId="29708" xr:uid="{DBE85764-2FAE-4378-881A-247F6FF9F71B}"/>
    <cellStyle name="Normal 5 2 3 2 7 3" xfId="6450" xr:uid="{00000000-0005-0000-0000-000080180000}"/>
    <cellStyle name="Normal 5 2 3 2 7 3 2" xfId="14900" xr:uid="{5CD093AD-0F95-419F-A45C-40A1B2279696}"/>
    <cellStyle name="Normal 5 2 3 2 7 3 3" xfId="23340" xr:uid="{A2C2FFC5-CD2A-4698-80AD-A575AF3A83C0}"/>
    <cellStyle name="Normal 5 2 3 2 7 3 4" xfId="31780" xr:uid="{C5C497FE-A557-4051-B152-5116EEF3C520}"/>
    <cellStyle name="Normal 5 2 3 2 7 4" xfId="10682" xr:uid="{F25B08D0-35AF-44F8-8850-283D377CEB84}"/>
    <cellStyle name="Normal 5 2 3 2 7 5" xfId="19123" xr:uid="{A6C125D1-9A9D-450D-98F4-27AB9DBF02AD}"/>
    <cellStyle name="Normal 5 2 3 2 7 6" xfId="27563" xr:uid="{AF653F57-8EBD-48B7-B840-DD872177B97D}"/>
    <cellStyle name="Normal 5 2 3 2 8" xfId="2580" xr:uid="{00000000-0005-0000-0000-000081180000}"/>
    <cellStyle name="Normal 5 2 3 2 8 2" xfId="6863" xr:uid="{00000000-0005-0000-0000-000082180000}"/>
    <cellStyle name="Normal 5 2 3 2 8 2 2" xfId="15313" xr:uid="{F9893CFB-BDB6-41FB-8A21-FBA6E5A4127F}"/>
    <cellStyle name="Normal 5 2 3 2 8 2 3" xfId="23753" xr:uid="{094BD9DF-B3A4-41D2-955F-12F5DBBD15F0}"/>
    <cellStyle name="Normal 5 2 3 2 8 2 4" xfId="32193" xr:uid="{8E39260A-42C7-4667-A1E0-F39904D9DF37}"/>
    <cellStyle name="Normal 5 2 3 2 8 3" xfId="11095" xr:uid="{F2698B6C-908C-49F9-9628-722E5B7B4CB2}"/>
    <cellStyle name="Normal 5 2 3 2 8 4" xfId="19536" xr:uid="{A862CF85-1D9C-4D42-9459-49BF04115F0F}"/>
    <cellStyle name="Normal 5 2 3 2 8 5" xfId="27976" xr:uid="{39EA954C-28A9-495D-B39B-9821139B2773}"/>
    <cellStyle name="Normal 5 2 3 2 9" xfId="4798" xr:uid="{00000000-0005-0000-0000-000083180000}"/>
    <cellStyle name="Normal 5 2 3 2 9 2" xfId="13248" xr:uid="{92131017-F90D-4EFA-8F51-AEF6D1F1CF0C}"/>
    <cellStyle name="Normal 5 2 3 2 9 3" xfId="21688" xr:uid="{EA764B32-C703-41AB-ACAC-C082BD6D21EF}"/>
    <cellStyle name="Normal 5 2 3 2 9 4" xfId="30128" xr:uid="{82683F4A-B0AA-416F-873E-8966ABF0334C}"/>
    <cellStyle name="Normal 5 2 3 3" xfId="429" xr:uid="{00000000-0005-0000-0000-000084180000}"/>
    <cellStyle name="Normal 5 2 3 3 10" xfId="17475" xr:uid="{5184A9C5-EB73-43F2-8C65-4A1FA6C84217}"/>
    <cellStyle name="Normal 5 2 3 3 11" xfId="25915" xr:uid="{8D924056-BB3B-4796-8B07-50FBB7EF77BA}"/>
    <cellStyle name="Normal 5 2 3 3 2" xfId="430" xr:uid="{00000000-0005-0000-0000-000085180000}"/>
    <cellStyle name="Normal 5 2 3 3 2 10" xfId="25916" xr:uid="{3F127946-3E88-44AE-B634-39C796C7AA28}"/>
    <cellStyle name="Normal 5 2 3 3 2 2" xfId="904" xr:uid="{00000000-0005-0000-0000-000086180000}"/>
    <cellStyle name="Normal 5 2 3 3 2 2 2" xfId="3139" xr:uid="{00000000-0005-0000-0000-000087180000}"/>
    <cellStyle name="Normal 5 2 3 3 2 2 2 2" xfId="7361" xr:uid="{00000000-0005-0000-0000-000088180000}"/>
    <cellStyle name="Normal 5 2 3 3 2 2 2 2 2" xfId="15811" xr:uid="{63BC5EF4-7FD8-4076-9D7C-3BE62F997347}"/>
    <cellStyle name="Normal 5 2 3 3 2 2 2 2 3" xfId="24251" xr:uid="{4FB7CD30-CD58-4552-872B-BAD9132AE212}"/>
    <cellStyle name="Normal 5 2 3 3 2 2 2 2 4" xfId="32691" xr:uid="{6188E4CE-D3E3-4975-AEA5-97D66CBA46AA}"/>
    <cellStyle name="Normal 5 2 3 3 2 2 2 3" xfId="11593" xr:uid="{D9F6F67A-6D4C-4487-8982-BF868DE494B1}"/>
    <cellStyle name="Normal 5 2 3 3 2 2 2 4" xfId="20034" xr:uid="{7826B678-475D-48FA-916F-484CCE1B132F}"/>
    <cellStyle name="Normal 5 2 3 3 2 2 2 5" xfId="28474" xr:uid="{9355ABCA-3D7D-4048-8ADC-0DA8EEC53984}"/>
    <cellStyle name="Normal 5 2 3 3 2 2 3" xfId="5216" xr:uid="{00000000-0005-0000-0000-000089180000}"/>
    <cellStyle name="Normal 5 2 3 3 2 2 3 2" xfId="13666" xr:uid="{0D8F3BC9-5055-4C05-B427-9C73EAFE2758}"/>
    <cellStyle name="Normal 5 2 3 3 2 2 3 3" xfId="22106" xr:uid="{997C6775-BCAA-4627-8BCA-800975ECCC69}"/>
    <cellStyle name="Normal 5 2 3 3 2 2 3 4" xfId="30546" xr:uid="{0365DA51-CE73-495B-9F11-DA184AD935CC}"/>
    <cellStyle name="Normal 5 2 3 3 2 2 4" xfId="9448" xr:uid="{0E3F1ADD-C971-4EB0-87A3-D88A3363CEE8}"/>
    <cellStyle name="Normal 5 2 3 3 2 2 5" xfId="17889" xr:uid="{DEAD1AEC-413C-44C7-B9DB-19DBEEA4B3E0}"/>
    <cellStyle name="Normal 5 2 3 3 2 2 6" xfId="26329" xr:uid="{E1403FC4-8C6B-498E-87A4-FCA79D3FDC90}"/>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2 2 2" xfId="16224" xr:uid="{894818E8-3803-4E06-8E0F-A18F47AEB21E}"/>
    <cellStyle name="Normal 5 2 3 3 2 3 2 2 3" xfId="24664" xr:uid="{52443DD4-E072-4BFB-A319-F4A0DCB90B9D}"/>
    <cellStyle name="Normal 5 2 3 3 2 3 2 2 4" xfId="33104" xr:uid="{E6710536-BA5E-4F42-84AD-1793907E552B}"/>
    <cellStyle name="Normal 5 2 3 3 2 3 2 3" xfId="12006" xr:uid="{ACFE82DD-FBED-4A70-85B7-2B580061723E}"/>
    <cellStyle name="Normal 5 2 3 3 2 3 2 4" xfId="20447" xr:uid="{66D1BE15-74BD-4A22-A960-AE220BDA96CF}"/>
    <cellStyle name="Normal 5 2 3 3 2 3 2 5" xfId="28887" xr:uid="{4945513C-722B-46F1-9B83-6966923A590E}"/>
    <cellStyle name="Normal 5 2 3 3 2 3 3" xfId="5629" xr:uid="{00000000-0005-0000-0000-00008D180000}"/>
    <cellStyle name="Normal 5 2 3 3 2 3 3 2" xfId="14079" xr:uid="{B126383F-3F63-4772-99D1-5B01140E0E46}"/>
    <cellStyle name="Normal 5 2 3 3 2 3 3 3" xfId="22519" xr:uid="{8B2EC21D-425A-4C43-A32D-A8C34BD29D91}"/>
    <cellStyle name="Normal 5 2 3 3 2 3 3 4" xfId="30959" xr:uid="{59DC5EA3-74CF-44EF-AB23-14B6FB480038}"/>
    <cellStyle name="Normal 5 2 3 3 2 3 4" xfId="9861" xr:uid="{BC5494F4-4562-4433-BD3B-4F37E2312BAF}"/>
    <cellStyle name="Normal 5 2 3 3 2 3 5" xfId="18302" xr:uid="{CCDC3AEA-2AB6-4D7C-A16B-A8CBE4B003D8}"/>
    <cellStyle name="Normal 5 2 3 3 2 3 6" xfId="26742" xr:uid="{57C070CA-9E5C-4E75-A76A-44AF8312B471}"/>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2 2 2" xfId="16637" xr:uid="{F1A9CF18-94A6-443C-B3E1-D32520222313}"/>
    <cellStyle name="Normal 5 2 3 3 2 4 2 2 3" xfId="25077" xr:uid="{6CF31208-30D6-4668-8FEC-B18CF02A67AF}"/>
    <cellStyle name="Normal 5 2 3 3 2 4 2 2 4" xfId="33517" xr:uid="{5E9DC4AA-EBB6-44FD-9BA1-41FC5829F632}"/>
    <cellStyle name="Normal 5 2 3 3 2 4 2 3" xfId="12419" xr:uid="{2BCEC36B-C364-4717-AB48-8D8F77FB183F}"/>
    <cellStyle name="Normal 5 2 3 3 2 4 2 4" xfId="20860" xr:uid="{60666614-BDB8-4C69-9855-64C48FD5D7CD}"/>
    <cellStyle name="Normal 5 2 3 3 2 4 2 5" xfId="29300" xr:uid="{044E5364-03A2-4E06-9401-C2BFEFCB2456}"/>
    <cellStyle name="Normal 5 2 3 3 2 4 3" xfId="6042" xr:uid="{00000000-0005-0000-0000-000091180000}"/>
    <cellStyle name="Normal 5 2 3 3 2 4 3 2" xfId="14492" xr:uid="{21C8DA46-A7E7-40E5-8102-2F7CAA7DD1DC}"/>
    <cellStyle name="Normal 5 2 3 3 2 4 3 3" xfId="22932" xr:uid="{3097D3FA-1F6A-4A56-914C-8EFBE00B7999}"/>
    <cellStyle name="Normal 5 2 3 3 2 4 3 4" xfId="31372" xr:uid="{B48B93DA-84B0-4BF2-A426-4DB46C09465F}"/>
    <cellStyle name="Normal 5 2 3 3 2 4 4" xfId="10274" xr:uid="{5A5B8A5E-E723-494F-8DF5-766A78FE4C61}"/>
    <cellStyle name="Normal 5 2 3 3 2 4 5" xfId="18715" xr:uid="{711F2C7F-639B-4B9C-A245-77946500C554}"/>
    <cellStyle name="Normal 5 2 3 3 2 4 6" xfId="27155" xr:uid="{507FBD15-CE4C-495E-88B3-BE37FD28C246}"/>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2 2 2" xfId="17050" xr:uid="{4DC742A8-6733-4C69-B949-8BBE5A84D561}"/>
    <cellStyle name="Normal 5 2 3 3 2 5 2 2 3" xfId="25490" xr:uid="{7A8D7E38-7F44-4AEC-A517-BCF41CE50D5A}"/>
    <cellStyle name="Normal 5 2 3 3 2 5 2 2 4" xfId="33930" xr:uid="{C844E015-40BA-496C-9074-95575D4DE238}"/>
    <cellStyle name="Normal 5 2 3 3 2 5 2 3" xfId="12832" xr:uid="{69F666D2-3F70-4553-9DFE-BCF828365800}"/>
    <cellStyle name="Normal 5 2 3 3 2 5 2 4" xfId="21273" xr:uid="{4B0309A2-FDD9-4610-9709-A01B5991902C}"/>
    <cellStyle name="Normal 5 2 3 3 2 5 2 5" xfId="29713" xr:uid="{1276C108-4276-4A0D-B7FC-EF5799955A0D}"/>
    <cellStyle name="Normal 5 2 3 3 2 5 3" xfId="6455" xr:uid="{00000000-0005-0000-0000-000095180000}"/>
    <cellStyle name="Normal 5 2 3 3 2 5 3 2" xfId="14905" xr:uid="{31A0A9E2-70B1-4309-BD82-B8047C42406A}"/>
    <cellStyle name="Normal 5 2 3 3 2 5 3 3" xfId="23345" xr:uid="{824E7D05-19E9-4181-BA09-AEE571D0624D}"/>
    <cellStyle name="Normal 5 2 3 3 2 5 3 4" xfId="31785" xr:uid="{05B48E95-B24F-4454-A27A-C9D9AEF2ED75}"/>
    <cellStyle name="Normal 5 2 3 3 2 5 4" xfId="10687" xr:uid="{AD471E7F-9DD3-44C0-9120-4FB255277A14}"/>
    <cellStyle name="Normal 5 2 3 3 2 5 5" xfId="19128" xr:uid="{F1C9BF45-7EA5-4247-8936-4D0F7C4A40CC}"/>
    <cellStyle name="Normal 5 2 3 3 2 5 6" xfId="27568" xr:uid="{EBE5EA6A-D609-4B68-A2E1-9299312EE38B}"/>
    <cellStyle name="Normal 5 2 3 3 2 6" xfId="2585" xr:uid="{00000000-0005-0000-0000-000096180000}"/>
    <cellStyle name="Normal 5 2 3 3 2 6 2" xfId="6868" xr:uid="{00000000-0005-0000-0000-000097180000}"/>
    <cellStyle name="Normal 5 2 3 3 2 6 2 2" xfId="15318" xr:uid="{CD9878EE-2ADA-484D-96A0-ACF9E2C806B7}"/>
    <cellStyle name="Normal 5 2 3 3 2 6 2 3" xfId="23758" xr:uid="{E29C6A09-0B1F-4F86-8F2D-001BBF6EE8E8}"/>
    <cellStyle name="Normal 5 2 3 3 2 6 2 4" xfId="32198" xr:uid="{FC7A88D0-9291-4BB7-BF60-849116D723C6}"/>
    <cellStyle name="Normal 5 2 3 3 2 6 3" xfId="11100" xr:uid="{D18CF6CE-D853-4032-93AE-8FA73BC3D4E7}"/>
    <cellStyle name="Normal 5 2 3 3 2 6 4" xfId="19541" xr:uid="{18E40F17-4888-47EB-9E33-5C1B51F8CE70}"/>
    <cellStyle name="Normal 5 2 3 3 2 6 5" xfId="27981" xr:uid="{51A6B0C5-6B21-43DD-AF38-D7FAB544CAD0}"/>
    <cellStyle name="Normal 5 2 3 3 2 7" xfId="4803" xr:uid="{00000000-0005-0000-0000-000098180000}"/>
    <cellStyle name="Normal 5 2 3 3 2 7 2" xfId="13253" xr:uid="{996FEFD3-0D87-4DC9-A365-A659A5C9D013}"/>
    <cellStyle name="Normal 5 2 3 3 2 7 3" xfId="21693" xr:uid="{0B86B17D-F705-4AD0-9E9F-E7760F56C77A}"/>
    <cellStyle name="Normal 5 2 3 3 2 7 4" xfId="30133" xr:uid="{22496FC2-6AEC-4D31-A35E-3962AA376221}"/>
    <cellStyle name="Normal 5 2 3 3 2 8" xfId="9035" xr:uid="{186627FD-3A43-4C6E-91F7-916C288D844C}"/>
    <cellStyle name="Normal 5 2 3 3 2 9" xfId="17476" xr:uid="{09BF7C92-5FC0-48F6-8EF7-5BAA57094CF4}"/>
    <cellStyle name="Normal 5 2 3 3 3" xfId="903" xr:uid="{00000000-0005-0000-0000-000099180000}"/>
    <cellStyle name="Normal 5 2 3 3 3 2" xfId="3138" xr:uid="{00000000-0005-0000-0000-00009A180000}"/>
    <cellStyle name="Normal 5 2 3 3 3 2 2" xfId="7360" xr:uid="{00000000-0005-0000-0000-00009B180000}"/>
    <cellStyle name="Normal 5 2 3 3 3 2 2 2" xfId="15810" xr:uid="{AFFC3E14-1779-449E-A4BB-5BC097E8F584}"/>
    <cellStyle name="Normal 5 2 3 3 3 2 2 3" xfId="24250" xr:uid="{F15FC777-0E65-4174-A7F8-1BF1C1559628}"/>
    <cellStyle name="Normal 5 2 3 3 3 2 2 4" xfId="32690" xr:uid="{B8E31EB8-0F5D-4C5C-85F4-5F33201A43F9}"/>
    <cellStyle name="Normal 5 2 3 3 3 2 3" xfId="11592" xr:uid="{91E12B0A-4A01-4AF7-B172-DD7E304A9D02}"/>
    <cellStyle name="Normal 5 2 3 3 3 2 4" xfId="20033" xr:uid="{0E34D2C6-4632-4740-A934-B3C0C857EA13}"/>
    <cellStyle name="Normal 5 2 3 3 3 2 5" xfId="28473" xr:uid="{AC98E2BB-561E-4DDA-8EFD-3A7AD56BCA3C}"/>
    <cellStyle name="Normal 5 2 3 3 3 3" xfId="5215" xr:uid="{00000000-0005-0000-0000-00009C180000}"/>
    <cellStyle name="Normal 5 2 3 3 3 3 2" xfId="13665" xr:uid="{0E6307BD-64BE-45BE-9995-376CB8E11548}"/>
    <cellStyle name="Normal 5 2 3 3 3 3 3" xfId="22105" xr:uid="{B6D9EC64-C8F6-4E41-9FCC-05A3D26EC709}"/>
    <cellStyle name="Normal 5 2 3 3 3 3 4" xfId="30545" xr:uid="{DA74B276-B435-4797-AD81-01540C99F041}"/>
    <cellStyle name="Normal 5 2 3 3 3 4" xfId="9447" xr:uid="{C7F84165-438E-4FB5-AA48-27455FB1367A}"/>
    <cellStyle name="Normal 5 2 3 3 3 5" xfId="17888" xr:uid="{5FD1FDED-6013-4B46-82E3-919C2C6AA3E5}"/>
    <cellStyle name="Normal 5 2 3 3 3 6" xfId="26328" xr:uid="{E6EE5A0E-6E9C-4708-B58A-875636AAA54E}"/>
    <cellStyle name="Normal 5 2 3 3 4" xfId="1321" xr:uid="{00000000-0005-0000-0000-00009D180000}"/>
    <cellStyle name="Normal 5 2 3 3 4 2" xfId="3551" xr:uid="{00000000-0005-0000-0000-00009E180000}"/>
    <cellStyle name="Normal 5 2 3 3 4 2 2" xfId="7773" xr:uid="{00000000-0005-0000-0000-00009F180000}"/>
    <cellStyle name="Normal 5 2 3 3 4 2 2 2" xfId="16223" xr:uid="{57CA83BB-6C76-46FC-936A-F06ED523C3E8}"/>
    <cellStyle name="Normal 5 2 3 3 4 2 2 3" xfId="24663" xr:uid="{2F2FE94C-2715-4A14-A6C8-A00605AC3D01}"/>
    <cellStyle name="Normal 5 2 3 3 4 2 2 4" xfId="33103" xr:uid="{B3686CCD-0FEF-4A72-BB12-5175C635F2C7}"/>
    <cellStyle name="Normal 5 2 3 3 4 2 3" xfId="12005" xr:uid="{1E057E52-9958-4A98-A145-CDAFB1C210C5}"/>
    <cellStyle name="Normal 5 2 3 3 4 2 4" xfId="20446" xr:uid="{69EFA985-AB7B-4EB8-A489-CDC4ED1FA3D6}"/>
    <cellStyle name="Normal 5 2 3 3 4 2 5" xfId="28886" xr:uid="{FFA65980-B592-4EB5-AD85-414D31AB499D}"/>
    <cellStyle name="Normal 5 2 3 3 4 3" xfId="5628" xr:uid="{00000000-0005-0000-0000-0000A0180000}"/>
    <cellStyle name="Normal 5 2 3 3 4 3 2" xfId="14078" xr:uid="{93C6C91C-48A2-4E20-B7BF-149DF7D277EE}"/>
    <cellStyle name="Normal 5 2 3 3 4 3 3" xfId="22518" xr:uid="{8B734E6D-57EF-40D2-BB27-951961BACCB7}"/>
    <cellStyle name="Normal 5 2 3 3 4 3 4" xfId="30958" xr:uid="{A2EE7FC4-D5BE-4215-B966-EA06A3526C54}"/>
    <cellStyle name="Normal 5 2 3 3 4 4" xfId="9860" xr:uid="{A52BA481-393E-47B3-B776-00C82D0D10AE}"/>
    <cellStyle name="Normal 5 2 3 3 4 5" xfId="18301" xr:uid="{07FB6155-A677-4EBE-B223-334AC6689880}"/>
    <cellStyle name="Normal 5 2 3 3 4 6" xfId="26741" xr:uid="{D3EE88C4-41E1-4C2B-86DA-970512E49061}"/>
    <cellStyle name="Normal 5 2 3 3 5" xfId="1734" xr:uid="{00000000-0005-0000-0000-0000A1180000}"/>
    <cellStyle name="Normal 5 2 3 3 5 2" xfId="3964" xr:uid="{00000000-0005-0000-0000-0000A2180000}"/>
    <cellStyle name="Normal 5 2 3 3 5 2 2" xfId="8186" xr:uid="{00000000-0005-0000-0000-0000A3180000}"/>
    <cellStyle name="Normal 5 2 3 3 5 2 2 2" xfId="16636" xr:uid="{8FDADB76-E49F-4D58-90D9-1D9D1A6FEB13}"/>
    <cellStyle name="Normal 5 2 3 3 5 2 2 3" xfId="25076" xr:uid="{AC73C341-E14B-4817-AC1A-E4EE784C0025}"/>
    <cellStyle name="Normal 5 2 3 3 5 2 2 4" xfId="33516" xr:uid="{7A538E56-AB5E-4C5F-80D9-41FAA867FE18}"/>
    <cellStyle name="Normal 5 2 3 3 5 2 3" xfId="12418" xr:uid="{7E41AB5B-4E29-4389-A08D-97F7D5253644}"/>
    <cellStyle name="Normal 5 2 3 3 5 2 4" xfId="20859" xr:uid="{CCF8D81F-90F7-4317-9AB9-FAF2D98B72D9}"/>
    <cellStyle name="Normal 5 2 3 3 5 2 5" xfId="29299" xr:uid="{C4AA6EC1-DACB-4ADF-A58F-39F22A2511D7}"/>
    <cellStyle name="Normal 5 2 3 3 5 3" xfId="6041" xr:uid="{00000000-0005-0000-0000-0000A4180000}"/>
    <cellStyle name="Normal 5 2 3 3 5 3 2" xfId="14491" xr:uid="{CF44633C-809B-484C-BB6E-E3A5014CE44F}"/>
    <cellStyle name="Normal 5 2 3 3 5 3 3" xfId="22931" xr:uid="{752D3200-3D60-4FE8-89B7-53DD6375DBBD}"/>
    <cellStyle name="Normal 5 2 3 3 5 3 4" xfId="31371" xr:uid="{09B5D056-5EF7-483F-971D-C2BDD545A78B}"/>
    <cellStyle name="Normal 5 2 3 3 5 4" xfId="10273" xr:uid="{9CC92A1D-09C1-4BB0-B525-476BF413117F}"/>
    <cellStyle name="Normal 5 2 3 3 5 5" xfId="18714" xr:uid="{AAB8D6EC-8794-4BCA-903B-6EF28DE247C6}"/>
    <cellStyle name="Normal 5 2 3 3 5 6" xfId="27154" xr:uid="{51E95F26-9150-4FB2-99E3-2D6B8823D510}"/>
    <cellStyle name="Normal 5 2 3 3 6" xfId="2148" xr:uid="{00000000-0005-0000-0000-0000A5180000}"/>
    <cellStyle name="Normal 5 2 3 3 6 2" xfId="4377" xr:uid="{00000000-0005-0000-0000-0000A6180000}"/>
    <cellStyle name="Normal 5 2 3 3 6 2 2" xfId="8599" xr:uid="{00000000-0005-0000-0000-0000A7180000}"/>
    <cellStyle name="Normal 5 2 3 3 6 2 2 2" xfId="17049" xr:uid="{5AD022E6-CDAD-41C9-8E59-9EE3AD23F398}"/>
    <cellStyle name="Normal 5 2 3 3 6 2 2 3" xfId="25489" xr:uid="{D6835AC4-31CE-4C20-BF40-B5AD64323A16}"/>
    <cellStyle name="Normal 5 2 3 3 6 2 2 4" xfId="33929" xr:uid="{C717E475-9B41-4DC9-B9A4-375ABE1AE673}"/>
    <cellStyle name="Normal 5 2 3 3 6 2 3" xfId="12831" xr:uid="{361E93D3-F95C-4C71-A4CC-928237CB670E}"/>
    <cellStyle name="Normal 5 2 3 3 6 2 4" xfId="21272" xr:uid="{B9DEEB6E-A199-495C-989D-EF137AB19F18}"/>
    <cellStyle name="Normal 5 2 3 3 6 2 5" xfId="29712" xr:uid="{EFDF54A6-7C7D-4E42-8D88-FFF592EA1245}"/>
    <cellStyle name="Normal 5 2 3 3 6 3" xfId="6454" xr:uid="{00000000-0005-0000-0000-0000A8180000}"/>
    <cellStyle name="Normal 5 2 3 3 6 3 2" xfId="14904" xr:uid="{9783475F-12DD-4F03-B0FD-479D881A68B8}"/>
    <cellStyle name="Normal 5 2 3 3 6 3 3" xfId="23344" xr:uid="{6A5529DA-132E-410C-9BB9-9084E663FF6C}"/>
    <cellStyle name="Normal 5 2 3 3 6 3 4" xfId="31784" xr:uid="{9415684D-F27C-457B-9E5A-AF336E50AD41}"/>
    <cellStyle name="Normal 5 2 3 3 6 4" xfId="10686" xr:uid="{E5CB28BE-633F-440F-9BC5-9070F2E3DF3B}"/>
    <cellStyle name="Normal 5 2 3 3 6 5" xfId="19127" xr:uid="{C0B6D364-1A20-4183-8019-3380B8B9ABCA}"/>
    <cellStyle name="Normal 5 2 3 3 6 6" xfId="27567" xr:uid="{222AF874-6331-4944-9079-9F0E42ADEADF}"/>
    <cellStyle name="Normal 5 2 3 3 7" xfId="2584" xr:uid="{00000000-0005-0000-0000-0000A9180000}"/>
    <cellStyle name="Normal 5 2 3 3 7 2" xfId="6867" xr:uid="{00000000-0005-0000-0000-0000AA180000}"/>
    <cellStyle name="Normal 5 2 3 3 7 2 2" xfId="15317" xr:uid="{EA28A175-1F3A-44AC-85E3-4595597A247A}"/>
    <cellStyle name="Normal 5 2 3 3 7 2 3" xfId="23757" xr:uid="{47C48E11-6BE1-4832-9833-84AC9A1A0AED}"/>
    <cellStyle name="Normal 5 2 3 3 7 2 4" xfId="32197" xr:uid="{0AC7A0F4-EC97-4A48-868D-DCFFB14BBBE5}"/>
    <cellStyle name="Normal 5 2 3 3 7 3" xfId="11099" xr:uid="{C06AD303-587A-4559-B684-34FBC9BBEB26}"/>
    <cellStyle name="Normal 5 2 3 3 7 4" xfId="19540" xr:uid="{27CF05D5-FDD8-4F89-9CEE-B6650A458292}"/>
    <cellStyle name="Normal 5 2 3 3 7 5" xfId="27980" xr:uid="{56CF35FC-8BD2-4968-ABB1-FE6B81FC1337}"/>
    <cellStyle name="Normal 5 2 3 3 8" xfId="4802" xr:uid="{00000000-0005-0000-0000-0000AB180000}"/>
    <cellStyle name="Normal 5 2 3 3 8 2" xfId="13252" xr:uid="{35B731E4-2D01-404B-B48A-8A51A0D721EA}"/>
    <cellStyle name="Normal 5 2 3 3 8 3" xfId="21692" xr:uid="{57F0CD3A-8912-4DF6-ADF8-04D5B1988215}"/>
    <cellStyle name="Normal 5 2 3 3 8 4" xfId="30132" xr:uid="{ADBC7ACB-7AD5-48BB-8861-C9F4D81B5CB4}"/>
    <cellStyle name="Normal 5 2 3 3 9" xfId="9034" xr:uid="{79D69C4E-85C7-43AD-B7C9-7CEE521B5DAB}"/>
    <cellStyle name="Normal 5 2 3 4" xfId="431" xr:uid="{00000000-0005-0000-0000-0000AC180000}"/>
    <cellStyle name="Normal 5 2 3 4 10" xfId="25917" xr:uid="{C2D54734-4F49-4985-904F-8257611876BD}"/>
    <cellStyle name="Normal 5 2 3 4 2" xfId="905" xr:uid="{00000000-0005-0000-0000-0000AD180000}"/>
    <cellStyle name="Normal 5 2 3 4 2 2" xfId="3140" xr:uid="{00000000-0005-0000-0000-0000AE180000}"/>
    <cellStyle name="Normal 5 2 3 4 2 2 2" xfId="7362" xr:uid="{00000000-0005-0000-0000-0000AF180000}"/>
    <cellStyle name="Normal 5 2 3 4 2 2 2 2" xfId="15812" xr:uid="{B4C8B933-F166-41A0-981E-90B798C3CF74}"/>
    <cellStyle name="Normal 5 2 3 4 2 2 2 3" xfId="24252" xr:uid="{CBC978EB-3621-4ACE-A608-E48F178E99D0}"/>
    <cellStyle name="Normal 5 2 3 4 2 2 2 4" xfId="32692" xr:uid="{86FD0AF7-13CC-461F-B625-C87E9F988202}"/>
    <cellStyle name="Normal 5 2 3 4 2 2 3" xfId="11594" xr:uid="{5E4F060E-57B1-43B5-8EBA-A9EC92402431}"/>
    <cellStyle name="Normal 5 2 3 4 2 2 4" xfId="20035" xr:uid="{2A5D1235-2CB5-47AA-871D-FEF805A897B9}"/>
    <cellStyle name="Normal 5 2 3 4 2 2 5" xfId="28475" xr:uid="{2EDC0B42-6A38-48BF-B432-C813290D03DA}"/>
    <cellStyle name="Normal 5 2 3 4 2 3" xfId="5217" xr:uid="{00000000-0005-0000-0000-0000B0180000}"/>
    <cellStyle name="Normal 5 2 3 4 2 3 2" xfId="13667" xr:uid="{5414B0A0-37C1-42FA-8F92-659AC91EACD0}"/>
    <cellStyle name="Normal 5 2 3 4 2 3 3" xfId="22107" xr:uid="{29387B3E-EF7C-4DA2-8A03-6C26C89F2E2D}"/>
    <cellStyle name="Normal 5 2 3 4 2 3 4" xfId="30547" xr:uid="{91BB06F8-3DDD-44D7-98D6-6E4BD389691F}"/>
    <cellStyle name="Normal 5 2 3 4 2 4" xfId="9449" xr:uid="{BB1FFB4D-A74F-40BE-8717-F15C117E4681}"/>
    <cellStyle name="Normal 5 2 3 4 2 5" xfId="17890" xr:uid="{73E820C1-92A7-4085-85DC-C80BF82FA648}"/>
    <cellStyle name="Normal 5 2 3 4 2 6" xfId="26330" xr:uid="{C445D18C-1360-4086-A82D-175F94EC1806}"/>
    <cellStyle name="Normal 5 2 3 4 3" xfId="1323" xr:uid="{00000000-0005-0000-0000-0000B1180000}"/>
    <cellStyle name="Normal 5 2 3 4 3 2" xfId="3553" xr:uid="{00000000-0005-0000-0000-0000B2180000}"/>
    <cellStyle name="Normal 5 2 3 4 3 2 2" xfId="7775" xr:uid="{00000000-0005-0000-0000-0000B3180000}"/>
    <cellStyle name="Normal 5 2 3 4 3 2 2 2" xfId="16225" xr:uid="{44588DE8-3C34-4509-B12A-1A43BFE00AA1}"/>
    <cellStyle name="Normal 5 2 3 4 3 2 2 3" xfId="24665" xr:uid="{D893ADBB-1B6E-446E-B96F-66186287B369}"/>
    <cellStyle name="Normal 5 2 3 4 3 2 2 4" xfId="33105" xr:uid="{8F8E1E70-F9CE-4F5E-B7E4-79C59A844BD4}"/>
    <cellStyle name="Normal 5 2 3 4 3 2 3" xfId="12007" xr:uid="{24A69000-E703-4062-AF04-5B94145D92C4}"/>
    <cellStyle name="Normal 5 2 3 4 3 2 4" xfId="20448" xr:uid="{C1588BD9-3524-43B6-A695-34ED61A1CA1D}"/>
    <cellStyle name="Normal 5 2 3 4 3 2 5" xfId="28888" xr:uid="{08552C99-7468-48A4-99B4-762B7EB4D8CB}"/>
    <cellStyle name="Normal 5 2 3 4 3 3" xfId="5630" xr:uid="{00000000-0005-0000-0000-0000B4180000}"/>
    <cellStyle name="Normal 5 2 3 4 3 3 2" xfId="14080" xr:uid="{E96E9FC7-2912-46F1-9B87-55184EEBC124}"/>
    <cellStyle name="Normal 5 2 3 4 3 3 3" xfId="22520" xr:uid="{A7F8ABEC-BB26-4B2F-BB57-507CCD4A91E2}"/>
    <cellStyle name="Normal 5 2 3 4 3 3 4" xfId="30960" xr:uid="{08A2368A-10B3-4AC4-A804-DABBD296FF62}"/>
    <cellStyle name="Normal 5 2 3 4 3 4" xfId="9862" xr:uid="{3D899375-24ED-4237-BE50-5B4F9C5626A2}"/>
    <cellStyle name="Normal 5 2 3 4 3 5" xfId="18303" xr:uid="{0308BA46-796E-4A28-B9A3-056ECA8ABE8D}"/>
    <cellStyle name="Normal 5 2 3 4 3 6" xfId="26743" xr:uid="{62EA8683-822E-4F7B-B1DE-B23B2EEED542}"/>
    <cellStyle name="Normal 5 2 3 4 4" xfId="1736" xr:uid="{00000000-0005-0000-0000-0000B5180000}"/>
    <cellStyle name="Normal 5 2 3 4 4 2" xfId="3966" xr:uid="{00000000-0005-0000-0000-0000B6180000}"/>
    <cellStyle name="Normal 5 2 3 4 4 2 2" xfId="8188" xr:uid="{00000000-0005-0000-0000-0000B7180000}"/>
    <cellStyle name="Normal 5 2 3 4 4 2 2 2" xfId="16638" xr:uid="{FEF0F4E2-AA6D-4FF8-BC7F-27B7997B6C80}"/>
    <cellStyle name="Normal 5 2 3 4 4 2 2 3" xfId="25078" xr:uid="{5575A811-CFBA-4B26-BD4D-4D9B99FEF014}"/>
    <cellStyle name="Normal 5 2 3 4 4 2 2 4" xfId="33518" xr:uid="{2493DB9B-6815-496D-AB54-96BBBAFF9366}"/>
    <cellStyle name="Normal 5 2 3 4 4 2 3" xfId="12420" xr:uid="{64ED8622-3CD5-45F6-AD77-B4C4834E8813}"/>
    <cellStyle name="Normal 5 2 3 4 4 2 4" xfId="20861" xr:uid="{5138AA3E-2D22-4D6E-BBB2-54142C08F947}"/>
    <cellStyle name="Normal 5 2 3 4 4 2 5" xfId="29301" xr:uid="{9FCD82C1-9A31-4A38-96F6-FA7563326248}"/>
    <cellStyle name="Normal 5 2 3 4 4 3" xfId="6043" xr:uid="{00000000-0005-0000-0000-0000B8180000}"/>
    <cellStyle name="Normal 5 2 3 4 4 3 2" xfId="14493" xr:uid="{1E3C23DA-FFA3-4B33-9700-C33DF3065464}"/>
    <cellStyle name="Normal 5 2 3 4 4 3 3" xfId="22933" xr:uid="{E544BB40-18F3-4C38-8295-2D85FFF06EB3}"/>
    <cellStyle name="Normal 5 2 3 4 4 3 4" xfId="31373" xr:uid="{09429142-253D-4631-AA11-C621E4CFE295}"/>
    <cellStyle name="Normal 5 2 3 4 4 4" xfId="10275" xr:uid="{032C1AD2-7BF4-4E6A-8977-9AF2597C7DCE}"/>
    <cellStyle name="Normal 5 2 3 4 4 5" xfId="18716" xr:uid="{41AC1A26-D798-46E3-A920-C469891A46EA}"/>
    <cellStyle name="Normal 5 2 3 4 4 6" xfId="27156" xr:uid="{5E8CBD9D-562D-4BE9-8766-50BD09F8A344}"/>
    <cellStyle name="Normal 5 2 3 4 5" xfId="2150" xr:uid="{00000000-0005-0000-0000-0000B9180000}"/>
    <cellStyle name="Normal 5 2 3 4 5 2" xfId="4379" xr:uid="{00000000-0005-0000-0000-0000BA180000}"/>
    <cellStyle name="Normal 5 2 3 4 5 2 2" xfId="8601" xr:uid="{00000000-0005-0000-0000-0000BB180000}"/>
    <cellStyle name="Normal 5 2 3 4 5 2 2 2" xfId="17051" xr:uid="{CC11ACCB-B58A-456E-8EB2-390C2F0F50C5}"/>
    <cellStyle name="Normal 5 2 3 4 5 2 2 3" xfId="25491" xr:uid="{84AFA9C3-8B6A-45B4-9B50-63668CAB2C06}"/>
    <cellStyle name="Normal 5 2 3 4 5 2 2 4" xfId="33931" xr:uid="{8ED83F49-715D-4A77-88CF-3B10ECC9E676}"/>
    <cellStyle name="Normal 5 2 3 4 5 2 3" xfId="12833" xr:uid="{640A6D5D-6C0B-4D14-AE00-9B3620F5DECA}"/>
    <cellStyle name="Normal 5 2 3 4 5 2 4" xfId="21274" xr:uid="{EE954C28-0E4F-4627-BF83-C9F6D49C664C}"/>
    <cellStyle name="Normal 5 2 3 4 5 2 5" xfId="29714" xr:uid="{A7257795-0B8A-45BC-B10E-AAEFB160839A}"/>
    <cellStyle name="Normal 5 2 3 4 5 3" xfId="6456" xr:uid="{00000000-0005-0000-0000-0000BC180000}"/>
    <cellStyle name="Normal 5 2 3 4 5 3 2" xfId="14906" xr:uid="{62A394B9-0EB0-4761-A48B-985CDFDC28D2}"/>
    <cellStyle name="Normal 5 2 3 4 5 3 3" xfId="23346" xr:uid="{F6BBF880-FAD8-49FE-A077-6A001928E19D}"/>
    <cellStyle name="Normal 5 2 3 4 5 3 4" xfId="31786" xr:uid="{2BB04C10-1BEF-4DE3-B64E-D52B616513F3}"/>
    <cellStyle name="Normal 5 2 3 4 5 4" xfId="10688" xr:uid="{9CB656A2-6573-48E8-BD97-2322263C2515}"/>
    <cellStyle name="Normal 5 2 3 4 5 5" xfId="19129" xr:uid="{6E1FEB63-9045-4346-8F60-47DB4433249A}"/>
    <cellStyle name="Normal 5 2 3 4 5 6" xfId="27569" xr:uid="{9F1E1807-A6FB-4A9B-972D-BE32EE6D908F}"/>
    <cellStyle name="Normal 5 2 3 4 6" xfId="2586" xr:uid="{00000000-0005-0000-0000-0000BD180000}"/>
    <cellStyle name="Normal 5 2 3 4 6 2" xfId="6869" xr:uid="{00000000-0005-0000-0000-0000BE180000}"/>
    <cellStyle name="Normal 5 2 3 4 6 2 2" xfId="15319" xr:uid="{20E19646-46FE-4683-910B-6ED89EBAB01F}"/>
    <cellStyle name="Normal 5 2 3 4 6 2 3" xfId="23759" xr:uid="{5112D657-08E8-4B0B-987A-30521A3564CE}"/>
    <cellStyle name="Normal 5 2 3 4 6 2 4" xfId="32199" xr:uid="{94B6F719-7A00-4696-89E9-A2801854659D}"/>
    <cellStyle name="Normal 5 2 3 4 6 3" xfId="11101" xr:uid="{B037BD81-D46C-49AB-9C04-88704EAC587E}"/>
    <cellStyle name="Normal 5 2 3 4 6 4" xfId="19542" xr:uid="{C83DCDC3-782C-4441-A63B-C423D01BFD94}"/>
    <cellStyle name="Normal 5 2 3 4 6 5" xfId="27982" xr:uid="{03FECBA2-CC12-45A1-BE6C-EA1D1CE00F91}"/>
    <cellStyle name="Normal 5 2 3 4 7" xfId="4804" xr:uid="{00000000-0005-0000-0000-0000BF180000}"/>
    <cellStyle name="Normal 5 2 3 4 7 2" xfId="13254" xr:uid="{591AB69D-57EC-48A3-98AA-EC95171DD2BD}"/>
    <cellStyle name="Normal 5 2 3 4 7 3" xfId="21694" xr:uid="{C6976B5C-C101-42A0-81EF-CF48DCEA543E}"/>
    <cellStyle name="Normal 5 2 3 4 7 4" xfId="30134" xr:uid="{AE3D9618-67B4-4D2B-8D96-F03E59635E13}"/>
    <cellStyle name="Normal 5 2 3 4 8" xfId="9036" xr:uid="{1B8B321B-FA8A-4C2B-87A8-AAE0FE241EF2}"/>
    <cellStyle name="Normal 5 2 3 4 9" xfId="17477" xr:uid="{37770778-94E7-432B-BD76-2329DE7E342C}"/>
    <cellStyle name="Normal 5 2 3 5" xfId="898" xr:uid="{00000000-0005-0000-0000-0000C0180000}"/>
    <cellStyle name="Normal 5 2 3 5 2" xfId="3133" xr:uid="{00000000-0005-0000-0000-0000C1180000}"/>
    <cellStyle name="Normal 5 2 3 5 2 2" xfId="7355" xr:uid="{00000000-0005-0000-0000-0000C2180000}"/>
    <cellStyle name="Normal 5 2 3 5 2 2 2" xfId="15805" xr:uid="{99279E85-9BC6-4075-85C9-35FBF526E75C}"/>
    <cellStyle name="Normal 5 2 3 5 2 2 3" xfId="24245" xr:uid="{9BE166FA-2DFC-4532-A18E-9707A4310A44}"/>
    <cellStyle name="Normal 5 2 3 5 2 2 4" xfId="32685" xr:uid="{0DBF1AEB-5310-4230-B1FD-D092688B1855}"/>
    <cellStyle name="Normal 5 2 3 5 2 3" xfId="11587" xr:uid="{49BEBB01-F358-4D93-90BA-4E59A0971A36}"/>
    <cellStyle name="Normal 5 2 3 5 2 4" xfId="20028" xr:uid="{B5BBA38C-48AA-402A-AF0E-30478BD03C7C}"/>
    <cellStyle name="Normal 5 2 3 5 2 5" xfId="28468" xr:uid="{4980D211-E566-46FC-B05C-EEBC4C36EDE3}"/>
    <cellStyle name="Normal 5 2 3 5 3" xfId="5210" xr:uid="{00000000-0005-0000-0000-0000C3180000}"/>
    <cellStyle name="Normal 5 2 3 5 3 2" xfId="13660" xr:uid="{15B45CCB-5A49-44DF-892D-7BFE5899184B}"/>
    <cellStyle name="Normal 5 2 3 5 3 3" xfId="22100" xr:uid="{EA5CE81E-C67C-4ED5-B3E4-F9C11F8E07CA}"/>
    <cellStyle name="Normal 5 2 3 5 3 4" xfId="30540" xr:uid="{F28E358B-71D4-483E-9B95-6B8257E5AA6D}"/>
    <cellStyle name="Normal 5 2 3 5 4" xfId="9442" xr:uid="{D674407B-8CCB-44BB-9A30-814B94809DDB}"/>
    <cellStyle name="Normal 5 2 3 5 5" xfId="17883" xr:uid="{B28805CA-84BC-4308-BE51-7CEA84E04FCE}"/>
    <cellStyle name="Normal 5 2 3 5 6" xfId="26323" xr:uid="{3B4755E1-53B3-4A0F-B0E7-477E52065FEC}"/>
    <cellStyle name="Normal 5 2 3 6" xfId="1316" xr:uid="{00000000-0005-0000-0000-0000C4180000}"/>
    <cellStyle name="Normal 5 2 3 6 2" xfId="3546" xr:uid="{00000000-0005-0000-0000-0000C5180000}"/>
    <cellStyle name="Normal 5 2 3 6 2 2" xfId="7768" xr:uid="{00000000-0005-0000-0000-0000C6180000}"/>
    <cellStyle name="Normal 5 2 3 6 2 2 2" xfId="16218" xr:uid="{F0E09FC4-FC11-4C55-88BB-6876251D6C32}"/>
    <cellStyle name="Normal 5 2 3 6 2 2 3" xfId="24658" xr:uid="{DC4FDBB8-9B2D-4161-B725-6C9C85C38AA5}"/>
    <cellStyle name="Normal 5 2 3 6 2 2 4" xfId="33098" xr:uid="{9CFDA976-8D90-41D5-892D-BA20D8F35955}"/>
    <cellStyle name="Normal 5 2 3 6 2 3" xfId="12000" xr:uid="{EB5E521D-B266-477B-942A-93FC0CA7F708}"/>
    <cellStyle name="Normal 5 2 3 6 2 4" xfId="20441" xr:uid="{EB9BE0AE-D1C2-481B-97A4-7DD3905B2FEC}"/>
    <cellStyle name="Normal 5 2 3 6 2 5" xfId="28881" xr:uid="{FF5A0B59-F5F4-4757-86BA-C17D6A1F160A}"/>
    <cellStyle name="Normal 5 2 3 6 3" xfId="5623" xr:uid="{00000000-0005-0000-0000-0000C7180000}"/>
    <cellStyle name="Normal 5 2 3 6 3 2" xfId="14073" xr:uid="{F6D9A3E7-DAE4-4692-8820-79AFB219636A}"/>
    <cellStyle name="Normal 5 2 3 6 3 3" xfId="22513" xr:uid="{E78386C3-B155-4F57-9A7D-D19656A8C1A4}"/>
    <cellStyle name="Normal 5 2 3 6 3 4" xfId="30953" xr:uid="{23EA7C52-A286-4B3D-AF6C-D0858518B1BF}"/>
    <cellStyle name="Normal 5 2 3 6 4" xfId="9855" xr:uid="{D889663D-78D1-4213-B0A3-C0880DD632EA}"/>
    <cellStyle name="Normal 5 2 3 6 5" xfId="18296" xr:uid="{2EB6F7A6-5A05-4F90-AA73-21EDCAA98C48}"/>
    <cellStyle name="Normal 5 2 3 6 6" xfId="26736" xr:uid="{24928F84-59C4-484F-8C7E-5B80592E24B2}"/>
    <cellStyle name="Normal 5 2 3 7" xfId="1729" xr:uid="{00000000-0005-0000-0000-0000C8180000}"/>
    <cellStyle name="Normal 5 2 3 7 2" xfId="3959" xr:uid="{00000000-0005-0000-0000-0000C9180000}"/>
    <cellStyle name="Normal 5 2 3 7 2 2" xfId="8181" xr:uid="{00000000-0005-0000-0000-0000CA180000}"/>
    <cellStyle name="Normal 5 2 3 7 2 2 2" xfId="16631" xr:uid="{15F63BE9-5C47-4A16-AE0F-E348C6D15FE2}"/>
    <cellStyle name="Normal 5 2 3 7 2 2 3" xfId="25071" xr:uid="{AF19EB9C-9AF6-400C-B469-7DDBB88455A0}"/>
    <cellStyle name="Normal 5 2 3 7 2 2 4" xfId="33511" xr:uid="{ECAC57EF-0A07-4EE1-B7E5-4AB34ACED6BC}"/>
    <cellStyle name="Normal 5 2 3 7 2 3" xfId="12413" xr:uid="{5D125118-D263-4890-9175-6B3FCEC28AA4}"/>
    <cellStyle name="Normal 5 2 3 7 2 4" xfId="20854" xr:uid="{7EBF8B55-DF04-4FB9-B4C3-A563B0E2C17E}"/>
    <cellStyle name="Normal 5 2 3 7 2 5" xfId="29294" xr:uid="{22A237E2-E25B-47C4-9D3D-44B04C560965}"/>
    <cellStyle name="Normal 5 2 3 7 3" xfId="6036" xr:uid="{00000000-0005-0000-0000-0000CB180000}"/>
    <cellStyle name="Normal 5 2 3 7 3 2" xfId="14486" xr:uid="{C6508519-AADE-4CA5-854B-6F238F20DD83}"/>
    <cellStyle name="Normal 5 2 3 7 3 3" xfId="22926" xr:uid="{FC9A5010-025C-49ED-A9CD-450D9388D890}"/>
    <cellStyle name="Normal 5 2 3 7 3 4" xfId="31366" xr:uid="{2430FE6E-5558-4450-8F12-FBE632BC2E8D}"/>
    <cellStyle name="Normal 5 2 3 7 4" xfId="10268" xr:uid="{4E31DA79-58C2-427F-BBE3-F417E47FE988}"/>
    <cellStyle name="Normal 5 2 3 7 5" xfId="18709" xr:uid="{9F827807-B56C-4057-B4C5-91F140F5CD06}"/>
    <cellStyle name="Normal 5 2 3 7 6" xfId="27149" xr:uid="{384E7124-13B8-424E-BF95-D6072DB39084}"/>
    <cellStyle name="Normal 5 2 3 8" xfId="2143" xr:uid="{00000000-0005-0000-0000-0000CC180000}"/>
    <cellStyle name="Normal 5 2 3 8 2" xfId="4372" xr:uid="{00000000-0005-0000-0000-0000CD180000}"/>
    <cellStyle name="Normal 5 2 3 8 2 2" xfId="8594" xr:uid="{00000000-0005-0000-0000-0000CE180000}"/>
    <cellStyle name="Normal 5 2 3 8 2 2 2" xfId="17044" xr:uid="{DE97A5FA-EC8C-42BA-AA33-9682F82D7E3E}"/>
    <cellStyle name="Normal 5 2 3 8 2 2 3" xfId="25484" xr:uid="{8D1ABFFB-CFCF-424C-8F0F-B4C8211BC3FD}"/>
    <cellStyle name="Normal 5 2 3 8 2 2 4" xfId="33924" xr:uid="{6AD10DCF-9ACB-4476-9434-5DEB998C7419}"/>
    <cellStyle name="Normal 5 2 3 8 2 3" xfId="12826" xr:uid="{226820B9-9376-4ECD-8CA2-AB9762D1D357}"/>
    <cellStyle name="Normal 5 2 3 8 2 4" xfId="21267" xr:uid="{17F7AE52-7192-46BB-BF60-061DE598C84F}"/>
    <cellStyle name="Normal 5 2 3 8 2 5" xfId="29707" xr:uid="{CED3962C-1C26-46BC-8BF5-4E4364060CFF}"/>
    <cellStyle name="Normal 5 2 3 8 3" xfId="6449" xr:uid="{00000000-0005-0000-0000-0000CF180000}"/>
    <cellStyle name="Normal 5 2 3 8 3 2" xfId="14899" xr:uid="{D96F4DFC-806B-43D0-A00B-BE2E72AA7070}"/>
    <cellStyle name="Normal 5 2 3 8 3 3" xfId="23339" xr:uid="{29974226-7043-42B9-BA80-572FDB961BB4}"/>
    <cellStyle name="Normal 5 2 3 8 3 4" xfId="31779" xr:uid="{B346D7AE-963B-4E18-AACE-E71366B86D8A}"/>
    <cellStyle name="Normal 5 2 3 8 4" xfId="10681" xr:uid="{8C11FD60-3174-4E82-BEFF-EDE98428B46E}"/>
    <cellStyle name="Normal 5 2 3 8 5" xfId="19122" xr:uid="{D3B8DFA4-5CAD-4BBC-8E9F-5A4051AC1CE7}"/>
    <cellStyle name="Normal 5 2 3 8 6" xfId="27562" xr:uid="{75404875-CC51-466B-877B-6F186DFFB6B7}"/>
    <cellStyle name="Normal 5 2 3 9" xfId="2579" xr:uid="{00000000-0005-0000-0000-0000D0180000}"/>
    <cellStyle name="Normal 5 2 3 9 2" xfId="6862" xr:uid="{00000000-0005-0000-0000-0000D1180000}"/>
    <cellStyle name="Normal 5 2 3 9 2 2" xfId="15312" xr:uid="{87144E5C-E979-444D-B9BA-D69C2BCDB1FF}"/>
    <cellStyle name="Normal 5 2 3 9 2 3" xfId="23752" xr:uid="{93EC8612-EB61-438E-B7ED-AF062EDBC762}"/>
    <cellStyle name="Normal 5 2 3 9 2 4" xfId="32192" xr:uid="{E781A8D0-E184-4A2F-9C34-7B20D7983C6E}"/>
    <cellStyle name="Normal 5 2 3 9 3" xfId="11094" xr:uid="{E72F88E5-39DA-4B84-9C82-A2D7F1B905B6}"/>
    <cellStyle name="Normal 5 2 3 9 4" xfId="19535" xr:uid="{5B379EAE-6BA2-49C7-B4B7-81F326AC449C}"/>
    <cellStyle name="Normal 5 2 3 9 5" xfId="27975" xr:uid="{93CF70C3-A082-470B-9E17-66AD9312E3DD}"/>
    <cellStyle name="Normal 5 2 4" xfId="432" xr:uid="{00000000-0005-0000-0000-0000D2180000}"/>
    <cellStyle name="Normal 5 2 4 10" xfId="9037" xr:uid="{55B4C486-6D13-432F-859D-F46F1F868693}"/>
    <cellStyle name="Normal 5 2 4 11" xfId="17478" xr:uid="{1C0BE9C7-FB59-47DD-AC6F-1008B6E7704B}"/>
    <cellStyle name="Normal 5 2 4 12" xfId="25918" xr:uid="{A5ABF0CD-5B0A-4C73-8201-1A9C3346BBEB}"/>
    <cellStyle name="Normal 5 2 4 2" xfId="433" xr:uid="{00000000-0005-0000-0000-0000D3180000}"/>
    <cellStyle name="Normal 5 2 4 2 10" xfId="17479" xr:uid="{75BFB12E-F48F-4BB7-9071-0AE216A25B8C}"/>
    <cellStyle name="Normal 5 2 4 2 11" xfId="25919" xr:uid="{06EF5283-2838-4D73-93BC-C5C994DDFD2C}"/>
    <cellStyle name="Normal 5 2 4 2 2" xfId="434" xr:uid="{00000000-0005-0000-0000-0000D4180000}"/>
    <cellStyle name="Normal 5 2 4 2 2 10" xfId="25920" xr:uid="{E9EB8C33-B10A-431F-B5CB-63534AC38A8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2 2 2" xfId="15815" xr:uid="{724C7310-CD9B-4D39-8FBE-EBEE7AFAFECE}"/>
    <cellStyle name="Normal 5 2 4 2 2 2 2 2 3" xfId="24255" xr:uid="{C5CD30DE-CAD7-4D5A-A00E-AF8520480E58}"/>
    <cellStyle name="Normal 5 2 4 2 2 2 2 2 4" xfId="32695" xr:uid="{7382C2F6-B9AB-48C7-8C99-D1A6988284BB}"/>
    <cellStyle name="Normal 5 2 4 2 2 2 2 3" xfId="11597" xr:uid="{AFC2B893-279F-43DE-B01D-943A67CBD45C}"/>
    <cellStyle name="Normal 5 2 4 2 2 2 2 4" xfId="20038" xr:uid="{94505C60-AC49-483A-A8B2-34026E5432C6}"/>
    <cellStyle name="Normal 5 2 4 2 2 2 2 5" xfId="28478" xr:uid="{A7861097-248F-4B47-8B87-AB5D25F341C5}"/>
    <cellStyle name="Normal 5 2 4 2 2 2 3" xfId="5220" xr:uid="{00000000-0005-0000-0000-0000D8180000}"/>
    <cellStyle name="Normal 5 2 4 2 2 2 3 2" xfId="13670" xr:uid="{580FA6BE-A10B-4B2B-95B5-F9A57604C0BB}"/>
    <cellStyle name="Normal 5 2 4 2 2 2 3 3" xfId="22110" xr:uid="{4CF23A66-79A8-4621-AD45-8F18D7C84C25}"/>
    <cellStyle name="Normal 5 2 4 2 2 2 3 4" xfId="30550" xr:uid="{308EA04C-F994-4EAB-B32E-819CCA51E9FE}"/>
    <cellStyle name="Normal 5 2 4 2 2 2 4" xfId="9452" xr:uid="{C48CB32C-A698-4EA3-BCF3-6C6DB0D8351F}"/>
    <cellStyle name="Normal 5 2 4 2 2 2 5" xfId="17893" xr:uid="{C797D59E-A441-4C87-BB16-0E720E92B021}"/>
    <cellStyle name="Normal 5 2 4 2 2 2 6" xfId="26333" xr:uid="{B9E56A1C-9E3B-42E8-96B6-3DB8DC80A5EC}"/>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2 2 2" xfId="16228" xr:uid="{FC1AF8C7-BB3C-446D-92C3-19FDA44B2BE3}"/>
    <cellStyle name="Normal 5 2 4 2 2 3 2 2 3" xfId="24668" xr:uid="{2E8C6523-9702-4493-86A4-B6427CE18FD0}"/>
    <cellStyle name="Normal 5 2 4 2 2 3 2 2 4" xfId="33108" xr:uid="{DBCAA42B-4CC4-4757-926D-55A1813FBF37}"/>
    <cellStyle name="Normal 5 2 4 2 2 3 2 3" xfId="12010" xr:uid="{47E4D8B7-797F-40A5-A8A0-3A56D9495602}"/>
    <cellStyle name="Normal 5 2 4 2 2 3 2 4" xfId="20451" xr:uid="{96A35BB8-AF5A-4986-81B0-128909B29DD9}"/>
    <cellStyle name="Normal 5 2 4 2 2 3 2 5" xfId="28891" xr:uid="{8FC9922C-1FB7-430E-A552-184AA3296E6A}"/>
    <cellStyle name="Normal 5 2 4 2 2 3 3" xfId="5633" xr:uid="{00000000-0005-0000-0000-0000DC180000}"/>
    <cellStyle name="Normal 5 2 4 2 2 3 3 2" xfId="14083" xr:uid="{D15A6BA7-0415-4CD2-835A-63BA37D79E7E}"/>
    <cellStyle name="Normal 5 2 4 2 2 3 3 3" xfId="22523" xr:uid="{018B2606-8D70-48E9-8C21-A346699E877C}"/>
    <cellStyle name="Normal 5 2 4 2 2 3 3 4" xfId="30963" xr:uid="{A8BFAE9B-19BC-4F11-A232-4E4E62B41DAF}"/>
    <cellStyle name="Normal 5 2 4 2 2 3 4" xfId="9865" xr:uid="{E48F9CF5-4397-4DD4-A8D7-ECE51E984D53}"/>
    <cellStyle name="Normal 5 2 4 2 2 3 5" xfId="18306" xr:uid="{41FE256D-B58A-46CE-A2E8-717F64AAC27A}"/>
    <cellStyle name="Normal 5 2 4 2 2 3 6" xfId="26746" xr:uid="{32612B81-BD98-43B6-8B83-BA131914151B}"/>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2 2 2" xfId="16641" xr:uid="{7DD23527-5244-4A30-8758-0BB7F9127C27}"/>
    <cellStyle name="Normal 5 2 4 2 2 4 2 2 3" xfId="25081" xr:uid="{7613347E-4983-4E07-936B-9D627523B90A}"/>
    <cellStyle name="Normal 5 2 4 2 2 4 2 2 4" xfId="33521" xr:uid="{99E9E0A3-AE59-4196-A479-5CF9A78F48B5}"/>
    <cellStyle name="Normal 5 2 4 2 2 4 2 3" xfId="12423" xr:uid="{ECD6F044-AADB-4671-807F-722BD2FC8A3A}"/>
    <cellStyle name="Normal 5 2 4 2 2 4 2 4" xfId="20864" xr:uid="{5756EACB-F769-4A0C-A58F-DC8958BF91B7}"/>
    <cellStyle name="Normal 5 2 4 2 2 4 2 5" xfId="29304" xr:uid="{2930945B-2711-4FBA-A359-E33AC75EF6D3}"/>
    <cellStyle name="Normal 5 2 4 2 2 4 3" xfId="6046" xr:uid="{00000000-0005-0000-0000-0000E0180000}"/>
    <cellStyle name="Normal 5 2 4 2 2 4 3 2" xfId="14496" xr:uid="{08D8D751-CD2E-43CD-82CD-3F65C54A7644}"/>
    <cellStyle name="Normal 5 2 4 2 2 4 3 3" xfId="22936" xr:uid="{3AD8393F-4B98-4366-B724-F05A2D933072}"/>
    <cellStyle name="Normal 5 2 4 2 2 4 3 4" xfId="31376" xr:uid="{83D936AE-2F1F-4448-9837-0E272B0D8670}"/>
    <cellStyle name="Normal 5 2 4 2 2 4 4" xfId="10278" xr:uid="{6AFD7BC2-2045-4B50-92DA-9E8F1288751E}"/>
    <cellStyle name="Normal 5 2 4 2 2 4 5" xfId="18719" xr:uid="{2C6AC7D3-E6BD-49C7-8FA7-63771AF6F16D}"/>
    <cellStyle name="Normal 5 2 4 2 2 4 6" xfId="27159" xr:uid="{7D5F2CE3-F528-4F58-9FD6-445BF6BFDE61}"/>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2 2 2" xfId="17054" xr:uid="{0AB6A5AD-5E9E-40CF-8921-627857F8AD25}"/>
    <cellStyle name="Normal 5 2 4 2 2 5 2 2 3" xfId="25494" xr:uid="{45868E88-2A56-420F-AA9C-917F24E5861C}"/>
    <cellStyle name="Normal 5 2 4 2 2 5 2 2 4" xfId="33934" xr:uid="{C8F41589-CA7D-41ED-8EBA-05A3E4859D16}"/>
    <cellStyle name="Normal 5 2 4 2 2 5 2 3" xfId="12836" xr:uid="{6E04BE01-8B3E-47A0-A36D-868722711ED8}"/>
    <cellStyle name="Normal 5 2 4 2 2 5 2 4" xfId="21277" xr:uid="{7BFF8423-8D54-4604-BF64-82D987199730}"/>
    <cellStyle name="Normal 5 2 4 2 2 5 2 5" xfId="29717" xr:uid="{5A182D9E-9237-4522-9EB0-C94BE810A458}"/>
    <cellStyle name="Normal 5 2 4 2 2 5 3" xfId="6459" xr:uid="{00000000-0005-0000-0000-0000E4180000}"/>
    <cellStyle name="Normal 5 2 4 2 2 5 3 2" xfId="14909" xr:uid="{38C6679C-E63B-41CB-9DDA-8FE21A41A3E7}"/>
    <cellStyle name="Normal 5 2 4 2 2 5 3 3" xfId="23349" xr:uid="{DBF866B2-6970-4759-8003-5F914E7CF185}"/>
    <cellStyle name="Normal 5 2 4 2 2 5 3 4" xfId="31789" xr:uid="{1F8C8934-3B5A-431C-9789-E579DF36814B}"/>
    <cellStyle name="Normal 5 2 4 2 2 5 4" xfId="10691" xr:uid="{D73E152F-CA03-4C3C-AF0B-338817F88A0C}"/>
    <cellStyle name="Normal 5 2 4 2 2 5 5" xfId="19132" xr:uid="{2F89843A-D09A-4D70-82A1-4DDB7284B8CC}"/>
    <cellStyle name="Normal 5 2 4 2 2 5 6" xfId="27572" xr:uid="{CDAAA562-4BFF-4B1D-A1F3-739632C3EA67}"/>
    <cellStyle name="Normal 5 2 4 2 2 6" xfId="2589" xr:uid="{00000000-0005-0000-0000-0000E5180000}"/>
    <cellStyle name="Normal 5 2 4 2 2 6 2" xfId="6872" xr:uid="{00000000-0005-0000-0000-0000E6180000}"/>
    <cellStyle name="Normal 5 2 4 2 2 6 2 2" xfId="15322" xr:uid="{6AB29C99-519C-4594-912F-671DA3C0FE83}"/>
    <cellStyle name="Normal 5 2 4 2 2 6 2 3" xfId="23762" xr:uid="{CDAE12EB-4B01-4E92-9E7E-02360B1AB2CE}"/>
    <cellStyle name="Normal 5 2 4 2 2 6 2 4" xfId="32202" xr:uid="{64AEF754-A4A9-4C00-AAE1-AE9E0F2FD6C6}"/>
    <cellStyle name="Normal 5 2 4 2 2 6 3" xfId="11104" xr:uid="{A6830D30-B6E7-4B16-AB6A-57E427E182ED}"/>
    <cellStyle name="Normal 5 2 4 2 2 6 4" xfId="19545" xr:uid="{CD691538-301D-4540-B4A0-39407E81BF3C}"/>
    <cellStyle name="Normal 5 2 4 2 2 6 5" xfId="27985" xr:uid="{F93D314D-1473-43D4-8BEB-568DE007E9DA}"/>
    <cellStyle name="Normal 5 2 4 2 2 7" xfId="4807" xr:uid="{00000000-0005-0000-0000-0000E7180000}"/>
    <cellStyle name="Normal 5 2 4 2 2 7 2" xfId="13257" xr:uid="{B1B8A307-A54A-45D6-AF0A-B33DA1049682}"/>
    <cellStyle name="Normal 5 2 4 2 2 7 3" xfId="21697" xr:uid="{DE48CF0B-5033-4F6A-AB24-2D71341FBB11}"/>
    <cellStyle name="Normal 5 2 4 2 2 7 4" xfId="30137" xr:uid="{86A546DE-F2D8-446E-BAB4-1E6E73C44677}"/>
    <cellStyle name="Normal 5 2 4 2 2 8" xfId="9039" xr:uid="{D08DE0C0-4CF2-4FA3-9B05-E8D205DF3A03}"/>
    <cellStyle name="Normal 5 2 4 2 2 9" xfId="17480" xr:uid="{B21715BA-6E1E-411A-9B55-3427A3F15753}"/>
    <cellStyle name="Normal 5 2 4 2 3" xfId="907" xr:uid="{00000000-0005-0000-0000-0000E8180000}"/>
    <cellStyle name="Normal 5 2 4 2 3 2" xfId="3142" xr:uid="{00000000-0005-0000-0000-0000E9180000}"/>
    <cellStyle name="Normal 5 2 4 2 3 2 2" xfId="7364" xr:uid="{00000000-0005-0000-0000-0000EA180000}"/>
    <cellStyle name="Normal 5 2 4 2 3 2 2 2" xfId="15814" xr:uid="{7BF40ABB-95C5-4F97-869F-877E3837E057}"/>
    <cellStyle name="Normal 5 2 4 2 3 2 2 3" xfId="24254" xr:uid="{5505D413-9D29-47B9-8454-35F0E33D78C5}"/>
    <cellStyle name="Normal 5 2 4 2 3 2 2 4" xfId="32694" xr:uid="{E230A769-B227-4912-8673-7F5A5BDC1757}"/>
    <cellStyle name="Normal 5 2 4 2 3 2 3" xfId="11596" xr:uid="{D0337843-603A-414E-A2F2-A1AFAB9C717D}"/>
    <cellStyle name="Normal 5 2 4 2 3 2 4" xfId="20037" xr:uid="{CA07A0BB-C76F-4D96-8617-ECFDACB4FD39}"/>
    <cellStyle name="Normal 5 2 4 2 3 2 5" xfId="28477" xr:uid="{1B3A1E5B-7B45-43E5-8BDA-AC9DC75E2C8C}"/>
    <cellStyle name="Normal 5 2 4 2 3 3" xfId="5219" xr:uid="{00000000-0005-0000-0000-0000EB180000}"/>
    <cellStyle name="Normal 5 2 4 2 3 3 2" xfId="13669" xr:uid="{321507FD-F3BE-4477-A1B3-42D6405987AD}"/>
    <cellStyle name="Normal 5 2 4 2 3 3 3" xfId="22109" xr:uid="{30CA873C-9831-4FE0-A9B8-6BC13D2249B2}"/>
    <cellStyle name="Normal 5 2 4 2 3 3 4" xfId="30549" xr:uid="{F5EB30FD-FDB6-499D-BB5D-29E4702379AE}"/>
    <cellStyle name="Normal 5 2 4 2 3 4" xfId="9451" xr:uid="{BAFDE1DE-DF09-47A5-826B-8AF6465F663A}"/>
    <cellStyle name="Normal 5 2 4 2 3 5" xfId="17892" xr:uid="{33AAE4AE-6D2D-4163-8952-8E430ADE5F54}"/>
    <cellStyle name="Normal 5 2 4 2 3 6" xfId="26332" xr:uid="{C3734507-EC40-4132-A019-65B8F001C736}"/>
    <cellStyle name="Normal 5 2 4 2 4" xfId="1325" xr:uid="{00000000-0005-0000-0000-0000EC180000}"/>
    <cellStyle name="Normal 5 2 4 2 4 2" xfId="3555" xr:uid="{00000000-0005-0000-0000-0000ED180000}"/>
    <cellStyle name="Normal 5 2 4 2 4 2 2" xfId="7777" xr:uid="{00000000-0005-0000-0000-0000EE180000}"/>
    <cellStyle name="Normal 5 2 4 2 4 2 2 2" xfId="16227" xr:uid="{52577B93-BD9B-4BBB-BAE1-E97C5C1DDFC2}"/>
    <cellStyle name="Normal 5 2 4 2 4 2 2 3" xfId="24667" xr:uid="{942A0971-6BA3-494A-A90F-F285A7F10000}"/>
    <cellStyle name="Normal 5 2 4 2 4 2 2 4" xfId="33107" xr:uid="{C567AE3B-1CB9-4E2B-8E8F-285AEFD05639}"/>
    <cellStyle name="Normal 5 2 4 2 4 2 3" xfId="12009" xr:uid="{97BEF8D6-B2DE-413A-818B-EEA130C9D9E6}"/>
    <cellStyle name="Normal 5 2 4 2 4 2 4" xfId="20450" xr:uid="{0233E9E1-64BA-424F-98C5-B608C26B7FAB}"/>
    <cellStyle name="Normal 5 2 4 2 4 2 5" xfId="28890" xr:uid="{DC023655-C0DC-4FFB-BF73-FB2695954E03}"/>
    <cellStyle name="Normal 5 2 4 2 4 3" xfId="5632" xr:uid="{00000000-0005-0000-0000-0000EF180000}"/>
    <cellStyle name="Normal 5 2 4 2 4 3 2" xfId="14082" xr:uid="{E5EC31DA-7F3C-40EB-A065-3C5E27B173A1}"/>
    <cellStyle name="Normal 5 2 4 2 4 3 3" xfId="22522" xr:uid="{A05FEA4C-CBDD-404D-96AB-B3849E9D30A8}"/>
    <cellStyle name="Normal 5 2 4 2 4 3 4" xfId="30962" xr:uid="{F4ADC611-ABE5-49E0-B2E6-16EACA8A9902}"/>
    <cellStyle name="Normal 5 2 4 2 4 4" xfId="9864" xr:uid="{6312DD1B-3FE8-45FD-A81A-C6414495A250}"/>
    <cellStyle name="Normal 5 2 4 2 4 5" xfId="18305" xr:uid="{F80A52A3-10DB-4EC4-A8D5-21DCFC9BEACD}"/>
    <cellStyle name="Normal 5 2 4 2 4 6" xfId="26745" xr:uid="{D1CA010C-DCF3-4F8D-B2AB-4784CCB904B9}"/>
    <cellStyle name="Normal 5 2 4 2 5" xfId="1738" xr:uid="{00000000-0005-0000-0000-0000F0180000}"/>
    <cellStyle name="Normal 5 2 4 2 5 2" xfId="3968" xr:uid="{00000000-0005-0000-0000-0000F1180000}"/>
    <cellStyle name="Normal 5 2 4 2 5 2 2" xfId="8190" xr:uid="{00000000-0005-0000-0000-0000F2180000}"/>
    <cellStyle name="Normal 5 2 4 2 5 2 2 2" xfId="16640" xr:uid="{FD08FF10-727D-433C-BE95-BBACB1BF8AED}"/>
    <cellStyle name="Normal 5 2 4 2 5 2 2 3" xfId="25080" xr:uid="{C916C56B-8699-4783-9095-39E05B45667B}"/>
    <cellStyle name="Normal 5 2 4 2 5 2 2 4" xfId="33520" xr:uid="{07D07FCD-5552-49DE-A95B-B71213857201}"/>
    <cellStyle name="Normal 5 2 4 2 5 2 3" xfId="12422" xr:uid="{FC5F8AEB-4571-4B01-89E1-6A030C1581BD}"/>
    <cellStyle name="Normal 5 2 4 2 5 2 4" xfId="20863" xr:uid="{9FC9ABE4-90E3-4894-983F-9411E0E4C8C8}"/>
    <cellStyle name="Normal 5 2 4 2 5 2 5" xfId="29303" xr:uid="{78BFF368-7257-44FA-B162-D936CAB602BA}"/>
    <cellStyle name="Normal 5 2 4 2 5 3" xfId="6045" xr:uid="{00000000-0005-0000-0000-0000F3180000}"/>
    <cellStyle name="Normal 5 2 4 2 5 3 2" xfId="14495" xr:uid="{8D86298A-6E02-454E-99BE-C26280027580}"/>
    <cellStyle name="Normal 5 2 4 2 5 3 3" xfId="22935" xr:uid="{9AF936C9-207D-4355-9FC5-F3C94A727B03}"/>
    <cellStyle name="Normal 5 2 4 2 5 3 4" xfId="31375" xr:uid="{EC0579D2-208C-49B3-B239-5C3AC06F37AD}"/>
    <cellStyle name="Normal 5 2 4 2 5 4" xfId="10277" xr:uid="{E4800324-5ADF-4042-8ABB-B6A704651F23}"/>
    <cellStyle name="Normal 5 2 4 2 5 5" xfId="18718" xr:uid="{8A8DEC4B-1B00-4D4F-99CD-D3700DE0FBCE}"/>
    <cellStyle name="Normal 5 2 4 2 5 6" xfId="27158" xr:uid="{CC7ACFBF-CFCA-4FB7-AC6A-1ECFD59F2EAF}"/>
    <cellStyle name="Normal 5 2 4 2 6" xfId="2152" xr:uid="{00000000-0005-0000-0000-0000F4180000}"/>
    <cellStyle name="Normal 5 2 4 2 6 2" xfId="4381" xr:uid="{00000000-0005-0000-0000-0000F5180000}"/>
    <cellStyle name="Normal 5 2 4 2 6 2 2" xfId="8603" xr:uid="{00000000-0005-0000-0000-0000F6180000}"/>
    <cellStyle name="Normal 5 2 4 2 6 2 2 2" xfId="17053" xr:uid="{41DDA1C2-A5CD-492D-9C03-E12C632F0854}"/>
    <cellStyle name="Normal 5 2 4 2 6 2 2 3" xfId="25493" xr:uid="{35C3D1FA-F135-42E3-A949-E2EDA6255F98}"/>
    <cellStyle name="Normal 5 2 4 2 6 2 2 4" xfId="33933" xr:uid="{D21530E3-7CF4-4D29-BFDA-83BD7DD8B931}"/>
    <cellStyle name="Normal 5 2 4 2 6 2 3" xfId="12835" xr:uid="{7ECA82BD-107C-4E03-BC6A-F462B29D5D21}"/>
    <cellStyle name="Normal 5 2 4 2 6 2 4" xfId="21276" xr:uid="{097CBF4B-4D95-4DB8-A061-CCA6EDD76965}"/>
    <cellStyle name="Normal 5 2 4 2 6 2 5" xfId="29716" xr:uid="{A1235D1B-7039-4B99-8DEC-A9E54F7BB94B}"/>
    <cellStyle name="Normal 5 2 4 2 6 3" xfId="6458" xr:uid="{00000000-0005-0000-0000-0000F7180000}"/>
    <cellStyle name="Normal 5 2 4 2 6 3 2" xfId="14908" xr:uid="{752BA1C1-5A12-416A-BF94-CB16D04F2705}"/>
    <cellStyle name="Normal 5 2 4 2 6 3 3" xfId="23348" xr:uid="{F4007CF4-7978-4686-AC80-1E6C76551D13}"/>
    <cellStyle name="Normal 5 2 4 2 6 3 4" xfId="31788" xr:uid="{FAC6AA9A-EE55-4A55-BCC9-58B388D7A53C}"/>
    <cellStyle name="Normal 5 2 4 2 6 4" xfId="10690" xr:uid="{9DEF570B-B00F-4FB6-BAF1-7220C21AF109}"/>
    <cellStyle name="Normal 5 2 4 2 6 5" xfId="19131" xr:uid="{BD602D63-B031-440C-9191-3C5B9D1D7599}"/>
    <cellStyle name="Normal 5 2 4 2 6 6" xfId="27571" xr:uid="{A2AD17B6-1F94-4CD0-93F0-B8B9E74DD5C6}"/>
    <cellStyle name="Normal 5 2 4 2 7" xfId="2588" xr:uid="{00000000-0005-0000-0000-0000F8180000}"/>
    <cellStyle name="Normal 5 2 4 2 7 2" xfId="6871" xr:uid="{00000000-0005-0000-0000-0000F9180000}"/>
    <cellStyle name="Normal 5 2 4 2 7 2 2" xfId="15321" xr:uid="{D68AE070-1392-4014-9626-F5A53AE2202E}"/>
    <cellStyle name="Normal 5 2 4 2 7 2 3" xfId="23761" xr:uid="{8BA4BF21-A4DD-4B1C-A9BD-64CBEF893FB6}"/>
    <cellStyle name="Normal 5 2 4 2 7 2 4" xfId="32201" xr:uid="{11C4AAAC-ABB9-4D15-B07B-76BCF0E4C517}"/>
    <cellStyle name="Normal 5 2 4 2 7 3" xfId="11103" xr:uid="{50977FF4-2D1D-4037-887E-068D345C1C61}"/>
    <cellStyle name="Normal 5 2 4 2 7 4" xfId="19544" xr:uid="{2088D0C4-7869-4114-83F2-7AECC1A33863}"/>
    <cellStyle name="Normal 5 2 4 2 7 5" xfId="27984" xr:uid="{0D9503F4-04BE-4D05-A4E2-987C3B0AA173}"/>
    <cellStyle name="Normal 5 2 4 2 8" xfId="4806" xr:uid="{00000000-0005-0000-0000-0000FA180000}"/>
    <cellStyle name="Normal 5 2 4 2 8 2" xfId="13256" xr:uid="{50EDB12F-DA18-4453-83E3-854A6D8B7660}"/>
    <cellStyle name="Normal 5 2 4 2 8 3" xfId="21696" xr:uid="{FF6AF577-1B90-4516-BACF-EC322DC5DA74}"/>
    <cellStyle name="Normal 5 2 4 2 8 4" xfId="30136" xr:uid="{0F4E8970-84EF-4002-B16F-3B4498A94B29}"/>
    <cellStyle name="Normal 5 2 4 2 9" xfId="9038" xr:uid="{F42AEE8A-929D-49D5-AF0E-0FED3C87E753}"/>
    <cellStyle name="Normal 5 2 4 3" xfId="435" xr:uid="{00000000-0005-0000-0000-0000FB180000}"/>
    <cellStyle name="Normal 5 2 4 3 10" xfId="25921" xr:uid="{19753C7B-5483-48A9-BBA8-39136953AC8D}"/>
    <cellStyle name="Normal 5 2 4 3 2" xfId="909" xr:uid="{00000000-0005-0000-0000-0000FC180000}"/>
    <cellStyle name="Normal 5 2 4 3 2 2" xfId="3144" xr:uid="{00000000-0005-0000-0000-0000FD180000}"/>
    <cellStyle name="Normal 5 2 4 3 2 2 2" xfId="7366" xr:uid="{00000000-0005-0000-0000-0000FE180000}"/>
    <cellStyle name="Normal 5 2 4 3 2 2 2 2" xfId="15816" xr:uid="{27927946-1517-4E39-B6B0-2BA783632EBD}"/>
    <cellStyle name="Normal 5 2 4 3 2 2 2 3" xfId="24256" xr:uid="{D66C250A-00D2-458D-95E1-6B782D424859}"/>
    <cellStyle name="Normal 5 2 4 3 2 2 2 4" xfId="32696" xr:uid="{DB693DE4-83F8-4E9D-99A8-34E9624AFBA5}"/>
    <cellStyle name="Normal 5 2 4 3 2 2 3" xfId="11598" xr:uid="{10CA25C0-6A91-488D-ABDA-32875B04603B}"/>
    <cellStyle name="Normal 5 2 4 3 2 2 4" xfId="20039" xr:uid="{EB93636F-244F-4E34-AB50-04FAB048A05C}"/>
    <cellStyle name="Normal 5 2 4 3 2 2 5" xfId="28479" xr:uid="{B968EE9B-D095-4D72-AC38-C9634D4AE58C}"/>
    <cellStyle name="Normal 5 2 4 3 2 3" xfId="5221" xr:uid="{00000000-0005-0000-0000-0000FF180000}"/>
    <cellStyle name="Normal 5 2 4 3 2 3 2" xfId="13671" xr:uid="{0F29E62B-BD16-4B52-85FC-C668A612F3FA}"/>
    <cellStyle name="Normal 5 2 4 3 2 3 3" xfId="22111" xr:uid="{2B5141B6-45B5-42E8-82E2-CFD92D988B26}"/>
    <cellStyle name="Normal 5 2 4 3 2 3 4" xfId="30551" xr:uid="{E9ED6796-37A7-46F3-9C98-12EEA4328722}"/>
    <cellStyle name="Normal 5 2 4 3 2 4" xfId="9453" xr:uid="{5E9A8933-175F-4B4D-BD1E-6DD4ADEFB48B}"/>
    <cellStyle name="Normal 5 2 4 3 2 5" xfId="17894" xr:uid="{123205FC-D4EC-486A-AFBD-F22CAB469E74}"/>
    <cellStyle name="Normal 5 2 4 3 2 6" xfId="26334" xr:uid="{601CAA30-4DE1-4CB7-9ED4-70017E1B4E25}"/>
    <cellStyle name="Normal 5 2 4 3 3" xfId="1327" xr:uid="{00000000-0005-0000-0000-000000190000}"/>
    <cellStyle name="Normal 5 2 4 3 3 2" xfId="3557" xr:uid="{00000000-0005-0000-0000-000001190000}"/>
    <cellStyle name="Normal 5 2 4 3 3 2 2" xfId="7779" xr:uid="{00000000-0005-0000-0000-000002190000}"/>
    <cellStyle name="Normal 5 2 4 3 3 2 2 2" xfId="16229" xr:uid="{5FC408FC-6EDD-4236-9936-977E4238C125}"/>
    <cellStyle name="Normal 5 2 4 3 3 2 2 3" xfId="24669" xr:uid="{F026455B-F7B4-4F8B-94F6-1D5E7EB66801}"/>
    <cellStyle name="Normal 5 2 4 3 3 2 2 4" xfId="33109" xr:uid="{6E6D9D18-6862-452C-AC6C-903154B9A2FB}"/>
    <cellStyle name="Normal 5 2 4 3 3 2 3" xfId="12011" xr:uid="{16D48350-2A92-486C-A46A-A3931903226C}"/>
    <cellStyle name="Normal 5 2 4 3 3 2 4" xfId="20452" xr:uid="{0EA71B08-E91B-4AD9-B955-E8A37BE77F3D}"/>
    <cellStyle name="Normal 5 2 4 3 3 2 5" xfId="28892" xr:uid="{EA764F8F-80B2-4C39-A0C0-78504611AFE9}"/>
    <cellStyle name="Normal 5 2 4 3 3 3" xfId="5634" xr:uid="{00000000-0005-0000-0000-000003190000}"/>
    <cellStyle name="Normal 5 2 4 3 3 3 2" xfId="14084" xr:uid="{3196BCB7-3006-4C25-A16E-551AEAF0C853}"/>
    <cellStyle name="Normal 5 2 4 3 3 3 3" xfId="22524" xr:uid="{CAE4A76D-1920-4B84-937C-08CAC4D63C0D}"/>
    <cellStyle name="Normal 5 2 4 3 3 3 4" xfId="30964" xr:uid="{2FD4582C-EAB1-43EC-8A5A-5C1B5823E9EF}"/>
    <cellStyle name="Normal 5 2 4 3 3 4" xfId="9866" xr:uid="{B3D0FA27-1A62-4D1D-9389-FA8F1CF242E6}"/>
    <cellStyle name="Normal 5 2 4 3 3 5" xfId="18307" xr:uid="{1AC8EE75-6C27-4A34-A316-DE00F01A38F2}"/>
    <cellStyle name="Normal 5 2 4 3 3 6" xfId="26747" xr:uid="{3D54E9E5-347B-4F50-BB65-1A5B330257CE}"/>
    <cellStyle name="Normal 5 2 4 3 4" xfId="1740" xr:uid="{00000000-0005-0000-0000-000004190000}"/>
    <cellStyle name="Normal 5 2 4 3 4 2" xfId="3970" xr:uid="{00000000-0005-0000-0000-000005190000}"/>
    <cellStyle name="Normal 5 2 4 3 4 2 2" xfId="8192" xr:uid="{00000000-0005-0000-0000-000006190000}"/>
    <cellStyle name="Normal 5 2 4 3 4 2 2 2" xfId="16642" xr:uid="{995F6840-2E7A-492D-880F-33366310012C}"/>
    <cellStyle name="Normal 5 2 4 3 4 2 2 3" xfId="25082" xr:uid="{74AEB942-84EF-4B9A-AF0D-854231991C79}"/>
    <cellStyle name="Normal 5 2 4 3 4 2 2 4" xfId="33522" xr:uid="{0B7E0044-6AFF-4012-A66A-782311BBD040}"/>
    <cellStyle name="Normal 5 2 4 3 4 2 3" xfId="12424" xr:uid="{ECB91495-E846-4548-9A4C-E30F44E2F2C7}"/>
    <cellStyle name="Normal 5 2 4 3 4 2 4" xfId="20865" xr:uid="{F5D00AF2-7A9C-409E-AD47-AC859198B226}"/>
    <cellStyle name="Normal 5 2 4 3 4 2 5" xfId="29305" xr:uid="{0E8DA61C-602C-4D49-8DF0-3E61F9B318EC}"/>
    <cellStyle name="Normal 5 2 4 3 4 3" xfId="6047" xr:uid="{00000000-0005-0000-0000-000007190000}"/>
    <cellStyle name="Normal 5 2 4 3 4 3 2" xfId="14497" xr:uid="{31E6BD7A-38BF-45A6-8CF0-9B36ADBD2B00}"/>
    <cellStyle name="Normal 5 2 4 3 4 3 3" xfId="22937" xr:uid="{1FDCD1D2-C55E-4793-9F50-02CD95F4BC18}"/>
    <cellStyle name="Normal 5 2 4 3 4 3 4" xfId="31377" xr:uid="{E36345CC-A8AE-4E38-BE8F-1D4C728DD259}"/>
    <cellStyle name="Normal 5 2 4 3 4 4" xfId="10279" xr:uid="{CC60C039-863A-4522-B968-92787F825B28}"/>
    <cellStyle name="Normal 5 2 4 3 4 5" xfId="18720" xr:uid="{B1027F41-C8FC-462F-BD10-5DECA5F30240}"/>
    <cellStyle name="Normal 5 2 4 3 4 6" xfId="27160" xr:uid="{2721B589-440B-46EC-B29A-1F0ABBFEC3AC}"/>
    <cellStyle name="Normal 5 2 4 3 5" xfId="2154" xr:uid="{00000000-0005-0000-0000-000008190000}"/>
    <cellStyle name="Normal 5 2 4 3 5 2" xfId="4383" xr:uid="{00000000-0005-0000-0000-000009190000}"/>
    <cellStyle name="Normal 5 2 4 3 5 2 2" xfId="8605" xr:uid="{00000000-0005-0000-0000-00000A190000}"/>
    <cellStyle name="Normal 5 2 4 3 5 2 2 2" xfId="17055" xr:uid="{B3B0E39B-65C8-4191-8989-C9223E985967}"/>
    <cellStyle name="Normal 5 2 4 3 5 2 2 3" xfId="25495" xr:uid="{7C6389CE-465C-4E8D-A265-273E66C64CDA}"/>
    <cellStyle name="Normal 5 2 4 3 5 2 2 4" xfId="33935" xr:uid="{810BB0E7-8371-4AF4-BB30-77883F681DDE}"/>
    <cellStyle name="Normal 5 2 4 3 5 2 3" xfId="12837" xr:uid="{0D06EB13-3FC7-4981-86EF-87B3C12F8E56}"/>
    <cellStyle name="Normal 5 2 4 3 5 2 4" xfId="21278" xr:uid="{E81303F8-18C4-40CB-A468-B0C5EFDCBBAD}"/>
    <cellStyle name="Normal 5 2 4 3 5 2 5" xfId="29718" xr:uid="{63A898F9-769C-4A7E-B0A6-B1F81A6B4161}"/>
    <cellStyle name="Normal 5 2 4 3 5 3" xfId="6460" xr:uid="{00000000-0005-0000-0000-00000B190000}"/>
    <cellStyle name="Normal 5 2 4 3 5 3 2" xfId="14910" xr:uid="{EF6888BA-5B2C-4D9D-B496-80C5A8F34DDA}"/>
    <cellStyle name="Normal 5 2 4 3 5 3 3" xfId="23350" xr:uid="{7D46D0FC-5082-4A6B-A482-12DB94156BF6}"/>
    <cellStyle name="Normal 5 2 4 3 5 3 4" xfId="31790" xr:uid="{9BA5A812-A02F-49C2-9D56-C347BEAC9BB9}"/>
    <cellStyle name="Normal 5 2 4 3 5 4" xfId="10692" xr:uid="{FF9017E2-9ED7-402E-83D2-C49B206864F9}"/>
    <cellStyle name="Normal 5 2 4 3 5 5" xfId="19133" xr:uid="{623FEFC9-7FA6-4450-86C2-C86D1C9A3A8B}"/>
    <cellStyle name="Normal 5 2 4 3 5 6" xfId="27573" xr:uid="{5061772A-13B6-4D51-AD49-FB5D1E76E07F}"/>
    <cellStyle name="Normal 5 2 4 3 6" xfId="2590" xr:uid="{00000000-0005-0000-0000-00000C190000}"/>
    <cellStyle name="Normal 5 2 4 3 6 2" xfId="6873" xr:uid="{00000000-0005-0000-0000-00000D190000}"/>
    <cellStyle name="Normal 5 2 4 3 6 2 2" xfId="15323" xr:uid="{A2425283-5A2B-470A-A7BC-C8C320302553}"/>
    <cellStyle name="Normal 5 2 4 3 6 2 3" xfId="23763" xr:uid="{61BCA68E-662C-43C5-8238-E9BE366B9AE3}"/>
    <cellStyle name="Normal 5 2 4 3 6 2 4" xfId="32203" xr:uid="{690A8F06-E83D-4B2D-82C7-E40008C58B63}"/>
    <cellStyle name="Normal 5 2 4 3 6 3" xfId="11105" xr:uid="{8A82DBB9-670E-4F3C-9BFF-CA02FB5762C9}"/>
    <cellStyle name="Normal 5 2 4 3 6 4" xfId="19546" xr:uid="{3447A7F6-695E-43DB-B4F4-B005D788027C}"/>
    <cellStyle name="Normal 5 2 4 3 6 5" xfId="27986" xr:uid="{FE1BBE93-AD4E-4CD6-B0B0-036E0F24074F}"/>
    <cellStyle name="Normal 5 2 4 3 7" xfId="4808" xr:uid="{00000000-0005-0000-0000-00000E190000}"/>
    <cellStyle name="Normal 5 2 4 3 7 2" xfId="13258" xr:uid="{17D1857E-E6F6-4913-824E-928CE265F308}"/>
    <cellStyle name="Normal 5 2 4 3 7 3" xfId="21698" xr:uid="{5E0AE2AE-49AF-48E3-B3B3-179CD7A4C415}"/>
    <cellStyle name="Normal 5 2 4 3 7 4" xfId="30138" xr:uid="{56D722D2-1B01-4B44-921F-D172474FBDD0}"/>
    <cellStyle name="Normal 5 2 4 3 8" xfId="9040" xr:uid="{797725A2-3621-4C14-910F-4720C8587428}"/>
    <cellStyle name="Normal 5 2 4 3 9" xfId="17481" xr:uid="{72810BA8-B1A7-4FA5-A5A8-668EF7E6002C}"/>
    <cellStyle name="Normal 5 2 4 4" xfId="906" xr:uid="{00000000-0005-0000-0000-00000F190000}"/>
    <cellStyle name="Normal 5 2 4 4 2" xfId="3141" xr:uid="{00000000-0005-0000-0000-000010190000}"/>
    <cellStyle name="Normal 5 2 4 4 2 2" xfId="7363" xr:uid="{00000000-0005-0000-0000-000011190000}"/>
    <cellStyle name="Normal 5 2 4 4 2 2 2" xfId="15813" xr:uid="{42606818-C930-4D5E-814C-EC52E8EB0A38}"/>
    <cellStyle name="Normal 5 2 4 4 2 2 3" xfId="24253" xr:uid="{C015A46E-84BB-4619-8609-575E6039FF78}"/>
    <cellStyle name="Normal 5 2 4 4 2 2 4" xfId="32693" xr:uid="{2D65D4B5-B3A2-49B9-9F1E-9A081B36640E}"/>
    <cellStyle name="Normal 5 2 4 4 2 3" xfId="11595" xr:uid="{02C00F4A-75AE-44CC-8F8D-224F17BC921D}"/>
    <cellStyle name="Normal 5 2 4 4 2 4" xfId="20036" xr:uid="{70639C5A-5F01-47ED-8A22-BD6B366DE834}"/>
    <cellStyle name="Normal 5 2 4 4 2 5" xfId="28476" xr:uid="{A27F0BFA-DF40-4AF7-BB1C-E9898366FEDA}"/>
    <cellStyle name="Normal 5 2 4 4 3" xfId="5218" xr:uid="{00000000-0005-0000-0000-000012190000}"/>
    <cellStyle name="Normal 5 2 4 4 3 2" xfId="13668" xr:uid="{A147740B-F031-4D49-8B6B-A8BDEC9121A0}"/>
    <cellStyle name="Normal 5 2 4 4 3 3" xfId="22108" xr:uid="{269E2DC3-C76D-4B59-9576-CB3CF987464D}"/>
    <cellStyle name="Normal 5 2 4 4 3 4" xfId="30548" xr:uid="{4F8DB0B9-E5FD-4283-8554-7F339957D66D}"/>
    <cellStyle name="Normal 5 2 4 4 4" xfId="9450" xr:uid="{049B358E-A3B2-4794-A441-74EF4FBA4BC0}"/>
    <cellStyle name="Normal 5 2 4 4 5" xfId="17891" xr:uid="{F5525337-0CFC-4C5F-AF78-F083F5C7527D}"/>
    <cellStyle name="Normal 5 2 4 4 6" xfId="26331" xr:uid="{FA3497AE-294B-4857-9763-C5A1A2DA9B9A}"/>
    <cellStyle name="Normal 5 2 4 5" xfId="1324" xr:uid="{00000000-0005-0000-0000-000013190000}"/>
    <cellStyle name="Normal 5 2 4 5 2" xfId="3554" xr:uid="{00000000-0005-0000-0000-000014190000}"/>
    <cellStyle name="Normal 5 2 4 5 2 2" xfId="7776" xr:uid="{00000000-0005-0000-0000-000015190000}"/>
    <cellStyle name="Normal 5 2 4 5 2 2 2" xfId="16226" xr:uid="{0678C7B5-CD4B-4A71-919A-BF4AAF992680}"/>
    <cellStyle name="Normal 5 2 4 5 2 2 3" xfId="24666" xr:uid="{F9B8B030-1220-41E5-B708-769089787F3C}"/>
    <cellStyle name="Normal 5 2 4 5 2 2 4" xfId="33106" xr:uid="{F92DE5CA-96C4-449B-B449-03C9D42765D7}"/>
    <cellStyle name="Normal 5 2 4 5 2 3" xfId="12008" xr:uid="{20D87AB2-E30C-4641-94FF-13B5C1C6EBF3}"/>
    <cellStyle name="Normal 5 2 4 5 2 4" xfId="20449" xr:uid="{E337371F-DDCF-4EC8-AD0A-2CD6ACF31B7F}"/>
    <cellStyle name="Normal 5 2 4 5 2 5" xfId="28889" xr:uid="{84D02165-E142-48CD-9BAA-5082110B439A}"/>
    <cellStyle name="Normal 5 2 4 5 3" xfId="5631" xr:uid="{00000000-0005-0000-0000-000016190000}"/>
    <cellStyle name="Normal 5 2 4 5 3 2" xfId="14081" xr:uid="{513E54A1-E268-4109-9252-6B47DDA44363}"/>
    <cellStyle name="Normal 5 2 4 5 3 3" xfId="22521" xr:uid="{EF72F32F-FAE6-42FB-9872-188C14C0B95E}"/>
    <cellStyle name="Normal 5 2 4 5 3 4" xfId="30961" xr:uid="{BE2F13A3-AB90-4157-912B-E387367C143C}"/>
    <cellStyle name="Normal 5 2 4 5 4" xfId="9863" xr:uid="{996B7DEF-4DF2-470A-870B-EA4E2AAB8D12}"/>
    <cellStyle name="Normal 5 2 4 5 5" xfId="18304" xr:uid="{C48C1E6C-F211-48B2-8ACE-A3A1A43E8F3D}"/>
    <cellStyle name="Normal 5 2 4 5 6" xfId="26744" xr:uid="{908D3357-8FAA-4B55-93DF-CFDE69AECBBA}"/>
    <cellStyle name="Normal 5 2 4 6" xfId="1737" xr:uid="{00000000-0005-0000-0000-000017190000}"/>
    <cellStyle name="Normal 5 2 4 6 2" xfId="3967" xr:uid="{00000000-0005-0000-0000-000018190000}"/>
    <cellStyle name="Normal 5 2 4 6 2 2" xfId="8189" xr:uid="{00000000-0005-0000-0000-000019190000}"/>
    <cellStyle name="Normal 5 2 4 6 2 2 2" xfId="16639" xr:uid="{069435BE-8A0A-4DBF-814A-FFBB65F2D19C}"/>
    <cellStyle name="Normal 5 2 4 6 2 2 3" xfId="25079" xr:uid="{D0167B5A-BE62-4745-BC67-835446547426}"/>
    <cellStyle name="Normal 5 2 4 6 2 2 4" xfId="33519" xr:uid="{94A8B0EE-4E87-4010-8400-1887C4BA95C3}"/>
    <cellStyle name="Normal 5 2 4 6 2 3" xfId="12421" xr:uid="{933F152E-D813-4F99-BCC2-7FE4139FC8FC}"/>
    <cellStyle name="Normal 5 2 4 6 2 4" xfId="20862" xr:uid="{143498AE-A3C0-4DF9-BB69-969B47D975A9}"/>
    <cellStyle name="Normal 5 2 4 6 2 5" xfId="29302" xr:uid="{B383EDA9-ACF0-4B46-B457-6238673FBC59}"/>
    <cellStyle name="Normal 5 2 4 6 3" xfId="6044" xr:uid="{00000000-0005-0000-0000-00001A190000}"/>
    <cellStyle name="Normal 5 2 4 6 3 2" xfId="14494" xr:uid="{D3243B68-9EC1-46E6-A548-F06DA1C26A85}"/>
    <cellStyle name="Normal 5 2 4 6 3 3" xfId="22934" xr:uid="{8C9FC73E-C9BC-40EA-9773-9C18435A98D1}"/>
    <cellStyle name="Normal 5 2 4 6 3 4" xfId="31374" xr:uid="{F2E416FB-2F83-4F55-B9BC-A8C56C5CAC23}"/>
    <cellStyle name="Normal 5 2 4 6 4" xfId="10276" xr:uid="{37AAE9E9-CAAE-41F8-99A7-C4526A8EE712}"/>
    <cellStyle name="Normal 5 2 4 6 5" xfId="18717" xr:uid="{FDD85EFC-BCDC-449A-A2F0-170CF675F17E}"/>
    <cellStyle name="Normal 5 2 4 6 6" xfId="27157" xr:uid="{80514272-E5D6-4316-B08C-7B0957E032BA}"/>
    <cellStyle name="Normal 5 2 4 7" xfId="2151" xr:uid="{00000000-0005-0000-0000-00001B190000}"/>
    <cellStyle name="Normal 5 2 4 7 2" xfId="4380" xr:uid="{00000000-0005-0000-0000-00001C190000}"/>
    <cellStyle name="Normal 5 2 4 7 2 2" xfId="8602" xr:uid="{00000000-0005-0000-0000-00001D190000}"/>
    <cellStyle name="Normal 5 2 4 7 2 2 2" xfId="17052" xr:uid="{E18AFB1F-999A-4D6D-9A2D-754994550495}"/>
    <cellStyle name="Normal 5 2 4 7 2 2 3" xfId="25492" xr:uid="{20409F7A-5DCF-4315-83A8-D937477EB587}"/>
    <cellStyle name="Normal 5 2 4 7 2 2 4" xfId="33932" xr:uid="{59663773-B1FE-4453-AEAF-6D1F27ACCC31}"/>
    <cellStyle name="Normal 5 2 4 7 2 3" xfId="12834" xr:uid="{12469040-632D-4011-9877-038F66613A3C}"/>
    <cellStyle name="Normal 5 2 4 7 2 4" xfId="21275" xr:uid="{C518DEDF-3E0E-423E-B65E-67FA37768A03}"/>
    <cellStyle name="Normal 5 2 4 7 2 5" xfId="29715" xr:uid="{2FA65CB0-F48C-49BF-AA5E-945536D93C5B}"/>
    <cellStyle name="Normal 5 2 4 7 3" xfId="6457" xr:uid="{00000000-0005-0000-0000-00001E190000}"/>
    <cellStyle name="Normal 5 2 4 7 3 2" xfId="14907" xr:uid="{490CCCF7-E7B7-425F-9328-EEBF4EB64170}"/>
    <cellStyle name="Normal 5 2 4 7 3 3" xfId="23347" xr:uid="{812041BD-106D-431F-BF36-D712E6AEAB96}"/>
    <cellStyle name="Normal 5 2 4 7 3 4" xfId="31787" xr:uid="{C3E4C847-8B07-4773-A72C-1BBD57A50F4C}"/>
    <cellStyle name="Normal 5 2 4 7 4" xfId="10689" xr:uid="{DD214F43-184A-4D86-A7AF-C2CB5A8E674A}"/>
    <cellStyle name="Normal 5 2 4 7 5" xfId="19130" xr:uid="{4932D355-A250-4867-A495-00A717E71DD9}"/>
    <cellStyle name="Normal 5 2 4 7 6" xfId="27570" xr:uid="{AE0B3BE4-9D47-4E67-AC3C-9CAFC8DF3CC1}"/>
    <cellStyle name="Normal 5 2 4 8" xfId="2587" xr:uid="{00000000-0005-0000-0000-00001F190000}"/>
    <cellStyle name="Normal 5 2 4 8 2" xfId="6870" xr:uid="{00000000-0005-0000-0000-000020190000}"/>
    <cellStyle name="Normal 5 2 4 8 2 2" xfId="15320" xr:uid="{FD1CB41C-CE1B-42D9-9126-FB990CA43358}"/>
    <cellStyle name="Normal 5 2 4 8 2 3" xfId="23760" xr:uid="{8D6ED7A7-FC41-4F37-8FBF-B17FC7660ECC}"/>
    <cellStyle name="Normal 5 2 4 8 2 4" xfId="32200" xr:uid="{FD952347-16D1-4DFB-89CC-A4D89703D7EE}"/>
    <cellStyle name="Normal 5 2 4 8 3" xfId="11102" xr:uid="{6E7C5D7B-0ED9-4F48-B3EA-A5B4C30B8CF5}"/>
    <cellStyle name="Normal 5 2 4 8 4" xfId="19543" xr:uid="{E9F0D449-1DF3-4CEA-A4D4-1ECFAF576F2C}"/>
    <cellStyle name="Normal 5 2 4 8 5" xfId="27983" xr:uid="{D0236F12-CC43-4BF5-AB55-A85B09FC4EB4}"/>
    <cellStyle name="Normal 5 2 4 9" xfId="4805" xr:uid="{00000000-0005-0000-0000-000021190000}"/>
    <cellStyle name="Normal 5 2 4 9 2" xfId="13255" xr:uid="{AD9BCCA3-9871-4B76-B079-5D14BE18B624}"/>
    <cellStyle name="Normal 5 2 4 9 3" xfId="21695" xr:uid="{BDEFF4E2-69B2-4BE9-B1AC-6F715C030BFF}"/>
    <cellStyle name="Normal 5 2 4 9 4" xfId="30135" xr:uid="{9D51E570-935C-4F0A-B6B2-A4F91222296D}"/>
    <cellStyle name="Normal 5 2 5" xfId="436" xr:uid="{00000000-0005-0000-0000-000022190000}"/>
    <cellStyle name="Normal 5 2 5 10" xfId="17482" xr:uid="{983C5531-26DA-424D-8871-A9BE4881F6AE}"/>
    <cellStyle name="Normal 5 2 5 11" xfId="25922" xr:uid="{963323E4-97DD-430F-81A5-92A6986AB658}"/>
    <cellStyle name="Normal 5 2 5 2" xfId="437" xr:uid="{00000000-0005-0000-0000-000023190000}"/>
    <cellStyle name="Normal 5 2 5 2 10" xfId="25923" xr:uid="{10B7BD5C-86A6-49C1-B9AD-A11406255D84}"/>
    <cellStyle name="Normal 5 2 5 2 2" xfId="911" xr:uid="{00000000-0005-0000-0000-000024190000}"/>
    <cellStyle name="Normal 5 2 5 2 2 2" xfId="3146" xr:uid="{00000000-0005-0000-0000-000025190000}"/>
    <cellStyle name="Normal 5 2 5 2 2 2 2" xfId="7368" xr:uid="{00000000-0005-0000-0000-000026190000}"/>
    <cellStyle name="Normal 5 2 5 2 2 2 2 2" xfId="15818" xr:uid="{1906FCCA-86CF-4A88-8396-4532388ED386}"/>
    <cellStyle name="Normal 5 2 5 2 2 2 2 3" xfId="24258" xr:uid="{0AC5785A-8C9C-4EC8-BD16-16B1AB8612F0}"/>
    <cellStyle name="Normal 5 2 5 2 2 2 2 4" xfId="32698" xr:uid="{955FAC51-C345-4C47-AA66-13FBEB17BB52}"/>
    <cellStyle name="Normal 5 2 5 2 2 2 3" xfId="11600" xr:uid="{AC40DFA9-2C8B-4DE8-9284-912B4D9CDE9C}"/>
    <cellStyle name="Normal 5 2 5 2 2 2 4" xfId="20041" xr:uid="{5A6B5914-F5D6-4A8C-BFC1-ED5F08023805}"/>
    <cellStyle name="Normal 5 2 5 2 2 2 5" xfId="28481" xr:uid="{EFF3D311-CE25-41A6-80E8-E400215341AD}"/>
    <cellStyle name="Normal 5 2 5 2 2 3" xfId="5223" xr:uid="{00000000-0005-0000-0000-000027190000}"/>
    <cellStyle name="Normal 5 2 5 2 2 3 2" xfId="13673" xr:uid="{47E26C2B-5DD8-4707-ADAA-8C65A9E6BD6C}"/>
    <cellStyle name="Normal 5 2 5 2 2 3 3" xfId="22113" xr:uid="{4E0E1313-7D7B-4217-9D2B-1FE0BDEDAE57}"/>
    <cellStyle name="Normal 5 2 5 2 2 3 4" xfId="30553" xr:uid="{F32C67F5-0CB8-41F2-87A3-6C98866485F7}"/>
    <cellStyle name="Normal 5 2 5 2 2 4" xfId="9455" xr:uid="{3550DBE1-8FC4-4E1F-A75D-5DF1DE16BD3C}"/>
    <cellStyle name="Normal 5 2 5 2 2 5" xfId="17896" xr:uid="{01B57773-1E2D-44E6-86F9-C6E325139994}"/>
    <cellStyle name="Normal 5 2 5 2 2 6" xfId="26336" xr:uid="{EFCCE52E-E425-4DDF-963F-4AF8860DE1A1}"/>
    <cellStyle name="Normal 5 2 5 2 3" xfId="1329" xr:uid="{00000000-0005-0000-0000-000028190000}"/>
    <cellStyle name="Normal 5 2 5 2 3 2" xfId="3559" xr:uid="{00000000-0005-0000-0000-000029190000}"/>
    <cellStyle name="Normal 5 2 5 2 3 2 2" xfId="7781" xr:uid="{00000000-0005-0000-0000-00002A190000}"/>
    <cellStyle name="Normal 5 2 5 2 3 2 2 2" xfId="16231" xr:uid="{8524EDBE-5C70-429F-98EE-F3AAE82E5843}"/>
    <cellStyle name="Normal 5 2 5 2 3 2 2 3" xfId="24671" xr:uid="{0F4E895E-A3E8-4048-9456-A4DEDC29B2EE}"/>
    <cellStyle name="Normal 5 2 5 2 3 2 2 4" xfId="33111" xr:uid="{137425A2-5D1D-4EAE-9A30-E889EDF48F64}"/>
    <cellStyle name="Normal 5 2 5 2 3 2 3" xfId="12013" xr:uid="{C9F25AC6-5F6D-4F6C-8962-0794BB5A466F}"/>
    <cellStyle name="Normal 5 2 5 2 3 2 4" xfId="20454" xr:uid="{C4A77D86-B0F0-4926-8027-23C0AC3F4BA9}"/>
    <cellStyle name="Normal 5 2 5 2 3 2 5" xfId="28894" xr:uid="{17795669-5B04-4DB0-92D7-95AC0903270A}"/>
    <cellStyle name="Normal 5 2 5 2 3 3" xfId="5636" xr:uid="{00000000-0005-0000-0000-00002B190000}"/>
    <cellStyle name="Normal 5 2 5 2 3 3 2" xfId="14086" xr:uid="{4FB137F5-F618-4645-8CBC-7EAAD8D624DF}"/>
    <cellStyle name="Normal 5 2 5 2 3 3 3" xfId="22526" xr:uid="{6B47E622-488B-4DC0-833F-96534CE1CB37}"/>
    <cellStyle name="Normal 5 2 5 2 3 3 4" xfId="30966" xr:uid="{4EDA256B-B4D1-4630-9CAF-04D4B1163E32}"/>
    <cellStyle name="Normal 5 2 5 2 3 4" xfId="9868" xr:uid="{FEE21EE1-9D77-4C20-A7D9-7FD518DEBE5B}"/>
    <cellStyle name="Normal 5 2 5 2 3 5" xfId="18309" xr:uid="{685E9DE3-5812-4493-83EF-B43B7C957C37}"/>
    <cellStyle name="Normal 5 2 5 2 3 6" xfId="26749" xr:uid="{8B895A9D-B10C-4AFD-A4CF-CB9C834AAC5D}"/>
    <cellStyle name="Normal 5 2 5 2 4" xfId="1742" xr:uid="{00000000-0005-0000-0000-00002C190000}"/>
    <cellStyle name="Normal 5 2 5 2 4 2" xfId="3972" xr:uid="{00000000-0005-0000-0000-00002D190000}"/>
    <cellStyle name="Normal 5 2 5 2 4 2 2" xfId="8194" xr:uid="{00000000-0005-0000-0000-00002E190000}"/>
    <cellStyle name="Normal 5 2 5 2 4 2 2 2" xfId="16644" xr:uid="{3CF83F3F-FA43-4233-9BA8-C6BF4FD30433}"/>
    <cellStyle name="Normal 5 2 5 2 4 2 2 3" xfId="25084" xr:uid="{E17C40F4-9822-4CB4-B699-B3144534FE49}"/>
    <cellStyle name="Normal 5 2 5 2 4 2 2 4" xfId="33524" xr:uid="{FDB48110-368B-44A4-8C02-45ADE6564A0E}"/>
    <cellStyle name="Normal 5 2 5 2 4 2 3" xfId="12426" xr:uid="{6F025AAF-24A6-4991-A64A-467272F67619}"/>
    <cellStyle name="Normal 5 2 5 2 4 2 4" xfId="20867" xr:uid="{2E33774D-29AB-4FFE-8561-157CB93F9B83}"/>
    <cellStyle name="Normal 5 2 5 2 4 2 5" xfId="29307" xr:uid="{2A921700-BDB7-4F6C-89EF-B8863053BCA5}"/>
    <cellStyle name="Normal 5 2 5 2 4 3" xfId="6049" xr:uid="{00000000-0005-0000-0000-00002F190000}"/>
    <cellStyle name="Normal 5 2 5 2 4 3 2" xfId="14499" xr:uid="{B80F09BA-EE84-4804-B84F-99BFC6134398}"/>
    <cellStyle name="Normal 5 2 5 2 4 3 3" xfId="22939" xr:uid="{B03E1188-386D-4BEE-B365-16102CF762F2}"/>
    <cellStyle name="Normal 5 2 5 2 4 3 4" xfId="31379" xr:uid="{FFE17F7B-D14D-45AB-8805-71B9290ECC9A}"/>
    <cellStyle name="Normal 5 2 5 2 4 4" xfId="10281" xr:uid="{192F8224-F048-4C65-AEE0-073AD722B602}"/>
    <cellStyle name="Normal 5 2 5 2 4 5" xfId="18722" xr:uid="{24742BB4-F6E8-42AE-97DB-154C82301516}"/>
    <cellStyle name="Normal 5 2 5 2 4 6" xfId="27162" xr:uid="{B17F4FCE-E213-4BB9-8693-5A0E0C17B422}"/>
    <cellStyle name="Normal 5 2 5 2 5" xfId="2156" xr:uid="{00000000-0005-0000-0000-000030190000}"/>
    <cellStyle name="Normal 5 2 5 2 5 2" xfId="4385" xr:uid="{00000000-0005-0000-0000-000031190000}"/>
    <cellStyle name="Normal 5 2 5 2 5 2 2" xfId="8607" xr:uid="{00000000-0005-0000-0000-000032190000}"/>
    <cellStyle name="Normal 5 2 5 2 5 2 2 2" xfId="17057" xr:uid="{633DFBE5-AF02-486B-B3B2-B97B0B92630A}"/>
    <cellStyle name="Normal 5 2 5 2 5 2 2 3" xfId="25497" xr:uid="{61DDC585-C964-4F21-B362-DB757C732817}"/>
    <cellStyle name="Normal 5 2 5 2 5 2 2 4" xfId="33937" xr:uid="{1BF9B434-4094-4BD4-96E7-8CC466F55039}"/>
    <cellStyle name="Normal 5 2 5 2 5 2 3" xfId="12839" xr:uid="{627062F2-A465-4C55-97E8-D1E03DB1C0BE}"/>
    <cellStyle name="Normal 5 2 5 2 5 2 4" xfId="21280" xr:uid="{9DD45D3F-D019-456E-A630-27DC32FBD10C}"/>
    <cellStyle name="Normal 5 2 5 2 5 2 5" xfId="29720" xr:uid="{D239D206-B6D9-40B0-9FCA-F1ED7BF33475}"/>
    <cellStyle name="Normal 5 2 5 2 5 3" xfId="6462" xr:uid="{00000000-0005-0000-0000-000033190000}"/>
    <cellStyle name="Normal 5 2 5 2 5 3 2" xfId="14912" xr:uid="{24BE9750-0762-4BB3-AB18-C95BAF6CDFB6}"/>
    <cellStyle name="Normal 5 2 5 2 5 3 3" xfId="23352" xr:uid="{2AAB57AA-47ED-400D-8001-A042C09456CE}"/>
    <cellStyle name="Normal 5 2 5 2 5 3 4" xfId="31792" xr:uid="{65AB30C6-AA85-4321-9FAE-C7E5ED9C143D}"/>
    <cellStyle name="Normal 5 2 5 2 5 4" xfId="10694" xr:uid="{B35055E6-3E53-4E0A-B103-2D6E062A1961}"/>
    <cellStyle name="Normal 5 2 5 2 5 5" xfId="19135" xr:uid="{728D1D86-052F-4A0B-885D-7876519CB4FC}"/>
    <cellStyle name="Normal 5 2 5 2 5 6" xfId="27575" xr:uid="{5162B972-151F-4E4C-8F58-CE4B6568B390}"/>
    <cellStyle name="Normal 5 2 5 2 6" xfId="2592" xr:uid="{00000000-0005-0000-0000-000034190000}"/>
    <cellStyle name="Normal 5 2 5 2 6 2" xfId="6875" xr:uid="{00000000-0005-0000-0000-000035190000}"/>
    <cellStyle name="Normal 5 2 5 2 6 2 2" xfId="15325" xr:uid="{D998A03A-0910-4BD0-B80E-E7F824843F5F}"/>
    <cellStyle name="Normal 5 2 5 2 6 2 3" xfId="23765" xr:uid="{D2D79CC9-A197-4AAE-A8BB-913FF5CBE3A9}"/>
    <cellStyle name="Normal 5 2 5 2 6 2 4" xfId="32205" xr:uid="{400116E9-DDCF-4A79-BF8F-C301CAA8CC09}"/>
    <cellStyle name="Normal 5 2 5 2 6 3" xfId="11107" xr:uid="{9C5DE3CA-A47A-4A16-9901-B487BF9A9E98}"/>
    <cellStyle name="Normal 5 2 5 2 6 4" xfId="19548" xr:uid="{002FD65D-EEF8-4EEA-9CB6-5340979A6C07}"/>
    <cellStyle name="Normal 5 2 5 2 6 5" xfId="27988" xr:uid="{CAB9D0D4-3F25-4B7A-9973-408F5E7B4FBE}"/>
    <cellStyle name="Normal 5 2 5 2 7" xfId="4810" xr:uid="{00000000-0005-0000-0000-000036190000}"/>
    <cellStyle name="Normal 5 2 5 2 7 2" xfId="13260" xr:uid="{1694A2EA-6C0D-4864-881E-8C102251028E}"/>
    <cellStyle name="Normal 5 2 5 2 7 3" xfId="21700" xr:uid="{8AF92E2A-1DCB-4B04-AFCF-69C8B67A391E}"/>
    <cellStyle name="Normal 5 2 5 2 7 4" xfId="30140" xr:uid="{32CDD8A4-B693-4374-89DD-3615AE387BE5}"/>
    <cellStyle name="Normal 5 2 5 2 8" xfId="9042" xr:uid="{FA26236B-194D-44BC-9BF3-346087087BB8}"/>
    <cellStyle name="Normal 5 2 5 2 9" xfId="17483" xr:uid="{0E4705FA-FECC-4466-9B1A-4E78B408C038}"/>
    <cellStyle name="Normal 5 2 5 3" xfId="910" xr:uid="{00000000-0005-0000-0000-000037190000}"/>
    <cellStyle name="Normal 5 2 5 3 2" xfId="3145" xr:uid="{00000000-0005-0000-0000-000038190000}"/>
    <cellStyle name="Normal 5 2 5 3 2 2" xfId="7367" xr:uid="{00000000-0005-0000-0000-000039190000}"/>
    <cellStyle name="Normal 5 2 5 3 2 2 2" xfId="15817" xr:uid="{13D2BC2E-A634-4DB9-AFB4-6C255880EA4C}"/>
    <cellStyle name="Normal 5 2 5 3 2 2 3" xfId="24257" xr:uid="{59A7C148-37F3-4009-8F3C-F1462470CEE4}"/>
    <cellStyle name="Normal 5 2 5 3 2 2 4" xfId="32697" xr:uid="{688EB74F-0949-42CA-A861-37DA67C3AEEF}"/>
    <cellStyle name="Normal 5 2 5 3 2 3" xfId="11599" xr:uid="{5B29A688-AA2C-42BD-8DD0-061F3A572812}"/>
    <cellStyle name="Normal 5 2 5 3 2 4" xfId="20040" xr:uid="{71E8828D-830A-4282-8620-E70559DBF1A2}"/>
    <cellStyle name="Normal 5 2 5 3 2 5" xfId="28480" xr:uid="{40B504FD-69CB-48C7-B497-C8105EC0EE1F}"/>
    <cellStyle name="Normal 5 2 5 3 3" xfId="5222" xr:uid="{00000000-0005-0000-0000-00003A190000}"/>
    <cellStyle name="Normal 5 2 5 3 3 2" xfId="13672" xr:uid="{0615BFF2-DE43-4489-A38B-6F71F5549F15}"/>
    <cellStyle name="Normal 5 2 5 3 3 3" xfId="22112" xr:uid="{B8AAC26E-7C05-4D7A-A0B4-B285DDB06052}"/>
    <cellStyle name="Normal 5 2 5 3 3 4" xfId="30552" xr:uid="{591D6169-97F0-496F-A0CC-5172F073C81F}"/>
    <cellStyle name="Normal 5 2 5 3 4" xfId="9454" xr:uid="{94F25F05-F9EC-4351-8752-556AB199D042}"/>
    <cellStyle name="Normal 5 2 5 3 5" xfId="17895" xr:uid="{827C3CF4-7A47-42A7-B584-F2AB428D41C4}"/>
    <cellStyle name="Normal 5 2 5 3 6" xfId="26335" xr:uid="{897F1584-E099-443E-BE15-164AF1A4676C}"/>
    <cellStyle name="Normal 5 2 5 4" xfId="1328" xr:uid="{00000000-0005-0000-0000-00003B190000}"/>
    <cellStyle name="Normal 5 2 5 4 2" xfId="3558" xr:uid="{00000000-0005-0000-0000-00003C190000}"/>
    <cellStyle name="Normal 5 2 5 4 2 2" xfId="7780" xr:uid="{00000000-0005-0000-0000-00003D190000}"/>
    <cellStyle name="Normal 5 2 5 4 2 2 2" xfId="16230" xr:uid="{01FD6BAE-8ECA-4CF4-AA80-6C31857E722B}"/>
    <cellStyle name="Normal 5 2 5 4 2 2 3" xfId="24670" xr:uid="{C40FDBF4-C2F7-42BF-9305-419A045D0BF4}"/>
    <cellStyle name="Normal 5 2 5 4 2 2 4" xfId="33110" xr:uid="{6CFBBC6D-637D-4DB5-B512-A6762A831170}"/>
    <cellStyle name="Normal 5 2 5 4 2 3" xfId="12012" xr:uid="{869FC07D-C187-408E-BBAC-BC1B4E8D8EE0}"/>
    <cellStyle name="Normal 5 2 5 4 2 4" xfId="20453" xr:uid="{4D5F49E8-A1F0-410F-A568-D4B03D874674}"/>
    <cellStyle name="Normal 5 2 5 4 2 5" xfId="28893" xr:uid="{65034BEE-F2C0-49CC-BEA1-C5DE4EB57DE4}"/>
    <cellStyle name="Normal 5 2 5 4 3" xfId="5635" xr:uid="{00000000-0005-0000-0000-00003E190000}"/>
    <cellStyle name="Normal 5 2 5 4 3 2" xfId="14085" xr:uid="{2D6499D0-9D9C-4AAA-95A6-638A66EA48AA}"/>
    <cellStyle name="Normal 5 2 5 4 3 3" xfId="22525" xr:uid="{75AF306E-E511-457B-973A-68D925B67156}"/>
    <cellStyle name="Normal 5 2 5 4 3 4" xfId="30965" xr:uid="{573AFDB8-3FDF-4E6A-9EC8-87E7A34477CA}"/>
    <cellStyle name="Normal 5 2 5 4 4" xfId="9867" xr:uid="{8741C75D-76CB-492C-8CAC-2191138FE10A}"/>
    <cellStyle name="Normal 5 2 5 4 5" xfId="18308" xr:uid="{BC9E61CE-ADAF-4826-B375-C164A638C301}"/>
    <cellStyle name="Normal 5 2 5 4 6" xfId="26748" xr:uid="{CA1E5A5F-3EAE-4E44-BAAE-4EA9765F4F88}"/>
    <cellStyle name="Normal 5 2 5 5" xfId="1741" xr:uid="{00000000-0005-0000-0000-00003F190000}"/>
    <cellStyle name="Normal 5 2 5 5 2" xfId="3971" xr:uid="{00000000-0005-0000-0000-000040190000}"/>
    <cellStyle name="Normal 5 2 5 5 2 2" xfId="8193" xr:uid="{00000000-0005-0000-0000-000041190000}"/>
    <cellStyle name="Normal 5 2 5 5 2 2 2" xfId="16643" xr:uid="{17D4377B-F0ED-4289-A510-BD78B5B28551}"/>
    <cellStyle name="Normal 5 2 5 5 2 2 3" xfId="25083" xr:uid="{8ED86927-437E-4C21-9227-31469F52103D}"/>
    <cellStyle name="Normal 5 2 5 5 2 2 4" xfId="33523" xr:uid="{3001B698-DA5B-441A-8BF4-1E202B054948}"/>
    <cellStyle name="Normal 5 2 5 5 2 3" xfId="12425" xr:uid="{4A3DE9EF-4147-4C89-9091-F1E8797C1A13}"/>
    <cellStyle name="Normal 5 2 5 5 2 4" xfId="20866" xr:uid="{208195E1-A0F3-49DB-88BB-E2884933D313}"/>
    <cellStyle name="Normal 5 2 5 5 2 5" xfId="29306" xr:uid="{465EB7F1-D40E-4E83-90DC-96E9096535AB}"/>
    <cellStyle name="Normal 5 2 5 5 3" xfId="6048" xr:uid="{00000000-0005-0000-0000-000042190000}"/>
    <cellStyle name="Normal 5 2 5 5 3 2" xfId="14498" xr:uid="{47D8ACEB-0DBF-499C-8AFB-CFB08FB85151}"/>
    <cellStyle name="Normal 5 2 5 5 3 3" xfId="22938" xr:uid="{66FCAECC-FC1E-4D9F-9B5A-91F06990DDFF}"/>
    <cellStyle name="Normal 5 2 5 5 3 4" xfId="31378" xr:uid="{3501E188-0C68-4F4E-B336-E2008DC7F515}"/>
    <cellStyle name="Normal 5 2 5 5 4" xfId="10280" xr:uid="{05A0F839-9233-445E-B6C4-F044ADA218E2}"/>
    <cellStyle name="Normal 5 2 5 5 5" xfId="18721" xr:uid="{1CF64032-1CC8-4F6D-A6F3-CBD76D15E17E}"/>
    <cellStyle name="Normal 5 2 5 5 6" xfId="27161" xr:uid="{C35D30A8-9876-46F7-B78D-54C855765B14}"/>
    <cellStyle name="Normal 5 2 5 6" xfId="2155" xr:uid="{00000000-0005-0000-0000-000043190000}"/>
    <cellStyle name="Normal 5 2 5 6 2" xfId="4384" xr:uid="{00000000-0005-0000-0000-000044190000}"/>
    <cellStyle name="Normal 5 2 5 6 2 2" xfId="8606" xr:uid="{00000000-0005-0000-0000-000045190000}"/>
    <cellStyle name="Normal 5 2 5 6 2 2 2" xfId="17056" xr:uid="{D15AC7CF-1AA3-4CDC-B5EA-8F1095185919}"/>
    <cellStyle name="Normal 5 2 5 6 2 2 3" xfId="25496" xr:uid="{7C8DE02C-3E4E-4A7C-9E94-AA4C6609370F}"/>
    <cellStyle name="Normal 5 2 5 6 2 2 4" xfId="33936" xr:uid="{1A2ADD80-FFE6-4F6C-AFD3-1FE7A2F51FE8}"/>
    <cellStyle name="Normal 5 2 5 6 2 3" xfId="12838" xr:uid="{758B1105-AF1B-4E85-8620-954071446AF9}"/>
    <cellStyle name="Normal 5 2 5 6 2 4" xfId="21279" xr:uid="{E287FBAE-5C4B-435D-A57A-113A4908E295}"/>
    <cellStyle name="Normal 5 2 5 6 2 5" xfId="29719" xr:uid="{F7C7FA34-F532-4EFC-9C85-E4984EFB98AC}"/>
    <cellStyle name="Normal 5 2 5 6 3" xfId="6461" xr:uid="{00000000-0005-0000-0000-000046190000}"/>
    <cellStyle name="Normal 5 2 5 6 3 2" xfId="14911" xr:uid="{62DF4CFE-7BA6-4347-ACA0-9AA37DDB6122}"/>
    <cellStyle name="Normal 5 2 5 6 3 3" xfId="23351" xr:uid="{A93DB851-2488-48C5-A33A-A99456291D7F}"/>
    <cellStyle name="Normal 5 2 5 6 3 4" xfId="31791" xr:uid="{39DFCFDD-03DA-429D-9D73-A5B4746FDEF3}"/>
    <cellStyle name="Normal 5 2 5 6 4" xfId="10693" xr:uid="{84F09C7E-E34C-45C3-BC5F-1D39FD47A502}"/>
    <cellStyle name="Normal 5 2 5 6 5" xfId="19134" xr:uid="{2DC83025-089B-4F73-92B1-1E51C7133A69}"/>
    <cellStyle name="Normal 5 2 5 6 6" xfId="27574" xr:uid="{09257022-9E4D-4748-ADF0-9493E1BCF5F6}"/>
    <cellStyle name="Normal 5 2 5 7" xfId="2591" xr:uid="{00000000-0005-0000-0000-000047190000}"/>
    <cellStyle name="Normal 5 2 5 7 2" xfId="6874" xr:uid="{00000000-0005-0000-0000-000048190000}"/>
    <cellStyle name="Normal 5 2 5 7 2 2" xfId="15324" xr:uid="{CAA775D4-9FE8-4DA5-96C7-F0803595B209}"/>
    <cellStyle name="Normal 5 2 5 7 2 3" xfId="23764" xr:uid="{FB277C45-1646-49DB-A608-F1EF8C409F8B}"/>
    <cellStyle name="Normal 5 2 5 7 2 4" xfId="32204" xr:uid="{CBEEC1C9-ED75-4A0F-B97B-12B63DA18D83}"/>
    <cellStyle name="Normal 5 2 5 7 3" xfId="11106" xr:uid="{AE751654-0474-43FF-A6EC-68C6A1C89879}"/>
    <cellStyle name="Normal 5 2 5 7 4" xfId="19547" xr:uid="{00D5EC72-17C1-481D-B15A-655DD702151F}"/>
    <cellStyle name="Normal 5 2 5 7 5" xfId="27987" xr:uid="{FE336D21-44DE-4C91-846F-3BCD9A487365}"/>
    <cellStyle name="Normal 5 2 5 8" xfId="4809" xr:uid="{00000000-0005-0000-0000-000049190000}"/>
    <cellStyle name="Normal 5 2 5 8 2" xfId="13259" xr:uid="{A8EE1323-707F-4759-9099-9E99B638275F}"/>
    <cellStyle name="Normal 5 2 5 8 3" xfId="21699" xr:uid="{6BE49C3B-A369-49BE-ACBF-7162FE3C699E}"/>
    <cellStyle name="Normal 5 2 5 8 4" xfId="30139" xr:uid="{927C4D0C-AA7B-4F96-8712-39D80B0DEC25}"/>
    <cellStyle name="Normal 5 2 5 9" xfId="9041" xr:uid="{61B2D167-D11A-4F57-80AF-F21BE46E54FE}"/>
    <cellStyle name="Normal 5 2 6" xfId="438" xr:uid="{00000000-0005-0000-0000-00004A190000}"/>
    <cellStyle name="Normal 5 2 6 10" xfId="25924" xr:uid="{754190FF-A60D-45A1-8D8A-8A2B9A057D1B}"/>
    <cellStyle name="Normal 5 2 6 2" xfId="912" xr:uid="{00000000-0005-0000-0000-00004B190000}"/>
    <cellStyle name="Normal 5 2 6 2 2" xfId="3147" xr:uid="{00000000-0005-0000-0000-00004C190000}"/>
    <cellStyle name="Normal 5 2 6 2 2 2" xfId="7369" xr:uid="{00000000-0005-0000-0000-00004D190000}"/>
    <cellStyle name="Normal 5 2 6 2 2 2 2" xfId="15819" xr:uid="{166216C9-C04B-4D95-80CB-9B27831C3656}"/>
    <cellStyle name="Normal 5 2 6 2 2 2 3" xfId="24259" xr:uid="{89117D2A-5EBB-4434-9117-C1BE1E8A8A34}"/>
    <cellStyle name="Normal 5 2 6 2 2 2 4" xfId="32699" xr:uid="{87424B6B-6F79-4231-9710-C0DE7A507B87}"/>
    <cellStyle name="Normal 5 2 6 2 2 3" xfId="11601" xr:uid="{CC619C81-A558-46DF-84A4-846E462D1670}"/>
    <cellStyle name="Normal 5 2 6 2 2 4" xfId="20042" xr:uid="{347843F7-3F10-4A76-904B-AA668D0DC902}"/>
    <cellStyle name="Normal 5 2 6 2 2 5" xfId="28482" xr:uid="{2E098D6F-FFB1-4FAA-9315-17F750BFB79B}"/>
    <cellStyle name="Normal 5 2 6 2 3" xfId="5224" xr:uid="{00000000-0005-0000-0000-00004E190000}"/>
    <cellStyle name="Normal 5 2 6 2 3 2" xfId="13674" xr:uid="{8178D95F-59A0-4978-ACFA-37779AF61AFE}"/>
    <cellStyle name="Normal 5 2 6 2 3 3" xfId="22114" xr:uid="{C8B9F45E-BE2D-4914-AF88-62ADB24FB14B}"/>
    <cellStyle name="Normal 5 2 6 2 3 4" xfId="30554" xr:uid="{4D238914-320D-4DD0-8436-E51A72207841}"/>
    <cellStyle name="Normal 5 2 6 2 4" xfId="9456" xr:uid="{2145B261-264A-434E-8AD1-904771A2AE4E}"/>
    <cellStyle name="Normal 5 2 6 2 5" xfId="17897" xr:uid="{66E19F11-01E8-4E09-846D-A62919BC74D0}"/>
    <cellStyle name="Normal 5 2 6 2 6" xfId="26337" xr:uid="{A5A302F4-9632-40EE-9959-F96699315B98}"/>
    <cellStyle name="Normal 5 2 6 3" xfId="1330" xr:uid="{00000000-0005-0000-0000-00004F190000}"/>
    <cellStyle name="Normal 5 2 6 3 2" xfId="3560" xr:uid="{00000000-0005-0000-0000-000050190000}"/>
    <cellStyle name="Normal 5 2 6 3 2 2" xfId="7782" xr:uid="{00000000-0005-0000-0000-000051190000}"/>
    <cellStyle name="Normal 5 2 6 3 2 2 2" xfId="16232" xr:uid="{6AEFABA1-A613-4BFD-A621-A6227CEF7623}"/>
    <cellStyle name="Normal 5 2 6 3 2 2 3" xfId="24672" xr:uid="{03F73D6D-335E-4A7C-A67B-4472F0D2570E}"/>
    <cellStyle name="Normal 5 2 6 3 2 2 4" xfId="33112" xr:uid="{5A6302DF-3906-4907-87B4-10DAA6159240}"/>
    <cellStyle name="Normal 5 2 6 3 2 3" xfId="12014" xr:uid="{A011CB63-F50D-41D5-A407-A1A26646A45E}"/>
    <cellStyle name="Normal 5 2 6 3 2 4" xfId="20455" xr:uid="{02F78CD5-984E-4A79-B07F-BEE6E23B601E}"/>
    <cellStyle name="Normal 5 2 6 3 2 5" xfId="28895" xr:uid="{D932D35C-FE0D-4369-8F9D-634A90BD0445}"/>
    <cellStyle name="Normal 5 2 6 3 3" xfId="5637" xr:uid="{00000000-0005-0000-0000-000052190000}"/>
    <cellStyle name="Normal 5 2 6 3 3 2" xfId="14087" xr:uid="{7BE7B081-5ED2-412A-87CF-5C2E9064D242}"/>
    <cellStyle name="Normal 5 2 6 3 3 3" xfId="22527" xr:uid="{6F7DE998-CC9F-4333-A1A3-6B6619341C1E}"/>
    <cellStyle name="Normal 5 2 6 3 3 4" xfId="30967" xr:uid="{3D9D55A1-6872-4974-B913-FD14A4B5806C}"/>
    <cellStyle name="Normal 5 2 6 3 4" xfId="9869" xr:uid="{4935F7BB-FDB8-46B1-97D5-F376253E04AA}"/>
    <cellStyle name="Normal 5 2 6 3 5" xfId="18310" xr:uid="{4184A2E5-06A7-46DF-AE0F-900D056F231C}"/>
    <cellStyle name="Normal 5 2 6 3 6" xfId="26750" xr:uid="{912A38DD-B215-4BAF-931E-F3BC6183DC61}"/>
    <cellStyle name="Normal 5 2 6 4" xfId="1743" xr:uid="{00000000-0005-0000-0000-000053190000}"/>
    <cellStyle name="Normal 5 2 6 4 2" xfId="3973" xr:uid="{00000000-0005-0000-0000-000054190000}"/>
    <cellStyle name="Normal 5 2 6 4 2 2" xfId="8195" xr:uid="{00000000-0005-0000-0000-000055190000}"/>
    <cellStyle name="Normal 5 2 6 4 2 2 2" xfId="16645" xr:uid="{E5C628DD-6D35-4771-B4E8-558F9F35A45C}"/>
    <cellStyle name="Normal 5 2 6 4 2 2 3" xfId="25085" xr:uid="{67B3591C-1DE1-4650-BC83-FB6224E4CA6E}"/>
    <cellStyle name="Normal 5 2 6 4 2 2 4" xfId="33525" xr:uid="{FCF9F4B4-675F-455F-9CFD-F0BC1C424DC3}"/>
    <cellStyle name="Normal 5 2 6 4 2 3" xfId="12427" xr:uid="{C59E09A4-C594-4E19-A753-8577434A42D5}"/>
    <cellStyle name="Normal 5 2 6 4 2 4" xfId="20868" xr:uid="{EE809A5C-C0FC-4CE1-9A63-85F801E3B5B2}"/>
    <cellStyle name="Normal 5 2 6 4 2 5" xfId="29308" xr:uid="{A768F4B3-FADA-4190-A17E-02D43529D65C}"/>
    <cellStyle name="Normal 5 2 6 4 3" xfId="6050" xr:uid="{00000000-0005-0000-0000-000056190000}"/>
    <cellStyle name="Normal 5 2 6 4 3 2" xfId="14500" xr:uid="{3ED35382-A48B-4A40-BC20-F2A98DE92523}"/>
    <cellStyle name="Normal 5 2 6 4 3 3" xfId="22940" xr:uid="{97767372-4178-4E98-8482-4E950DC7B493}"/>
    <cellStyle name="Normal 5 2 6 4 3 4" xfId="31380" xr:uid="{7EA041F4-36C5-4890-B5D8-BA546400EE7D}"/>
    <cellStyle name="Normal 5 2 6 4 4" xfId="10282" xr:uid="{360066CE-5E9B-4084-885C-6EB3024963E5}"/>
    <cellStyle name="Normal 5 2 6 4 5" xfId="18723" xr:uid="{4CC20674-924E-4534-823F-47D8F3D0995B}"/>
    <cellStyle name="Normal 5 2 6 4 6" xfId="27163" xr:uid="{3BD8E0CE-0C40-46AD-9FD7-F50DF3BC45AD}"/>
    <cellStyle name="Normal 5 2 6 5" xfId="2157" xr:uid="{00000000-0005-0000-0000-000057190000}"/>
    <cellStyle name="Normal 5 2 6 5 2" xfId="4386" xr:uid="{00000000-0005-0000-0000-000058190000}"/>
    <cellStyle name="Normal 5 2 6 5 2 2" xfId="8608" xr:uid="{00000000-0005-0000-0000-000059190000}"/>
    <cellStyle name="Normal 5 2 6 5 2 2 2" xfId="17058" xr:uid="{54C16788-43C1-454B-80BA-F93EF836887B}"/>
    <cellStyle name="Normal 5 2 6 5 2 2 3" xfId="25498" xr:uid="{BF932133-0A4A-446C-B4C7-88389553C1F8}"/>
    <cellStyle name="Normal 5 2 6 5 2 2 4" xfId="33938" xr:uid="{6973BBBA-699B-41C0-AAC9-D6DCF77DA8A5}"/>
    <cellStyle name="Normal 5 2 6 5 2 3" xfId="12840" xr:uid="{ECE470FE-0270-4290-9F86-F10B115BF367}"/>
    <cellStyle name="Normal 5 2 6 5 2 4" xfId="21281" xr:uid="{DEAB0854-A8E9-4519-91C5-3D56C92B4964}"/>
    <cellStyle name="Normal 5 2 6 5 2 5" xfId="29721" xr:uid="{BF64246B-30D3-4F85-8AE2-9CFDA4A3CB18}"/>
    <cellStyle name="Normal 5 2 6 5 3" xfId="6463" xr:uid="{00000000-0005-0000-0000-00005A190000}"/>
    <cellStyle name="Normal 5 2 6 5 3 2" xfId="14913" xr:uid="{A2CC2844-776D-4A50-9D86-11304E66ECF5}"/>
    <cellStyle name="Normal 5 2 6 5 3 3" xfId="23353" xr:uid="{2E0C52E1-5754-447A-9211-E3EB17505105}"/>
    <cellStyle name="Normal 5 2 6 5 3 4" xfId="31793" xr:uid="{FC05592C-A520-4BE2-9631-5A8E7EDA4FFE}"/>
    <cellStyle name="Normal 5 2 6 5 4" xfId="10695" xr:uid="{B6721BFC-2DB2-4EA4-AAE8-2987E11B6C6F}"/>
    <cellStyle name="Normal 5 2 6 5 5" xfId="19136" xr:uid="{55D111E3-7633-47BB-AC0A-B9C29EFAA7FD}"/>
    <cellStyle name="Normal 5 2 6 5 6" xfId="27576" xr:uid="{5FBFC8BB-81AA-4627-878D-82D4D9AF6457}"/>
    <cellStyle name="Normal 5 2 6 6" xfId="2593" xr:uid="{00000000-0005-0000-0000-00005B190000}"/>
    <cellStyle name="Normal 5 2 6 6 2" xfId="6876" xr:uid="{00000000-0005-0000-0000-00005C190000}"/>
    <cellStyle name="Normal 5 2 6 6 2 2" xfId="15326" xr:uid="{7A6A1233-CF0A-485F-B759-0B21B5E08017}"/>
    <cellStyle name="Normal 5 2 6 6 2 3" xfId="23766" xr:uid="{5B3E3150-1819-4063-B08E-6860EAA1EA50}"/>
    <cellStyle name="Normal 5 2 6 6 2 4" xfId="32206" xr:uid="{FC1B8AE8-30FB-44B8-97B9-99F3320EF331}"/>
    <cellStyle name="Normal 5 2 6 6 3" xfId="11108" xr:uid="{FC5F3F1D-5916-4B42-8D5C-3C036F5436FB}"/>
    <cellStyle name="Normal 5 2 6 6 4" xfId="19549" xr:uid="{4332E209-B4E8-42BA-BEE8-282592A11333}"/>
    <cellStyle name="Normal 5 2 6 6 5" xfId="27989" xr:uid="{5C11ABAF-FE11-4E32-8023-CC11A9557EF0}"/>
    <cellStyle name="Normal 5 2 6 7" xfId="4811" xr:uid="{00000000-0005-0000-0000-00005D190000}"/>
    <cellStyle name="Normal 5 2 6 7 2" xfId="13261" xr:uid="{BB6123B1-E2A7-4C77-8C09-82783A122853}"/>
    <cellStyle name="Normal 5 2 6 7 3" xfId="21701" xr:uid="{167A692A-D514-45DB-9270-9D4FF608585A}"/>
    <cellStyle name="Normal 5 2 6 7 4" xfId="30141" xr:uid="{EB67372C-527C-428C-B75F-5B535536C749}"/>
    <cellStyle name="Normal 5 2 6 8" xfId="9043" xr:uid="{6DC71EC9-A7C7-4D3E-A1ED-81D9EE64C27E}"/>
    <cellStyle name="Normal 5 2 6 9" xfId="17484" xr:uid="{28A9DEED-381F-4690-B330-4B402EB6C35D}"/>
    <cellStyle name="Normal 5 2 7" xfId="881" xr:uid="{00000000-0005-0000-0000-00005E190000}"/>
    <cellStyle name="Normal 5 2 7 2" xfId="3116" xr:uid="{00000000-0005-0000-0000-00005F190000}"/>
    <cellStyle name="Normal 5 2 7 2 2" xfId="7338" xr:uid="{00000000-0005-0000-0000-000060190000}"/>
    <cellStyle name="Normal 5 2 7 2 2 2" xfId="15788" xr:uid="{F7C6871E-3D11-4FAD-9A1D-6A27592DA3DC}"/>
    <cellStyle name="Normal 5 2 7 2 2 3" xfId="24228" xr:uid="{C57B56F9-3275-41E2-A722-D71D8EB2A036}"/>
    <cellStyle name="Normal 5 2 7 2 2 4" xfId="32668" xr:uid="{2B67FD87-40DF-405F-BDFA-EFC7DC7B7F0F}"/>
    <cellStyle name="Normal 5 2 7 2 3" xfId="11570" xr:uid="{101AB7A9-A799-4928-94C6-D7843B7DC1E9}"/>
    <cellStyle name="Normal 5 2 7 2 4" xfId="20011" xr:uid="{057B4D98-25AD-4A04-B56F-5E5B753E8826}"/>
    <cellStyle name="Normal 5 2 7 2 5" xfId="28451" xr:uid="{943219F7-2D72-423D-8D38-88B2903DB610}"/>
    <cellStyle name="Normal 5 2 7 3" xfId="5193" xr:uid="{00000000-0005-0000-0000-000061190000}"/>
    <cellStyle name="Normal 5 2 7 3 2" xfId="13643" xr:uid="{F3797B54-1FE0-49D0-8232-7BDA4C4D73D1}"/>
    <cellStyle name="Normal 5 2 7 3 3" xfId="22083" xr:uid="{5BBC143F-D52B-4FAB-AFA2-53874107746D}"/>
    <cellStyle name="Normal 5 2 7 3 4" xfId="30523" xr:uid="{406A5038-FB12-4F7A-B9CC-2FABDE682BBF}"/>
    <cellStyle name="Normal 5 2 7 4" xfId="9425" xr:uid="{6770C814-ADDC-45BA-9738-EE1C16C06635}"/>
    <cellStyle name="Normal 5 2 7 5" xfId="17866" xr:uid="{6B01322F-A10B-4229-A1D9-1B64A7C9F1EB}"/>
    <cellStyle name="Normal 5 2 7 6" xfId="26306" xr:uid="{1B04A436-3011-456E-B381-3B5BA9117D95}"/>
    <cellStyle name="Normal 5 2 8" xfId="1299" xr:uid="{00000000-0005-0000-0000-000062190000}"/>
    <cellStyle name="Normal 5 2 8 2" xfId="3529" xr:uid="{00000000-0005-0000-0000-000063190000}"/>
    <cellStyle name="Normal 5 2 8 2 2" xfId="7751" xr:uid="{00000000-0005-0000-0000-000064190000}"/>
    <cellStyle name="Normal 5 2 8 2 2 2" xfId="16201" xr:uid="{F257ED29-0404-4AA9-BC5C-5859743C0A92}"/>
    <cellStyle name="Normal 5 2 8 2 2 3" xfId="24641" xr:uid="{0FB6FDB1-6024-45CD-9CAC-2A19FBEC74D5}"/>
    <cellStyle name="Normal 5 2 8 2 2 4" xfId="33081" xr:uid="{AAEF26F5-4D3E-4FE7-9804-BDF0C0F9CF35}"/>
    <cellStyle name="Normal 5 2 8 2 3" xfId="11983" xr:uid="{F55636ED-4811-4EF9-95AA-18AED51E96F7}"/>
    <cellStyle name="Normal 5 2 8 2 4" xfId="20424" xr:uid="{EE016DEB-1968-4B1F-95AB-59F0A8EC40AD}"/>
    <cellStyle name="Normal 5 2 8 2 5" xfId="28864" xr:uid="{DD081496-3F49-47D3-8813-462E046A50C5}"/>
    <cellStyle name="Normal 5 2 8 3" xfId="5606" xr:uid="{00000000-0005-0000-0000-000065190000}"/>
    <cellStyle name="Normal 5 2 8 3 2" xfId="14056" xr:uid="{790F6D7B-DEBD-42B4-86F2-D4328B1CF220}"/>
    <cellStyle name="Normal 5 2 8 3 3" xfId="22496" xr:uid="{2F122E37-3FEA-40FF-B1CA-B2A82A6DF5BB}"/>
    <cellStyle name="Normal 5 2 8 3 4" xfId="30936" xr:uid="{5B238BBF-4A73-4326-B88A-F17564753AA1}"/>
    <cellStyle name="Normal 5 2 8 4" xfId="9838" xr:uid="{E1542ECA-F700-4207-A299-7F5FC7A43E0A}"/>
    <cellStyle name="Normal 5 2 8 5" xfId="18279" xr:uid="{C81D772B-94E8-47FA-BC01-B6AFAC0E5AD3}"/>
    <cellStyle name="Normal 5 2 8 6" xfId="26719" xr:uid="{2F0F4BE4-300C-4D3F-A33C-2E58610DFE6B}"/>
    <cellStyle name="Normal 5 2 9" xfId="1712" xr:uid="{00000000-0005-0000-0000-000066190000}"/>
    <cellStyle name="Normal 5 2 9 2" xfId="3942" xr:uid="{00000000-0005-0000-0000-000067190000}"/>
    <cellStyle name="Normal 5 2 9 2 2" xfId="8164" xr:uid="{00000000-0005-0000-0000-000068190000}"/>
    <cellStyle name="Normal 5 2 9 2 2 2" xfId="16614" xr:uid="{7ADC4A8E-E7E2-43DD-A09F-6734DF4B89D1}"/>
    <cellStyle name="Normal 5 2 9 2 2 3" xfId="25054" xr:uid="{B4E370C0-A609-4FBA-B357-C94C55DBC06C}"/>
    <cellStyle name="Normal 5 2 9 2 2 4" xfId="33494" xr:uid="{230E1A04-8EEA-4F79-B2B7-E66FD2F8A56E}"/>
    <cellStyle name="Normal 5 2 9 2 3" xfId="12396" xr:uid="{4D62657D-EF73-45B5-BAD2-357FB5C9D2C8}"/>
    <cellStyle name="Normal 5 2 9 2 4" xfId="20837" xr:uid="{516256B8-0389-4041-B6E9-3520379BEDA2}"/>
    <cellStyle name="Normal 5 2 9 2 5" xfId="29277" xr:uid="{84EEC87F-1415-4EE7-80CF-F7E6FF909468}"/>
    <cellStyle name="Normal 5 2 9 3" xfId="6019" xr:uid="{00000000-0005-0000-0000-000069190000}"/>
    <cellStyle name="Normal 5 2 9 3 2" xfId="14469" xr:uid="{C0DF1625-FA67-4B61-BD64-1FFD918E3D2E}"/>
    <cellStyle name="Normal 5 2 9 3 3" xfId="22909" xr:uid="{6AD3D0B4-4861-4E86-B517-F14009199B8A}"/>
    <cellStyle name="Normal 5 2 9 3 4" xfId="31349" xr:uid="{8E911F74-870B-4B5F-BF7D-E5535787CD76}"/>
    <cellStyle name="Normal 5 2 9 4" xfId="10251" xr:uid="{7FC88A4D-9274-4A20-9B11-E4C28A51487C}"/>
    <cellStyle name="Normal 5 2 9 5" xfId="18692" xr:uid="{FF6FAE93-F675-4564-9E4A-CB2A7D536EF4}"/>
    <cellStyle name="Normal 5 2 9 6" xfId="27132" xr:uid="{10E27BA6-5838-405A-87BF-3F44841C6964}"/>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2 2 2" xfId="17059" xr:uid="{D653399A-DA48-43F1-AD49-DC17F64CECAF}"/>
    <cellStyle name="Normal 5 3 10 2 2 3" xfId="25499" xr:uid="{6EBD84BF-F1E8-4569-BE29-BEBD89BBCF70}"/>
    <cellStyle name="Normal 5 3 10 2 2 4" xfId="33939" xr:uid="{35945C9B-799F-4B3A-A127-941B24AA7688}"/>
    <cellStyle name="Normal 5 3 10 2 3" xfId="12841" xr:uid="{F20CF920-9199-41DD-B173-1ED5DF446B76}"/>
    <cellStyle name="Normal 5 3 10 2 4" xfId="21282" xr:uid="{902A7A58-FF1C-4B05-B3C6-64543E01B76D}"/>
    <cellStyle name="Normal 5 3 10 2 5" xfId="29722" xr:uid="{F2C00AAC-CF9F-4BAE-85BD-3FB5261B8E36}"/>
    <cellStyle name="Normal 5 3 10 3" xfId="6464" xr:uid="{00000000-0005-0000-0000-00006E190000}"/>
    <cellStyle name="Normal 5 3 10 3 2" xfId="14914" xr:uid="{B97A6896-84E9-457A-9155-3265ECD232A2}"/>
    <cellStyle name="Normal 5 3 10 3 3" xfId="23354" xr:uid="{F0D684F1-8CE3-43C4-AEDC-12881ACA1E5C}"/>
    <cellStyle name="Normal 5 3 10 3 4" xfId="31794" xr:uid="{F8F8785D-2061-4405-903A-EB1A214FA8E1}"/>
    <cellStyle name="Normal 5 3 10 4" xfId="10696" xr:uid="{983FF2BC-4150-4E87-B88C-09553F8EA965}"/>
    <cellStyle name="Normal 5 3 10 5" xfId="19137" xr:uid="{1397172D-E670-4C81-8CE6-790C2E1B86BC}"/>
    <cellStyle name="Normal 5 3 10 6" xfId="27577" xr:uid="{B542E695-3FAB-4325-9D78-01CFEF4A2BA9}"/>
    <cellStyle name="Normal 5 3 11" xfId="2594" xr:uid="{00000000-0005-0000-0000-00006F190000}"/>
    <cellStyle name="Normal 5 3 11 2" xfId="6877" xr:uid="{00000000-0005-0000-0000-000070190000}"/>
    <cellStyle name="Normal 5 3 11 2 2" xfId="15327" xr:uid="{CD382704-7160-4161-A0C4-C585AE518EFA}"/>
    <cellStyle name="Normal 5 3 11 2 3" xfId="23767" xr:uid="{0AD929B9-217E-4EA4-A97C-45227FCDA904}"/>
    <cellStyle name="Normal 5 3 11 2 4" xfId="32207" xr:uid="{B6FA79F5-5F33-4250-B21D-F8D579E75005}"/>
    <cellStyle name="Normal 5 3 11 3" xfId="11109" xr:uid="{B260BB25-99A9-4015-A3E9-860DB9A43051}"/>
    <cellStyle name="Normal 5 3 11 4" xfId="19550" xr:uid="{1F80B68A-858D-40D5-99D7-121879769BCA}"/>
    <cellStyle name="Normal 5 3 11 5" xfId="27990" xr:uid="{22B003B6-5E12-4547-858E-6CE8E1C401D1}"/>
    <cellStyle name="Normal 5 3 12" xfId="4812" xr:uid="{00000000-0005-0000-0000-000071190000}"/>
    <cellStyle name="Normal 5 3 12 2" xfId="13262" xr:uid="{43C261B5-9A45-4704-ABB7-0FF28CE2BB30}"/>
    <cellStyle name="Normal 5 3 12 3" xfId="21702" xr:uid="{BEBC6DF3-B8D8-4D93-BC6F-96AB5AB2D992}"/>
    <cellStyle name="Normal 5 3 12 4" xfId="30142" xr:uid="{69AF0A1E-F04D-4490-A5E7-AD1AC895809E}"/>
    <cellStyle name="Normal 5 3 13" xfId="9044" xr:uid="{D049029D-3428-4604-BDDF-BFA372598297}"/>
    <cellStyle name="Normal 5 3 14" xfId="17485" xr:uid="{D75B6F6B-5470-4FC6-8078-FB6C4CF4463B}"/>
    <cellStyle name="Normal 5 3 15" xfId="25925" xr:uid="{9F3C5E42-C6B3-4B06-AAA2-5D32FEB2986A}"/>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10 2" xfId="13263" xr:uid="{B3D1259E-ADEE-4C65-8DC0-D57099FA828B}"/>
    <cellStyle name="Normal 5 3 3 10 3" xfId="21703" xr:uid="{9EC71B08-9F3A-4BBF-BFD2-48067EB9965B}"/>
    <cellStyle name="Normal 5 3 3 10 4" xfId="30143" xr:uid="{55038AF0-8099-46AC-B71F-861D539EA0F9}"/>
    <cellStyle name="Normal 5 3 3 11" xfId="9045" xr:uid="{9E75BEDA-1F8B-4F4F-B5F5-E5715FB9B534}"/>
    <cellStyle name="Normal 5 3 3 12" xfId="17486" xr:uid="{8DBC13CA-BE9C-46A5-B32D-FE8813324A8B}"/>
    <cellStyle name="Normal 5 3 3 13" xfId="25926" xr:uid="{45288F37-1D8E-4327-BDFE-D50E9A54A437}"/>
    <cellStyle name="Normal 5 3 3 2" xfId="442" xr:uid="{00000000-0005-0000-0000-000076190000}"/>
    <cellStyle name="Normal 5 3 3 2 10" xfId="9046" xr:uid="{21F41CE9-4219-416B-BB8F-AF5184C084E4}"/>
    <cellStyle name="Normal 5 3 3 2 11" xfId="17487" xr:uid="{62A075A6-86BD-46EA-B6F5-B6AA0F261B11}"/>
    <cellStyle name="Normal 5 3 3 2 12" xfId="25927" xr:uid="{CB323800-84C7-4252-8427-357E2A230358}"/>
    <cellStyle name="Normal 5 3 3 2 2" xfId="443" xr:uid="{00000000-0005-0000-0000-000077190000}"/>
    <cellStyle name="Normal 5 3 3 2 2 10" xfId="17488" xr:uid="{C6647CB6-1BD8-4160-A96F-FE270622577B}"/>
    <cellStyle name="Normal 5 3 3 2 2 11" xfId="25928" xr:uid="{D6C2DBF3-A7B2-4AED-8219-9D732950DE96}"/>
    <cellStyle name="Normal 5 3 3 2 2 2" xfId="444" xr:uid="{00000000-0005-0000-0000-000078190000}"/>
    <cellStyle name="Normal 5 3 3 2 2 2 10" xfId="25929" xr:uid="{7EAE11A2-B237-4DB0-BC7C-DCCA4907325D}"/>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2 2 2" xfId="15824" xr:uid="{8F01B213-043D-4858-BE37-45BE24EF9032}"/>
    <cellStyle name="Normal 5 3 3 2 2 2 2 2 2 3" xfId="24264" xr:uid="{9100AED6-C4F5-43F5-A60F-482C9CDF3C9C}"/>
    <cellStyle name="Normal 5 3 3 2 2 2 2 2 2 4" xfId="32704" xr:uid="{BF31AD0B-E3A2-488F-BC15-F4FCCF909C28}"/>
    <cellStyle name="Normal 5 3 3 2 2 2 2 2 3" xfId="11606" xr:uid="{135867EC-8AE8-47D3-8F16-1E00C5D67104}"/>
    <cellStyle name="Normal 5 3 3 2 2 2 2 2 4" xfId="20047" xr:uid="{755064D6-8225-41B9-8D0E-A82AC53F6E08}"/>
    <cellStyle name="Normal 5 3 3 2 2 2 2 2 5" xfId="28487" xr:uid="{A3D15FF6-2F3E-4ABE-9D38-7D2C3CB474F2}"/>
    <cellStyle name="Normal 5 3 3 2 2 2 2 3" xfId="5229" xr:uid="{00000000-0005-0000-0000-00007C190000}"/>
    <cellStyle name="Normal 5 3 3 2 2 2 2 3 2" xfId="13679" xr:uid="{0D3FDE11-D9FD-43CA-8421-4DF6F01E387F}"/>
    <cellStyle name="Normal 5 3 3 2 2 2 2 3 3" xfId="22119" xr:uid="{6748E6D2-9E1C-4180-9190-290F285A1FA6}"/>
    <cellStyle name="Normal 5 3 3 2 2 2 2 3 4" xfId="30559" xr:uid="{FAA609E8-D512-41CC-B9F6-5992772361E6}"/>
    <cellStyle name="Normal 5 3 3 2 2 2 2 4" xfId="9461" xr:uid="{8BD8B04E-452E-4CE8-B5B2-6243D98C586B}"/>
    <cellStyle name="Normal 5 3 3 2 2 2 2 5" xfId="17902" xr:uid="{C3519F4F-8C50-4F18-B6BB-168101242221}"/>
    <cellStyle name="Normal 5 3 3 2 2 2 2 6" xfId="26342" xr:uid="{BFA4948B-EDA0-4C0D-8DD8-218076746753}"/>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2 2 2" xfId="16237" xr:uid="{3F9203F2-6F79-425F-AA1E-F5B3726EDC67}"/>
    <cellStyle name="Normal 5 3 3 2 2 2 3 2 2 3" xfId="24677" xr:uid="{FC9EE540-01AF-4F0A-81C3-0C0A42ADF368}"/>
    <cellStyle name="Normal 5 3 3 2 2 2 3 2 2 4" xfId="33117" xr:uid="{33F34930-4C14-499E-890A-49C5C17A8A0B}"/>
    <cellStyle name="Normal 5 3 3 2 2 2 3 2 3" xfId="12019" xr:uid="{4F81D1DB-C91E-4EE5-9811-9A7EB145D911}"/>
    <cellStyle name="Normal 5 3 3 2 2 2 3 2 4" xfId="20460" xr:uid="{38EF37C1-E44A-4017-BD05-965DD9DFECA2}"/>
    <cellStyle name="Normal 5 3 3 2 2 2 3 2 5" xfId="28900" xr:uid="{D2C92B63-1F71-4E44-81A8-C9ABA25FC617}"/>
    <cellStyle name="Normal 5 3 3 2 2 2 3 3" xfId="5642" xr:uid="{00000000-0005-0000-0000-000080190000}"/>
    <cellStyle name="Normal 5 3 3 2 2 2 3 3 2" xfId="14092" xr:uid="{B83F4634-E41C-4D02-8E1B-D9700B904D62}"/>
    <cellStyle name="Normal 5 3 3 2 2 2 3 3 3" xfId="22532" xr:uid="{346D7BD9-2D95-4867-8645-9A4DBC9466AC}"/>
    <cellStyle name="Normal 5 3 3 2 2 2 3 3 4" xfId="30972" xr:uid="{5F453340-7E2E-42D2-9037-C7BC59BCDB58}"/>
    <cellStyle name="Normal 5 3 3 2 2 2 3 4" xfId="9874" xr:uid="{03E03536-34A7-4752-BB32-FE1CA2C48888}"/>
    <cellStyle name="Normal 5 3 3 2 2 2 3 5" xfId="18315" xr:uid="{F214E2DA-C38C-452C-9C41-4D938377A405}"/>
    <cellStyle name="Normal 5 3 3 2 2 2 3 6" xfId="26755" xr:uid="{D66B5BA0-57B4-446A-BF09-1658D0399CAF}"/>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2 2 2" xfId="16650" xr:uid="{A37FF267-C8A9-46FC-B6B3-EA76F41871E8}"/>
    <cellStyle name="Normal 5 3 3 2 2 2 4 2 2 3" xfId="25090" xr:uid="{3967B234-954F-4FD8-A9D7-6CD9AFE4E0BB}"/>
    <cellStyle name="Normal 5 3 3 2 2 2 4 2 2 4" xfId="33530" xr:uid="{E0698A85-BBCA-470F-9A61-BA0E286B1F20}"/>
    <cellStyle name="Normal 5 3 3 2 2 2 4 2 3" xfId="12432" xr:uid="{79C06488-8D49-42BC-89E7-B17C76B4466A}"/>
    <cellStyle name="Normal 5 3 3 2 2 2 4 2 4" xfId="20873" xr:uid="{AC3C9128-57E0-470A-BF4A-E79B67373138}"/>
    <cellStyle name="Normal 5 3 3 2 2 2 4 2 5" xfId="29313" xr:uid="{DA5448C0-3F50-4A27-9C4E-D2AC33F2974F}"/>
    <cellStyle name="Normal 5 3 3 2 2 2 4 3" xfId="6055" xr:uid="{00000000-0005-0000-0000-000084190000}"/>
    <cellStyle name="Normal 5 3 3 2 2 2 4 3 2" xfId="14505" xr:uid="{EC8F64E3-35B6-41ED-9FAD-7A115BFC9999}"/>
    <cellStyle name="Normal 5 3 3 2 2 2 4 3 3" xfId="22945" xr:uid="{BE311413-E4B6-407F-9A20-419D8BCA74A8}"/>
    <cellStyle name="Normal 5 3 3 2 2 2 4 3 4" xfId="31385" xr:uid="{C6B884AA-4DC1-4EBC-9727-FD19B5DFFC5B}"/>
    <cellStyle name="Normal 5 3 3 2 2 2 4 4" xfId="10287" xr:uid="{6049D6B3-D24F-4F48-BBAD-15249ECB0880}"/>
    <cellStyle name="Normal 5 3 3 2 2 2 4 5" xfId="18728" xr:uid="{337789D3-C5AA-4384-8955-D155BCDB1260}"/>
    <cellStyle name="Normal 5 3 3 2 2 2 4 6" xfId="27168" xr:uid="{8665D4B1-A86C-433F-BD2D-80AFE9E36E0D}"/>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2 2 2" xfId="17063" xr:uid="{D9A11413-2B9A-4FF3-A67C-AB661F1213F6}"/>
    <cellStyle name="Normal 5 3 3 2 2 2 5 2 2 3" xfId="25503" xr:uid="{049BE34D-B818-45F8-B8E5-4960C452963D}"/>
    <cellStyle name="Normal 5 3 3 2 2 2 5 2 2 4" xfId="33943" xr:uid="{23AA928E-A615-4E27-9108-C30A4B6C0E4D}"/>
    <cellStyle name="Normal 5 3 3 2 2 2 5 2 3" xfId="12845" xr:uid="{BB82C621-F4E6-4B73-A2A4-B4C1DB89C787}"/>
    <cellStyle name="Normal 5 3 3 2 2 2 5 2 4" xfId="21286" xr:uid="{D45FF470-1F24-4C21-AE98-7F4C3020785C}"/>
    <cellStyle name="Normal 5 3 3 2 2 2 5 2 5" xfId="29726" xr:uid="{6F875A93-4DE8-45FF-B5D5-7D5491DA1DAA}"/>
    <cellStyle name="Normal 5 3 3 2 2 2 5 3" xfId="6468" xr:uid="{00000000-0005-0000-0000-000088190000}"/>
    <cellStyle name="Normal 5 3 3 2 2 2 5 3 2" xfId="14918" xr:uid="{D13B64E1-DFC4-4F34-AF96-B4DF790128D3}"/>
    <cellStyle name="Normal 5 3 3 2 2 2 5 3 3" xfId="23358" xr:uid="{8FD11EDC-6170-48D1-81E1-359AF8AFD1BA}"/>
    <cellStyle name="Normal 5 3 3 2 2 2 5 3 4" xfId="31798" xr:uid="{0DE05771-52A9-4304-930B-B0D98139D952}"/>
    <cellStyle name="Normal 5 3 3 2 2 2 5 4" xfId="10700" xr:uid="{31C60297-9DA6-4CA2-BA2D-134958A51CC3}"/>
    <cellStyle name="Normal 5 3 3 2 2 2 5 5" xfId="19141" xr:uid="{DF293AC0-5CED-4076-BCEB-B7DBCEF209B3}"/>
    <cellStyle name="Normal 5 3 3 2 2 2 5 6" xfId="27581" xr:uid="{85E656CB-FFAF-43E0-A0C6-44A1C71747E6}"/>
    <cellStyle name="Normal 5 3 3 2 2 2 6" xfId="2598" xr:uid="{00000000-0005-0000-0000-000089190000}"/>
    <cellStyle name="Normal 5 3 3 2 2 2 6 2" xfId="6881" xr:uid="{00000000-0005-0000-0000-00008A190000}"/>
    <cellStyle name="Normal 5 3 3 2 2 2 6 2 2" xfId="15331" xr:uid="{96801787-3598-4F45-BD1C-5CC759D6AF61}"/>
    <cellStyle name="Normal 5 3 3 2 2 2 6 2 3" xfId="23771" xr:uid="{DC346380-0617-41AE-857F-A2919AAA8171}"/>
    <cellStyle name="Normal 5 3 3 2 2 2 6 2 4" xfId="32211" xr:uid="{684378FB-3733-467C-9FAB-BF671CEA37BC}"/>
    <cellStyle name="Normal 5 3 3 2 2 2 6 3" xfId="11113" xr:uid="{791AC8BF-19F9-435E-953E-FE062558B2ED}"/>
    <cellStyle name="Normal 5 3 3 2 2 2 6 4" xfId="19554" xr:uid="{AF3BB648-DAE2-44C7-952A-263A5EEBEE8C}"/>
    <cellStyle name="Normal 5 3 3 2 2 2 6 5" xfId="27994" xr:uid="{C95DD9F5-1296-4AEA-A3C1-119C52C96369}"/>
    <cellStyle name="Normal 5 3 3 2 2 2 7" xfId="4816" xr:uid="{00000000-0005-0000-0000-00008B190000}"/>
    <cellStyle name="Normal 5 3 3 2 2 2 7 2" xfId="13266" xr:uid="{6B0E1D8A-7531-4780-8773-2610A0EB6007}"/>
    <cellStyle name="Normal 5 3 3 2 2 2 7 3" xfId="21706" xr:uid="{3D97EAEC-79EE-49EF-B9A4-1AE74C92E861}"/>
    <cellStyle name="Normal 5 3 3 2 2 2 7 4" xfId="30146" xr:uid="{2C2CB2F3-6216-4ACA-A03F-D3EF0F05E14C}"/>
    <cellStyle name="Normal 5 3 3 2 2 2 8" xfId="9048" xr:uid="{1ACA90A9-C11E-4FF6-95B6-BC4DE9FE31E4}"/>
    <cellStyle name="Normal 5 3 3 2 2 2 9" xfId="17489" xr:uid="{635D53C8-6028-437B-9D27-52363A3B6AF9}"/>
    <cellStyle name="Normal 5 3 3 2 2 3" xfId="917" xr:uid="{00000000-0005-0000-0000-00008C190000}"/>
    <cellStyle name="Normal 5 3 3 2 2 3 2" xfId="3151" xr:uid="{00000000-0005-0000-0000-00008D190000}"/>
    <cellStyle name="Normal 5 3 3 2 2 3 2 2" xfId="7373" xr:uid="{00000000-0005-0000-0000-00008E190000}"/>
    <cellStyle name="Normal 5 3 3 2 2 3 2 2 2" xfId="15823" xr:uid="{74EE62D5-049E-4DBA-9A6E-42240E3EF183}"/>
    <cellStyle name="Normal 5 3 3 2 2 3 2 2 3" xfId="24263" xr:uid="{1353D532-67E1-48E4-986F-4A7D1B8D3A1E}"/>
    <cellStyle name="Normal 5 3 3 2 2 3 2 2 4" xfId="32703" xr:uid="{B93C3B5F-7F6B-44C1-AE51-5DB53F1C74E3}"/>
    <cellStyle name="Normal 5 3 3 2 2 3 2 3" xfId="11605" xr:uid="{691A8CCB-5D2F-4B74-9011-95D63D232C32}"/>
    <cellStyle name="Normal 5 3 3 2 2 3 2 4" xfId="20046" xr:uid="{08F1E294-D4D6-4B61-891B-AAF7991B62E6}"/>
    <cellStyle name="Normal 5 3 3 2 2 3 2 5" xfId="28486" xr:uid="{5D69A44F-5DDF-43A4-98FB-BBD7A721664E}"/>
    <cellStyle name="Normal 5 3 3 2 2 3 3" xfId="5228" xr:uid="{00000000-0005-0000-0000-00008F190000}"/>
    <cellStyle name="Normal 5 3 3 2 2 3 3 2" xfId="13678" xr:uid="{7382D85C-00B8-438A-8205-FDF8A87832D0}"/>
    <cellStyle name="Normal 5 3 3 2 2 3 3 3" xfId="22118" xr:uid="{F4149691-B7E9-4E76-9AAA-2389EA63461C}"/>
    <cellStyle name="Normal 5 3 3 2 2 3 3 4" xfId="30558" xr:uid="{8C76818A-59E8-4E19-988E-4B7273B425C1}"/>
    <cellStyle name="Normal 5 3 3 2 2 3 4" xfId="9460" xr:uid="{D7AFBAF1-BC58-4846-8F39-93425702A1FC}"/>
    <cellStyle name="Normal 5 3 3 2 2 3 5" xfId="17901" xr:uid="{E059DB1E-608E-441D-82A3-CA42130F2E9A}"/>
    <cellStyle name="Normal 5 3 3 2 2 3 6" xfId="26341" xr:uid="{FE142CDE-F42F-4078-AE2E-8D7CE15D5C32}"/>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2 2 2" xfId="16236" xr:uid="{CF7854EC-890F-47F2-84E1-4C6DD86717B6}"/>
    <cellStyle name="Normal 5 3 3 2 2 4 2 2 3" xfId="24676" xr:uid="{1EEA5BE0-CF6D-4EED-97D8-B37E3D0F8E05}"/>
    <cellStyle name="Normal 5 3 3 2 2 4 2 2 4" xfId="33116" xr:uid="{23728315-38B3-4245-BADC-E5D09C071502}"/>
    <cellStyle name="Normal 5 3 3 2 2 4 2 3" xfId="12018" xr:uid="{4FEC7CFC-5CAA-4A86-8E54-877302098F9B}"/>
    <cellStyle name="Normal 5 3 3 2 2 4 2 4" xfId="20459" xr:uid="{28E37C68-989E-4E1B-902B-C69D3B579B89}"/>
    <cellStyle name="Normal 5 3 3 2 2 4 2 5" xfId="28899" xr:uid="{5F739FC4-A112-4236-91F8-B7BB9B4792BE}"/>
    <cellStyle name="Normal 5 3 3 2 2 4 3" xfId="5641" xr:uid="{00000000-0005-0000-0000-000093190000}"/>
    <cellStyle name="Normal 5 3 3 2 2 4 3 2" xfId="14091" xr:uid="{4E8BE557-AEA7-4604-B21B-598B0ABB612D}"/>
    <cellStyle name="Normal 5 3 3 2 2 4 3 3" xfId="22531" xr:uid="{3DB1CF1C-94A9-4372-8EB2-55400BC52EA3}"/>
    <cellStyle name="Normal 5 3 3 2 2 4 3 4" xfId="30971" xr:uid="{C002F61E-EBA3-4301-8AD0-D37400611CAF}"/>
    <cellStyle name="Normal 5 3 3 2 2 4 4" xfId="9873" xr:uid="{4CB07031-5C0D-4B7D-AD88-04703672E0C6}"/>
    <cellStyle name="Normal 5 3 3 2 2 4 5" xfId="18314" xr:uid="{EB503F31-F787-47D0-9009-81B6CE1C3E94}"/>
    <cellStyle name="Normal 5 3 3 2 2 4 6" xfId="26754" xr:uid="{556B5944-D7A4-4C09-AC17-10614153CE05}"/>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2 2 2" xfId="16649" xr:uid="{AD862F62-4734-43FF-8BC1-532B1D40BBF1}"/>
    <cellStyle name="Normal 5 3 3 2 2 5 2 2 3" xfId="25089" xr:uid="{41F9F4B3-141C-4F84-A099-25D650F4BECA}"/>
    <cellStyle name="Normal 5 3 3 2 2 5 2 2 4" xfId="33529" xr:uid="{C89A5000-F202-4318-934C-37F0135896AA}"/>
    <cellStyle name="Normal 5 3 3 2 2 5 2 3" xfId="12431" xr:uid="{18E18013-4548-465A-A0B7-250B4B55DC8C}"/>
    <cellStyle name="Normal 5 3 3 2 2 5 2 4" xfId="20872" xr:uid="{5659C7B0-61EA-4F7A-AFAA-2DC46CCDA706}"/>
    <cellStyle name="Normal 5 3 3 2 2 5 2 5" xfId="29312" xr:uid="{AC6D715E-FD4D-4A2E-8CD7-C29BB131C46F}"/>
    <cellStyle name="Normal 5 3 3 2 2 5 3" xfId="6054" xr:uid="{00000000-0005-0000-0000-000097190000}"/>
    <cellStyle name="Normal 5 3 3 2 2 5 3 2" xfId="14504" xr:uid="{1F75E6F4-8345-4AFC-ACB0-DC0DCF8F7D91}"/>
    <cellStyle name="Normal 5 3 3 2 2 5 3 3" xfId="22944" xr:uid="{691DE439-34A9-4CA3-9C58-E7114D0F2040}"/>
    <cellStyle name="Normal 5 3 3 2 2 5 3 4" xfId="31384" xr:uid="{0872C7F0-CE8E-4BBE-906F-75BB7EB5824B}"/>
    <cellStyle name="Normal 5 3 3 2 2 5 4" xfId="10286" xr:uid="{2C53009A-F89C-4DDC-8E40-6D5E40D9AC0C}"/>
    <cellStyle name="Normal 5 3 3 2 2 5 5" xfId="18727" xr:uid="{13B98659-4267-4F99-B3F8-9EF419FD156E}"/>
    <cellStyle name="Normal 5 3 3 2 2 5 6" xfId="27167" xr:uid="{C695A061-0140-40A8-9C40-01A3EAADD5DC}"/>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2 2 2" xfId="17062" xr:uid="{68E3EFF9-9039-483E-8148-6A5391E7F717}"/>
    <cellStyle name="Normal 5 3 3 2 2 6 2 2 3" xfId="25502" xr:uid="{76CB8A1F-896F-47E1-B93B-A5488BDE283D}"/>
    <cellStyle name="Normal 5 3 3 2 2 6 2 2 4" xfId="33942" xr:uid="{75AE96A2-A725-4A18-87C1-C7C2E839D9E9}"/>
    <cellStyle name="Normal 5 3 3 2 2 6 2 3" xfId="12844" xr:uid="{517F172F-ECE2-4CF1-8955-14E6282D0148}"/>
    <cellStyle name="Normal 5 3 3 2 2 6 2 4" xfId="21285" xr:uid="{EB680D0F-EE7D-492F-AF11-88E28E381A86}"/>
    <cellStyle name="Normal 5 3 3 2 2 6 2 5" xfId="29725" xr:uid="{72538F20-28E5-4AB7-BB7C-58D06E9E3B95}"/>
    <cellStyle name="Normal 5 3 3 2 2 6 3" xfId="6467" xr:uid="{00000000-0005-0000-0000-00009B190000}"/>
    <cellStyle name="Normal 5 3 3 2 2 6 3 2" xfId="14917" xr:uid="{832F3264-EE12-4436-BC6D-5D3711E61AED}"/>
    <cellStyle name="Normal 5 3 3 2 2 6 3 3" xfId="23357" xr:uid="{49C1D440-CA2D-4DA4-ACA0-A5AF151EC08E}"/>
    <cellStyle name="Normal 5 3 3 2 2 6 3 4" xfId="31797" xr:uid="{2BCD81BB-41ED-47B9-80F3-7D923D2D5C42}"/>
    <cellStyle name="Normal 5 3 3 2 2 6 4" xfId="10699" xr:uid="{0E4342FE-7A4F-4A0F-9A27-ABF3DB8732ED}"/>
    <cellStyle name="Normal 5 3 3 2 2 6 5" xfId="19140" xr:uid="{4434651C-20CC-4B7F-857A-BE8817E9E515}"/>
    <cellStyle name="Normal 5 3 3 2 2 6 6" xfId="27580" xr:uid="{B25CF34B-31EE-4352-A10A-B8274018F7D9}"/>
    <cellStyle name="Normal 5 3 3 2 2 7" xfId="2597" xr:uid="{00000000-0005-0000-0000-00009C190000}"/>
    <cellStyle name="Normal 5 3 3 2 2 7 2" xfId="6880" xr:uid="{00000000-0005-0000-0000-00009D190000}"/>
    <cellStyle name="Normal 5 3 3 2 2 7 2 2" xfId="15330" xr:uid="{AFB78F0E-8ADC-4C1F-AB8A-3CF40FB26BCF}"/>
    <cellStyle name="Normal 5 3 3 2 2 7 2 3" xfId="23770" xr:uid="{8132ED42-32A9-44F0-B6E2-C283119F01C1}"/>
    <cellStyle name="Normal 5 3 3 2 2 7 2 4" xfId="32210" xr:uid="{A9CB82C8-A6B2-4F3E-B9C9-0FBBA99EC58D}"/>
    <cellStyle name="Normal 5 3 3 2 2 7 3" xfId="11112" xr:uid="{0E1C9B61-3AB1-45D3-82DB-EDFE91948973}"/>
    <cellStyle name="Normal 5 3 3 2 2 7 4" xfId="19553" xr:uid="{4935C82F-9083-457F-A554-028478CB2F1F}"/>
    <cellStyle name="Normal 5 3 3 2 2 7 5" xfId="27993" xr:uid="{721B688C-617B-46FF-BD5C-861DBD187175}"/>
    <cellStyle name="Normal 5 3 3 2 2 8" xfId="4815" xr:uid="{00000000-0005-0000-0000-00009E190000}"/>
    <cellStyle name="Normal 5 3 3 2 2 8 2" xfId="13265" xr:uid="{A8B3A926-0D80-4597-9FE1-FC0F0E102050}"/>
    <cellStyle name="Normal 5 3 3 2 2 8 3" xfId="21705" xr:uid="{BDCB2756-A420-4981-805C-E5CF67E802EA}"/>
    <cellStyle name="Normal 5 3 3 2 2 8 4" xfId="30145" xr:uid="{752BB417-B600-48EE-9AD8-50AD30AB5D80}"/>
    <cellStyle name="Normal 5 3 3 2 2 9" xfId="9047" xr:uid="{115C1AF5-C36E-4AD4-BB97-3C7C3712FD88}"/>
    <cellStyle name="Normal 5 3 3 2 3" xfId="445" xr:uid="{00000000-0005-0000-0000-00009F190000}"/>
    <cellStyle name="Normal 5 3 3 2 3 10" xfId="25930" xr:uid="{2F1C8549-4CBC-46AA-8F1F-2EEB4C5FFF03}"/>
    <cellStyle name="Normal 5 3 3 2 3 2" xfId="919" xr:uid="{00000000-0005-0000-0000-0000A0190000}"/>
    <cellStyle name="Normal 5 3 3 2 3 2 2" xfId="3153" xr:uid="{00000000-0005-0000-0000-0000A1190000}"/>
    <cellStyle name="Normal 5 3 3 2 3 2 2 2" xfId="7375" xr:uid="{00000000-0005-0000-0000-0000A2190000}"/>
    <cellStyle name="Normal 5 3 3 2 3 2 2 2 2" xfId="15825" xr:uid="{A6780030-72A7-42EB-A4EA-90F4901AA112}"/>
    <cellStyle name="Normal 5 3 3 2 3 2 2 2 3" xfId="24265" xr:uid="{BFF5596F-7EB7-4341-A778-FA80FD97227B}"/>
    <cellStyle name="Normal 5 3 3 2 3 2 2 2 4" xfId="32705" xr:uid="{8B809951-8D3E-42EE-A342-BE9FC082CBF1}"/>
    <cellStyle name="Normal 5 3 3 2 3 2 2 3" xfId="11607" xr:uid="{BC2E1762-3B70-4376-8BF0-721E60FA47DD}"/>
    <cellStyle name="Normal 5 3 3 2 3 2 2 4" xfId="20048" xr:uid="{5581C75E-338F-4C20-BF91-89BFF39A47A6}"/>
    <cellStyle name="Normal 5 3 3 2 3 2 2 5" xfId="28488" xr:uid="{880063C2-C783-469A-A1A6-D9FF36C55B18}"/>
    <cellStyle name="Normal 5 3 3 2 3 2 3" xfId="5230" xr:uid="{00000000-0005-0000-0000-0000A3190000}"/>
    <cellStyle name="Normal 5 3 3 2 3 2 3 2" xfId="13680" xr:uid="{E0163109-6F65-4C3E-8AF3-40632855E16F}"/>
    <cellStyle name="Normal 5 3 3 2 3 2 3 3" xfId="22120" xr:uid="{A1728629-4E0F-40E6-AA36-1E6753AE4A78}"/>
    <cellStyle name="Normal 5 3 3 2 3 2 3 4" xfId="30560" xr:uid="{E302D63A-D90C-4951-9AA4-BDE5D551AB4A}"/>
    <cellStyle name="Normal 5 3 3 2 3 2 4" xfId="9462" xr:uid="{1C798444-E8E9-4812-9113-65C0E0861652}"/>
    <cellStyle name="Normal 5 3 3 2 3 2 5" xfId="17903" xr:uid="{20C2F55E-BB88-41AE-BBC5-8FA79773B95A}"/>
    <cellStyle name="Normal 5 3 3 2 3 2 6" xfId="26343" xr:uid="{267B7080-4A32-4211-AB14-706CE9E29CE3}"/>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2 2 2" xfId="16238" xr:uid="{9EE77C16-6F3C-458D-BF06-54C3B54DA483}"/>
    <cellStyle name="Normal 5 3 3 2 3 3 2 2 3" xfId="24678" xr:uid="{2804FDA9-55B0-4823-A029-FA5BEA626308}"/>
    <cellStyle name="Normal 5 3 3 2 3 3 2 2 4" xfId="33118" xr:uid="{F8CDD836-ADAE-404C-BACD-04D8E314D804}"/>
    <cellStyle name="Normal 5 3 3 2 3 3 2 3" xfId="12020" xr:uid="{C40093B1-EDB4-4B4C-99E4-3ACF3F057577}"/>
    <cellStyle name="Normal 5 3 3 2 3 3 2 4" xfId="20461" xr:uid="{1317A200-F81C-4E8E-89F0-8489C75B3D9F}"/>
    <cellStyle name="Normal 5 3 3 2 3 3 2 5" xfId="28901" xr:uid="{5EFF32C9-DE7A-4D67-B892-B23399BB9D75}"/>
    <cellStyle name="Normal 5 3 3 2 3 3 3" xfId="5643" xr:uid="{00000000-0005-0000-0000-0000A7190000}"/>
    <cellStyle name="Normal 5 3 3 2 3 3 3 2" xfId="14093" xr:uid="{10011287-A5C3-4A7E-96B1-5EBEF90ECAC5}"/>
    <cellStyle name="Normal 5 3 3 2 3 3 3 3" xfId="22533" xr:uid="{87DB1661-A3C5-4C0D-8B15-1EA6813D957A}"/>
    <cellStyle name="Normal 5 3 3 2 3 3 3 4" xfId="30973" xr:uid="{C6726241-A40E-4A17-965A-BBFC4A3127E2}"/>
    <cellStyle name="Normal 5 3 3 2 3 3 4" xfId="9875" xr:uid="{7EBCE5AC-5DEA-4525-B39D-BD81893986A3}"/>
    <cellStyle name="Normal 5 3 3 2 3 3 5" xfId="18316" xr:uid="{D107AB8D-6FE0-413E-BA04-4969871385A8}"/>
    <cellStyle name="Normal 5 3 3 2 3 3 6" xfId="26756" xr:uid="{0F53C88C-B107-4F68-BF9D-277E2DD82A79}"/>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2 2 2" xfId="16651" xr:uid="{FE5DDCF3-C20F-44A9-B8AB-49192A7335F3}"/>
    <cellStyle name="Normal 5 3 3 2 3 4 2 2 3" xfId="25091" xr:uid="{375A1197-F9F1-4B41-AFD7-A0D82C096AE7}"/>
    <cellStyle name="Normal 5 3 3 2 3 4 2 2 4" xfId="33531" xr:uid="{429ED61B-4F44-4D11-A61A-062FE702F515}"/>
    <cellStyle name="Normal 5 3 3 2 3 4 2 3" xfId="12433" xr:uid="{BF09E11E-6797-4A6F-AF43-677954434B92}"/>
    <cellStyle name="Normal 5 3 3 2 3 4 2 4" xfId="20874" xr:uid="{73FA91ED-AFFC-46DA-B9B3-1E8493365598}"/>
    <cellStyle name="Normal 5 3 3 2 3 4 2 5" xfId="29314" xr:uid="{D1CD68B1-BE74-4D21-9351-903A73F1D6F4}"/>
    <cellStyle name="Normal 5 3 3 2 3 4 3" xfId="6056" xr:uid="{00000000-0005-0000-0000-0000AB190000}"/>
    <cellStyle name="Normal 5 3 3 2 3 4 3 2" xfId="14506" xr:uid="{88A5D3A9-7E9A-4F0E-8C31-49D61137B716}"/>
    <cellStyle name="Normal 5 3 3 2 3 4 3 3" xfId="22946" xr:uid="{811A08F3-9E91-484D-9C95-055DFC816C41}"/>
    <cellStyle name="Normal 5 3 3 2 3 4 3 4" xfId="31386" xr:uid="{F95E77E8-AEB9-46D9-9C91-40BAA92202AE}"/>
    <cellStyle name="Normal 5 3 3 2 3 4 4" xfId="10288" xr:uid="{BF1932C6-A1E7-4E72-9F62-441BE6064756}"/>
    <cellStyle name="Normal 5 3 3 2 3 4 5" xfId="18729" xr:uid="{4E6CC790-8DF5-444D-AD3D-8D5F58F9BF60}"/>
    <cellStyle name="Normal 5 3 3 2 3 4 6" xfId="27169" xr:uid="{0E2EC036-5346-4FF3-AC50-D61D7E174FA4}"/>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2 2 2" xfId="17064" xr:uid="{5067BA2F-5877-4B78-8ABE-C8C5F4BCB76A}"/>
    <cellStyle name="Normal 5 3 3 2 3 5 2 2 3" xfId="25504" xr:uid="{BE914518-6BF4-4482-931F-3EF82EAAE8C4}"/>
    <cellStyle name="Normal 5 3 3 2 3 5 2 2 4" xfId="33944" xr:uid="{9B37EDAC-A2E3-448B-8601-0D1C4B9ACBC1}"/>
    <cellStyle name="Normal 5 3 3 2 3 5 2 3" xfId="12846" xr:uid="{84F245C6-36C6-4719-B900-3040BAEA6DEE}"/>
    <cellStyle name="Normal 5 3 3 2 3 5 2 4" xfId="21287" xr:uid="{14E337C3-BE34-435A-813A-5F1C278B0E6E}"/>
    <cellStyle name="Normal 5 3 3 2 3 5 2 5" xfId="29727" xr:uid="{8417E4FB-F0A6-4A3A-BBF1-D97FA304C1EF}"/>
    <cellStyle name="Normal 5 3 3 2 3 5 3" xfId="6469" xr:uid="{00000000-0005-0000-0000-0000AF190000}"/>
    <cellStyle name="Normal 5 3 3 2 3 5 3 2" xfId="14919" xr:uid="{0153389D-AD6A-403A-A4EE-44C49741FFC8}"/>
    <cellStyle name="Normal 5 3 3 2 3 5 3 3" xfId="23359" xr:uid="{38768DB9-B6FE-4836-BC16-0E120F767F0E}"/>
    <cellStyle name="Normal 5 3 3 2 3 5 3 4" xfId="31799" xr:uid="{5EB0C043-C521-47B8-9C35-5A145AC530F7}"/>
    <cellStyle name="Normal 5 3 3 2 3 5 4" xfId="10701" xr:uid="{2B49737F-052D-4C93-8E73-8BD54E5517AD}"/>
    <cellStyle name="Normal 5 3 3 2 3 5 5" xfId="19142" xr:uid="{6DF5D058-11D4-4D23-9705-C10EF7540EF0}"/>
    <cellStyle name="Normal 5 3 3 2 3 5 6" xfId="27582" xr:uid="{165E02F6-10E6-4595-8637-7ED65EFDEA68}"/>
    <cellStyle name="Normal 5 3 3 2 3 6" xfId="2599" xr:uid="{00000000-0005-0000-0000-0000B0190000}"/>
    <cellStyle name="Normal 5 3 3 2 3 6 2" xfId="6882" xr:uid="{00000000-0005-0000-0000-0000B1190000}"/>
    <cellStyle name="Normal 5 3 3 2 3 6 2 2" xfId="15332" xr:uid="{CE43D2DB-EF67-4092-91BB-AF34F3E93D4C}"/>
    <cellStyle name="Normal 5 3 3 2 3 6 2 3" xfId="23772" xr:uid="{910E5B3C-D4C4-474A-BBC1-D792C79F13F6}"/>
    <cellStyle name="Normal 5 3 3 2 3 6 2 4" xfId="32212" xr:uid="{D4C1343A-6276-4024-8721-280F886872FF}"/>
    <cellStyle name="Normal 5 3 3 2 3 6 3" xfId="11114" xr:uid="{A1E7B834-B739-4B8C-93B8-8E44FFCCB8CF}"/>
    <cellStyle name="Normal 5 3 3 2 3 6 4" xfId="19555" xr:uid="{DB4C6F8E-0DF4-40AC-BB8D-142B0C04D8D9}"/>
    <cellStyle name="Normal 5 3 3 2 3 6 5" xfId="27995" xr:uid="{332B9A65-5AB4-4E9C-9BFD-DFD1B7C4A2A0}"/>
    <cellStyle name="Normal 5 3 3 2 3 7" xfId="4817" xr:uid="{00000000-0005-0000-0000-0000B2190000}"/>
    <cellStyle name="Normal 5 3 3 2 3 7 2" xfId="13267" xr:uid="{2A0B7AA7-68F0-40AC-AD43-A589881BA81E}"/>
    <cellStyle name="Normal 5 3 3 2 3 7 3" xfId="21707" xr:uid="{2AED3B4B-7E07-43A0-9AE5-F4D7B61DEA18}"/>
    <cellStyle name="Normal 5 3 3 2 3 7 4" xfId="30147" xr:uid="{AA84F205-719F-48D2-85AF-FB66B4CF6D57}"/>
    <cellStyle name="Normal 5 3 3 2 3 8" xfId="9049" xr:uid="{DAEC0229-1F0D-452D-B3BB-21E6E661FC37}"/>
    <cellStyle name="Normal 5 3 3 2 3 9" xfId="17490" xr:uid="{2BC73565-CAE8-44BE-8F58-E0F23F945639}"/>
    <cellStyle name="Normal 5 3 3 2 4" xfId="916" xr:uid="{00000000-0005-0000-0000-0000B3190000}"/>
    <cellStyle name="Normal 5 3 3 2 4 2" xfId="3150" xr:uid="{00000000-0005-0000-0000-0000B4190000}"/>
    <cellStyle name="Normal 5 3 3 2 4 2 2" xfId="7372" xr:uid="{00000000-0005-0000-0000-0000B5190000}"/>
    <cellStyle name="Normal 5 3 3 2 4 2 2 2" xfId="15822" xr:uid="{B30C5296-B60E-4726-B20E-8594F40F252F}"/>
    <cellStyle name="Normal 5 3 3 2 4 2 2 3" xfId="24262" xr:uid="{6C08A07C-8C42-42E9-A05B-3E96CDF0712B}"/>
    <cellStyle name="Normal 5 3 3 2 4 2 2 4" xfId="32702" xr:uid="{F16B234F-E3B5-4CA7-AB0E-5624868AE29B}"/>
    <cellStyle name="Normal 5 3 3 2 4 2 3" xfId="11604" xr:uid="{AA90FC21-4818-45E3-90C0-9F1C938CD96E}"/>
    <cellStyle name="Normal 5 3 3 2 4 2 4" xfId="20045" xr:uid="{727FCBE2-8290-44B9-9455-F58139A3829E}"/>
    <cellStyle name="Normal 5 3 3 2 4 2 5" xfId="28485" xr:uid="{C8B69AC1-3F7E-4846-9EA1-1EB3E3D70741}"/>
    <cellStyle name="Normal 5 3 3 2 4 3" xfId="5227" xr:uid="{00000000-0005-0000-0000-0000B6190000}"/>
    <cellStyle name="Normal 5 3 3 2 4 3 2" xfId="13677" xr:uid="{3EA05049-9A54-4BE4-919C-F559DBCBE440}"/>
    <cellStyle name="Normal 5 3 3 2 4 3 3" xfId="22117" xr:uid="{63EC5F85-6FC3-434E-995E-35860F7002B9}"/>
    <cellStyle name="Normal 5 3 3 2 4 3 4" xfId="30557" xr:uid="{9B146066-5A49-4CF5-9498-006109F62E43}"/>
    <cellStyle name="Normal 5 3 3 2 4 4" xfId="9459" xr:uid="{71DCABC1-D005-4619-B146-3255B39E3BBA}"/>
    <cellStyle name="Normal 5 3 3 2 4 5" xfId="17900" xr:uid="{0A0A5326-B704-413A-B686-1D65D6466243}"/>
    <cellStyle name="Normal 5 3 3 2 4 6" xfId="26340" xr:uid="{8076EC54-6030-4759-B85B-752A4FD65D81}"/>
    <cellStyle name="Normal 5 3 3 2 5" xfId="1333" xr:uid="{00000000-0005-0000-0000-0000B7190000}"/>
    <cellStyle name="Normal 5 3 3 2 5 2" xfId="3563" xr:uid="{00000000-0005-0000-0000-0000B8190000}"/>
    <cellStyle name="Normal 5 3 3 2 5 2 2" xfId="7785" xr:uid="{00000000-0005-0000-0000-0000B9190000}"/>
    <cellStyle name="Normal 5 3 3 2 5 2 2 2" xfId="16235" xr:uid="{46BA54C0-AC7D-4D3B-9812-7D24F04A0317}"/>
    <cellStyle name="Normal 5 3 3 2 5 2 2 3" xfId="24675" xr:uid="{7FA2164E-8B25-4882-9C3B-73ACA2B8FCC7}"/>
    <cellStyle name="Normal 5 3 3 2 5 2 2 4" xfId="33115" xr:uid="{F994CB24-D508-49A0-98C6-AA71CD1CA0B9}"/>
    <cellStyle name="Normal 5 3 3 2 5 2 3" xfId="12017" xr:uid="{F0BAF388-AA3C-429C-8519-6D185DFA0352}"/>
    <cellStyle name="Normal 5 3 3 2 5 2 4" xfId="20458" xr:uid="{81332C9F-193B-4B8F-BB65-F44B2FCEE109}"/>
    <cellStyle name="Normal 5 3 3 2 5 2 5" xfId="28898" xr:uid="{39F36371-9C66-4A87-A571-961D765F8A2A}"/>
    <cellStyle name="Normal 5 3 3 2 5 3" xfId="5640" xr:uid="{00000000-0005-0000-0000-0000BA190000}"/>
    <cellStyle name="Normal 5 3 3 2 5 3 2" xfId="14090" xr:uid="{6241F646-C541-4019-BBE6-3D3415BBDFDA}"/>
    <cellStyle name="Normal 5 3 3 2 5 3 3" xfId="22530" xr:uid="{513C10AF-12E9-4596-B56D-641913D66DAE}"/>
    <cellStyle name="Normal 5 3 3 2 5 3 4" xfId="30970" xr:uid="{3547B3CC-141D-4995-95B8-D06FACAB09F0}"/>
    <cellStyle name="Normal 5 3 3 2 5 4" xfId="9872" xr:uid="{8236CB79-33CF-48B7-9CD5-2B854A8AE328}"/>
    <cellStyle name="Normal 5 3 3 2 5 5" xfId="18313" xr:uid="{10C4AEFB-E5E3-4AC6-B528-6D0B6464077E}"/>
    <cellStyle name="Normal 5 3 3 2 5 6" xfId="26753" xr:uid="{FF50F992-2224-43D0-AC92-22E4EF30F064}"/>
    <cellStyle name="Normal 5 3 3 2 6" xfId="1746" xr:uid="{00000000-0005-0000-0000-0000BB190000}"/>
    <cellStyle name="Normal 5 3 3 2 6 2" xfId="3976" xr:uid="{00000000-0005-0000-0000-0000BC190000}"/>
    <cellStyle name="Normal 5 3 3 2 6 2 2" xfId="8198" xr:uid="{00000000-0005-0000-0000-0000BD190000}"/>
    <cellStyle name="Normal 5 3 3 2 6 2 2 2" xfId="16648" xr:uid="{473A28C6-8DF3-4821-8E68-1B8B79BBB722}"/>
    <cellStyle name="Normal 5 3 3 2 6 2 2 3" xfId="25088" xr:uid="{999BD0E0-836C-4C43-8722-965FD4410255}"/>
    <cellStyle name="Normal 5 3 3 2 6 2 2 4" xfId="33528" xr:uid="{2B38FC19-A996-478E-A145-C6F83A6E5772}"/>
    <cellStyle name="Normal 5 3 3 2 6 2 3" xfId="12430" xr:uid="{EE072D77-1013-4C59-9801-2CA124CE7ADF}"/>
    <cellStyle name="Normal 5 3 3 2 6 2 4" xfId="20871" xr:uid="{612EBD4F-3D03-43C6-AE46-0569F6CD83DD}"/>
    <cellStyle name="Normal 5 3 3 2 6 2 5" xfId="29311" xr:uid="{3C6150F0-9249-4EB1-BF68-746F3D63BE0F}"/>
    <cellStyle name="Normal 5 3 3 2 6 3" xfId="6053" xr:uid="{00000000-0005-0000-0000-0000BE190000}"/>
    <cellStyle name="Normal 5 3 3 2 6 3 2" xfId="14503" xr:uid="{767C5C56-8956-43B5-8322-19DF274F5F3A}"/>
    <cellStyle name="Normal 5 3 3 2 6 3 3" xfId="22943" xr:uid="{1FA553A0-1FC2-4BEB-92E3-F5FF2ED20331}"/>
    <cellStyle name="Normal 5 3 3 2 6 3 4" xfId="31383" xr:uid="{A4E6C9EB-08FA-4EAB-8452-F1060752E900}"/>
    <cellStyle name="Normal 5 3 3 2 6 4" xfId="10285" xr:uid="{B80FF140-637E-4878-BEAD-9817C6D40A02}"/>
    <cellStyle name="Normal 5 3 3 2 6 5" xfId="18726" xr:uid="{0F3267DC-6E52-4ED6-A7AB-61F071CB5F98}"/>
    <cellStyle name="Normal 5 3 3 2 6 6" xfId="27166" xr:uid="{7AEF8593-0871-475A-8612-16361F0AD52B}"/>
    <cellStyle name="Normal 5 3 3 2 7" xfId="2160" xr:uid="{00000000-0005-0000-0000-0000BF190000}"/>
    <cellStyle name="Normal 5 3 3 2 7 2" xfId="4389" xr:uid="{00000000-0005-0000-0000-0000C0190000}"/>
    <cellStyle name="Normal 5 3 3 2 7 2 2" xfId="8611" xr:uid="{00000000-0005-0000-0000-0000C1190000}"/>
    <cellStyle name="Normal 5 3 3 2 7 2 2 2" xfId="17061" xr:uid="{F907E22D-FED5-4CE6-91BB-210471EBF10F}"/>
    <cellStyle name="Normal 5 3 3 2 7 2 2 3" xfId="25501" xr:uid="{6DB2BDA6-D743-4276-9417-46B8C369A83C}"/>
    <cellStyle name="Normal 5 3 3 2 7 2 2 4" xfId="33941" xr:uid="{B45E037B-99D9-4CF1-B451-B64F687C37A3}"/>
    <cellStyle name="Normal 5 3 3 2 7 2 3" xfId="12843" xr:uid="{5AC2E6ED-6206-4A49-99AE-EC6539BEB682}"/>
    <cellStyle name="Normal 5 3 3 2 7 2 4" xfId="21284" xr:uid="{AEE83C95-133C-49DB-A064-5AB4AF9DB38A}"/>
    <cellStyle name="Normal 5 3 3 2 7 2 5" xfId="29724" xr:uid="{88B2F5FA-E0F7-438F-8D08-A5440E46CE6B}"/>
    <cellStyle name="Normal 5 3 3 2 7 3" xfId="6466" xr:uid="{00000000-0005-0000-0000-0000C2190000}"/>
    <cellStyle name="Normal 5 3 3 2 7 3 2" xfId="14916" xr:uid="{6FA4C843-87C1-4B88-960F-6577F3726746}"/>
    <cellStyle name="Normal 5 3 3 2 7 3 3" xfId="23356" xr:uid="{7DA09C55-1C4C-4BAF-BE5C-56F136F846DB}"/>
    <cellStyle name="Normal 5 3 3 2 7 3 4" xfId="31796" xr:uid="{88977DCB-B832-4D9A-9695-7E573C9A822E}"/>
    <cellStyle name="Normal 5 3 3 2 7 4" xfId="10698" xr:uid="{A3404D78-F661-4AD3-9D8D-A2B5734B1C50}"/>
    <cellStyle name="Normal 5 3 3 2 7 5" xfId="19139" xr:uid="{F6FF0555-68BF-44ED-90DE-0CF173361669}"/>
    <cellStyle name="Normal 5 3 3 2 7 6" xfId="27579" xr:uid="{B74F2FD0-A227-4945-8BC4-75C53DC6E0B3}"/>
    <cellStyle name="Normal 5 3 3 2 8" xfId="2596" xr:uid="{00000000-0005-0000-0000-0000C3190000}"/>
    <cellStyle name="Normal 5 3 3 2 8 2" xfId="6879" xr:uid="{00000000-0005-0000-0000-0000C4190000}"/>
    <cellStyle name="Normal 5 3 3 2 8 2 2" xfId="15329" xr:uid="{3A8D3829-7C93-4948-912A-7D9EB9D5FD08}"/>
    <cellStyle name="Normal 5 3 3 2 8 2 3" xfId="23769" xr:uid="{DF9E8F5C-0255-44A1-B7E2-2151A380D6CB}"/>
    <cellStyle name="Normal 5 3 3 2 8 2 4" xfId="32209" xr:uid="{7A6FAD37-C430-4EBE-BB83-18CC24E3E5C8}"/>
    <cellStyle name="Normal 5 3 3 2 8 3" xfId="11111" xr:uid="{6AC96CCA-9BB8-4649-9804-9EA952146026}"/>
    <cellStyle name="Normal 5 3 3 2 8 4" xfId="19552" xr:uid="{C53E8FFB-1023-4EE1-B951-22881B2313D2}"/>
    <cellStyle name="Normal 5 3 3 2 8 5" xfId="27992" xr:uid="{037D1259-B8D9-4CBE-AACB-7396CA2C1AF2}"/>
    <cellStyle name="Normal 5 3 3 2 9" xfId="4814" xr:uid="{00000000-0005-0000-0000-0000C5190000}"/>
    <cellStyle name="Normal 5 3 3 2 9 2" xfId="13264" xr:uid="{09979CD9-6A32-4394-8B24-E603C0205DF4}"/>
    <cellStyle name="Normal 5 3 3 2 9 3" xfId="21704" xr:uid="{3A0DCDF6-F0EA-4E52-8712-E486EEFC1324}"/>
    <cellStyle name="Normal 5 3 3 2 9 4" xfId="30144" xr:uid="{57421526-1A37-4722-81A1-05935DB4E031}"/>
    <cellStyle name="Normal 5 3 3 3" xfId="446" xr:uid="{00000000-0005-0000-0000-0000C6190000}"/>
    <cellStyle name="Normal 5 3 3 3 10" xfId="17491" xr:uid="{292CDBFF-1C4E-4626-94B6-3E3A3E12FB85}"/>
    <cellStyle name="Normal 5 3 3 3 11" xfId="25931" xr:uid="{379735B9-822D-40B2-80E7-4BC656475E1A}"/>
    <cellStyle name="Normal 5 3 3 3 2" xfId="447" xr:uid="{00000000-0005-0000-0000-0000C7190000}"/>
    <cellStyle name="Normal 5 3 3 3 2 10" xfId="25932" xr:uid="{232366D6-00B2-4BBB-8EC5-A32D30336DF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2 2 2" xfId="15827" xr:uid="{E8D4E0B6-0885-4B54-9199-00DFE5B19F1A}"/>
    <cellStyle name="Normal 5 3 3 3 2 2 2 2 3" xfId="24267" xr:uid="{FCB5D7C6-637B-4733-868C-51844136B09E}"/>
    <cellStyle name="Normal 5 3 3 3 2 2 2 2 4" xfId="32707" xr:uid="{D16504E0-254E-403D-80A1-0848696D54C3}"/>
    <cellStyle name="Normal 5 3 3 3 2 2 2 3" xfId="11609" xr:uid="{D113E290-FB1C-48E7-9180-586C833E645B}"/>
    <cellStyle name="Normal 5 3 3 3 2 2 2 4" xfId="20050" xr:uid="{6F84D4EF-CA22-42D1-AD9D-5B728C9EA567}"/>
    <cellStyle name="Normal 5 3 3 3 2 2 2 5" xfId="28490" xr:uid="{BBC6F4C0-6F1F-4550-9813-5B18641C09F9}"/>
    <cellStyle name="Normal 5 3 3 3 2 2 3" xfId="5232" xr:uid="{00000000-0005-0000-0000-0000CB190000}"/>
    <cellStyle name="Normal 5 3 3 3 2 2 3 2" xfId="13682" xr:uid="{496FB47D-2EB9-436D-9E97-117EAB566024}"/>
    <cellStyle name="Normal 5 3 3 3 2 2 3 3" xfId="22122" xr:uid="{67BC61B2-3454-499A-987E-D8413013E771}"/>
    <cellStyle name="Normal 5 3 3 3 2 2 3 4" xfId="30562" xr:uid="{A689531C-5092-4CE1-85F2-A9AB5036D3D4}"/>
    <cellStyle name="Normal 5 3 3 3 2 2 4" xfId="9464" xr:uid="{38867C46-09B6-489C-8882-89784E528239}"/>
    <cellStyle name="Normal 5 3 3 3 2 2 5" xfId="17905" xr:uid="{F8EF0966-6E94-4862-A3CE-32699EA2E820}"/>
    <cellStyle name="Normal 5 3 3 3 2 2 6" xfId="26345" xr:uid="{335707F5-0717-4362-A822-983055BAD789}"/>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2 2 2" xfId="16240" xr:uid="{7B76BD24-6C1D-42DB-A050-1D0ECE858602}"/>
    <cellStyle name="Normal 5 3 3 3 2 3 2 2 3" xfId="24680" xr:uid="{4B9DB40E-6EA0-4C3E-98C6-57E774CE5717}"/>
    <cellStyle name="Normal 5 3 3 3 2 3 2 2 4" xfId="33120" xr:uid="{90328632-D43D-4EE3-907F-758A62FFF138}"/>
    <cellStyle name="Normal 5 3 3 3 2 3 2 3" xfId="12022" xr:uid="{E0CB6745-C858-4FC6-A2F2-06796FB51291}"/>
    <cellStyle name="Normal 5 3 3 3 2 3 2 4" xfId="20463" xr:uid="{92993DFD-571D-48BB-BFF2-51E70EB9A988}"/>
    <cellStyle name="Normal 5 3 3 3 2 3 2 5" xfId="28903" xr:uid="{5CC7BC26-7B04-4754-9451-C0AA1A46A0AC}"/>
    <cellStyle name="Normal 5 3 3 3 2 3 3" xfId="5645" xr:uid="{00000000-0005-0000-0000-0000CF190000}"/>
    <cellStyle name="Normal 5 3 3 3 2 3 3 2" xfId="14095" xr:uid="{375CEE19-571A-40D0-813B-FA1FC40122A2}"/>
    <cellStyle name="Normal 5 3 3 3 2 3 3 3" xfId="22535" xr:uid="{06B33160-B3CA-44B0-84C9-68340A54BD5A}"/>
    <cellStyle name="Normal 5 3 3 3 2 3 3 4" xfId="30975" xr:uid="{0DBAA9FF-9579-449B-B3A8-0F382C740B1E}"/>
    <cellStyle name="Normal 5 3 3 3 2 3 4" xfId="9877" xr:uid="{EB099B40-E025-4812-91BE-562DBAC26444}"/>
    <cellStyle name="Normal 5 3 3 3 2 3 5" xfId="18318" xr:uid="{60177C9A-EDFE-405E-9CC5-6BEACC77D8F7}"/>
    <cellStyle name="Normal 5 3 3 3 2 3 6" xfId="26758" xr:uid="{D20C7AE7-7816-491F-BE24-7A4A02F700D1}"/>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2 2 2" xfId="16653" xr:uid="{446F8056-8685-4438-9BFF-3C5BB1088D41}"/>
    <cellStyle name="Normal 5 3 3 3 2 4 2 2 3" xfId="25093" xr:uid="{1564171D-7C4B-4988-ACF1-D8EB028BA0AE}"/>
    <cellStyle name="Normal 5 3 3 3 2 4 2 2 4" xfId="33533" xr:uid="{539C30EA-53F9-4688-B3E8-C968B84935E8}"/>
    <cellStyle name="Normal 5 3 3 3 2 4 2 3" xfId="12435" xr:uid="{1310F090-C0CC-49B9-AC78-7D41CAC0F64E}"/>
    <cellStyle name="Normal 5 3 3 3 2 4 2 4" xfId="20876" xr:uid="{481A0E7D-3354-4079-BA11-8478070B6D77}"/>
    <cellStyle name="Normal 5 3 3 3 2 4 2 5" xfId="29316" xr:uid="{50CA01C7-BDE9-4432-ADB3-9BED5048BCA1}"/>
    <cellStyle name="Normal 5 3 3 3 2 4 3" xfId="6058" xr:uid="{00000000-0005-0000-0000-0000D3190000}"/>
    <cellStyle name="Normal 5 3 3 3 2 4 3 2" xfId="14508" xr:uid="{032F0B5C-05D6-43AC-9DB6-17A5CD2CD7BD}"/>
    <cellStyle name="Normal 5 3 3 3 2 4 3 3" xfId="22948" xr:uid="{2FD3F7BA-1BAE-4047-B49D-B8EF6F3B8B74}"/>
    <cellStyle name="Normal 5 3 3 3 2 4 3 4" xfId="31388" xr:uid="{ADA7E434-DB06-422F-B09F-192D38C625C2}"/>
    <cellStyle name="Normal 5 3 3 3 2 4 4" xfId="10290" xr:uid="{1A46B1D9-1837-4F56-893B-865DD463D781}"/>
    <cellStyle name="Normal 5 3 3 3 2 4 5" xfId="18731" xr:uid="{34CDA633-11A0-440D-A71D-9C58BCF40312}"/>
    <cellStyle name="Normal 5 3 3 3 2 4 6" xfId="27171" xr:uid="{8F955126-4577-4A47-AE34-D9BFDCF026D9}"/>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2 2 2" xfId="17066" xr:uid="{61FEEAE3-1CAC-4ED1-B66B-A56D2CB39D75}"/>
    <cellStyle name="Normal 5 3 3 3 2 5 2 2 3" xfId="25506" xr:uid="{530C4782-826A-4A5E-838C-DB268F37F110}"/>
    <cellStyle name="Normal 5 3 3 3 2 5 2 2 4" xfId="33946" xr:uid="{979F4CDF-F705-4869-AAD7-D839FAB1C16A}"/>
    <cellStyle name="Normal 5 3 3 3 2 5 2 3" xfId="12848" xr:uid="{6F0B2A1C-2196-4F9E-9A26-205927E847A1}"/>
    <cellStyle name="Normal 5 3 3 3 2 5 2 4" xfId="21289" xr:uid="{7BFD5E1E-3C25-4346-AFC0-BE776870AC2E}"/>
    <cellStyle name="Normal 5 3 3 3 2 5 2 5" xfId="29729" xr:uid="{F752DD2E-A079-4686-9808-2518322BCDAA}"/>
    <cellStyle name="Normal 5 3 3 3 2 5 3" xfId="6471" xr:uid="{00000000-0005-0000-0000-0000D7190000}"/>
    <cellStyle name="Normal 5 3 3 3 2 5 3 2" xfId="14921" xr:uid="{4DD76897-61C7-42E3-BA6A-45644F8B5A44}"/>
    <cellStyle name="Normal 5 3 3 3 2 5 3 3" xfId="23361" xr:uid="{DC44AB0A-9ACD-4958-9BC0-78275A0EB1B7}"/>
    <cellStyle name="Normal 5 3 3 3 2 5 3 4" xfId="31801" xr:uid="{37FEAF76-6BB5-4262-AF65-94663858325A}"/>
    <cellStyle name="Normal 5 3 3 3 2 5 4" xfId="10703" xr:uid="{D830FF23-FF8C-4B0D-B6A2-EA3967B25290}"/>
    <cellStyle name="Normal 5 3 3 3 2 5 5" xfId="19144" xr:uid="{A771CECE-AA6C-47D6-86B7-93490F9B0F18}"/>
    <cellStyle name="Normal 5 3 3 3 2 5 6" xfId="27584" xr:uid="{68FA1044-D0E6-496B-90EC-97AD380BD366}"/>
    <cellStyle name="Normal 5 3 3 3 2 6" xfId="2601" xr:uid="{00000000-0005-0000-0000-0000D8190000}"/>
    <cellStyle name="Normal 5 3 3 3 2 6 2" xfId="6884" xr:uid="{00000000-0005-0000-0000-0000D9190000}"/>
    <cellStyle name="Normal 5 3 3 3 2 6 2 2" xfId="15334" xr:uid="{590C2CE3-3FC8-40F3-838E-4C80ABB071A5}"/>
    <cellStyle name="Normal 5 3 3 3 2 6 2 3" xfId="23774" xr:uid="{61E7076B-1759-4038-BC29-0CFE576032B2}"/>
    <cellStyle name="Normal 5 3 3 3 2 6 2 4" xfId="32214" xr:uid="{1CFAD02B-0FF7-427D-B3FC-4AB6AC57471B}"/>
    <cellStyle name="Normal 5 3 3 3 2 6 3" xfId="11116" xr:uid="{7B8B9641-0BB8-49DE-AC9D-019F13832463}"/>
    <cellStyle name="Normal 5 3 3 3 2 6 4" xfId="19557" xr:uid="{F21E5D91-F6C1-49A1-A3E4-4827F9AAE2E4}"/>
    <cellStyle name="Normal 5 3 3 3 2 6 5" xfId="27997" xr:uid="{557890B2-A571-4034-939D-C552F64A7A32}"/>
    <cellStyle name="Normal 5 3 3 3 2 7" xfId="4819" xr:uid="{00000000-0005-0000-0000-0000DA190000}"/>
    <cellStyle name="Normal 5 3 3 3 2 7 2" xfId="13269" xr:uid="{5C2C6C9F-0C84-4217-B76C-8B20AAEC62FA}"/>
    <cellStyle name="Normal 5 3 3 3 2 7 3" xfId="21709" xr:uid="{4C8514D7-0508-4659-AEEA-1478D72AD8BC}"/>
    <cellStyle name="Normal 5 3 3 3 2 7 4" xfId="30149" xr:uid="{59C9443D-02DF-475C-9A1C-819C991FF1FD}"/>
    <cellStyle name="Normal 5 3 3 3 2 8" xfId="9051" xr:uid="{6FC1CBE8-3945-402D-8CA6-A78560881440}"/>
    <cellStyle name="Normal 5 3 3 3 2 9" xfId="17492" xr:uid="{E4A40E72-9A1D-4F61-A0AA-DEE2A1E1A911}"/>
    <cellStyle name="Normal 5 3 3 3 3" xfId="920" xr:uid="{00000000-0005-0000-0000-0000DB190000}"/>
    <cellStyle name="Normal 5 3 3 3 3 2" xfId="3154" xr:uid="{00000000-0005-0000-0000-0000DC190000}"/>
    <cellStyle name="Normal 5 3 3 3 3 2 2" xfId="7376" xr:uid="{00000000-0005-0000-0000-0000DD190000}"/>
    <cellStyle name="Normal 5 3 3 3 3 2 2 2" xfId="15826" xr:uid="{CDC685F3-A88E-49C8-BB7A-09E13B330661}"/>
    <cellStyle name="Normal 5 3 3 3 3 2 2 3" xfId="24266" xr:uid="{D643FD84-1DB1-42CD-B8BB-59B8FB0CD421}"/>
    <cellStyle name="Normal 5 3 3 3 3 2 2 4" xfId="32706" xr:uid="{F15744AA-2739-4798-B878-DAF2B7C969C9}"/>
    <cellStyle name="Normal 5 3 3 3 3 2 3" xfId="11608" xr:uid="{F2388359-D88D-4FFF-8E38-F5A0D7E03C10}"/>
    <cellStyle name="Normal 5 3 3 3 3 2 4" xfId="20049" xr:uid="{25B591A8-41DC-4D68-BF91-9F9ED22C3548}"/>
    <cellStyle name="Normal 5 3 3 3 3 2 5" xfId="28489" xr:uid="{338F1277-EE65-4730-AD3A-BA6D65C6C394}"/>
    <cellStyle name="Normal 5 3 3 3 3 3" xfId="5231" xr:uid="{00000000-0005-0000-0000-0000DE190000}"/>
    <cellStyle name="Normal 5 3 3 3 3 3 2" xfId="13681" xr:uid="{408EF73E-3990-4D96-9D49-24A848D6A9C9}"/>
    <cellStyle name="Normal 5 3 3 3 3 3 3" xfId="22121" xr:uid="{00997520-474F-4C3E-A4CB-B06A6954B41C}"/>
    <cellStyle name="Normal 5 3 3 3 3 3 4" xfId="30561" xr:uid="{C186405F-C441-448B-9C00-8DB9BEC010D8}"/>
    <cellStyle name="Normal 5 3 3 3 3 4" xfId="9463" xr:uid="{4A5EBAF0-F142-4EB5-BF0A-0ECB880D0EC7}"/>
    <cellStyle name="Normal 5 3 3 3 3 5" xfId="17904" xr:uid="{746D0BF8-1892-4827-A001-9BF4D9B47FB4}"/>
    <cellStyle name="Normal 5 3 3 3 3 6" xfId="26344" xr:uid="{096EB461-6518-404D-A882-825598CB9BC3}"/>
    <cellStyle name="Normal 5 3 3 3 4" xfId="1337" xr:uid="{00000000-0005-0000-0000-0000DF190000}"/>
    <cellStyle name="Normal 5 3 3 3 4 2" xfId="3567" xr:uid="{00000000-0005-0000-0000-0000E0190000}"/>
    <cellStyle name="Normal 5 3 3 3 4 2 2" xfId="7789" xr:uid="{00000000-0005-0000-0000-0000E1190000}"/>
    <cellStyle name="Normal 5 3 3 3 4 2 2 2" xfId="16239" xr:uid="{A4FBB1E3-6BCA-4EEF-86FB-FCE184291019}"/>
    <cellStyle name="Normal 5 3 3 3 4 2 2 3" xfId="24679" xr:uid="{B579C10C-2EB2-4874-920D-B7D04B89B464}"/>
    <cellStyle name="Normal 5 3 3 3 4 2 2 4" xfId="33119" xr:uid="{568BE562-4D42-409E-920D-1C0D282F654B}"/>
    <cellStyle name="Normal 5 3 3 3 4 2 3" xfId="12021" xr:uid="{E500ED40-666E-4CAF-8AB8-95ECB97B075F}"/>
    <cellStyle name="Normal 5 3 3 3 4 2 4" xfId="20462" xr:uid="{75AB217A-AAE0-4220-9335-DACC816E0F68}"/>
    <cellStyle name="Normal 5 3 3 3 4 2 5" xfId="28902" xr:uid="{C28F10CC-1B0C-445C-9D2A-BA9457D93094}"/>
    <cellStyle name="Normal 5 3 3 3 4 3" xfId="5644" xr:uid="{00000000-0005-0000-0000-0000E2190000}"/>
    <cellStyle name="Normal 5 3 3 3 4 3 2" xfId="14094" xr:uid="{D4CAF05C-9F3E-4664-B1D8-5B0638944362}"/>
    <cellStyle name="Normal 5 3 3 3 4 3 3" xfId="22534" xr:uid="{BEDF7A92-1DE9-44AB-9CCE-F9879F530CE8}"/>
    <cellStyle name="Normal 5 3 3 3 4 3 4" xfId="30974" xr:uid="{6AF6D26C-E192-4083-9559-75C69C01E470}"/>
    <cellStyle name="Normal 5 3 3 3 4 4" xfId="9876" xr:uid="{B3571271-CE34-4DDD-8585-101E6792DF0C}"/>
    <cellStyle name="Normal 5 3 3 3 4 5" xfId="18317" xr:uid="{C3B8809D-79F7-467B-8E98-88B8AB3833F8}"/>
    <cellStyle name="Normal 5 3 3 3 4 6" xfId="26757" xr:uid="{CD8DFF56-C335-487B-89A5-B523E9288AC9}"/>
    <cellStyle name="Normal 5 3 3 3 5" xfId="1750" xr:uid="{00000000-0005-0000-0000-0000E3190000}"/>
    <cellStyle name="Normal 5 3 3 3 5 2" xfId="3980" xr:uid="{00000000-0005-0000-0000-0000E4190000}"/>
    <cellStyle name="Normal 5 3 3 3 5 2 2" xfId="8202" xr:uid="{00000000-0005-0000-0000-0000E5190000}"/>
    <cellStyle name="Normal 5 3 3 3 5 2 2 2" xfId="16652" xr:uid="{97A9890C-166A-4DEB-B082-D64481A542BB}"/>
    <cellStyle name="Normal 5 3 3 3 5 2 2 3" xfId="25092" xr:uid="{E53178EB-684B-4B4F-A604-D333F0A99C20}"/>
    <cellStyle name="Normal 5 3 3 3 5 2 2 4" xfId="33532" xr:uid="{BF3E9D03-11B6-40EF-A3C8-D12A64556720}"/>
    <cellStyle name="Normal 5 3 3 3 5 2 3" xfId="12434" xr:uid="{3CF6F237-B000-41F4-9150-EC2D157AA53D}"/>
    <cellStyle name="Normal 5 3 3 3 5 2 4" xfId="20875" xr:uid="{EB65747A-25A6-48B8-BAC4-DBDD9C47C138}"/>
    <cellStyle name="Normal 5 3 3 3 5 2 5" xfId="29315" xr:uid="{CAD3C77B-9E30-44B4-B7D7-6B31D5B343F7}"/>
    <cellStyle name="Normal 5 3 3 3 5 3" xfId="6057" xr:uid="{00000000-0005-0000-0000-0000E6190000}"/>
    <cellStyle name="Normal 5 3 3 3 5 3 2" xfId="14507" xr:uid="{BE2D5AEB-80B2-4FF3-8271-FE01A4B8F838}"/>
    <cellStyle name="Normal 5 3 3 3 5 3 3" xfId="22947" xr:uid="{916DFA07-D920-4299-B04D-34CA44D84154}"/>
    <cellStyle name="Normal 5 3 3 3 5 3 4" xfId="31387" xr:uid="{0FF94BB3-A158-4B20-831E-F75511F0D51D}"/>
    <cellStyle name="Normal 5 3 3 3 5 4" xfId="10289" xr:uid="{93611381-B722-4675-A85A-702934ACF089}"/>
    <cellStyle name="Normal 5 3 3 3 5 5" xfId="18730" xr:uid="{91F0F359-B8A7-4D09-AB43-D0C3547A6F03}"/>
    <cellStyle name="Normal 5 3 3 3 5 6" xfId="27170" xr:uid="{15FDF602-8853-4A52-8816-C5321B6E7B1A}"/>
    <cellStyle name="Normal 5 3 3 3 6" xfId="2164" xr:uid="{00000000-0005-0000-0000-0000E7190000}"/>
    <cellStyle name="Normal 5 3 3 3 6 2" xfId="4393" xr:uid="{00000000-0005-0000-0000-0000E8190000}"/>
    <cellStyle name="Normal 5 3 3 3 6 2 2" xfId="8615" xr:uid="{00000000-0005-0000-0000-0000E9190000}"/>
    <cellStyle name="Normal 5 3 3 3 6 2 2 2" xfId="17065" xr:uid="{F234A217-EA81-4A5A-BDE7-D1E096C40168}"/>
    <cellStyle name="Normal 5 3 3 3 6 2 2 3" xfId="25505" xr:uid="{BB5E8318-DAB3-404F-B872-B008325E7AEA}"/>
    <cellStyle name="Normal 5 3 3 3 6 2 2 4" xfId="33945" xr:uid="{57DBB465-16C4-4AE0-909D-1573F2FE7EB1}"/>
    <cellStyle name="Normal 5 3 3 3 6 2 3" xfId="12847" xr:uid="{93CE17C8-7B59-4C20-80B5-3BCD424FDE5E}"/>
    <cellStyle name="Normal 5 3 3 3 6 2 4" xfId="21288" xr:uid="{338CCDFB-05FE-4A52-882C-2150F7EE4C0B}"/>
    <cellStyle name="Normal 5 3 3 3 6 2 5" xfId="29728" xr:uid="{83D4B901-FBF5-4024-82A7-5F355E5EEDD8}"/>
    <cellStyle name="Normal 5 3 3 3 6 3" xfId="6470" xr:uid="{00000000-0005-0000-0000-0000EA190000}"/>
    <cellStyle name="Normal 5 3 3 3 6 3 2" xfId="14920" xr:uid="{7B172CC3-717D-4A11-B048-54BCBE795A00}"/>
    <cellStyle name="Normal 5 3 3 3 6 3 3" xfId="23360" xr:uid="{82AE5A28-B657-4822-B481-7D271F09DD0E}"/>
    <cellStyle name="Normal 5 3 3 3 6 3 4" xfId="31800" xr:uid="{952E6487-6284-4376-84F0-A5BDFE816856}"/>
    <cellStyle name="Normal 5 3 3 3 6 4" xfId="10702" xr:uid="{423DF93F-5760-4143-8996-37B013018033}"/>
    <cellStyle name="Normal 5 3 3 3 6 5" xfId="19143" xr:uid="{6F95540D-1C3F-4D34-B8C8-F66FCE3B444E}"/>
    <cellStyle name="Normal 5 3 3 3 6 6" xfId="27583" xr:uid="{FB3332EE-FADD-4FB7-89C5-3A1842730C91}"/>
    <cellStyle name="Normal 5 3 3 3 7" xfId="2600" xr:uid="{00000000-0005-0000-0000-0000EB190000}"/>
    <cellStyle name="Normal 5 3 3 3 7 2" xfId="6883" xr:uid="{00000000-0005-0000-0000-0000EC190000}"/>
    <cellStyle name="Normal 5 3 3 3 7 2 2" xfId="15333" xr:uid="{C4441D65-D057-4802-B1FB-081156AD0CB9}"/>
    <cellStyle name="Normal 5 3 3 3 7 2 3" xfId="23773" xr:uid="{8C2721B2-4BD5-4781-A619-600F1A370B78}"/>
    <cellStyle name="Normal 5 3 3 3 7 2 4" xfId="32213" xr:uid="{A194E274-A41B-4E0F-ACA9-81D8D4D36DE8}"/>
    <cellStyle name="Normal 5 3 3 3 7 3" xfId="11115" xr:uid="{5F831944-C120-4D63-9ED6-A484E5B708FF}"/>
    <cellStyle name="Normal 5 3 3 3 7 4" xfId="19556" xr:uid="{6D3E5B36-A76E-41F9-BDB1-3603408F1949}"/>
    <cellStyle name="Normal 5 3 3 3 7 5" xfId="27996" xr:uid="{2A6C32F2-82C9-45E7-9426-BFC11C5247BE}"/>
    <cellStyle name="Normal 5 3 3 3 8" xfId="4818" xr:uid="{00000000-0005-0000-0000-0000ED190000}"/>
    <cellStyle name="Normal 5 3 3 3 8 2" xfId="13268" xr:uid="{31741597-F79B-45D1-97D8-FAF8DD6D13CF}"/>
    <cellStyle name="Normal 5 3 3 3 8 3" xfId="21708" xr:uid="{0E83BA04-504B-42A1-AA6C-E38FBBEC9773}"/>
    <cellStyle name="Normal 5 3 3 3 8 4" xfId="30148" xr:uid="{5B7D1158-1DBC-4FFE-AC51-0D6180096BB1}"/>
    <cellStyle name="Normal 5 3 3 3 9" xfId="9050" xr:uid="{D3C6D698-C820-4932-AEB2-67E61EB269F1}"/>
    <cellStyle name="Normal 5 3 3 4" xfId="448" xr:uid="{00000000-0005-0000-0000-0000EE190000}"/>
    <cellStyle name="Normal 5 3 3 4 10" xfId="25933" xr:uid="{AFB6B757-8632-43E3-93CC-19DF96164704}"/>
    <cellStyle name="Normal 5 3 3 4 2" xfId="922" xr:uid="{00000000-0005-0000-0000-0000EF190000}"/>
    <cellStyle name="Normal 5 3 3 4 2 2" xfId="3156" xr:uid="{00000000-0005-0000-0000-0000F0190000}"/>
    <cellStyle name="Normal 5 3 3 4 2 2 2" xfId="7378" xr:uid="{00000000-0005-0000-0000-0000F1190000}"/>
    <cellStyle name="Normal 5 3 3 4 2 2 2 2" xfId="15828" xr:uid="{C5EA329C-4655-4FB8-941C-AB1D0A4ECB19}"/>
    <cellStyle name="Normal 5 3 3 4 2 2 2 3" xfId="24268" xr:uid="{8B11581C-5BBE-4862-985F-C89A8F7697D1}"/>
    <cellStyle name="Normal 5 3 3 4 2 2 2 4" xfId="32708" xr:uid="{6E1C1410-4A77-4B4F-9622-56538D23B676}"/>
    <cellStyle name="Normal 5 3 3 4 2 2 3" xfId="11610" xr:uid="{88CCC9C3-0C1D-491F-9678-A1928A6B6C1D}"/>
    <cellStyle name="Normal 5 3 3 4 2 2 4" xfId="20051" xr:uid="{D152D863-F0C7-4DDB-8A80-90CA095AABE5}"/>
    <cellStyle name="Normal 5 3 3 4 2 2 5" xfId="28491" xr:uid="{4ADF7A55-4AF0-4AF7-8702-6E5CDF0C47A1}"/>
    <cellStyle name="Normal 5 3 3 4 2 3" xfId="5233" xr:uid="{00000000-0005-0000-0000-0000F2190000}"/>
    <cellStyle name="Normal 5 3 3 4 2 3 2" xfId="13683" xr:uid="{04096062-6BB0-4026-A459-EA69A6D56EDE}"/>
    <cellStyle name="Normal 5 3 3 4 2 3 3" xfId="22123" xr:uid="{7092F7E6-2C2E-486E-A51A-D1E563CC4261}"/>
    <cellStyle name="Normal 5 3 3 4 2 3 4" xfId="30563" xr:uid="{BBBECCA6-5016-4CA2-9A72-79E253937ACA}"/>
    <cellStyle name="Normal 5 3 3 4 2 4" xfId="9465" xr:uid="{4CAF1F5D-FD27-4951-8593-2ADEA51112D6}"/>
    <cellStyle name="Normal 5 3 3 4 2 5" xfId="17906" xr:uid="{29446169-1957-4DFE-A94B-659ED8D9243E}"/>
    <cellStyle name="Normal 5 3 3 4 2 6" xfId="26346" xr:uid="{C555BE4D-4C37-4797-8447-A8ABCD5DD057}"/>
    <cellStyle name="Normal 5 3 3 4 3" xfId="1339" xr:uid="{00000000-0005-0000-0000-0000F3190000}"/>
    <cellStyle name="Normal 5 3 3 4 3 2" xfId="3569" xr:uid="{00000000-0005-0000-0000-0000F4190000}"/>
    <cellStyle name="Normal 5 3 3 4 3 2 2" xfId="7791" xr:uid="{00000000-0005-0000-0000-0000F5190000}"/>
    <cellStyle name="Normal 5 3 3 4 3 2 2 2" xfId="16241" xr:uid="{C64F0E40-4ABD-41F6-85FD-25F3E297CB9B}"/>
    <cellStyle name="Normal 5 3 3 4 3 2 2 3" xfId="24681" xr:uid="{EEEFBE42-9203-44D2-9230-4636C4E1DA67}"/>
    <cellStyle name="Normal 5 3 3 4 3 2 2 4" xfId="33121" xr:uid="{2B3F409E-360D-4813-931C-312E16858539}"/>
    <cellStyle name="Normal 5 3 3 4 3 2 3" xfId="12023" xr:uid="{96B91802-28F2-464F-B8ED-097C00C206B8}"/>
    <cellStyle name="Normal 5 3 3 4 3 2 4" xfId="20464" xr:uid="{8A19372F-5BD2-4E9E-B1D0-ACE6EDFDA386}"/>
    <cellStyle name="Normal 5 3 3 4 3 2 5" xfId="28904" xr:uid="{51926652-2301-4B3F-AE94-277A4116BACC}"/>
    <cellStyle name="Normal 5 3 3 4 3 3" xfId="5646" xr:uid="{00000000-0005-0000-0000-0000F6190000}"/>
    <cellStyle name="Normal 5 3 3 4 3 3 2" xfId="14096" xr:uid="{AC6C3773-DAB1-44EA-8A56-A4957D988907}"/>
    <cellStyle name="Normal 5 3 3 4 3 3 3" xfId="22536" xr:uid="{D120C617-72DC-4028-9694-1DF7AD57312A}"/>
    <cellStyle name="Normal 5 3 3 4 3 3 4" xfId="30976" xr:uid="{0F7BF299-6A9E-418B-BC74-C189549DF1F2}"/>
    <cellStyle name="Normal 5 3 3 4 3 4" xfId="9878" xr:uid="{05AF53AE-C546-4524-B480-87C993B857F7}"/>
    <cellStyle name="Normal 5 3 3 4 3 5" xfId="18319" xr:uid="{AA43812D-21A5-4220-AC67-91A50BCC230C}"/>
    <cellStyle name="Normal 5 3 3 4 3 6" xfId="26759" xr:uid="{EB35A338-FA25-40E1-9BCB-C95C42D2E1BB}"/>
    <cellStyle name="Normal 5 3 3 4 4" xfId="1752" xr:uid="{00000000-0005-0000-0000-0000F7190000}"/>
    <cellStyle name="Normal 5 3 3 4 4 2" xfId="3982" xr:uid="{00000000-0005-0000-0000-0000F8190000}"/>
    <cellStyle name="Normal 5 3 3 4 4 2 2" xfId="8204" xr:uid="{00000000-0005-0000-0000-0000F9190000}"/>
    <cellStyle name="Normal 5 3 3 4 4 2 2 2" xfId="16654" xr:uid="{E57396AE-E66B-4768-B325-B03F5A60CBCD}"/>
    <cellStyle name="Normal 5 3 3 4 4 2 2 3" xfId="25094" xr:uid="{90A8BF0B-F78A-41EC-AB84-0935FF18AFA7}"/>
    <cellStyle name="Normal 5 3 3 4 4 2 2 4" xfId="33534" xr:uid="{7272F40E-815A-4C79-8BA2-6F8C39EB8621}"/>
    <cellStyle name="Normal 5 3 3 4 4 2 3" xfId="12436" xr:uid="{46B371FE-29B4-4C25-96B2-A05A00F827A1}"/>
    <cellStyle name="Normal 5 3 3 4 4 2 4" xfId="20877" xr:uid="{BC8E10A8-E30B-4617-A953-C1A79D59D516}"/>
    <cellStyle name="Normal 5 3 3 4 4 2 5" xfId="29317" xr:uid="{5F7C8D98-A0B1-4952-8C60-B7ABA8313ED7}"/>
    <cellStyle name="Normal 5 3 3 4 4 3" xfId="6059" xr:uid="{00000000-0005-0000-0000-0000FA190000}"/>
    <cellStyle name="Normal 5 3 3 4 4 3 2" xfId="14509" xr:uid="{A0F71B46-4C64-4521-AA0F-74A434DB69AA}"/>
    <cellStyle name="Normal 5 3 3 4 4 3 3" xfId="22949" xr:uid="{58D20637-35B0-4ED1-9827-FC2AD2A2E1E0}"/>
    <cellStyle name="Normal 5 3 3 4 4 3 4" xfId="31389" xr:uid="{46361241-006D-4A5E-8B35-8FC97810CD0D}"/>
    <cellStyle name="Normal 5 3 3 4 4 4" xfId="10291" xr:uid="{ECEC7CAA-2833-4923-98EA-0CEE5D50D88A}"/>
    <cellStyle name="Normal 5 3 3 4 4 5" xfId="18732" xr:uid="{A8831B6C-70DF-4B63-BA7E-A51DEB25827B}"/>
    <cellStyle name="Normal 5 3 3 4 4 6" xfId="27172" xr:uid="{40AA1E71-E6AD-47F6-9A6B-E1906DF97301}"/>
    <cellStyle name="Normal 5 3 3 4 5" xfId="2166" xr:uid="{00000000-0005-0000-0000-0000FB190000}"/>
    <cellStyle name="Normal 5 3 3 4 5 2" xfId="4395" xr:uid="{00000000-0005-0000-0000-0000FC190000}"/>
    <cellStyle name="Normal 5 3 3 4 5 2 2" xfId="8617" xr:uid="{00000000-0005-0000-0000-0000FD190000}"/>
    <cellStyle name="Normal 5 3 3 4 5 2 2 2" xfId="17067" xr:uid="{535BBCA8-BAE3-494F-9EEA-E505133E0FBD}"/>
    <cellStyle name="Normal 5 3 3 4 5 2 2 3" xfId="25507" xr:uid="{F662D13B-093B-456C-8008-E4022AF7C6E8}"/>
    <cellStyle name="Normal 5 3 3 4 5 2 2 4" xfId="33947" xr:uid="{F5798630-167C-49E6-9CD1-88FA33073DF4}"/>
    <cellStyle name="Normal 5 3 3 4 5 2 3" xfId="12849" xr:uid="{2895AA3B-292D-47C3-9903-941DB7FA2E77}"/>
    <cellStyle name="Normal 5 3 3 4 5 2 4" xfId="21290" xr:uid="{0F911CB2-A251-49A1-9A9A-A638E0623FE5}"/>
    <cellStyle name="Normal 5 3 3 4 5 2 5" xfId="29730" xr:uid="{8F7A62E6-C813-4311-8158-2735F79D8F23}"/>
    <cellStyle name="Normal 5 3 3 4 5 3" xfId="6472" xr:uid="{00000000-0005-0000-0000-0000FE190000}"/>
    <cellStyle name="Normal 5 3 3 4 5 3 2" xfId="14922" xr:uid="{99BAF7C0-3282-484D-8949-E4A4100951D1}"/>
    <cellStyle name="Normal 5 3 3 4 5 3 3" xfId="23362" xr:uid="{FD23E00E-04A7-42EB-A5DA-E1B980499A7D}"/>
    <cellStyle name="Normal 5 3 3 4 5 3 4" xfId="31802" xr:uid="{694B298E-9079-4D37-B5F3-F4DCF3136A04}"/>
    <cellStyle name="Normal 5 3 3 4 5 4" xfId="10704" xr:uid="{79332AC6-39D8-4E4F-9A04-0FD06C64F400}"/>
    <cellStyle name="Normal 5 3 3 4 5 5" xfId="19145" xr:uid="{A0D0D52A-8831-4185-AEFD-B7C6890A0AEF}"/>
    <cellStyle name="Normal 5 3 3 4 5 6" xfId="27585" xr:uid="{9632E083-8A19-49FB-B6D7-B02751336371}"/>
    <cellStyle name="Normal 5 3 3 4 6" xfId="2602" xr:uid="{00000000-0005-0000-0000-0000FF190000}"/>
    <cellStyle name="Normal 5 3 3 4 6 2" xfId="6885" xr:uid="{00000000-0005-0000-0000-0000001A0000}"/>
    <cellStyle name="Normal 5 3 3 4 6 2 2" xfId="15335" xr:uid="{B5DEC551-88CC-4540-A233-4801F1629FA6}"/>
    <cellStyle name="Normal 5 3 3 4 6 2 3" xfId="23775" xr:uid="{B966CCCA-6AF1-4AFF-99A0-F07906EF89CB}"/>
    <cellStyle name="Normal 5 3 3 4 6 2 4" xfId="32215" xr:uid="{E755CDED-A729-499C-8402-731D8FE7E2D6}"/>
    <cellStyle name="Normal 5 3 3 4 6 3" xfId="11117" xr:uid="{5AB295CF-461B-4591-81E4-DA3D798EF4FB}"/>
    <cellStyle name="Normal 5 3 3 4 6 4" xfId="19558" xr:uid="{3C1618BF-5EF5-4890-8DD8-4F8EEFAF31D1}"/>
    <cellStyle name="Normal 5 3 3 4 6 5" xfId="27998" xr:uid="{8FD96505-3AA0-48C1-8E46-BDD011D04CA6}"/>
    <cellStyle name="Normal 5 3 3 4 7" xfId="4820" xr:uid="{00000000-0005-0000-0000-0000011A0000}"/>
    <cellStyle name="Normal 5 3 3 4 7 2" xfId="13270" xr:uid="{5DC54B40-AC8F-41C3-B1DE-22EC4BEFA7D0}"/>
    <cellStyle name="Normal 5 3 3 4 7 3" xfId="21710" xr:uid="{22A98584-0B8F-4EF2-9911-FEA2367C21AC}"/>
    <cellStyle name="Normal 5 3 3 4 7 4" xfId="30150" xr:uid="{95C49BC0-1EF1-417A-853E-0C13026EB935}"/>
    <cellStyle name="Normal 5 3 3 4 8" xfId="9052" xr:uid="{48D0B81F-4D13-416E-B5AA-63623DF030B1}"/>
    <cellStyle name="Normal 5 3 3 4 9" xfId="17493" xr:uid="{460DDF02-92D6-4CD7-AB4E-8E43E2537034}"/>
    <cellStyle name="Normal 5 3 3 5" xfId="915" xr:uid="{00000000-0005-0000-0000-0000021A0000}"/>
    <cellStyle name="Normal 5 3 3 5 2" xfId="3149" xr:uid="{00000000-0005-0000-0000-0000031A0000}"/>
    <cellStyle name="Normal 5 3 3 5 2 2" xfId="7371" xr:uid="{00000000-0005-0000-0000-0000041A0000}"/>
    <cellStyle name="Normal 5 3 3 5 2 2 2" xfId="15821" xr:uid="{4C293067-2B40-4BA4-8185-32D7F7D139CE}"/>
    <cellStyle name="Normal 5 3 3 5 2 2 3" xfId="24261" xr:uid="{A2CB0E5B-F05B-41BC-876D-95A74A6BD8A1}"/>
    <cellStyle name="Normal 5 3 3 5 2 2 4" xfId="32701" xr:uid="{93B26A6B-4E84-4668-B83A-CD13122BA493}"/>
    <cellStyle name="Normal 5 3 3 5 2 3" xfId="11603" xr:uid="{151F65AF-6762-4936-AA09-9D5954A41FE2}"/>
    <cellStyle name="Normal 5 3 3 5 2 4" xfId="20044" xr:uid="{8588B510-81A5-40CE-8DDF-A227FED85F6D}"/>
    <cellStyle name="Normal 5 3 3 5 2 5" xfId="28484" xr:uid="{CF7B34B5-1780-4EA6-B089-DAF465DFAD8D}"/>
    <cellStyle name="Normal 5 3 3 5 3" xfId="5226" xr:uid="{00000000-0005-0000-0000-0000051A0000}"/>
    <cellStyle name="Normal 5 3 3 5 3 2" xfId="13676" xr:uid="{04E00048-C1C2-4249-8585-953A502AD58D}"/>
    <cellStyle name="Normal 5 3 3 5 3 3" xfId="22116" xr:uid="{F91893AC-2B8A-44A1-9129-0E9E91E0518E}"/>
    <cellStyle name="Normal 5 3 3 5 3 4" xfId="30556" xr:uid="{B8907285-14DE-4A05-9441-C7C34DFA5CA9}"/>
    <cellStyle name="Normal 5 3 3 5 4" xfId="9458" xr:uid="{F8CC0AE0-6083-4349-BDB1-FB28724626DB}"/>
    <cellStyle name="Normal 5 3 3 5 5" xfId="17899" xr:uid="{E008FC50-6FB5-4481-81C6-2E8ACC9E3C7F}"/>
    <cellStyle name="Normal 5 3 3 5 6" xfId="26339" xr:uid="{68C699B1-F6B9-464F-B8EF-95FE89A0F901}"/>
    <cellStyle name="Normal 5 3 3 6" xfId="1332" xr:uid="{00000000-0005-0000-0000-0000061A0000}"/>
    <cellStyle name="Normal 5 3 3 6 2" xfId="3562" xr:uid="{00000000-0005-0000-0000-0000071A0000}"/>
    <cellStyle name="Normal 5 3 3 6 2 2" xfId="7784" xr:uid="{00000000-0005-0000-0000-0000081A0000}"/>
    <cellStyle name="Normal 5 3 3 6 2 2 2" xfId="16234" xr:uid="{F0C60797-FA1E-44FD-BD99-C3D187EC7DC7}"/>
    <cellStyle name="Normal 5 3 3 6 2 2 3" xfId="24674" xr:uid="{CC65FF2D-8AA2-4B15-99F2-A04E7C24B9F3}"/>
    <cellStyle name="Normal 5 3 3 6 2 2 4" xfId="33114" xr:uid="{F96ECC7D-303D-4CD5-BFC9-58D82116B974}"/>
    <cellStyle name="Normal 5 3 3 6 2 3" xfId="12016" xr:uid="{EF0C0F05-AF26-45CD-9D82-DA1F470F7708}"/>
    <cellStyle name="Normal 5 3 3 6 2 4" xfId="20457" xr:uid="{0DDFF77E-8809-47E2-8F3F-42DC2AD5F87B}"/>
    <cellStyle name="Normal 5 3 3 6 2 5" xfId="28897" xr:uid="{9A42EE74-E63B-42E1-B000-202247A7F8EE}"/>
    <cellStyle name="Normal 5 3 3 6 3" xfId="5639" xr:uid="{00000000-0005-0000-0000-0000091A0000}"/>
    <cellStyle name="Normal 5 3 3 6 3 2" xfId="14089" xr:uid="{88072B77-1CC8-4170-9D5A-B07868C5B193}"/>
    <cellStyle name="Normal 5 3 3 6 3 3" xfId="22529" xr:uid="{F1BC78E9-FB5F-45FF-B1A7-4F27E36F71B5}"/>
    <cellStyle name="Normal 5 3 3 6 3 4" xfId="30969" xr:uid="{4A953421-48C7-4EF1-A046-505AD43896AD}"/>
    <cellStyle name="Normal 5 3 3 6 4" xfId="9871" xr:uid="{19BEEC17-E82B-473A-AA42-8D69584251BB}"/>
    <cellStyle name="Normal 5 3 3 6 5" xfId="18312" xr:uid="{770963AD-F9F6-4533-BA21-A77894FD27E6}"/>
    <cellStyle name="Normal 5 3 3 6 6" xfId="26752" xr:uid="{4F9A0FD8-0329-4AD7-9963-9EFA8AEEADFE}"/>
    <cellStyle name="Normal 5 3 3 7" xfId="1745" xr:uid="{00000000-0005-0000-0000-00000A1A0000}"/>
    <cellStyle name="Normal 5 3 3 7 2" xfId="3975" xr:uid="{00000000-0005-0000-0000-00000B1A0000}"/>
    <cellStyle name="Normal 5 3 3 7 2 2" xfId="8197" xr:uid="{00000000-0005-0000-0000-00000C1A0000}"/>
    <cellStyle name="Normal 5 3 3 7 2 2 2" xfId="16647" xr:uid="{A8F5976E-4143-48FE-AC0F-A925FFD58CB5}"/>
    <cellStyle name="Normal 5 3 3 7 2 2 3" xfId="25087" xr:uid="{54F6B6F1-4E07-4B2B-926F-B8C44FBAEBF8}"/>
    <cellStyle name="Normal 5 3 3 7 2 2 4" xfId="33527" xr:uid="{B6C2FCA3-6931-413C-8A03-A684963B4F84}"/>
    <cellStyle name="Normal 5 3 3 7 2 3" xfId="12429" xr:uid="{ABD467E9-645F-4CC1-9B8D-E2A720C58A24}"/>
    <cellStyle name="Normal 5 3 3 7 2 4" xfId="20870" xr:uid="{71C08ACD-0451-46CC-A83B-3421E2B1FA33}"/>
    <cellStyle name="Normal 5 3 3 7 2 5" xfId="29310" xr:uid="{674DC644-FC6E-464B-B47E-F9D78B3918DE}"/>
    <cellStyle name="Normal 5 3 3 7 3" xfId="6052" xr:uid="{00000000-0005-0000-0000-00000D1A0000}"/>
    <cellStyle name="Normal 5 3 3 7 3 2" xfId="14502" xr:uid="{6EAE20D7-1ACB-4BDE-8B0A-9F5EB1BB2362}"/>
    <cellStyle name="Normal 5 3 3 7 3 3" xfId="22942" xr:uid="{3AC594DE-53AE-4A72-AE68-B4214DEA1305}"/>
    <cellStyle name="Normal 5 3 3 7 3 4" xfId="31382" xr:uid="{F07EE96D-5E80-4A1C-B496-1FA59989104B}"/>
    <cellStyle name="Normal 5 3 3 7 4" xfId="10284" xr:uid="{17D80B70-4CD1-47AC-BC79-EBE5D7BD51E1}"/>
    <cellStyle name="Normal 5 3 3 7 5" xfId="18725" xr:uid="{E65E8568-ED60-450A-A80B-D0A501A6C0BF}"/>
    <cellStyle name="Normal 5 3 3 7 6" xfId="27165" xr:uid="{7F27F3B5-A7FB-4C98-AF14-7284CCA70D26}"/>
    <cellStyle name="Normal 5 3 3 8" xfId="2159" xr:uid="{00000000-0005-0000-0000-00000E1A0000}"/>
    <cellStyle name="Normal 5 3 3 8 2" xfId="4388" xr:uid="{00000000-0005-0000-0000-00000F1A0000}"/>
    <cellStyle name="Normal 5 3 3 8 2 2" xfId="8610" xr:uid="{00000000-0005-0000-0000-0000101A0000}"/>
    <cellStyle name="Normal 5 3 3 8 2 2 2" xfId="17060" xr:uid="{2B224229-B68C-4D74-9EDF-D642619784B5}"/>
    <cellStyle name="Normal 5 3 3 8 2 2 3" xfId="25500" xr:uid="{CF536056-BF16-4F03-A5C0-92E0071A4AA0}"/>
    <cellStyle name="Normal 5 3 3 8 2 2 4" xfId="33940" xr:uid="{2E8452F8-0250-43BA-8C26-5EA95A06F695}"/>
    <cellStyle name="Normal 5 3 3 8 2 3" xfId="12842" xr:uid="{C164979A-BFE7-446B-837A-D6586422261B}"/>
    <cellStyle name="Normal 5 3 3 8 2 4" xfId="21283" xr:uid="{009A2C18-08A4-4120-A50C-79E80E48FA5F}"/>
    <cellStyle name="Normal 5 3 3 8 2 5" xfId="29723" xr:uid="{FDF1E9D5-9A25-49D5-86D6-C50DD63EAE10}"/>
    <cellStyle name="Normal 5 3 3 8 3" xfId="6465" xr:uid="{00000000-0005-0000-0000-0000111A0000}"/>
    <cellStyle name="Normal 5 3 3 8 3 2" xfId="14915" xr:uid="{70B6FED7-C0D7-43A5-BD8A-003F9A29C8EE}"/>
    <cellStyle name="Normal 5 3 3 8 3 3" xfId="23355" xr:uid="{49522D67-115E-488F-8E87-EBAE07127FE6}"/>
    <cellStyle name="Normal 5 3 3 8 3 4" xfId="31795" xr:uid="{171FAE09-FC18-4D73-9E52-F0E98E29FED2}"/>
    <cellStyle name="Normal 5 3 3 8 4" xfId="10697" xr:uid="{F0120E44-14D6-40D4-AEA8-0CA0B55B7778}"/>
    <cellStyle name="Normal 5 3 3 8 5" xfId="19138" xr:uid="{93DB24CC-B4B4-48CF-80AF-7F31DBBE7BBD}"/>
    <cellStyle name="Normal 5 3 3 8 6" xfId="27578" xr:uid="{73AC558E-728F-4687-8411-7C117BE7F2B9}"/>
    <cellStyle name="Normal 5 3 3 9" xfId="2595" xr:uid="{00000000-0005-0000-0000-0000121A0000}"/>
    <cellStyle name="Normal 5 3 3 9 2" xfId="6878" xr:uid="{00000000-0005-0000-0000-0000131A0000}"/>
    <cellStyle name="Normal 5 3 3 9 2 2" xfId="15328" xr:uid="{5730FEF1-5FA1-4245-8D64-EF94834300B4}"/>
    <cellStyle name="Normal 5 3 3 9 2 3" xfId="23768" xr:uid="{22F6CA74-37F3-4630-B5CA-14695C60D0B7}"/>
    <cellStyle name="Normal 5 3 3 9 2 4" xfId="32208" xr:uid="{8FB5BA3C-911D-4574-872D-9008118CE178}"/>
    <cellStyle name="Normal 5 3 3 9 3" xfId="11110" xr:uid="{DF193030-4C0D-4677-B146-F93512A8A4C8}"/>
    <cellStyle name="Normal 5 3 3 9 4" xfId="19551" xr:uid="{0455C814-C377-481B-87D1-7B1E8D9C3171}"/>
    <cellStyle name="Normal 5 3 3 9 5" xfId="27991" xr:uid="{9EBA51F8-17FF-4601-97D4-20095E585523}"/>
    <cellStyle name="Normal 5 3 4" xfId="449" xr:uid="{00000000-0005-0000-0000-0000141A0000}"/>
    <cellStyle name="Normal 5 3 4 10" xfId="9053" xr:uid="{347EA538-5DCB-4377-A1F0-6B07020303EA}"/>
    <cellStyle name="Normal 5 3 4 11" xfId="17494" xr:uid="{91AA7BA7-8E3F-49AF-A890-4C919CBAD2CE}"/>
    <cellStyle name="Normal 5 3 4 12" xfId="25934" xr:uid="{10D40068-B67B-455F-9D23-57BFBFE65418}"/>
    <cellStyle name="Normal 5 3 4 2" xfId="450" xr:uid="{00000000-0005-0000-0000-0000151A0000}"/>
    <cellStyle name="Normal 5 3 4 2 10" xfId="17495" xr:uid="{B88DC474-DE88-4078-9270-EFE11D1E88FF}"/>
    <cellStyle name="Normal 5 3 4 2 11" xfId="25935" xr:uid="{C2AA59AF-BA7E-4E16-9DAE-736145D622CF}"/>
    <cellStyle name="Normal 5 3 4 2 2" xfId="451" xr:uid="{00000000-0005-0000-0000-0000161A0000}"/>
    <cellStyle name="Normal 5 3 4 2 2 10" xfId="25936" xr:uid="{20C27945-D2AE-4035-8A0D-C6A105C33D7D}"/>
    <cellStyle name="Normal 5 3 4 2 2 2" xfId="925" xr:uid="{00000000-0005-0000-0000-0000171A0000}"/>
    <cellStyle name="Normal 5 3 4 2 2 2 2" xfId="3159" xr:uid="{00000000-0005-0000-0000-0000181A0000}"/>
    <cellStyle name="Normal 5 3 4 2 2 2 2 2" xfId="7381" xr:uid="{00000000-0005-0000-0000-0000191A0000}"/>
    <cellStyle name="Normal 5 3 4 2 2 2 2 2 2" xfId="15831" xr:uid="{AF91393F-19C1-4DC9-9B30-57951EB935EC}"/>
    <cellStyle name="Normal 5 3 4 2 2 2 2 2 3" xfId="24271" xr:uid="{6AEBE02B-9FC5-48DC-85C2-8FD7D122FC98}"/>
    <cellStyle name="Normal 5 3 4 2 2 2 2 2 4" xfId="32711" xr:uid="{8A2D8CF1-1F27-4B5E-A368-FB13BBBBD0D9}"/>
    <cellStyle name="Normal 5 3 4 2 2 2 2 3" xfId="11613" xr:uid="{347F212A-C174-4F8C-8BA8-B1069EA69654}"/>
    <cellStyle name="Normal 5 3 4 2 2 2 2 4" xfId="20054" xr:uid="{E642FD3D-3D70-42DE-B11F-46BF7665B65B}"/>
    <cellStyle name="Normal 5 3 4 2 2 2 2 5" xfId="28494" xr:uid="{BD894C32-503C-4004-A1E5-980611F64B09}"/>
    <cellStyle name="Normal 5 3 4 2 2 2 3" xfId="5236" xr:uid="{00000000-0005-0000-0000-00001A1A0000}"/>
    <cellStyle name="Normal 5 3 4 2 2 2 3 2" xfId="13686" xr:uid="{D0632B86-E021-41D5-A41F-BA2A8A45E567}"/>
    <cellStyle name="Normal 5 3 4 2 2 2 3 3" xfId="22126" xr:uid="{B4F4D19F-76FD-480B-8C85-79D67595420D}"/>
    <cellStyle name="Normal 5 3 4 2 2 2 3 4" xfId="30566" xr:uid="{6CFF07FD-A04E-4D18-90E6-81FB9704ECA8}"/>
    <cellStyle name="Normal 5 3 4 2 2 2 4" xfId="9468" xr:uid="{A1693AB2-3676-4BFE-A967-3E617D8C5C40}"/>
    <cellStyle name="Normal 5 3 4 2 2 2 5" xfId="17909" xr:uid="{EDCC62FF-3E68-45C7-A05D-AA85E661C020}"/>
    <cellStyle name="Normal 5 3 4 2 2 2 6" xfId="26349" xr:uid="{0295B638-0C47-4B96-BF4D-3D1A3636AAE9}"/>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2 2 2" xfId="16244" xr:uid="{0BF84124-B09E-4157-B0FE-BE53216C7050}"/>
    <cellStyle name="Normal 5 3 4 2 2 3 2 2 3" xfId="24684" xr:uid="{2036B7D6-90C5-4E8F-B456-D85CE97ABD0D}"/>
    <cellStyle name="Normal 5 3 4 2 2 3 2 2 4" xfId="33124" xr:uid="{A2E4634F-A6DD-46EA-BB23-4DEC6A7B4B7D}"/>
    <cellStyle name="Normal 5 3 4 2 2 3 2 3" xfId="12026" xr:uid="{19C7C1F6-E547-431D-AB57-DAC1BE2E1C66}"/>
    <cellStyle name="Normal 5 3 4 2 2 3 2 4" xfId="20467" xr:uid="{3107F7D5-8A5D-4997-B5FB-44F74BC76DD4}"/>
    <cellStyle name="Normal 5 3 4 2 2 3 2 5" xfId="28907" xr:uid="{DB6D0D3C-8F4E-4762-A676-39A19B760A96}"/>
    <cellStyle name="Normal 5 3 4 2 2 3 3" xfId="5649" xr:uid="{00000000-0005-0000-0000-00001E1A0000}"/>
    <cellStyle name="Normal 5 3 4 2 2 3 3 2" xfId="14099" xr:uid="{C73FEF45-DF1F-4E9D-BADB-90E1543CAE3C}"/>
    <cellStyle name="Normal 5 3 4 2 2 3 3 3" xfId="22539" xr:uid="{FE1DAE9D-9622-4769-9F21-18C11989CF83}"/>
    <cellStyle name="Normal 5 3 4 2 2 3 3 4" xfId="30979" xr:uid="{86F8D048-3957-4DB1-ABB7-BECADBDFE139}"/>
    <cellStyle name="Normal 5 3 4 2 2 3 4" xfId="9881" xr:uid="{803CCA8F-7AB0-47E6-AABA-FBA1CE333F6C}"/>
    <cellStyle name="Normal 5 3 4 2 2 3 5" xfId="18322" xr:uid="{75DB582D-8370-4C82-9F22-1A028EA06A8B}"/>
    <cellStyle name="Normal 5 3 4 2 2 3 6" xfId="26762" xr:uid="{CB28361E-4BD7-41E8-AC8E-55234E71FFAD}"/>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2 2 2" xfId="16657" xr:uid="{FD9AC085-39E8-4D55-B992-BBDA3A418FBB}"/>
    <cellStyle name="Normal 5 3 4 2 2 4 2 2 3" xfId="25097" xr:uid="{FD6CA3B7-FF3A-4C20-9D92-FFC23E41E72F}"/>
    <cellStyle name="Normal 5 3 4 2 2 4 2 2 4" xfId="33537" xr:uid="{887C2A06-6EC1-440D-824F-202AC2DB3942}"/>
    <cellStyle name="Normal 5 3 4 2 2 4 2 3" xfId="12439" xr:uid="{EC689F53-1BA3-4BDE-B0D9-7549960E0DD2}"/>
    <cellStyle name="Normal 5 3 4 2 2 4 2 4" xfId="20880" xr:uid="{EA9E7A5D-FDDC-4235-98F1-29E470638D87}"/>
    <cellStyle name="Normal 5 3 4 2 2 4 2 5" xfId="29320" xr:uid="{02A67002-B3E2-4AD4-81D3-5459D8C51531}"/>
    <cellStyle name="Normal 5 3 4 2 2 4 3" xfId="6062" xr:uid="{00000000-0005-0000-0000-0000221A0000}"/>
    <cellStyle name="Normal 5 3 4 2 2 4 3 2" xfId="14512" xr:uid="{FD9385E0-999D-40D2-A070-2939B62E8EC2}"/>
    <cellStyle name="Normal 5 3 4 2 2 4 3 3" xfId="22952" xr:uid="{9ABDE303-7828-41F1-8853-07DC5821D066}"/>
    <cellStyle name="Normal 5 3 4 2 2 4 3 4" xfId="31392" xr:uid="{46F464F9-79B0-4167-91B8-62F8D1C8CE88}"/>
    <cellStyle name="Normal 5 3 4 2 2 4 4" xfId="10294" xr:uid="{73946EB0-95F3-45EB-9FFC-1A7440A78B45}"/>
    <cellStyle name="Normal 5 3 4 2 2 4 5" xfId="18735" xr:uid="{FD737875-69DC-444E-87C4-85E5D74597D9}"/>
    <cellStyle name="Normal 5 3 4 2 2 4 6" xfId="27175" xr:uid="{C631E150-B711-44A1-A47E-A9302BDF4CD4}"/>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2 2 2" xfId="17070" xr:uid="{30B59BF9-DCAB-4065-8479-3BC06308BB16}"/>
    <cellStyle name="Normal 5 3 4 2 2 5 2 2 3" xfId="25510" xr:uid="{B361A9FB-C0D3-4610-BAEF-AF741C7206D6}"/>
    <cellStyle name="Normal 5 3 4 2 2 5 2 2 4" xfId="33950" xr:uid="{0FD62EFD-9731-468F-BFE1-A39B1DEC5AA5}"/>
    <cellStyle name="Normal 5 3 4 2 2 5 2 3" xfId="12852" xr:uid="{9028E14A-DAE5-4169-9271-EF8D7F88DE04}"/>
    <cellStyle name="Normal 5 3 4 2 2 5 2 4" xfId="21293" xr:uid="{F5A1A8D6-A2A3-431B-A85E-3E42023CD1AC}"/>
    <cellStyle name="Normal 5 3 4 2 2 5 2 5" xfId="29733" xr:uid="{D3968A63-5EFC-4A4D-8570-0B39EDD5181A}"/>
    <cellStyle name="Normal 5 3 4 2 2 5 3" xfId="6475" xr:uid="{00000000-0005-0000-0000-0000261A0000}"/>
    <cellStyle name="Normal 5 3 4 2 2 5 3 2" xfId="14925" xr:uid="{0C54C0ED-DD28-49EB-91CB-E21F3DDE1743}"/>
    <cellStyle name="Normal 5 3 4 2 2 5 3 3" xfId="23365" xr:uid="{1AEF24A5-EC08-48DB-BF95-C26179CB38F4}"/>
    <cellStyle name="Normal 5 3 4 2 2 5 3 4" xfId="31805" xr:uid="{56A1C0FA-62CC-4673-ABAE-0902ABE57620}"/>
    <cellStyle name="Normal 5 3 4 2 2 5 4" xfId="10707" xr:uid="{431DF6BC-E3C4-4986-816E-E280CB9C2FE8}"/>
    <cellStyle name="Normal 5 3 4 2 2 5 5" xfId="19148" xr:uid="{A614BDDB-A7D7-4A11-8E67-2AD645AC4C17}"/>
    <cellStyle name="Normal 5 3 4 2 2 5 6" xfId="27588" xr:uid="{DA8DB887-1466-45AA-9C09-722ACDE834DA}"/>
    <cellStyle name="Normal 5 3 4 2 2 6" xfId="2605" xr:uid="{00000000-0005-0000-0000-0000271A0000}"/>
    <cellStyle name="Normal 5 3 4 2 2 6 2" xfId="6888" xr:uid="{00000000-0005-0000-0000-0000281A0000}"/>
    <cellStyle name="Normal 5 3 4 2 2 6 2 2" xfId="15338" xr:uid="{F4877BE2-33C9-4E1F-A678-BD1717C45880}"/>
    <cellStyle name="Normal 5 3 4 2 2 6 2 3" xfId="23778" xr:uid="{44785EE4-4D4F-4877-98E8-38BFB4F35451}"/>
    <cellStyle name="Normal 5 3 4 2 2 6 2 4" xfId="32218" xr:uid="{2F08D79A-BEF2-4408-BD23-57B89D57D5B9}"/>
    <cellStyle name="Normal 5 3 4 2 2 6 3" xfId="11120" xr:uid="{7DE2A457-A761-4F4C-840C-89B42DAEEB98}"/>
    <cellStyle name="Normal 5 3 4 2 2 6 4" xfId="19561" xr:uid="{C1DDCEEC-E8AD-4CC9-8EE5-C7C753BF9F74}"/>
    <cellStyle name="Normal 5 3 4 2 2 6 5" xfId="28001" xr:uid="{F5AED592-7D88-4CFF-89CD-6EC37D1D9068}"/>
    <cellStyle name="Normal 5 3 4 2 2 7" xfId="4823" xr:uid="{00000000-0005-0000-0000-0000291A0000}"/>
    <cellStyle name="Normal 5 3 4 2 2 7 2" xfId="13273" xr:uid="{057B91E6-436E-42CC-A070-DE9CC8FF181F}"/>
    <cellStyle name="Normal 5 3 4 2 2 7 3" xfId="21713" xr:uid="{2391D0C8-21AC-4471-9052-4D14A2A87A66}"/>
    <cellStyle name="Normal 5 3 4 2 2 7 4" xfId="30153" xr:uid="{727BCA9C-5594-4FEE-9E14-4BC6AD99A5C0}"/>
    <cellStyle name="Normal 5 3 4 2 2 8" xfId="9055" xr:uid="{9E7AE1A2-A044-43A7-B6C9-1083BCF4806F}"/>
    <cellStyle name="Normal 5 3 4 2 2 9" xfId="17496" xr:uid="{A09F6A7D-7EC8-4356-AB70-1B53B5F54F51}"/>
    <cellStyle name="Normal 5 3 4 2 3" xfId="924" xr:uid="{00000000-0005-0000-0000-00002A1A0000}"/>
    <cellStyle name="Normal 5 3 4 2 3 2" xfId="3158" xr:uid="{00000000-0005-0000-0000-00002B1A0000}"/>
    <cellStyle name="Normal 5 3 4 2 3 2 2" xfId="7380" xr:uid="{00000000-0005-0000-0000-00002C1A0000}"/>
    <cellStyle name="Normal 5 3 4 2 3 2 2 2" xfId="15830" xr:uid="{8184F1F8-C372-491F-9724-E2D8FAE4DE9B}"/>
    <cellStyle name="Normal 5 3 4 2 3 2 2 3" xfId="24270" xr:uid="{FD97F0CD-341D-4EE0-AD8A-861984382757}"/>
    <cellStyle name="Normal 5 3 4 2 3 2 2 4" xfId="32710" xr:uid="{56F8B12A-35C1-4F76-B7F7-E775D8C3C68F}"/>
    <cellStyle name="Normal 5 3 4 2 3 2 3" xfId="11612" xr:uid="{FE7957D7-6841-4818-BD97-051406C9C39E}"/>
    <cellStyle name="Normal 5 3 4 2 3 2 4" xfId="20053" xr:uid="{0A5AD1B9-9906-46CC-8A5D-5F2A898AA5F7}"/>
    <cellStyle name="Normal 5 3 4 2 3 2 5" xfId="28493" xr:uid="{15F56AB5-D36D-4279-B5A8-AE5CC59121DA}"/>
    <cellStyle name="Normal 5 3 4 2 3 3" xfId="5235" xr:uid="{00000000-0005-0000-0000-00002D1A0000}"/>
    <cellStyle name="Normal 5 3 4 2 3 3 2" xfId="13685" xr:uid="{61512606-A352-4919-B90A-AC204B6BB75A}"/>
    <cellStyle name="Normal 5 3 4 2 3 3 3" xfId="22125" xr:uid="{F4AA82C1-2688-4654-8C4D-C737DF0C5A61}"/>
    <cellStyle name="Normal 5 3 4 2 3 3 4" xfId="30565" xr:uid="{1F25008B-F305-4316-A961-1EBFB44039F8}"/>
    <cellStyle name="Normal 5 3 4 2 3 4" xfId="9467" xr:uid="{F161CAAB-16C1-47D5-AF5D-BF893F4DF97E}"/>
    <cellStyle name="Normal 5 3 4 2 3 5" xfId="17908" xr:uid="{A81E33A0-057B-4BB0-8C87-F11926E7C3F0}"/>
    <cellStyle name="Normal 5 3 4 2 3 6" xfId="26348" xr:uid="{764EF30F-792A-4879-A1CC-A7456252CCE8}"/>
    <cellStyle name="Normal 5 3 4 2 4" xfId="1341" xr:uid="{00000000-0005-0000-0000-00002E1A0000}"/>
    <cellStyle name="Normal 5 3 4 2 4 2" xfId="3571" xr:uid="{00000000-0005-0000-0000-00002F1A0000}"/>
    <cellStyle name="Normal 5 3 4 2 4 2 2" xfId="7793" xr:uid="{00000000-0005-0000-0000-0000301A0000}"/>
    <cellStyle name="Normal 5 3 4 2 4 2 2 2" xfId="16243" xr:uid="{7C513207-AFE3-4428-AF75-3DFADCE42BEF}"/>
    <cellStyle name="Normal 5 3 4 2 4 2 2 3" xfId="24683" xr:uid="{344ACEDF-3D17-4E95-9B75-3A303BC19FCA}"/>
    <cellStyle name="Normal 5 3 4 2 4 2 2 4" xfId="33123" xr:uid="{33615629-F76C-4031-B52E-534878015ED4}"/>
    <cellStyle name="Normal 5 3 4 2 4 2 3" xfId="12025" xr:uid="{F39D356F-592E-403E-A2ED-DC793ECD2F5C}"/>
    <cellStyle name="Normal 5 3 4 2 4 2 4" xfId="20466" xr:uid="{976473FB-CB82-4A4D-BD4A-931BEAFC89B1}"/>
    <cellStyle name="Normal 5 3 4 2 4 2 5" xfId="28906" xr:uid="{B0917FB1-6F73-4F52-9ACC-EF4102FBB5F4}"/>
    <cellStyle name="Normal 5 3 4 2 4 3" xfId="5648" xr:uid="{00000000-0005-0000-0000-0000311A0000}"/>
    <cellStyle name="Normal 5 3 4 2 4 3 2" xfId="14098" xr:uid="{2E8565FB-8E8E-4ACF-9476-EBAADF8A6141}"/>
    <cellStyle name="Normal 5 3 4 2 4 3 3" xfId="22538" xr:uid="{29184E50-6D78-42E4-B493-054DA303F75C}"/>
    <cellStyle name="Normal 5 3 4 2 4 3 4" xfId="30978" xr:uid="{75AB202C-3BA8-453A-BAA3-446E155AFAA8}"/>
    <cellStyle name="Normal 5 3 4 2 4 4" xfId="9880" xr:uid="{F9110709-63DD-4D32-A7C7-41B5190201B2}"/>
    <cellStyle name="Normal 5 3 4 2 4 5" xfId="18321" xr:uid="{263633C1-6110-490E-92E2-0157BEFA6605}"/>
    <cellStyle name="Normal 5 3 4 2 4 6" xfId="26761" xr:uid="{7D00F822-8458-47FF-A347-8A47FC7FBE24}"/>
    <cellStyle name="Normal 5 3 4 2 5" xfId="1754" xr:uid="{00000000-0005-0000-0000-0000321A0000}"/>
    <cellStyle name="Normal 5 3 4 2 5 2" xfId="3984" xr:uid="{00000000-0005-0000-0000-0000331A0000}"/>
    <cellStyle name="Normal 5 3 4 2 5 2 2" xfId="8206" xr:uid="{00000000-0005-0000-0000-0000341A0000}"/>
    <cellStyle name="Normal 5 3 4 2 5 2 2 2" xfId="16656" xr:uid="{E2D387FB-A4CC-4B0A-BE46-2C14342F87F0}"/>
    <cellStyle name="Normal 5 3 4 2 5 2 2 3" xfId="25096" xr:uid="{561E517B-42F9-459F-B533-40D362807C66}"/>
    <cellStyle name="Normal 5 3 4 2 5 2 2 4" xfId="33536" xr:uid="{2D813350-EEDA-4D05-9258-BA42F547BA5E}"/>
    <cellStyle name="Normal 5 3 4 2 5 2 3" xfId="12438" xr:uid="{FFF2B8EA-35E2-4E37-B4D8-0F707EC1858F}"/>
    <cellStyle name="Normal 5 3 4 2 5 2 4" xfId="20879" xr:uid="{1BCCECEF-F60F-4B46-A868-DE173C37A183}"/>
    <cellStyle name="Normal 5 3 4 2 5 2 5" xfId="29319" xr:uid="{9CD3AE90-DD4B-4D12-93A7-DBB202223170}"/>
    <cellStyle name="Normal 5 3 4 2 5 3" xfId="6061" xr:uid="{00000000-0005-0000-0000-0000351A0000}"/>
    <cellStyle name="Normal 5 3 4 2 5 3 2" xfId="14511" xr:uid="{91D54721-D8A6-4DDD-8931-82BC319AD19E}"/>
    <cellStyle name="Normal 5 3 4 2 5 3 3" xfId="22951" xr:uid="{D1A560B2-4937-4ABD-A9E6-E5E0572C6FFD}"/>
    <cellStyle name="Normal 5 3 4 2 5 3 4" xfId="31391" xr:uid="{B326A983-4ABF-4F5F-88B9-DADC9A41F148}"/>
    <cellStyle name="Normal 5 3 4 2 5 4" xfId="10293" xr:uid="{C90C2C07-6E68-491A-9145-5D254AC60141}"/>
    <cellStyle name="Normal 5 3 4 2 5 5" xfId="18734" xr:uid="{44290E28-DAC9-4158-9FB1-1B0BAB1DADAD}"/>
    <cellStyle name="Normal 5 3 4 2 5 6" xfId="27174" xr:uid="{98AD4189-960B-424D-BADD-2AA0E523D385}"/>
    <cellStyle name="Normal 5 3 4 2 6" xfId="2168" xr:uid="{00000000-0005-0000-0000-0000361A0000}"/>
    <cellStyle name="Normal 5 3 4 2 6 2" xfId="4397" xr:uid="{00000000-0005-0000-0000-0000371A0000}"/>
    <cellStyle name="Normal 5 3 4 2 6 2 2" xfId="8619" xr:uid="{00000000-0005-0000-0000-0000381A0000}"/>
    <cellStyle name="Normal 5 3 4 2 6 2 2 2" xfId="17069" xr:uid="{8832FAEC-00BF-43B9-88BF-98D1B018515A}"/>
    <cellStyle name="Normal 5 3 4 2 6 2 2 3" xfId="25509" xr:uid="{33F92A5A-B129-42E1-B2CB-277CC7C46042}"/>
    <cellStyle name="Normal 5 3 4 2 6 2 2 4" xfId="33949" xr:uid="{3AA5897F-6A45-4E97-AE31-02D9CABDEF24}"/>
    <cellStyle name="Normal 5 3 4 2 6 2 3" xfId="12851" xr:uid="{4A64FCB6-DCA9-4AE0-AE0C-F5CE8A4CEFA3}"/>
    <cellStyle name="Normal 5 3 4 2 6 2 4" xfId="21292" xr:uid="{06987B07-CC58-4EE7-BA7B-97440B7042C5}"/>
    <cellStyle name="Normal 5 3 4 2 6 2 5" xfId="29732" xr:uid="{2F49949B-E870-409A-8129-658217A3616E}"/>
    <cellStyle name="Normal 5 3 4 2 6 3" xfId="6474" xr:uid="{00000000-0005-0000-0000-0000391A0000}"/>
    <cellStyle name="Normal 5 3 4 2 6 3 2" xfId="14924" xr:uid="{8F5C37FD-3F63-480C-8E01-2863A3CF919D}"/>
    <cellStyle name="Normal 5 3 4 2 6 3 3" xfId="23364" xr:uid="{6035DD14-EEAF-4871-942A-DC672AFDC3F1}"/>
    <cellStyle name="Normal 5 3 4 2 6 3 4" xfId="31804" xr:uid="{1523B4DB-880B-400F-9EF1-594480698B28}"/>
    <cellStyle name="Normal 5 3 4 2 6 4" xfId="10706" xr:uid="{B81054FC-0C4D-4382-BDBC-E7C032D4123B}"/>
    <cellStyle name="Normal 5 3 4 2 6 5" xfId="19147" xr:uid="{F834B3BF-2A75-4D7B-953E-16513846E557}"/>
    <cellStyle name="Normal 5 3 4 2 6 6" xfId="27587" xr:uid="{D0606B40-76B2-461C-93F1-724C721CE83D}"/>
    <cellStyle name="Normal 5 3 4 2 7" xfId="2604" xr:uid="{00000000-0005-0000-0000-00003A1A0000}"/>
    <cellStyle name="Normal 5 3 4 2 7 2" xfId="6887" xr:uid="{00000000-0005-0000-0000-00003B1A0000}"/>
    <cellStyle name="Normal 5 3 4 2 7 2 2" xfId="15337" xr:uid="{114B450B-C0CE-4BD0-8689-44CEA2FCC791}"/>
    <cellStyle name="Normal 5 3 4 2 7 2 3" xfId="23777" xr:uid="{20BE3A76-A2A9-4058-AF65-C11795A72609}"/>
    <cellStyle name="Normal 5 3 4 2 7 2 4" xfId="32217" xr:uid="{F18AD686-E8C4-4651-962C-741A9897E8B8}"/>
    <cellStyle name="Normal 5 3 4 2 7 3" xfId="11119" xr:uid="{59B8A430-2597-43A3-AE0E-55BD57B99250}"/>
    <cellStyle name="Normal 5 3 4 2 7 4" xfId="19560" xr:uid="{B37349A0-BB53-48D9-8BEA-8649434F18A6}"/>
    <cellStyle name="Normal 5 3 4 2 7 5" xfId="28000" xr:uid="{5282A931-F4D5-4663-BDBD-45407C6BD8E4}"/>
    <cellStyle name="Normal 5 3 4 2 8" xfId="4822" xr:uid="{00000000-0005-0000-0000-00003C1A0000}"/>
    <cellStyle name="Normal 5 3 4 2 8 2" xfId="13272" xr:uid="{68E48BEE-5BFD-4EE7-9E75-5D1BFCCA958F}"/>
    <cellStyle name="Normal 5 3 4 2 8 3" xfId="21712" xr:uid="{7C7FFE0A-0050-4DB7-BD28-848587597181}"/>
    <cellStyle name="Normal 5 3 4 2 8 4" xfId="30152" xr:uid="{2A567095-770D-45A4-AE4F-693B4939913E}"/>
    <cellStyle name="Normal 5 3 4 2 9" xfId="9054" xr:uid="{754873B1-C08A-4BFC-AD80-E0A54101C152}"/>
    <cellStyle name="Normal 5 3 4 3" xfId="452" xr:uid="{00000000-0005-0000-0000-00003D1A0000}"/>
    <cellStyle name="Normal 5 3 4 3 10" xfId="25937" xr:uid="{00E7086A-1215-4F16-9A98-BC66072C598F}"/>
    <cellStyle name="Normal 5 3 4 3 2" xfId="926" xr:uid="{00000000-0005-0000-0000-00003E1A0000}"/>
    <cellStyle name="Normal 5 3 4 3 2 2" xfId="3160" xr:uid="{00000000-0005-0000-0000-00003F1A0000}"/>
    <cellStyle name="Normal 5 3 4 3 2 2 2" xfId="7382" xr:uid="{00000000-0005-0000-0000-0000401A0000}"/>
    <cellStyle name="Normal 5 3 4 3 2 2 2 2" xfId="15832" xr:uid="{968272FD-BE7D-4A9C-A573-30B3C7D1487A}"/>
    <cellStyle name="Normal 5 3 4 3 2 2 2 3" xfId="24272" xr:uid="{8FEC6E4A-579E-4F20-A3EA-FF13365A023C}"/>
    <cellStyle name="Normal 5 3 4 3 2 2 2 4" xfId="32712" xr:uid="{FD23F74E-17F8-4401-B3D9-DA96EB2AF2B3}"/>
    <cellStyle name="Normal 5 3 4 3 2 2 3" xfId="11614" xr:uid="{9DCE73EE-B741-4A33-9E5C-F40A035A0A5F}"/>
    <cellStyle name="Normal 5 3 4 3 2 2 4" xfId="20055" xr:uid="{8BBE4303-FAB8-435F-98EB-89E51799C2C5}"/>
    <cellStyle name="Normal 5 3 4 3 2 2 5" xfId="28495" xr:uid="{18E0BC2B-8955-483C-A92C-E43E00D41EFB}"/>
    <cellStyle name="Normal 5 3 4 3 2 3" xfId="5237" xr:uid="{00000000-0005-0000-0000-0000411A0000}"/>
    <cellStyle name="Normal 5 3 4 3 2 3 2" xfId="13687" xr:uid="{5B349B0C-EE31-4AD6-AB28-DA38BCB91BFB}"/>
    <cellStyle name="Normal 5 3 4 3 2 3 3" xfId="22127" xr:uid="{6F190B13-607A-4E26-B56A-AA8EED5A6B85}"/>
    <cellStyle name="Normal 5 3 4 3 2 3 4" xfId="30567" xr:uid="{18D70081-CB93-4C6E-89AD-B7BD37C1BC37}"/>
    <cellStyle name="Normal 5 3 4 3 2 4" xfId="9469" xr:uid="{66E9B5E0-DB58-4287-977A-2B0BDDD5A902}"/>
    <cellStyle name="Normal 5 3 4 3 2 5" xfId="17910" xr:uid="{711D8938-6C0D-4547-916F-93EC371A8219}"/>
    <cellStyle name="Normal 5 3 4 3 2 6" xfId="26350" xr:uid="{A6B140F5-4C13-4647-B5E8-20B28267B3EE}"/>
    <cellStyle name="Normal 5 3 4 3 3" xfId="1343" xr:uid="{00000000-0005-0000-0000-0000421A0000}"/>
    <cellStyle name="Normal 5 3 4 3 3 2" xfId="3573" xr:uid="{00000000-0005-0000-0000-0000431A0000}"/>
    <cellStyle name="Normal 5 3 4 3 3 2 2" xfId="7795" xr:uid="{00000000-0005-0000-0000-0000441A0000}"/>
    <cellStyle name="Normal 5 3 4 3 3 2 2 2" xfId="16245" xr:uid="{F332B191-F072-4CF4-9DC8-0E8B724DAF0B}"/>
    <cellStyle name="Normal 5 3 4 3 3 2 2 3" xfId="24685" xr:uid="{4F51C8DD-E1A1-44D5-9BC2-356F6600503A}"/>
    <cellStyle name="Normal 5 3 4 3 3 2 2 4" xfId="33125" xr:uid="{A53B1237-1CA2-44B2-AFED-DB9BD6A2B2B4}"/>
    <cellStyle name="Normal 5 3 4 3 3 2 3" xfId="12027" xr:uid="{3F2F9AB4-4AA0-4358-A0C7-4E0261ECF9BD}"/>
    <cellStyle name="Normal 5 3 4 3 3 2 4" xfId="20468" xr:uid="{9A13AB13-BB4C-4A39-9626-3F687E497D4C}"/>
    <cellStyle name="Normal 5 3 4 3 3 2 5" xfId="28908" xr:uid="{760D9176-2144-4D42-A96D-802CF7128CD2}"/>
    <cellStyle name="Normal 5 3 4 3 3 3" xfId="5650" xr:uid="{00000000-0005-0000-0000-0000451A0000}"/>
    <cellStyle name="Normal 5 3 4 3 3 3 2" xfId="14100" xr:uid="{91904C51-3972-440A-975C-0D98FC4C273C}"/>
    <cellStyle name="Normal 5 3 4 3 3 3 3" xfId="22540" xr:uid="{4D09ED1A-B0A2-4A9A-878F-2742F748723A}"/>
    <cellStyle name="Normal 5 3 4 3 3 3 4" xfId="30980" xr:uid="{3E200C6F-4C12-4EF8-A37B-992A637BA160}"/>
    <cellStyle name="Normal 5 3 4 3 3 4" xfId="9882" xr:uid="{0A5C0ED9-76D9-45D9-9D1D-206CF79F9630}"/>
    <cellStyle name="Normal 5 3 4 3 3 5" xfId="18323" xr:uid="{36B3B492-985C-439A-A0E1-5A93F5612626}"/>
    <cellStyle name="Normal 5 3 4 3 3 6" xfId="26763" xr:uid="{C5C148D4-B2BB-4B21-B51D-7826431C1C26}"/>
    <cellStyle name="Normal 5 3 4 3 4" xfId="1756" xr:uid="{00000000-0005-0000-0000-0000461A0000}"/>
    <cellStyle name="Normal 5 3 4 3 4 2" xfId="3986" xr:uid="{00000000-0005-0000-0000-0000471A0000}"/>
    <cellStyle name="Normal 5 3 4 3 4 2 2" xfId="8208" xr:uid="{00000000-0005-0000-0000-0000481A0000}"/>
    <cellStyle name="Normal 5 3 4 3 4 2 2 2" xfId="16658" xr:uid="{79BB5676-4B59-44E7-BF9D-EEC46F2176B2}"/>
    <cellStyle name="Normal 5 3 4 3 4 2 2 3" xfId="25098" xr:uid="{8FF4209A-42F5-4B4F-9C8E-A22080DFBC66}"/>
    <cellStyle name="Normal 5 3 4 3 4 2 2 4" xfId="33538" xr:uid="{574CA129-330C-4EE3-A6E0-BA5C507D571E}"/>
    <cellStyle name="Normal 5 3 4 3 4 2 3" xfId="12440" xr:uid="{0CA9888C-9718-4C7F-911F-01956C526535}"/>
    <cellStyle name="Normal 5 3 4 3 4 2 4" xfId="20881" xr:uid="{3C9A6D89-26B5-470F-A2F6-7F0234A03714}"/>
    <cellStyle name="Normal 5 3 4 3 4 2 5" xfId="29321" xr:uid="{5CFD03AD-C997-4FE0-976B-BBB49A895081}"/>
    <cellStyle name="Normal 5 3 4 3 4 3" xfId="6063" xr:uid="{00000000-0005-0000-0000-0000491A0000}"/>
    <cellStyle name="Normal 5 3 4 3 4 3 2" xfId="14513" xr:uid="{9A178E3D-2FAD-4EF2-B080-766BCDEA3E72}"/>
    <cellStyle name="Normal 5 3 4 3 4 3 3" xfId="22953" xr:uid="{2E9BA2BD-AE3B-434F-BE80-69A065B70EC1}"/>
    <cellStyle name="Normal 5 3 4 3 4 3 4" xfId="31393" xr:uid="{0A1BE987-B168-4723-AE37-5BCE12A88C60}"/>
    <cellStyle name="Normal 5 3 4 3 4 4" xfId="10295" xr:uid="{B270C530-10A7-4B48-8647-AE3F489AA258}"/>
    <cellStyle name="Normal 5 3 4 3 4 5" xfId="18736" xr:uid="{8E46A8B8-844D-43A0-A267-2C84B8C4A7A2}"/>
    <cellStyle name="Normal 5 3 4 3 4 6" xfId="27176" xr:uid="{76A2E69B-CBAC-464C-B129-D729B17DD7E4}"/>
    <cellStyle name="Normal 5 3 4 3 5" xfId="2170" xr:uid="{00000000-0005-0000-0000-00004A1A0000}"/>
    <cellStyle name="Normal 5 3 4 3 5 2" xfId="4399" xr:uid="{00000000-0005-0000-0000-00004B1A0000}"/>
    <cellStyle name="Normal 5 3 4 3 5 2 2" xfId="8621" xr:uid="{00000000-0005-0000-0000-00004C1A0000}"/>
    <cellStyle name="Normal 5 3 4 3 5 2 2 2" xfId="17071" xr:uid="{2AEA8D21-149D-433B-83B0-079E3D2E8893}"/>
    <cellStyle name="Normal 5 3 4 3 5 2 2 3" xfId="25511" xr:uid="{DE7CCD5D-6C63-47F1-A985-5C9BAEF6A49E}"/>
    <cellStyle name="Normal 5 3 4 3 5 2 2 4" xfId="33951" xr:uid="{D0D42489-AF41-42C0-B18D-84949C3BE4D4}"/>
    <cellStyle name="Normal 5 3 4 3 5 2 3" xfId="12853" xr:uid="{8DE21B72-BE96-4100-A7C7-1F4927C48EC7}"/>
    <cellStyle name="Normal 5 3 4 3 5 2 4" xfId="21294" xr:uid="{22B01743-F78D-48F7-8397-8DADB7B7CE79}"/>
    <cellStyle name="Normal 5 3 4 3 5 2 5" xfId="29734" xr:uid="{072CA430-0C98-4869-A23D-3C4BBE2EBA5B}"/>
    <cellStyle name="Normal 5 3 4 3 5 3" xfId="6476" xr:uid="{00000000-0005-0000-0000-00004D1A0000}"/>
    <cellStyle name="Normal 5 3 4 3 5 3 2" xfId="14926" xr:uid="{F1A27444-B0A7-4C03-BB8C-09A755A5578E}"/>
    <cellStyle name="Normal 5 3 4 3 5 3 3" xfId="23366" xr:uid="{57408CB2-3F25-45D2-96B0-1B290CDF7934}"/>
    <cellStyle name="Normal 5 3 4 3 5 3 4" xfId="31806" xr:uid="{E32D703B-451A-4CD2-8EC0-37C78E710F70}"/>
    <cellStyle name="Normal 5 3 4 3 5 4" xfId="10708" xr:uid="{47BCDB23-FE38-4699-88FD-34D4A705F385}"/>
    <cellStyle name="Normal 5 3 4 3 5 5" xfId="19149" xr:uid="{BBC4A1BA-3E67-4848-BB14-EEFA53B3D6FD}"/>
    <cellStyle name="Normal 5 3 4 3 5 6" xfId="27589" xr:uid="{2014E02B-2E03-48BE-B27F-F91BAC9477CF}"/>
    <cellStyle name="Normal 5 3 4 3 6" xfId="2606" xr:uid="{00000000-0005-0000-0000-00004E1A0000}"/>
    <cellStyle name="Normal 5 3 4 3 6 2" xfId="6889" xr:uid="{00000000-0005-0000-0000-00004F1A0000}"/>
    <cellStyle name="Normal 5 3 4 3 6 2 2" xfId="15339" xr:uid="{C60D6D5E-DCDA-4D0C-B86D-120DFB2B9602}"/>
    <cellStyle name="Normal 5 3 4 3 6 2 3" xfId="23779" xr:uid="{D85A5B61-8E12-40FB-BCE7-42C6A888D13E}"/>
    <cellStyle name="Normal 5 3 4 3 6 2 4" xfId="32219" xr:uid="{DC6CA4BF-D590-4619-AB7E-D263F1692108}"/>
    <cellStyle name="Normal 5 3 4 3 6 3" xfId="11121" xr:uid="{ABAC8C18-3CAC-4EF2-B75F-C36472DE6C32}"/>
    <cellStyle name="Normal 5 3 4 3 6 4" xfId="19562" xr:uid="{0E211001-DD9D-4A45-86FB-575991F419C3}"/>
    <cellStyle name="Normal 5 3 4 3 6 5" xfId="28002" xr:uid="{A0E0F3CA-75F3-4087-A73E-D78C301E626C}"/>
    <cellStyle name="Normal 5 3 4 3 7" xfId="4824" xr:uid="{00000000-0005-0000-0000-0000501A0000}"/>
    <cellStyle name="Normal 5 3 4 3 7 2" xfId="13274" xr:uid="{1D5B730C-44D3-4C29-9AC1-C415D545FABF}"/>
    <cellStyle name="Normal 5 3 4 3 7 3" xfId="21714" xr:uid="{14F61DC8-460D-47DF-8ED9-4485DAAD3DE8}"/>
    <cellStyle name="Normal 5 3 4 3 7 4" xfId="30154" xr:uid="{8745C76E-1A7B-4ABB-BF19-12F6D66C5DFC}"/>
    <cellStyle name="Normal 5 3 4 3 8" xfId="9056" xr:uid="{5F590204-8EED-41D1-ACF9-20DE6C1CAF0D}"/>
    <cellStyle name="Normal 5 3 4 3 9" xfId="17497" xr:uid="{D446F606-FCE3-4033-9ED2-84D045755F81}"/>
    <cellStyle name="Normal 5 3 4 4" xfId="923" xr:uid="{00000000-0005-0000-0000-0000511A0000}"/>
    <cellStyle name="Normal 5 3 4 4 2" xfId="3157" xr:uid="{00000000-0005-0000-0000-0000521A0000}"/>
    <cellStyle name="Normal 5 3 4 4 2 2" xfId="7379" xr:uid="{00000000-0005-0000-0000-0000531A0000}"/>
    <cellStyle name="Normal 5 3 4 4 2 2 2" xfId="15829" xr:uid="{BCB983E1-316A-4580-A4AF-A59837062A54}"/>
    <cellStyle name="Normal 5 3 4 4 2 2 3" xfId="24269" xr:uid="{EFC79C04-1232-4BEF-ABF4-08A59DEAAE20}"/>
    <cellStyle name="Normal 5 3 4 4 2 2 4" xfId="32709" xr:uid="{FEEE8219-B9AD-414D-A838-EA8005385239}"/>
    <cellStyle name="Normal 5 3 4 4 2 3" xfId="11611" xr:uid="{EAF030E4-0830-40D1-B92B-134A93437C7E}"/>
    <cellStyle name="Normal 5 3 4 4 2 4" xfId="20052" xr:uid="{20077985-2D0B-445E-903D-31A1A3EF05ED}"/>
    <cellStyle name="Normal 5 3 4 4 2 5" xfId="28492" xr:uid="{1C54F139-F846-4D07-91EE-5242FC243B43}"/>
    <cellStyle name="Normal 5 3 4 4 3" xfId="5234" xr:uid="{00000000-0005-0000-0000-0000541A0000}"/>
    <cellStyle name="Normal 5 3 4 4 3 2" xfId="13684" xr:uid="{7DF60059-40DE-42ED-9215-2B3B6BBC76B7}"/>
    <cellStyle name="Normal 5 3 4 4 3 3" xfId="22124" xr:uid="{7C662EB8-9CC5-4D95-A2EF-A91BACF7CC9E}"/>
    <cellStyle name="Normal 5 3 4 4 3 4" xfId="30564" xr:uid="{643A9FFE-FF78-4194-9165-B34B22868BFF}"/>
    <cellStyle name="Normal 5 3 4 4 4" xfId="9466" xr:uid="{2BB9B0FD-F6D8-4914-A812-34630EF38BDE}"/>
    <cellStyle name="Normal 5 3 4 4 5" xfId="17907" xr:uid="{5B63F7ED-918F-4339-84D7-A355AF8D38AF}"/>
    <cellStyle name="Normal 5 3 4 4 6" xfId="26347" xr:uid="{21AAB6D3-6DB0-47AA-B2CF-90ABB3AB9CD5}"/>
    <cellStyle name="Normal 5 3 4 5" xfId="1340" xr:uid="{00000000-0005-0000-0000-0000551A0000}"/>
    <cellStyle name="Normal 5 3 4 5 2" xfId="3570" xr:uid="{00000000-0005-0000-0000-0000561A0000}"/>
    <cellStyle name="Normal 5 3 4 5 2 2" xfId="7792" xr:uid="{00000000-0005-0000-0000-0000571A0000}"/>
    <cellStyle name="Normal 5 3 4 5 2 2 2" xfId="16242" xr:uid="{3062ED83-BB2C-4549-A55E-CA2550813D6F}"/>
    <cellStyle name="Normal 5 3 4 5 2 2 3" xfId="24682" xr:uid="{7F16CF07-0FB8-404B-A95C-5EAB31D4481C}"/>
    <cellStyle name="Normal 5 3 4 5 2 2 4" xfId="33122" xr:uid="{3F93C1BE-602D-4BD5-ACD2-089BCCCA36A1}"/>
    <cellStyle name="Normal 5 3 4 5 2 3" xfId="12024" xr:uid="{F11D75D0-8C06-43C9-AEF6-BA497FB79931}"/>
    <cellStyle name="Normal 5 3 4 5 2 4" xfId="20465" xr:uid="{0916BCEC-B201-4148-AF8D-2AEB601E5176}"/>
    <cellStyle name="Normal 5 3 4 5 2 5" xfId="28905" xr:uid="{97886DE2-2414-40C7-AB80-254C0E1483F3}"/>
    <cellStyle name="Normal 5 3 4 5 3" xfId="5647" xr:uid="{00000000-0005-0000-0000-0000581A0000}"/>
    <cellStyle name="Normal 5 3 4 5 3 2" xfId="14097" xr:uid="{1945B925-3C08-4FB4-B600-C1BB71383012}"/>
    <cellStyle name="Normal 5 3 4 5 3 3" xfId="22537" xr:uid="{67EAAFB3-619D-4151-9F6E-AB984C46236C}"/>
    <cellStyle name="Normal 5 3 4 5 3 4" xfId="30977" xr:uid="{E10A5BEB-C9DA-46FB-9163-C786772F0658}"/>
    <cellStyle name="Normal 5 3 4 5 4" xfId="9879" xr:uid="{2DDC0009-8F2B-4969-BED1-3FAB715845AD}"/>
    <cellStyle name="Normal 5 3 4 5 5" xfId="18320" xr:uid="{DA0B6DA4-50E5-43B9-A9FC-7C314C9C3ED9}"/>
    <cellStyle name="Normal 5 3 4 5 6" xfId="26760" xr:uid="{CD5909CC-ACBC-4966-B2C3-A5BACF98BEB9}"/>
    <cellStyle name="Normal 5 3 4 6" xfId="1753" xr:uid="{00000000-0005-0000-0000-0000591A0000}"/>
    <cellStyle name="Normal 5 3 4 6 2" xfId="3983" xr:uid="{00000000-0005-0000-0000-00005A1A0000}"/>
    <cellStyle name="Normal 5 3 4 6 2 2" xfId="8205" xr:uid="{00000000-0005-0000-0000-00005B1A0000}"/>
    <cellStyle name="Normal 5 3 4 6 2 2 2" xfId="16655" xr:uid="{CE312BC6-8CCD-4E03-9B2F-54040C3F9F2D}"/>
    <cellStyle name="Normal 5 3 4 6 2 2 3" xfId="25095" xr:uid="{69ADB1CB-2332-4999-89C8-7A7B1B8CE4B7}"/>
    <cellStyle name="Normal 5 3 4 6 2 2 4" xfId="33535" xr:uid="{56A7199C-ABDD-482A-9CF2-78F0011E6753}"/>
    <cellStyle name="Normal 5 3 4 6 2 3" xfId="12437" xr:uid="{42BB1943-8689-4C75-8858-815AFE3D40BB}"/>
    <cellStyle name="Normal 5 3 4 6 2 4" xfId="20878" xr:uid="{ABCCFCFE-5319-4507-8363-60865383760B}"/>
    <cellStyle name="Normal 5 3 4 6 2 5" xfId="29318" xr:uid="{D47A7170-4095-4FA3-AFD9-7B466EE48880}"/>
    <cellStyle name="Normal 5 3 4 6 3" xfId="6060" xr:uid="{00000000-0005-0000-0000-00005C1A0000}"/>
    <cellStyle name="Normal 5 3 4 6 3 2" xfId="14510" xr:uid="{352C877E-B45C-462A-850A-96CF32A441FA}"/>
    <cellStyle name="Normal 5 3 4 6 3 3" xfId="22950" xr:uid="{5C994496-EBA7-4E34-8990-71ED49982926}"/>
    <cellStyle name="Normal 5 3 4 6 3 4" xfId="31390" xr:uid="{9839C3FC-A8F9-43B5-AD80-CA8E549AA409}"/>
    <cellStyle name="Normal 5 3 4 6 4" xfId="10292" xr:uid="{ABB84148-6305-47C5-BD7B-7B3140140915}"/>
    <cellStyle name="Normal 5 3 4 6 5" xfId="18733" xr:uid="{FB7BD74B-6EC1-4750-B7BD-58947D755AAE}"/>
    <cellStyle name="Normal 5 3 4 6 6" xfId="27173" xr:uid="{2BB7595B-0B1A-4625-B97E-5ED29983EA72}"/>
    <cellStyle name="Normal 5 3 4 7" xfId="2167" xr:uid="{00000000-0005-0000-0000-00005D1A0000}"/>
    <cellStyle name="Normal 5 3 4 7 2" xfId="4396" xr:uid="{00000000-0005-0000-0000-00005E1A0000}"/>
    <cellStyle name="Normal 5 3 4 7 2 2" xfId="8618" xr:uid="{00000000-0005-0000-0000-00005F1A0000}"/>
    <cellStyle name="Normal 5 3 4 7 2 2 2" xfId="17068" xr:uid="{ADA15D22-FD7A-489A-8D7B-8B49AD108038}"/>
    <cellStyle name="Normal 5 3 4 7 2 2 3" xfId="25508" xr:uid="{80776B7C-3418-4610-BA25-991719D0FBF0}"/>
    <cellStyle name="Normal 5 3 4 7 2 2 4" xfId="33948" xr:uid="{2E1E8AAA-0F57-44DE-A5C0-C96EAFF1C068}"/>
    <cellStyle name="Normal 5 3 4 7 2 3" xfId="12850" xr:uid="{BDF392AA-68D2-469F-839D-4D4B37A14FD6}"/>
    <cellStyle name="Normal 5 3 4 7 2 4" xfId="21291" xr:uid="{D7675C4A-5671-40AE-AC94-FB5F625BE7B9}"/>
    <cellStyle name="Normal 5 3 4 7 2 5" xfId="29731" xr:uid="{D1A2972E-1C67-4119-BA90-E78B5639B188}"/>
    <cellStyle name="Normal 5 3 4 7 3" xfId="6473" xr:uid="{00000000-0005-0000-0000-0000601A0000}"/>
    <cellStyle name="Normal 5 3 4 7 3 2" xfId="14923" xr:uid="{6E8F970D-EA81-4F67-9A54-F6B8DA3F6A21}"/>
    <cellStyle name="Normal 5 3 4 7 3 3" xfId="23363" xr:uid="{1D582EF0-C414-47F1-BC84-AD7A7E32AAE1}"/>
    <cellStyle name="Normal 5 3 4 7 3 4" xfId="31803" xr:uid="{BBFD198E-675E-46E0-BC71-F5B3FC1E8F78}"/>
    <cellStyle name="Normal 5 3 4 7 4" xfId="10705" xr:uid="{ADA57BB8-9F38-483E-8EB2-5828657CC6F8}"/>
    <cellStyle name="Normal 5 3 4 7 5" xfId="19146" xr:uid="{2D3C8ED7-DA57-426D-B0B7-59DCA8A06BC8}"/>
    <cellStyle name="Normal 5 3 4 7 6" xfId="27586" xr:uid="{DCE2BA02-BB33-4A7C-89CC-16BA67C1DC49}"/>
    <cellStyle name="Normal 5 3 4 8" xfId="2603" xr:uid="{00000000-0005-0000-0000-0000611A0000}"/>
    <cellStyle name="Normal 5 3 4 8 2" xfId="6886" xr:uid="{00000000-0005-0000-0000-0000621A0000}"/>
    <cellStyle name="Normal 5 3 4 8 2 2" xfId="15336" xr:uid="{5C848B3B-B7C3-44FD-91DF-2220B7E23830}"/>
    <cellStyle name="Normal 5 3 4 8 2 3" xfId="23776" xr:uid="{393B4CBE-74C5-4B0C-8AAE-5ED6B5CD51DC}"/>
    <cellStyle name="Normal 5 3 4 8 2 4" xfId="32216" xr:uid="{A85D5E7C-8AAC-48C0-81B5-2AC908021D32}"/>
    <cellStyle name="Normal 5 3 4 8 3" xfId="11118" xr:uid="{1C738336-EC56-4FA5-9523-3067AB9AA5A9}"/>
    <cellStyle name="Normal 5 3 4 8 4" xfId="19559" xr:uid="{0380D6B4-8228-4A57-971B-B012D2E3225C}"/>
    <cellStyle name="Normal 5 3 4 8 5" xfId="27999" xr:uid="{00D35906-C3F8-4857-8B04-23EF2E2E5358}"/>
    <cellStyle name="Normal 5 3 4 9" xfId="4821" xr:uid="{00000000-0005-0000-0000-0000631A0000}"/>
    <cellStyle name="Normal 5 3 4 9 2" xfId="13271" xr:uid="{3817E8BC-FE58-4E35-9BB4-A5050085CE23}"/>
    <cellStyle name="Normal 5 3 4 9 3" xfId="21711" xr:uid="{71CEF018-D4A7-4D10-BBB7-A5969DB8249D}"/>
    <cellStyle name="Normal 5 3 4 9 4" xfId="30151" xr:uid="{6BC0FB49-FF1B-4067-9D92-6FCA567792BC}"/>
    <cellStyle name="Normal 5 3 5" xfId="453" xr:uid="{00000000-0005-0000-0000-0000641A0000}"/>
    <cellStyle name="Normal 5 3 5 10" xfId="17498" xr:uid="{8EDBD24E-8788-4440-AF9A-6EBE021CAD95}"/>
    <cellStyle name="Normal 5 3 5 11" xfId="25938" xr:uid="{0067247E-35F8-4816-B475-A0FADFC58560}"/>
    <cellStyle name="Normal 5 3 5 2" xfId="454" xr:uid="{00000000-0005-0000-0000-0000651A0000}"/>
    <cellStyle name="Normal 5 3 5 2 10" xfId="25939" xr:uid="{DFB8977C-89AF-449F-BD90-755C7D214342}"/>
    <cellStyle name="Normal 5 3 5 2 2" xfId="928" xr:uid="{00000000-0005-0000-0000-0000661A0000}"/>
    <cellStyle name="Normal 5 3 5 2 2 2" xfId="3162" xr:uid="{00000000-0005-0000-0000-0000671A0000}"/>
    <cellStyle name="Normal 5 3 5 2 2 2 2" xfId="7384" xr:uid="{00000000-0005-0000-0000-0000681A0000}"/>
    <cellStyle name="Normal 5 3 5 2 2 2 2 2" xfId="15834" xr:uid="{E5638765-68D3-48A0-935B-799F2358A06E}"/>
    <cellStyle name="Normal 5 3 5 2 2 2 2 3" xfId="24274" xr:uid="{35E4DB77-BD72-4552-844B-0A394C7F7A31}"/>
    <cellStyle name="Normal 5 3 5 2 2 2 2 4" xfId="32714" xr:uid="{ED684FFF-CD2B-4E9F-8260-9B805F987157}"/>
    <cellStyle name="Normal 5 3 5 2 2 2 3" xfId="11616" xr:uid="{F81CD746-4F51-4BC2-BC3E-00E98F5D4BE7}"/>
    <cellStyle name="Normal 5 3 5 2 2 2 4" xfId="20057" xr:uid="{E7815E3E-C7F2-41A8-8B88-057BF88A9561}"/>
    <cellStyle name="Normal 5 3 5 2 2 2 5" xfId="28497" xr:uid="{5AB6795E-630B-4514-97BA-500F60DF0EBA}"/>
    <cellStyle name="Normal 5 3 5 2 2 3" xfId="5239" xr:uid="{00000000-0005-0000-0000-0000691A0000}"/>
    <cellStyle name="Normal 5 3 5 2 2 3 2" xfId="13689" xr:uid="{03EBDA74-CBCE-4C68-B59C-AD3DCB8EA483}"/>
    <cellStyle name="Normal 5 3 5 2 2 3 3" xfId="22129" xr:uid="{903D631B-4FC7-418D-A9D2-0240C5052EF8}"/>
    <cellStyle name="Normal 5 3 5 2 2 3 4" xfId="30569" xr:uid="{80817B2A-54BD-4AB1-9BB0-40D27F1F86E5}"/>
    <cellStyle name="Normal 5 3 5 2 2 4" xfId="9471" xr:uid="{F86EF51E-12E7-49F4-9E9F-31FD937FAD4B}"/>
    <cellStyle name="Normal 5 3 5 2 2 5" xfId="17912" xr:uid="{B4654F5B-8C85-4BD4-BE28-FE3F09625604}"/>
    <cellStyle name="Normal 5 3 5 2 2 6" xfId="26352" xr:uid="{EF1A0A0F-C07C-4AAC-9407-CAF19E40060C}"/>
    <cellStyle name="Normal 5 3 5 2 3" xfId="1345" xr:uid="{00000000-0005-0000-0000-00006A1A0000}"/>
    <cellStyle name="Normal 5 3 5 2 3 2" xfId="3575" xr:uid="{00000000-0005-0000-0000-00006B1A0000}"/>
    <cellStyle name="Normal 5 3 5 2 3 2 2" xfId="7797" xr:uid="{00000000-0005-0000-0000-00006C1A0000}"/>
    <cellStyle name="Normal 5 3 5 2 3 2 2 2" xfId="16247" xr:uid="{CA1CF16D-B29F-405E-A0A5-918C28A2DEF2}"/>
    <cellStyle name="Normal 5 3 5 2 3 2 2 3" xfId="24687" xr:uid="{3FEA9AEB-FDB0-4096-B047-41C91B04F752}"/>
    <cellStyle name="Normal 5 3 5 2 3 2 2 4" xfId="33127" xr:uid="{43D91159-A6C2-41C3-8072-C635635067FF}"/>
    <cellStyle name="Normal 5 3 5 2 3 2 3" xfId="12029" xr:uid="{50E9F73C-E289-4502-AA7C-EB510E14197B}"/>
    <cellStyle name="Normal 5 3 5 2 3 2 4" xfId="20470" xr:uid="{77BFEE8F-092C-4C88-B91F-1CC0429D2B3B}"/>
    <cellStyle name="Normal 5 3 5 2 3 2 5" xfId="28910" xr:uid="{31123EE2-28CE-4EDA-9EE3-CBE828E89D08}"/>
    <cellStyle name="Normal 5 3 5 2 3 3" xfId="5652" xr:uid="{00000000-0005-0000-0000-00006D1A0000}"/>
    <cellStyle name="Normal 5 3 5 2 3 3 2" xfId="14102" xr:uid="{C61A735F-5FFF-4C6D-A733-95BAC2641973}"/>
    <cellStyle name="Normal 5 3 5 2 3 3 3" xfId="22542" xr:uid="{554ECF58-4461-4EB2-B2F5-AAC9E4A9A2E7}"/>
    <cellStyle name="Normal 5 3 5 2 3 3 4" xfId="30982" xr:uid="{A86915B9-3EA5-4040-8E31-9555A294E0AE}"/>
    <cellStyle name="Normal 5 3 5 2 3 4" xfId="9884" xr:uid="{C3913BE0-6415-4FDB-93B4-EE8150923114}"/>
    <cellStyle name="Normal 5 3 5 2 3 5" xfId="18325" xr:uid="{62546948-F9C0-4DBE-B886-C10B25539826}"/>
    <cellStyle name="Normal 5 3 5 2 3 6" xfId="26765" xr:uid="{9CF555A6-7A68-448E-96F6-9409D236F527}"/>
    <cellStyle name="Normal 5 3 5 2 4" xfId="1758" xr:uid="{00000000-0005-0000-0000-00006E1A0000}"/>
    <cellStyle name="Normal 5 3 5 2 4 2" xfId="3988" xr:uid="{00000000-0005-0000-0000-00006F1A0000}"/>
    <cellStyle name="Normal 5 3 5 2 4 2 2" xfId="8210" xr:uid="{00000000-0005-0000-0000-0000701A0000}"/>
    <cellStyle name="Normal 5 3 5 2 4 2 2 2" xfId="16660" xr:uid="{7654558F-ABC8-40B7-8D7B-B2F4A0D242D6}"/>
    <cellStyle name="Normal 5 3 5 2 4 2 2 3" xfId="25100" xr:uid="{6403FD91-B9C8-418F-9EF0-4EF896356AD5}"/>
    <cellStyle name="Normal 5 3 5 2 4 2 2 4" xfId="33540" xr:uid="{C0D5A0A7-2E3B-4128-BA0C-F645D236FC22}"/>
    <cellStyle name="Normal 5 3 5 2 4 2 3" xfId="12442" xr:uid="{1B7E2178-E1D9-4FA5-A0E1-4091FF26A965}"/>
    <cellStyle name="Normal 5 3 5 2 4 2 4" xfId="20883" xr:uid="{E5825BA5-6AFC-4156-97ED-2AA1C1FE991D}"/>
    <cellStyle name="Normal 5 3 5 2 4 2 5" xfId="29323" xr:uid="{2F3BE513-8BB8-4EE2-8B26-636CCE90E640}"/>
    <cellStyle name="Normal 5 3 5 2 4 3" xfId="6065" xr:uid="{00000000-0005-0000-0000-0000711A0000}"/>
    <cellStyle name="Normal 5 3 5 2 4 3 2" xfId="14515" xr:uid="{EA1A6143-18FF-4F5F-B1BB-FDEF601D2143}"/>
    <cellStyle name="Normal 5 3 5 2 4 3 3" xfId="22955" xr:uid="{65B895FA-48A0-47BF-9298-F0EB725CF252}"/>
    <cellStyle name="Normal 5 3 5 2 4 3 4" xfId="31395" xr:uid="{E568D943-1FB7-4E39-B11B-2781B26C835A}"/>
    <cellStyle name="Normal 5 3 5 2 4 4" xfId="10297" xr:uid="{85A46D6F-0C9D-42F6-BB2F-7D11F1E5DE73}"/>
    <cellStyle name="Normal 5 3 5 2 4 5" xfId="18738" xr:uid="{B3D919AE-1DD2-4A45-85EA-A238F0599248}"/>
    <cellStyle name="Normal 5 3 5 2 4 6" xfId="27178" xr:uid="{FA0460BA-7D3E-4C09-8EB2-113477AE1F61}"/>
    <cellStyle name="Normal 5 3 5 2 5" xfId="2172" xr:uid="{00000000-0005-0000-0000-0000721A0000}"/>
    <cellStyle name="Normal 5 3 5 2 5 2" xfId="4401" xr:uid="{00000000-0005-0000-0000-0000731A0000}"/>
    <cellStyle name="Normal 5 3 5 2 5 2 2" xfId="8623" xr:uid="{00000000-0005-0000-0000-0000741A0000}"/>
    <cellStyle name="Normal 5 3 5 2 5 2 2 2" xfId="17073" xr:uid="{14589F64-CF93-4C5C-9B49-678FF4C1AF44}"/>
    <cellStyle name="Normal 5 3 5 2 5 2 2 3" xfId="25513" xr:uid="{F532B32B-77C5-4E83-9DCF-657DCBAA53E3}"/>
    <cellStyle name="Normal 5 3 5 2 5 2 2 4" xfId="33953" xr:uid="{AD792369-1E4F-4638-987D-F970707624CD}"/>
    <cellStyle name="Normal 5 3 5 2 5 2 3" xfId="12855" xr:uid="{2911A141-B5E6-4A01-B4C2-AB8900BBFD36}"/>
    <cellStyle name="Normal 5 3 5 2 5 2 4" xfId="21296" xr:uid="{39D69EC1-A70B-4C3F-984B-D92D0541558D}"/>
    <cellStyle name="Normal 5 3 5 2 5 2 5" xfId="29736" xr:uid="{CAC7EFA1-8686-4C31-A208-17FBA4E3E13F}"/>
    <cellStyle name="Normal 5 3 5 2 5 3" xfId="6478" xr:uid="{00000000-0005-0000-0000-0000751A0000}"/>
    <cellStyle name="Normal 5 3 5 2 5 3 2" xfId="14928" xr:uid="{2BCE1E4A-EB3C-4D36-9D40-5CF79A15B212}"/>
    <cellStyle name="Normal 5 3 5 2 5 3 3" xfId="23368" xr:uid="{1361EEA3-710A-420A-B858-B1DF7219BA3A}"/>
    <cellStyle name="Normal 5 3 5 2 5 3 4" xfId="31808" xr:uid="{8ECAD9F5-4C2B-487D-AA69-5EE1361336B5}"/>
    <cellStyle name="Normal 5 3 5 2 5 4" xfId="10710" xr:uid="{CFB5D613-804E-48C3-B68E-BF76FA6FE3AE}"/>
    <cellStyle name="Normal 5 3 5 2 5 5" xfId="19151" xr:uid="{7BAEC6A0-0296-46FE-809B-E467AD84DC8C}"/>
    <cellStyle name="Normal 5 3 5 2 5 6" xfId="27591" xr:uid="{D4B69DC5-A0B8-4D4A-91B8-B363D0F15AE6}"/>
    <cellStyle name="Normal 5 3 5 2 6" xfId="2608" xr:uid="{00000000-0005-0000-0000-0000761A0000}"/>
    <cellStyle name="Normal 5 3 5 2 6 2" xfId="6891" xr:uid="{00000000-0005-0000-0000-0000771A0000}"/>
    <cellStyle name="Normal 5 3 5 2 6 2 2" xfId="15341" xr:uid="{3E68E71B-ECC5-46E9-A921-63513536A6A2}"/>
    <cellStyle name="Normal 5 3 5 2 6 2 3" xfId="23781" xr:uid="{A1810AEA-C5AE-419E-94A5-92D5FB1784B5}"/>
    <cellStyle name="Normal 5 3 5 2 6 2 4" xfId="32221" xr:uid="{F237144D-652F-4785-867B-584E2B5AAD20}"/>
    <cellStyle name="Normal 5 3 5 2 6 3" xfId="11123" xr:uid="{C779AA52-7E44-4A17-A6B2-2156EBC7AA18}"/>
    <cellStyle name="Normal 5 3 5 2 6 4" xfId="19564" xr:uid="{41CCCDAA-524B-46F5-8E53-45333C8FDD59}"/>
    <cellStyle name="Normal 5 3 5 2 6 5" xfId="28004" xr:uid="{0C07AA90-8812-4F06-8A0B-5AAD5F7BA5A4}"/>
    <cellStyle name="Normal 5 3 5 2 7" xfId="4826" xr:uid="{00000000-0005-0000-0000-0000781A0000}"/>
    <cellStyle name="Normal 5 3 5 2 7 2" xfId="13276" xr:uid="{F18B522F-76B9-4577-A3BB-758ECCAFB593}"/>
    <cellStyle name="Normal 5 3 5 2 7 3" xfId="21716" xr:uid="{71AA4829-CE66-4AE3-8898-36C0E0FEB0B2}"/>
    <cellStyle name="Normal 5 3 5 2 7 4" xfId="30156" xr:uid="{BCA472CF-1CCC-4BC4-9DCE-8B2E2A62E0F8}"/>
    <cellStyle name="Normal 5 3 5 2 8" xfId="9058" xr:uid="{0EA2A117-EE7D-4DFF-BAFC-65591E39CA42}"/>
    <cellStyle name="Normal 5 3 5 2 9" xfId="17499" xr:uid="{2D3469D6-3691-4962-B271-051EE766EDC0}"/>
    <cellStyle name="Normal 5 3 5 3" xfId="927" xr:uid="{00000000-0005-0000-0000-0000791A0000}"/>
    <cellStyle name="Normal 5 3 5 3 2" xfId="3161" xr:uid="{00000000-0005-0000-0000-00007A1A0000}"/>
    <cellStyle name="Normal 5 3 5 3 2 2" xfId="7383" xr:uid="{00000000-0005-0000-0000-00007B1A0000}"/>
    <cellStyle name="Normal 5 3 5 3 2 2 2" xfId="15833" xr:uid="{A90C302A-1554-428C-A6E5-1CA2DB58957F}"/>
    <cellStyle name="Normal 5 3 5 3 2 2 3" xfId="24273" xr:uid="{41BEC43D-B0A3-4B00-9E2D-EF4B4066876A}"/>
    <cellStyle name="Normal 5 3 5 3 2 2 4" xfId="32713" xr:uid="{4324F459-143A-4845-84CE-2729507C9C03}"/>
    <cellStyle name="Normal 5 3 5 3 2 3" xfId="11615" xr:uid="{3F81403F-A46D-4A8A-B33E-60B36DA07006}"/>
    <cellStyle name="Normal 5 3 5 3 2 4" xfId="20056" xr:uid="{5E6460BE-AC2D-4488-B9B4-DB53D71237F6}"/>
    <cellStyle name="Normal 5 3 5 3 2 5" xfId="28496" xr:uid="{B5CAD71C-804D-487F-84C3-2DAF82D3BED9}"/>
    <cellStyle name="Normal 5 3 5 3 3" xfId="5238" xr:uid="{00000000-0005-0000-0000-00007C1A0000}"/>
    <cellStyle name="Normal 5 3 5 3 3 2" xfId="13688" xr:uid="{3D8FC212-686D-497E-80AB-6CF41823896A}"/>
    <cellStyle name="Normal 5 3 5 3 3 3" xfId="22128" xr:uid="{D760C3C4-C540-4D2F-A641-3D8E41D9CC80}"/>
    <cellStyle name="Normal 5 3 5 3 3 4" xfId="30568" xr:uid="{40ABCB6D-E65A-4DF7-969D-1CE065843DB7}"/>
    <cellStyle name="Normal 5 3 5 3 4" xfId="9470" xr:uid="{1372A0A6-5612-4EF0-B2AD-60339F20AE55}"/>
    <cellStyle name="Normal 5 3 5 3 5" xfId="17911" xr:uid="{65B46779-6F56-4AD2-BE09-43F8AEDE3B6F}"/>
    <cellStyle name="Normal 5 3 5 3 6" xfId="26351" xr:uid="{4F19E546-068C-4296-BAD3-D641F655AFE8}"/>
    <cellStyle name="Normal 5 3 5 4" xfId="1344" xr:uid="{00000000-0005-0000-0000-00007D1A0000}"/>
    <cellStyle name="Normal 5 3 5 4 2" xfId="3574" xr:uid="{00000000-0005-0000-0000-00007E1A0000}"/>
    <cellStyle name="Normal 5 3 5 4 2 2" xfId="7796" xr:uid="{00000000-0005-0000-0000-00007F1A0000}"/>
    <cellStyle name="Normal 5 3 5 4 2 2 2" xfId="16246" xr:uid="{5A758725-7F73-44D4-9B09-53DE52E297B1}"/>
    <cellStyle name="Normal 5 3 5 4 2 2 3" xfId="24686" xr:uid="{DDF393A9-A0D9-4BC6-8A76-F23EB781AD74}"/>
    <cellStyle name="Normal 5 3 5 4 2 2 4" xfId="33126" xr:uid="{316D0A5D-3971-4EC2-914A-DE2E60C86262}"/>
    <cellStyle name="Normal 5 3 5 4 2 3" xfId="12028" xr:uid="{B4B24ADC-76A0-4221-BDC5-10D618BCBB92}"/>
    <cellStyle name="Normal 5 3 5 4 2 4" xfId="20469" xr:uid="{439393B1-032B-4763-8492-4BC5D6F9469E}"/>
    <cellStyle name="Normal 5 3 5 4 2 5" xfId="28909" xr:uid="{EA09B08D-F732-48E0-995C-9B1F1B40069B}"/>
    <cellStyle name="Normal 5 3 5 4 3" xfId="5651" xr:uid="{00000000-0005-0000-0000-0000801A0000}"/>
    <cellStyle name="Normal 5 3 5 4 3 2" xfId="14101" xr:uid="{BAF890E6-9730-4FD4-9D37-72ABE1F57823}"/>
    <cellStyle name="Normal 5 3 5 4 3 3" xfId="22541" xr:uid="{3C900EC7-7148-4926-AEAF-0675F46F8604}"/>
    <cellStyle name="Normal 5 3 5 4 3 4" xfId="30981" xr:uid="{F69CA4FB-0445-470C-A5E3-3A21A8AAB4A2}"/>
    <cellStyle name="Normal 5 3 5 4 4" xfId="9883" xr:uid="{F34ABF60-A8EF-42BC-B0B4-FD6A455F5F43}"/>
    <cellStyle name="Normal 5 3 5 4 5" xfId="18324" xr:uid="{820BE489-3C7C-459D-9BF1-D383478FF58C}"/>
    <cellStyle name="Normal 5 3 5 4 6" xfId="26764" xr:uid="{07B8E6C6-4C6A-497F-9F66-5A65ECD0CA3B}"/>
    <cellStyle name="Normal 5 3 5 5" xfId="1757" xr:uid="{00000000-0005-0000-0000-0000811A0000}"/>
    <cellStyle name="Normal 5 3 5 5 2" xfId="3987" xr:uid="{00000000-0005-0000-0000-0000821A0000}"/>
    <cellStyle name="Normal 5 3 5 5 2 2" xfId="8209" xr:uid="{00000000-0005-0000-0000-0000831A0000}"/>
    <cellStyle name="Normal 5 3 5 5 2 2 2" xfId="16659" xr:uid="{5694F31E-AEA7-4D2E-A4F3-750C3DBF005F}"/>
    <cellStyle name="Normal 5 3 5 5 2 2 3" xfId="25099" xr:uid="{A66F4C53-058D-45DC-8347-6F7F62CBA6E7}"/>
    <cellStyle name="Normal 5 3 5 5 2 2 4" xfId="33539" xr:uid="{04B78513-4D14-4808-B194-6BE1DD85AA7B}"/>
    <cellStyle name="Normal 5 3 5 5 2 3" xfId="12441" xr:uid="{6742CDC7-FE71-4223-9706-12798EEB5E10}"/>
    <cellStyle name="Normal 5 3 5 5 2 4" xfId="20882" xr:uid="{087CABF9-8789-4ECA-8E57-EAA749A3CF6A}"/>
    <cellStyle name="Normal 5 3 5 5 2 5" xfId="29322" xr:uid="{4C5BEB93-4E46-44BE-960C-9EA3E6E9C6C6}"/>
    <cellStyle name="Normal 5 3 5 5 3" xfId="6064" xr:uid="{00000000-0005-0000-0000-0000841A0000}"/>
    <cellStyle name="Normal 5 3 5 5 3 2" xfId="14514" xr:uid="{1E2BC294-F042-4563-BB95-105AB62A8D42}"/>
    <cellStyle name="Normal 5 3 5 5 3 3" xfId="22954" xr:uid="{F43D415F-B34E-4824-8AEE-EF54F2BEEB57}"/>
    <cellStyle name="Normal 5 3 5 5 3 4" xfId="31394" xr:uid="{9BACCEFF-3675-4030-8F04-5F3B590C9200}"/>
    <cellStyle name="Normal 5 3 5 5 4" xfId="10296" xr:uid="{C15D41C9-B751-4B93-883A-1DCCA29DB419}"/>
    <cellStyle name="Normal 5 3 5 5 5" xfId="18737" xr:uid="{CF915917-313F-4C07-BB6E-ED8D90A25972}"/>
    <cellStyle name="Normal 5 3 5 5 6" xfId="27177" xr:uid="{2798CF09-6070-4165-9E16-0CBE1F3949E7}"/>
    <cellStyle name="Normal 5 3 5 6" xfId="2171" xr:uid="{00000000-0005-0000-0000-0000851A0000}"/>
    <cellStyle name="Normal 5 3 5 6 2" xfId="4400" xr:uid="{00000000-0005-0000-0000-0000861A0000}"/>
    <cellStyle name="Normal 5 3 5 6 2 2" xfId="8622" xr:uid="{00000000-0005-0000-0000-0000871A0000}"/>
    <cellStyle name="Normal 5 3 5 6 2 2 2" xfId="17072" xr:uid="{1A43615E-A272-45C7-8E3D-08D14DBCFCC7}"/>
    <cellStyle name="Normal 5 3 5 6 2 2 3" xfId="25512" xr:uid="{5A8F1A56-537E-47C4-91F3-4D22354F2387}"/>
    <cellStyle name="Normal 5 3 5 6 2 2 4" xfId="33952" xr:uid="{A0533D0E-ED0A-4C14-98F2-14C313E137DD}"/>
    <cellStyle name="Normal 5 3 5 6 2 3" xfId="12854" xr:uid="{29E9E596-40B3-4AD1-970D-4D496DD890D5}"/>
    <cellStyle name="Normal 5 3 5 6 2 4" xfId="21295" xr:uid="{66F176C0-9F10-4238-B5D8-B2C8A80E072C}"/>
    <cellStyle name="Normal 5 3 5 6 2 5" xfId="29735" xr:uid="{6E409AB1-BDDC-4024-9CF0-9C55EE57E91F}"/>
    <cellStyle name="Normal 5 3 5 6 3" xfId="6477" xr:uid="{00000000-0005-0000-0000-0000881A0000}"/>
    <cellStyle name="Normal 5 3 5 6 3 2" xfId="14927" xr:uid="{A3478F2D-7FFF-4182-8778-BEEFF2B9010A}"/>
    <cellStyle name="Normal 5 3 5 6 3 3" xfId="23367" xr:uid="{04F7089D-87F1-4607-9525-DCDDB98CC51B}"/>
    <cellStyle name="Normal 5 3 5 6 3 4" xfId="31807" xr:uid="{4989C61B-1B5C-4365-8CD6-715AF2E3ECF6}"/>
    <cellStyle name="Normal 5 3 5 6 4" xfId="10709" xr:uid="{12B1382A-2D5E-4452-97EA-ECAAF5FE721F}"/>
    <cellStyle name="Normal 5 3 5 6 5" xfId="19150" xr:uid="{564F5838-F424-4754-AE57-802E8A9EE5E5}"/>
    <cellStyle name="Normal 5 3 5 6 6" xfId="27590" xr:uid="{953913F3-0BB7-44F1-8777-E42D642EF92D}"/>
    <cellStyle name="Normal 5 3 5 7" xfId="2607" xr:uid="{00000000-0005-0000-0000-0000891A0000}"/>
    <cellStyle name="Normal 5 3 5 7 2" xfId="6890" xr:uid="{00000000-0005-0000-0000-00008A1A0000}"/>
    <cellStyle name="Normal 5 3 5 7 2 2" xfId="15340" xr:uid="{0D9D6D3B-F0A9-4E56-A102-EC2A48D2B4FA}"/>
    <cellStyle name="Normal 5 3 5 7 2 3" xfId="23780" xr:uid="{201475C7-2869-49CC-AABD-13C3C80ED314}"/>
    <cellStyle name="Normal 5 3 5 7 2 4" xfId="32220" xr:uid="{56792E2F-9F2C-4EDE-9B57-837D1962EEFC}"/>
    <cellStyle name="Normal 5 3 5 7 3" xfId="11122" xr:uid="{DAB4FC0F-7E34-4DF3-BF5E-9B31CE5B7E1C}"/>
    <cellStyle name="Normal 5 3 5 7 4" xfId="19563" xr:uid="{1052EDB1-0677-4F6B-A313-98A1E6CC5D04}"/>
    <cellStyle name="Normal 5 3 5 7 5" xfId="28003" xr:uid="{6D3E66B8-738B-4556-901B-E9C02D378729}"/>
    <cellStyle name="Normal 5 3 5 8" xfId="4825" xr:uid="{00000000-0005-0000-0000-00008B1A0000}"/>
    <cellStyle name="Normal 5 3 5 8 2" xfId="13275" xr:uid="{F80B8365-D943-49FD-8598-1B54454D460E}"/>
    <cellStyle name="Normal 5 3 5 8 3" xfId="21715" xr:uid="{7BB456AF-C160-4CFF-A02B-A70740E11AC5}"/>
    <cellStyle name="Normal 5 3 5 8 4" xfId="30155" xr:uid="{7F32F0E5-189E-48C1-A000-31AD72F0EC27}"/>
    <cellStyle name="Normal 5 3 5 9" xfId="9057" xr:uid="{3EA6611D-7990-41A9-9FCA-8FF6DCBFC137}"/>
    <cellStyle name="Normal 5 3 6" xfId="455" xr:uid="{00000000-0005-0000-0000-00008C1A0000}"/>
    <cellStyle name="Normal 5 3 6 10" xfId="25940" xr:uid="{06E9DD31-487C-4E4D-ACE0-D7E6445257C2}"/>
    <cellStyle name="Normal 5 3 6 2" xfId="929" xr:uid="{00000000-0005-0000-0000-00008D1A0000}"/>
    <cellStyle name="Normal 5 3 6 2 2" xfId="3163" xr:uid="{00000000-0005-0000-0000-00008E1A0000}"/>
    <cellStyle name="Normal 5 3 6 2 2 2" xfId="7385" xr:uid="{00000000-0005-0000-0000-00008F1A0000}"/>
    <cellStyle name="Normal 5 3 6 2 2 2 2" xfId="15835" xr:uid="{35B8E805-0B31-4499-B271-57C90D965C96}"/>
    <cellStyle name="Normal 5 3 6 2 2 2 3" xfId="24275" xr:uid="{CAFF9D6C-BD71-4737-8EBF-07B2BAD45D6D}"/>
    <cellStyle name="Normal 5 3 6 2 2 2 4" xfId="32715" xr:uid="{1767304E-5888-4CBA-8194-F3395297B05D}"/>
    <cellStyle name="Normal 5 3 6 2 2 3" xfId="11617" xr:uid="{E82DAB9A-B25C-443B-A264-4D0D6FFC089D}"/>
    <cellStyle name="Normal 5 3 6 2 2 4" xfId="20058" xr:uid="{453C5B6F-C347-4197-9D3E-4386F737EFD9}"/>
    <cellStyle name="Normal 5 3 6 2 2 5" xfId="28498" xr:uid="{9BE3FDE0-1697-4DF4-80B6-D57C1E8618A5}"/>
    <cellStyle name="Normal 5 3 6 2 3" xfId="5240" xr:uid="{00000000-0005-0000-0000-0000901A0000}"/>
    <cellStyle name="Normal 5 3 6 2 3 2" xfId="13690" xr:uid="{3352DFD6-201A-4324-B023-0543124D539B}"/>
    <cellStyle name="Normal 5 3 6 2 3 3" xfId="22130" xr:uid="{D03D1760-0297-45DA-91F1-ADE84AF5B996}"/>
    <cellStyle name="Normal 5 3 6 2 3 4" xfId="30570" xr:uid="{3D1C4546-EEB3-491D-8FD4-2BA257489A86}"/>
    <cellStyle name="Normal 5 3 6 2 4" xfId="9472" xr:uid="{A10EB8F5-7C95-42B2-9CF8-83F725B28015}"/>
    <cellStyle name="Normal 5 3 6 2 5" xfId="17913" xr:uid="{4B631412-FF3E-4853-8F9A-32B08516AD41}"/>
    <cellStyle name="Normal 5 3 6 2 6" xfId="26353" xr:uid="{6B136298-BFB1-4CAA-A70A-A92EF964E22A}"/>
    <cellStyle name="Normal 5 3 6 3" xfId="1346" xr:uid="{00000000-0005-0000-0000-0000911A0000}"/>
    <cellStyle name="Normal 5 3 6 3 2" xfId="3576" xr:uid="{00000000-0005-0000-0000-0000921A0000}"/>
    <cellStyle name="Normal 5 3 6 3 2 2" xfId="7798" xr:uid="{00000000-0005-0000-0000-0000931A0000}"/>
    <cellStyle name="Normal 5 3 6 3 2 2 2" xfId="16248" xr:uid="{8D04BF57-04A2-4387-A550-33715698C667}"/>
    <cellStyle name="Normal 5 3 6 3 2 2 3" xfId="24688" xr:uid="{113C5E84-28DA-46B4-A724-467D9411103B}"/>
    <cellStyle name="Normal 5 3 6 3 2 2 4" xfId="33128" xr:uid="{D396F59B-BA1C-4B44-9452-20FC2270DF2C}"/>
    <cellStyle name="Normal 5 3 6 3 2 3" xfId="12030" xr:uid="{CF086C64-8E04-4175-BD7D-4EE52C6E39D8}"/>
    <cellStyle name="Normal 5 3 6 3 2 4" xfId="20471" xr:uid="{34DF7B53-9518-4382-807D-2BB3C39E1227}"/>
    <cellStyle name="Normal 5 3 6 3 2 5" xfId="28911" xr:uid="{0783F966-91D5-4455-B2D6-4F3FBCC6CCBF}"/>
    <cellStyle name="Normal 5 3 6 3 3" xfId="5653" xr:uid="{00000000-0005-0000-0000-0000941A0000}"/>
    <cellStyle name="Normal 5 3 6 3 3 2" xfId="14103" xr:uid="{68C3B573-6333-4028-AF47-AFAF63CAD647}"/>
    <cellStyle name="Normal 5 3 6 3 3 3" xfId="22543" xr:uid="{3A52858D-18C6-48CF-BC08-F9B607B9FAEB}"/>
    <cellStyle name="Normal 5 3 6 3 3 4" xfId="30983" xr:uid="{69FC6DE5-E084-46C3-9CF9-A720F593C74C}"/>
    <cellStyle name="Normal 5 3 6 3 4" xfId="9885" xr:uid="{870D22DD-0A49-4A10-936C-84468D610CB3}"/>
    <cellStyle name="Normal 5 3 6 3 5" xfId="18326" xr:uid="{8EADF4E4-A0C7-4A20-B2EF-C626ADD58095}"/>
    <cellStyle name="Normal 5 3 6 3 6" xfId="26766" xr:uid="{ECAC9589-F464-492F-8128-07858655B09F}"/>
    <cellStyle name="Normal 5 3 6 4" xfId="1759" xr:uid="{00000000-0005-0000-0000-0000951A0000}"/>
    <cellStyle name="Normal 5 3 6 4 2" xfId="3989" xr:uid="{00000000-0005-0000-0000-0000961A0000}"/>
    <cellStyle name="Normal 5 3 6 4 2 2" xfId="8211" xr:uid="{00000000-0005-0000-0000-0000971A0000}"/>
    <cellStyle name="Normal 5 3 6 4 2 2 2" xfId="16661" xr:uid="{9489B325-15A6-4A0D-8F48-2B9A50EA84F2}"/>
    <cellStyle name="Normal 5 3 6 4 2 2 3" xfId="25101" xr:uid="{7C46B999-4D27-47D5-A93A-0B1ADA23410A}"/>
    <cellStyle name="Normal 5 3 6 4 2 2 4" xfId="33541" xr:uid="{3BE01257-7255-4225-9234-00BCA414AD45}"/>
    <cellStyle name="Normal 5 3 6 4 2 3" xfId="12443" xr:uid="{47897800-67BA-4C27-A8D8-1ACC03FE4C99}"/>
    <cellStyle name="Normal 5 3 6 4 2 4" xfId="20884" xr:uid="{F108E5A7-A547-4F59-93B1-EDD920D17500}"/>
    <cellStyle name="Normal 5 3 6 4 2 5" xfId="29324" xr:uid="{2BE7617E-AE8A-4C72-9CCC-B050ADC4C5AA}"/>
    <cellStyle name="Normal 5 3 6 4 3" xfId="6066" xr:uid="{00000000-0005-0000-0000-0000981A0000}"/>
    <cellStyle name="Normal 5 3 6 4 3 2" xfId="14516" xr:uid="{F94F6549-C081-4CB7-ADE8-948DA3F5BCFA}"/>
    <cellStyle name="Normal 5 3 6 4 3 3" xfId="22956" xr:uid="{181E6E0A-F0B5-45AC-B57A-A2C13768E804}"/>
    <cellStyle name="Normal 5 3 6 4 3 4" xfId="31396" xr:uid="{9CA0198F-ADB6-4A99-8505-E57EF181B17F}"/>
    <cellStyle name="Normal 5 3 6 4 4" xfId="10298" xr:uid="{8167BF35-D1A4-41F2-8339-53073DF3E928}"/>
    <cellStyle name="Normal 5 3 6 4 5" xfId="18739" xr:uid="{A09756EB-009C-4B48-9C03-8F441904E989}"/>
    <cellStyle name="Normal 5 3 6 4 6" xfId="27179" xr:uid="{38ECC54E-FB92-4CC2-A2C8-F12EA6DBCEE1}"/>
    <cellStyle name="Normal 5 3 6 5" xfId="2173" xr:uid="{00000000-0005-0000-0000-0000991A0000}"/>
    <cellStyle name="Normal 5 3 6 5 2" xfId="4402" xr:uid="{00000000-0005-0000-0000-00009A1A0000}"/>
    <cellStyle name="Normal 5 3 6 5 2 2" xfId="8624" xr:uid="{00000000-0005-0000-0000-00009B1A0000}"/>
    <cellStyle name="Normal 5 3 6 5 2 2 2" xfId="17074" xr:uid="{32CDB521-5B20-4F10-85A8-4E3B6C581B63}"/>
    <cellStyle name="Normal 5 3 6 5 2 2 3" xfId="25514" xr:uid="{EE195F83-684A-431B-89F2-BA423A5FCA5C}"/>
    <cellStyle name="Normal 5 3 6 5 2 2 4" xfId="33954" xr:uid="{A1651902-BBA2-4B83-8C3F-85D2E84AC1CC}"/>
    <cellStyle name="Normal 5 3 6 5 2 3" xfId="12856" xr:uid="{1E557FE1-04C1-4858-816A-C317BBFA3F70}"/>
    <cellStyle name="Normal 5 3 6 5 2 4" xfId="21297" xr:uid="{BEEF6575-6B0A-422D-B495-C2FC9396F6B2}"/>
    <cellStyle name="Normal 5 3 6 5 2 5" xfId="29737" xr:uid="{40904F6E-698A-4A22-9145-C32B94FEB790}"/>
    <cellStyle name="Normal 5 3 6 5 3" xfId="6479" xr:uid="{00000000-0005-0000-0000-00009C1A0000}"/>
    <cellStyle name="Normal 5 3 6 5 3 2" xfId="14929" xr:uid="{558C303B-CF5E-4652-AC0C-51512D128EBB}"/>
    <cellStyle name="Normal 5 3 6 5 3 3" xfId="23369" xr:uid="{3D602FEA-B83D-4763-9E9F-23046E006D92}"/>
    <cellStyle name="Normal 5 3 6 5 3 4" xfId="31809" xr:uid="{CEE684D7-29A7-4B83-84EC-590A4B1548C1}"/>
    <cellStyle name="Normal 5 3 6 5 4" xfId="10711" xr:uid="{25352741-17B8-4EBF-82E7-4D245D75CAF2}"/>
    <cellStyle name="Normal 5 3 6 5 5" xfId="19152" xr:uid="{2F8C9BB5-9246-492B-9024-1FBD4EBAA386}"/>
    <cellStyle name="Normal 5 3 6 5 6" xfId="27592" xr:uid="{C3DA6ADF-4FF3-4679-AB0C-756AD04B2A8F}"/>
    <cellStyle name="Normal 5 3 6 6" xfId="2609" xr:uid="{00000000-0005-0000-0000-00009D1A0000}"/>
    <cellStyle name="Normal 5 3 6 6 2" xfId="6892" xr:uid="{00000000-0005-0000-0000-00009E1A0000}"/>
    <cellStyle name="Normal 5 3 6 6 2 2" xfId="15342" xr:uid="{8A9EDCB5-5874-408F-A585-64AE0DA9CF14}"/>
    <cellStyle name="Normal 5 3 6 6 2 3" xfId="23782" xr:uid="{E67C7E4C-74B1-489A-B744-58F6FB682F50}"/>
    <cellStyle name="Normal 5 3 6 6 2 4" xfId="32222" xr:uid="{D0CE6CCE-6558-409A-9608-7D1D198FFDA8}"/>
    <cellStyle name="Normal 5 3 6 6 3" xfId="11124" xr:uid="{16174759-7CC0-4950-A8E2-9BC0165675B4}"/>
    <cellStyle name="Normal 5 3 6 6 4" xfId="19565" xr:uid="{0120A047-36B9-4FBB-AE4E-6B8A2C6A50A8}"/>
    <cellStyle name="Normal 5 3 6 6 5" xfId="28005" xr:uid="{76D67ACB-3942-472D-A398-190C098D3DD1}"/>
    <cellStyle name="Normal 5 3 6 7" xfId="4827" xr:uid="{00000000-0005-0000-0000-00009F1A0000}"/>
    <cellStyle name="Normal 5 3 6 7 2" xfId="13277" xr:uid="{50D3BBF0-2F22-4C83-B5FD-64D4AE8D0876}"/>
    <cellStyle name="Normal 5 3 6 7 3" xfId="21717" xr:uid="{1A78649D-9B71-4724-B4E7-68512EF8B1C9}"/>
    <cellStyle name="Normal 5 3 6 7 4" xfId="30157" xr:uid="{B3434E24-49D6-47BF-BBC2-13F35F294E5C}"/>
    <cellStyle name="Normal 5 3 6 8" xfId="9059" xr:uid="{AB24AAE8-BFC5-4965-B8C7-9876C4CF2A76}"/>
    <cellStyle name="Normal 5 3 6 9" xfId="17500" xr:uid="{57DA317C-E75F-4522-9DDA-BD6C8007EACD}"/>
    <cellStyle name="Normal 5 3 7" xfId="913" xr:uid="{00000000-0005-0000-0000-0000A01A0000}"/>
    <cellStyle name="Normal 5 3 7 2" xfId="3148" xr:uid="{00000000-0005-0000-0000-0000A11A0000}"/>
    <cellStyle name="Normal 5 3 7 2 2" xfId="7370" xr:uid="{00000000-0005-0000-0000-0000A21A0000}"/>
    <cellStyle name="Normal 5 3 7 2 2 2" xfId="15820" xr:uid="{5EB36B19-B143-4002-A80D-89C2B7060EFB}"/>
    <cellStyle name="Normal 5 3 7 2 2 3" xfId="24260" xr:uid="{F2054C8F-A4DB-4C21-AE3B-1ED24997A728}"/>
    <cellStyle name="Normal 5 3 7 2 2 4" xfId="32700" xr:uid="{FD004B61-C994-4C95-9EE4-DACB4253CEF8}"/>
    <cellStyle name="Normal 5 3 7 2 3" xfId="11602" xr:uid="{612FF5A0-3B54-4848-86E4-30497A1466BC}"/>
    <cellStyle name="Normal 5 3 7 2 4" xfId="20043" xr:uid="{52E9D800-BCF9-4827-A5BD-AE380489116A}"/>
    <cellStyle name="Normal 5 3 7 2 5" xfId="28483" xr:uid="{78A174C3-A801-4206-AED1-D453A2A72357}"/>
    <cellStyle name="Normal 5 3 7 3" xfId="5225" xr:uid="{00000000-0005-0000-0000-0000A31A0000}"/>
    <cellStyle name="Normal 5 3 7 3 2" xfId="13675" xr:uid="{4D121D3A-8CD7-4022-B4E8-6C5F467A7E56}"/>
    <cellStyle name="Normal 5 3 7 3 3" xfId="22115" xr:uid="{F723C60C-86DC-4096-8802-135571DFBC21}"/>
    <cellStyle name="Normal 5 3 7 3 4" xfId="30555" xr:uid="{E29A7156-1E02-4A18-9FB3-3376A133B4D7}"/>
    <cellStyle name="Normal 5 3 7 4" xfId="9457" xr:uid="{CDDB5CF9-073F-4619-90D3-F77EFB34E3EC}"/>
    <cellStyle name="Normal 5 3 7 5" xfId="17898" xr:uid="{DC7825DB-ACF8-409C-BCBF-E77903BC6DC5}"/>
    <cellStyle name="Normal 5 3 7 6" xfId="26338" xr:uid="{9D0F09DB-EF16-4699-93E3-3205E9917658}"/>
    <cellStyle name="Normal 5 3 8" xfId="1331" xr:uid="{00000000-0005-0000-0000-0000A41A0000}"/>
    <cellStyle name="Normal 5 3 8 2" xfId="3561" xr:uid="{00000000-0005-0000-0000-0000A51A0000}"/>
    <cellStyle name="Normal 5 3 8 2 2" xfId="7783" xr:uid="{00000000-0005-0000-0000-0000A61A0000}"/>
    <cellStyle name="Normal 5 3 8 2 2 2" xfId="16233" xr:uid="{7F3EAF7B-BCEC-4408-82D3-E1D31155BCCC}"/>
    <cellStyle name="Normal 5 3 8 2 2 3" xfId="24673" xr:uid="{0DA1C288-C723-445B-AF33-16B67537F1F4}"/>
    <cellStyle name="Normal 5 3 8 2 2 4" xfId="33113" xr:uid="{9FC1B604-43B6-4668-820B-97CE282CE7F5}"/>
    <cellStyle name="Normal 5 3 8 2 3" xfId="12015" xr:uid="{421A4140-146B-4911-ADCF-0255866ED195}"/>
    <cellStyle name="Normal 5 3 8 2 4" xfId="20456" xr:uid="{DA94DBA3-7C30-4F81-94C4-8AFDF85F4F33}"/>
    <cellStyle name="Normal 5 3 8 2 5" xfId="28896" xr:uid="{879B02C9-F444-44D5-A834-E9526A9C8740}"/>
    <cellStyle name="Normal 5 3 8 3" xfId="5638" xr:uid="{00000000-0005-0000-0000-0000A71A0000}"/>
    <cellStyle name="Normal 5 3 8 3 2" xfId="14088" xr:uid="{C06A8F47-74D3-4B7F-BF10-83674C3F71C5}"/>
    <cellStyle name="Normal 5 3 8 3 3" xfId="22528" xr:uid="{ABAEF680-DC8B-4F84-8208-B66D9E1AE5C3}"/>
    <cellStyle name="Normal 5 3 8 3 4" xfId="30968" xr:uid="{3750EF38-88A5-4C33-8B3B-17FA092CAEC6}"/>
    <cellStyle name="Normal 5 3 8 4" xfId="9870" xr:uid="{572A10A7-28AC-4D43-8ACF-8D64ADDA3BE9}"/>
    <cellStyle name="Normal 5 3 8 5" xfId="18311" xr:uid="{5CB237E5-EEB3-4D91-9EB8-7F6364A57C6A}"/>
    <cellStyle name="Normal 5 3 8 6" xfId="26751" xr:uid="{3631849B-62EB-4530-B6DA-A8D992F76167}"/>
    <cellStyle name="Normal 5 3 9" xfId="1744" xr:uid="{00000000-0005-0000-0000-0000A81A0000}"/>
    <cellStyle name="Normal 5 3 9 2" xfId="3974" xr:uid="{00000000-0005-0000-0000-0000A91A0000}"/>
    <cellStyle name="Normal 5 3 9 2 2" xfId="8196" xr:uid="{00000000-0005-0000-0000-0000AA1A0000}"/>
    <cellStyle name="Normal 5 3 9 2 2 2" xfId="16646" xr:uid="{2CA9A885-AAD7-4664-BA6F-8002A408FE92}"/>
    <cellStyle name="Normal 5 3 9 2 2 3" xfId="25086" xr:uid="{21FF3123-06F2-44FD-9954-FF5AE23FF77B}"/>
    <cellStyle name="Normal 5 3 9 2 2 4" xfId="33526" xr:uid="{AEC670B2-8708-464C-919A-055088CF5ACC}"/>
    <cellStyle name="Normal 5 3 9 2 3" xfId="12428" xr:uid="{9D6DD89D-689B-43A5-BAA6-E4679C6723FD}"/>
    <cellStyle name="Normal 5 3 9 2 4" xfId="20869" xr:uid="{B5F4CCA4-6A6A-4607-A5DF-03CBFC51E489}"/>
    <cellStyle name="Normal 5 3 9 2 5" xfId="29309" xr:uid="{CA870DF6-2611-45B5-B073-AD9A7776CC86}"/>
    <cellStyle name="Normal 5 3 9 3" xfId="6051" xr:uid="{00000000-0005-0000-0000-0000AB1A0000}"/>
    <cellStyle name="Normal 5 3 9 3 2" xfId="14501" xr:uid="{5BC090F0-4B1C-45F1-AD59-F5682AB9415B}"/>
    <cellStyle name="Normal 5 3 9 3 3" xfId="22941" xr:uid="{18D3C703-5F17-478F-9D46-56BB91C09A9B}"/>
    <cellStyle name="Normal 5 3 9 3 4" xfId="31381" xr:uid="{7ED2D9B2-7FD2-4565-B48E-0F44BAAA37BC}"/>
    <cellStyle name="Normal 5 3 9 4" xfId="10283" xr:uid="{B8233F32-CE6F-48A0-BCE6-DDE00F70B64C}"/>
    <cellStyle name="Normal 5 3 9 5" xfId="18724" xr:uid="{68700BBD-968F-499D-9E78-8632C6C52BA1}"/>
    <cellStyle name="Normal 5 3 9 6" xfId="27164" xr:uid="{020CC991-D7ED-4F00-8E5A-9842FB5A4B4C}"/>
    <cellStyle name="Normal 5 4" xfId="456" xr:uid="{00000000-0005-0000-0000-0000AC1A0000}"/>
    <cellStyle name="Normal 5 4 10" xfId="4828" xr:uid="{00000000-0005-0000-0000-0000AD1A0000}"/>
    <cellStyle name="Normal 5 4 10 2" xfId="13278" xr:uid="{388BD2F4-9196-479B-8800-C61949C6A604}"/>
    <cellStyle name="Normal 5 4 10 3" xfId="21718" xr:uid="{3C4A3761-7BE7-4AD4-A604-77B305936259}"/>
    <cellStyle name="Normal 5 4 10 4" xfId="30158" xr:uid="{5FAD74A4-D6F6-43E3-B836-6E6867CD4A51}"/>
    <cellStyle name="Normal 5 4 11" xfId="9060" xr:uid="{7671293C-1359-4D80-A90C-188C393AB802}"/>
    <cellStyle name="Normal 5 4 12" xfId="17501" xr:uid="{C63566C4-8962-470A-AEBF-A154FCD00F04}"/>
    <cellStyle name="Normal 5 4 13" xfId="25941" xr:uid="{2699D0AF-20A8-4631-AE49-7C986871F760}"/>
    <cellStyle name="Normal 5 4 2" xfId="457" xr:uid="{00000000-0005-0000-0000-0000AE1A0000}"/>
    <cellStyle name="Normal 5 4 2 10" xfId="9061" xr:uid="{AE944C69-4542-4F98-ABEC-FEE5D2C922C4}"/>
    <cellStyle name="Normal 5 4 2 11" xfId="17502" xr:uid="{D28A6017-36BC-4E25-9740-E34539B6C93C}"/>
    <cellStyle name="Normal 5 4 2 12" xfId="25942" xr:uid="{963A72A2-6796-4757-80A8-E36C0F454F6B}"/>
    <cellStyle name="Normal 5 4 2 2" xfId="458" xr:uid="{00000000-0005-0000-0000-0000AF1A0000}"/>
    <cellStyle name="Normal 5 4 2 2 10" xfId="17503" xr:uid="{591AB0A6-9019-4DE6-983D-160B7E39B043}"/>
    <cellStyle name="Normal 5 4 2 2 11" xfId="25943" xr:uid="{C4C84128-9886-45E0-890F-B657D63A1093}"/>
    <cellStyle name="Normal 5 4 2 2 2" xfId="459" xr:uid="{00000000-0005-0000-0000-0000B01A0000}"/>
    <cellStyle name="Normal 5 4 2 2 2 10" xfId="25944" xr:uid="{D53C5CFC-8C65-43EB-BD69-75F2AFF81D6A}"/>
    <cellStyle name="Normal 5 4 2 2 2 2" xfId="933" xr:uid="{00000000-0005-0000-0000-0000B11A0000}"/>
    <cellStyle name="Normal 5 4 2 2 2 2 2" xfId="3167" xr:uid="{00000000-0005-0000-0000-0000B21A0000}"/>
    <cellStyle name="Normal 5 4 2 2 2 2 2 2" xfId="7389" xr:uid="{00000000-0005-0000-0000-0000B31A0000}"/>
    <cellStyle name="Normal 5 4 2 2 2 2 2 2 2" xfId="15839" xr:uid="{629DF526-D09C-4AC4-9923-112A16D36C55}"/>
    <cellStyle name="Normal 5 4 2 2 2 2 2 2 3" xfId="24279" xr:uid="{61D0C790-406B-4935-A1F2-7D4FFEC559E0}"/>
    <cellStyle name="Normal 5 4 2 2 2 2 2 2 4" xfId="32719" xr:uid="{5820089C-C073-4700-94F8-1B538E88DA3A}"/>
    <cellStyle name="Normal 5 4 2 2 2 2 2 3" xfId="11621" xr:uid="{BBEFE924-2BCC-4D2C-B5F5-84767D5639B3}"/>
    <cellStyle name="Normal 5 4 2 2 2 2 2 4" xfId="20062" xr:uid="{D3A57516-1242-4B77-BF03-2F7EDCBF3FE7}"/>
    <cellStyle name="Normal 5 4 2 2 2 2 2 5" xfId="28502" xr:uid="{D54982B9-86BD-46E2-B7DD-35790A18E645}"/>
    <cellStyle name="Normal 5 4 2 2 2 2 3" xfId="5244" xr:uid="{00000000-0005-0000-0000-0000B41A0000}"/>
    <cellStyle name="Normal 5 4 2 2 2 2 3 2" xfId="13694" xr:uid="{7B090E32-0D56-4C43-9090-CF60DD309933}"/>
    <cellStyle name="Normal 5 4 2 2 2 2 3 3" xfId="22134" xr:uid="{5B0CCACD-373D-456B-8A78-CE2E4213D12D}"/>
    <cellStyle name="Normal 5 4 2 2 2 2 3 4" xfId="30574" xr:uid="{6AD3CE9F-4613-4181-BBFA-CE8296A0BE0D}"/>
    <cellStyle name="Normal 5 4 2 2 2 2 4" xfId="9476" xr:uid="{C2BDB2E4-7127-4D6C-B44C-86E1E944A9E1}"/>
    <cellStyle name="Normal 5 4 2 2 2 2 5" xfId="17917" xr:uid="{D5914F1F-F7D6-42A6-8C81-2DA06CB35242}"/>
    <cellStyle name="Normal 5 4 2 2 2 2 6" xfId="26357" xr:uid="{9BCA1AA8-75A5-4CE9-8C97-C4FDF7106E0C}"/>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2 2 2" xfId="16252" xr:uid="{520FC6B4-2479-471B-9A62-A67BDEB3076C}"/>
    <cellStyle name="Normal 5 4 2 2 2 3 2 2 3" xfId="24692" xr:uid="{64F2C3C7-E9C6-4BA1-A2F6-45BA270022F6}"/>
    <cellStyle name="Normal 5 4 2 2 2 3 2 2 4" xfId="33132" xr:uid="{7FBC9DA9-B9C5-41B7-87E1-7A89BCB31B13}"/>
    <cellStyle name="Normal 5 4 2 2 2 3 2 3" xfId="12034" xr:uid="{A1122FC7-5BA7-4D06-B70C-4CE64A3107B1}"/>
    <cellStyle name="Normal 5 4 2 2 2 3 2 4" xfId="20475" xr:uid="{5D48EBAF-0B41-4FAD-80DA-1BBEA07700FD}"/>
    <cellStyle name="Normal 5 4 2 2 2 3 2 5" xfId="28915" xr:uid="{B4AF3D8B-3630-4036-B75F-BE6A81CE73DD}"/>
    <cellStyle name="Normal 5 4 2 2 2 3 3" xfId="5657" xr:uid="{00000000-0005-0000-0000-0000B81A0000}"/>
    <cellStyle name="Normal 5 4 2 2 2 3 3 2" xfId="14107" xr:uid="{D818A1DA-0721-4D52-8AE0-C8D6133FB3D9}"/>
    <cellStyle name="Normal 5 4 2 2 2 3 3 3" xfId="22547" xr:uid="{E5A28732-3055-44ED-955F-60FB52B85226}"/>
    <cellStyle name="Normal 5 4 2 2 2 3 3 4" xfId="30987" xr:uid="{7B945F56-06F4-42D2-A12F-7EA8481D4E71}"/>
    <cellStyle name="Normal 5 4 2 2 2 3 4" xfId="9889" xr:uid="{03D9AD97-6265-4BEE-BB36-A01FE1AA5257}"/>
    <cellStyle name="Normal 5 4 2 2 2 3 5" xfId="18330" xr:uid="{4462A685-5B0A-4B62-BC41-AEF224CC6E39}"/>
    <cellStyle name="Normal 5 4 2 2 2 3 6" xfId="26770" xr:uid="{C575866B-8EDD-41BB-9DBF-8D7FDED5DF36}"/>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2 2 2" xfId="16665" xr:uid="{F8507A66-3B91-46A6-9A81-0509C117FFFF}"/>
    <cellStyle name="Normal 5 4 2 2 2 4 2 2 3" xfId="25105" xr:uid="{CFF77821-0CB3-4DAE-8EAD-F7494A760119}"/>
    <cellStyle name="Normal 5 4 2 2 2 4 2 2 4" xfId="33545" xr:uid="{B76F0CF9-71A9-4EBA-A159-DE7EF8D605E1}"/>
    <cellStyle name="Normal 5 4 2 2 2 4 2 3" xfId="12447" xr:uid="{F2DF20D8-8614-4BED-B57A-A2B984C55BA0}"/>
    <cellStyle name="Normal 5 4 2 2 2 4 2 4" xfId="20888" xr:uid="{F5E1A17D-02B2-48CB-95CF-9CFAE6C1A05C}"/>
    <cellStyle name="Normal 5 4 2 2 2 4 2 5" xfId="29328" xr:uid="{B55B2509-B4EF-4207-B7F6-03CF573A2C83}"/>
    <cellStyle name="Normal 5 4 2 2 2 4 3" xfId="6070" xr:uid="{00000000-0005-0000-0000-0000BC1A0000}"/>
    <cellStyle name="Normal 5 4 2 2 2 4 3 2" xfId="14520" xr:uid="{4034EA3F-5624-4CB7-895B-B6A965562547}"/>
    <cellStyle name="Normal 5 4 2 2 2 4 3 3" xfId="22960" xr:uid="{DF1F0D21-A232-4CE7-8F37-6BF434615887}"/>
    <cellStyle name="Normal 5 4 2 2 2 4 3 4" xfId="31400" xr:uid="{C05166C9-A262-4367-AEFA-B3BC29F2480A}"/>
    <cellStyle name="Normal 5 4 2 2 2 4 4" xfId="10302" xr:uid="{24C0C551-0813-43EE-8077-89CB9C959536}"/>
    <cellStyle name="Normal 5 4 2 2 2 4 5" xfId="18743" xr:uid="{50E7744C-74CD-4C19-B9BC-64998485C247}"/>
    <cellStyle name="Normal 5 4 2 2 2 4 6" xfId="27183" xr:uid="{7042C3A2-B23B-41B3-A2ED-7D502550F7B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2 2 2" xfId="17078" xr:uid="{DCC3D133-C633-4F66-A36F-2563B4C6F3B6}"/>
    <cellStyle name="Normal 5 4 2 2 2 5 2 2 3" xfId="25518" xr:uid="{18C9B22B-AB7D-47E2-BB39-D803D22AA1B4}"/>
    <cellStyle name="Normal 5 4 2 2 2 5 2 2 4" xfId="33958" xr:uid="{5A512487-1784-45D3-8311-2F7C17820964}"/>
    <cellStyle name="Normal 5 4 2 2 2 5 2 3" xfId="12860" xr:uid="{2F4C227A-60A0-41A4-AC36-4E42EA6A80D9}"/>
    <cellStyle name="Normal 5 4 2 2 2 5 2 4" xfId="21301" xr:uid="{6422F405-F2D6-4FCA-B2DD-27FF22E21C00}"/>
    <cellStyle name="Normal 5 4 2 2 2 5 2 5" xfId="29741" xr:uid="{BA435691-3D1A-41D5-A7AC-D0A71C6245C6}"/>
    <cellStyle name="Normal 5 4 2 2 2 5 3" xfId="6483" xr:uid="{00000000-0005-0000-0000-0000C01A0000}"/>
    <cellStyle name="Normal 5 4 2 2 2 5 3 2" xfId="14933" xr:uid="{5E269A36-44A1-41C0-BD0F-EE51A5322AC5}"/>
    <cellStyle name="Normal 5 4 2 2 2 5 3 3" xfId="23373" xr:uid="{1F4F0A5D-52A8-4A09-9E00-7F224FB201AA}"/>
    <cellStyle name="Normal 5 4 2 2 2 5 3 4" xfId="31813" xr:uid="{2C1A41D5-E9DD-43B7-AAD9-242D1F492B2E}"/>
    <cellStyle name="Normal 5 4 2 2 2 5 4" xfId="10715" xr:uid="{D616969B-4DE0-4514-B709-5FEB0EB6DB3B}"/>
    <cellStyle name="Normal 5 4 2 2 2 5 5" xfId="19156" xr:uid="{83492BC4-E76B-4522-98DA-0772671FF1A9}"/>
    <cellStyle name="Normal 5 4 2 2 2 5 6" xfId="27596" xr:uid="{2FA8B4BF-C588-4EB7-A8EC-7B19ADEE591E}"/>
    <cellStyle name="Normal 5 4 2 2 2 6" xfId="2613" xr:uid="{00000000-0005-0000-0000-0000C11A0000}"/>
    <cellStyle name="Normal 5 4 2 2 2 6 2" xfId="6896" xr:uid="{00000000-0005-0000-0000-0000C21A0000}"/>
    <cellStyle name="Normal 5 4 2 2 2 6 2 2" xfId="15346" xr:uid="{9B04B4A5-D260-456A-A64B-E9BB3486AD72}"/>
    <cellStyle name="Normal 5 4 2 2 2 6 2 3" xfId="23786" xr:uid="{04A7B831-37EC-499B-9393-7661143E7EBC}"/>
    <cellStyle name="Normal 5 4 2 2 2 6 2 4" xfId="32226" xr:uid="{AC4F9052-25B6-452D-9C4A-DB6240CA957A}"/>
    <cellStyle name="Normal 5 4 2 2 2 6 3" xfId="11128" xr:uid="{B11A45F5-86E9-4E0A-8059-EC508A804CB5}"/>
    <cellStyle name="Normal 5 4 2 2 2 6 4" xfId="19569" xr:uid="{05DBECE5-6EC4-4FA3-9A03-5D2C467691CA}"/>
    <cellStyle name="Normal 5 4 2 2 2 6 5" xfId="28009" xr:uid="{58A4263B-A712-4C34-B42E-BD203B23DB0D}"/>
    <cellStyle name="Normal 5 4 2 2 2 7" xfId="4831" xr:uid="{00000000-0005-0000-0000-0000C31A0000}"/>
    <cellStyle name="Normal 5 4 2 2 2 7 2" xfId="13281" xr:uid="{091B2854-BE58-417B-B3BA-DC7C66C762B3}"/>
    <cellStyle name="Normal 5 4 2 2 2 7 3" xfId="21721" xr:uid="{943A5DF9-B822-49CF-B501-8461B43C439B}"/>
    <cellStyle name="Normal 5 4 2 2 2 7 4" xfId="30161" xr:uid="{419F1E37-2DA8-4286-8405-7DDB49737465}"/>
    <cellStyle name="Normal 5 4 2 2 2 8" xfId="9063" xr:uid="{26E6A7C5-5FDB-406B-BA89-73724798D7B0}"/>
    <cellStyle name="Normal 5 4 2 2 2 9" xfId="17504" xr:uid="{85A372B2-3058-4BC1-A7DA-5C18BFDCFEFA}"/>
    <cellStyle name="Normal 5 4 2 2 3" xfId="932" xr:uid="{00000000-0005-0000-0000-0000C41A0000}"/>
    <cellStyle name="Normal 5 4 2 2 3 2" xfId="3166" xr:uid="{00000000-0005-0000-0000-0000C51A0000}"/>
    <cellStyle name="Normal 5 4 2 2 3 2 2" xfId="7388" xr:uid="{00000000-0005-0000-0000-0000C61A0000}"/>
    <cellStyle name="Normal 5 4 2 2 3 2 2 2" xfId="15838" xr:uid="{891F57C5-6FF1-4914-B488-619AA4D1C11D}"/>
    <cellStyle name="Normal 5 4 2 2 3 2 2 3" xfId="24278" xr:uid="{DA84B191-06C2-408E-9E47-8BDD4700082B}"/>
    <cellStyle name="Normal 5 4 2 2 3 2 2 4" xfId="32718" xr:uid="{A2EA00D6-024E-4B26-AAE6-A5D1958B84DE}"/>
    <cellStyle name="Normal 5 4 2 2 3 2 3" xfId="11620" xr:uid="{3E98CACB-D78C-4E7D-80B1-2C7CCB202F9A}"/>
    <cellStyle name="Normal 5 4 2 2 3 2 4" xfId="20061" xr:uid="{F2C33755-5DEC-47D7-B0BB-13E1D86D6F2C}"/>
    <cellStyle name="Normal 5 4 2 2 3 2 5" xfId="28501" xr:uid="{E0BAF47F-1C37-426D-A854-A01D2B216676}"/>
    <cellStyle name="Normal 5 4 2 2 3 3" xfId="5243" xr:uid="{00000000-0005-0000-0000-0000C71A0000}"/>
    <cellStyle name="Normal 5 4 2 2 3 3 2" xfId="13693" xr:uid="{07845772-146B-4110-8D4F-323F7FA8BB32}"/>
    <cellStyle name="Normal 5 4 2 2 3 3 3" xfId="22133" xr:uid="{269E468C-137E-46CC-B27E-28E0BC45DB43}"/>
    <cellStyle name="Normal 5 4 2 2 3 3 4" xfId="30573" xr:uid="{D2FC40FC-D490-4347-B04E-69549B5AD398}"/>
    <cellStyle name="Normal 5 4 2 2 3 4" xfId="9475" xr:uid="{72B9A22D-9DF4-4C5C-ABBE-0645C0F5233E}"/>
    <cellStyle name="Normal 5 4 2 2 3 5" xfId="17916" xr:uid="{5E598ABC-F9A9-4EC1-ACEE-4C05C5734C10}"/>
    <cellStyle name="Normal 5 4 2 2 3 6" xfId="26356" xr:uid="{8D70A428-C825-448A-9B47-FE9D629EA993}"/>
    <cellStyle name="Normal 5 4 2 2 4" xfId="1349" xr:uid="{00000000-0005-0000-0000-0000C81A0000}"/>
    <cellStyle name="Normal 5 4 2 2 4 2" xfId="3579" xr:uid="{00000000-0005-0000-0000-0000C91A0000}"/>
    <cellStyle name="Normal 5 4 2 2 4 2 2" xfId="7801" xr:uid="{00000000-0005-0000-0000-0000CA1A0000}"/>
    <cellStyle name="Normal 5 4 2 2 4 2 2 2" xfId="16251" xr:uid="{8771CA49-9DCF-4F81-9D6D-AA4940A48132}"/>
    <cellStyle name="Normal 5 4 2 2 4 2 2 3" xfId="24691" xr:uid="{90C222FB-34F3-4A5C-B768-9C849918AC17}"/>
    <cellStyle name="Normal 5 4 2 2 4 2 2 4" xfId="33131" xr:uid="{73B18E6A-3DD7-4AF9-9A81-4143842F5C02}"/>
    <cellStyle name="Normal 5 4 2 2 4 2 3" xfId="12033" xr:uid="{247FEA45-062E-4394-9529-EABB39E539D9}"/>
    <cellStyle name="Normal 5 4 2 2 4 2 4" xfId="20474" xr:uid="{FA2B0903-EE48-41BD-8015-F213C3E9B1D5}"/>
    <cellStyle name="Normal 5 4 2 2 4 2 5" xfId="28914" xr:uid="{C28E9C76-B4AF-4BCB-9212-CAF4032B4FB5}"/>
    <cellStyle name="Normal 5 4 2 2 4 3" xfId="5656" xr:uid="{00000000-0005-0000-0000-0000CB1A0000}"/>
    <cellStyle name="Normal 5 4 2 2 4 3 2" xfId="14106" xr:uid="{0406CBA6-BB6E-4A49-B710-DFEF91A58485}"/>
    <cellStyle name="Normal 5 4 2 2 4 3 3" xfId="22546" xr:uid="{680C12EC-8007-42CE-928E-A20E3D76ADCA}"/>
    <cellStyle name="Normal 5 4 2 2 4 3 4" xfId="30986" xr:uid="{9D1B6E75-ED7D-4827-9A43-651BE630AE51}"/>
    <cellStyle name="Normal 5 4 2 2 4 4" xfId="9888" xr:uid="{CC3497EB-4A83-4414-97E8-18FD41A0441F}"/>
    <cellStyle name="Normal 5 4 2 2 4 5" xfId="18329" xr:uid="{F0414B5D-FE89-4EA6-B980-662E7976BB49}"/>
    <cellStyle name="Normal 5 4 2 2 4 6" xfId="26769" xr:uid="{46FF58B1-3FBE-4BCE-9AA6-4EA026020282}"/>
    <cellStyle name="Normal 5 4 2 2 5" xfId="1762" xr:uid="{00000000-0005-0000-0000-0000CC1A0000}"/>
    <cellStyle name="Normal 5 4 2 2 5 2" xfId="3992" xr:uid="{00000000-0005-0000-0000-0000CD1A0000}"/>
    <cellStyle name="Normal 5 4 2 2 5 2 2" xfId="8214" xr:uid="{00000000-0005-0000-0000-0000CE1A0000}"/>
    <cellStyle name="Normal 5 4 2 2 5 2 2 2" xfId="16664" xr:uid="{59926125-D6F7-46A6-9FF6-A34736E8F710}"/>
    <cellStyle name="Normal 5 4 2 2 5 2 2 3" xfId="25104" xr:uid="{49689BB8-0374-4FA7-8774-27FF57BB93CF}"/>
    <cellStyle name="Normal 5 4 2 2 5 2 2 4" xfId="33544" xr:uid="{6B7D2C2E-4074-49A8-9A8D-F000EBB6C997}"/>
    <cellStyle name="Normal 5 4 2 2 5 2 3" xfId="12446" xr:uid="{AAF80CF1-50F6-488E-A0E8-036DC4EEA3B1}"/>
    <cellStyle name="Normal 5 4 2 2 5 2 4" xfId="20887" xr:uid="{3543A8C1-9232-491B-BC2F-3477D667D8CC}"/>
    <cellStyle name="Normal 5 4 2 2 5 2 5" xfId="29327" xr:uid="{A3042AFE-2C0D-4CB7-919C-1B13C2D9DC47}"/>
    <cellStyle name="Normal 5 4 2 2 5 3" xfId="6069" xr:uid="{00000000-0005-0000-0000-0000CF1A0000}"/>
    <cellStyle name="Normal 5 4 2 2 5 3 2" xfId="14519" xr:uid="{9079CB2C-A64D-4A29-B836-155BC4BCE4B7}"/>
    <cellStyle name="Normal 5 4 2 2 5 3 3" xfId="22959" xr:uid="{3EF8A868-AB27-4B43-AC56-0B43827807D1}"/>
    <cellStyle name="Normal 5 4 2 2 5 3 4" xfId="31399" xr:uid="{DD90A72A-5496-4D87-93AB-3A514C11F47E}"/>
    <cellStyle name="Normal 5 4 2 2 5 4" xfId="10301" xr:uid="{E656DA23-6E4C-4ABD-B5C2-1232981B6616}"/>
    <cellStyle name="Normal 5 4 2 2 5 5" xfId="18742" xr:uid="{7DD00BD9-36D6-4E35-9691-A40D04C7C988}"/>
    <cellStyle name="Normal 5 4 2 2 5 6" xfId="27182" xr:uid="{ED6FC69A-5B11-4FE8-BC0F-2FA1B018D772}"/>
    <cellStyle name="Normal 5 4 2 2 6" xfId="2176" xr:uid="{00000000-0005-0000-0000-0000D01A0000}"/>
    <cellStyle name="Normal 5 4 2 2 6 2" xfId="4405" xr:uid="{00000000-0005-0000-0000-0000D11A0000}"/>
    <cellStyle name="Normal 5 4 2 2 6 2 2" xfId="8627" xr:uid="{00000000-0005-0000-0000-0000D21A0000}"/>
    <cellStyle name="Normal 5 4 2 2 6 2 2 2" xfId="17077" xr:uid="{7D12A790-7074-4511-9E4C-DEC0921A2F62}"/>
    <cellStyle name="Normal 5 4 2 2 6 2 2 3" xfId="25517" xr:uid="{DCAD65D6-C05E-4EA7-A9DF-E0B8CA15AFA5}"/>
    <cellStyle name="Normal 5 4 2 2 6 2 2 4" xfId="33957" xr:uid="{8A6B5166-92E9-4534-8F04-672501268D1D}"/>
    <cellStyle name="Normal 5 4 2 2 6 2 3" xfId="12859" xr:uid="{C790F943-37BD-4017-8369-8A6463F018D7}"/>
    <cellStyle name="Normal 5 4 2 2 6 2 4" xfId="21300" xr:uid="{84D553BF-D175-48DF-91BB-8ADB36341FA7}"/>
    <cellStyle name="Normal 5 4 2 2 6 2 5" xfId="29740" xr:uid="{C8145AEF-A176-443A-8AB3-DD591DF55AF0}"/>
    <cellStyle name="Normal 5 4 2 2 6 3" xfId="6482" xr:uid="{00000000-0005-0000-0000-0000D31A0000}"/>
    <cellStyle name="Normal 5 4 2 2 6 3 2" xfId="14932" xr:uid="{D23F3CAD-58FD-491E-B090-F47F9157079A}"/>
    <cellStyle name="Normal 5 4 2 2 6 3 3" xfId="23372" xr:uid="{CE7A58B4-BCB8-4669-BC17-7840F3FF5802}"/>
    <cellStyle name="Normal 5 4 2 2 6 3 4" xfId="31812" xr:uid="{E5A126F7-E7EE-4FD9-81C9-04EC0341BE70}"/>
    <cellStyle name="Normal 5 4 2 2 6 4" xfId="10714" xr:uid="{3C944EC7-2E4C-4363-9F7F-422EF96F0274}"/>
    <cellStyle name="Normal 5 4 2 2 6 5" xfId="19155" xr:uid="{A6382CFA-FEA5-4DD1-A0BC-97EDF1E5ACEE}"/>
    <cellStyle name="Normal 5 4 2 2 6 6" xfId="27595" xr:uid="{071317C4-4010-47F6-809A-24C8DF4B5F9B}"/>
    <cellStyle name="Normal 5 4 2 2 7" xfId="2612" xr:uid="{00000000-0005-0000-0000-0000D41A0000}"/>
    <cellStyle name="Normal 5 4 2 2 7 2" xfId="6895" xr:uid="{00000000-0005-0000-0000-0000D51A0000}"/>
    <cellStyle name="Normal 5 4 2 2 7 2 2" xfId="15345" xr:uid="{52628A27-DC4D-40D0-B73D-12E9FE6D7291}"/>
    <cellStyle name="Normal 5 4 2 2 7 2 3" xfId="23785" xr:uid="{CDFFBA1D-32B7-4F58-A1BB-B4DFB30FA1A2}"/>
    <cellStyle name="Normal 5 4 2 2 7 2 4" xfId="32225" xr:uid="{D8EDE822-95D8-4F8E-9681-D47F2E6744D2}"/>
    <cellStyle name="Normal 5 4 2 2 7 3" xfId="11127" xr:uid="{93310450-3CEE-4BEE-8764-2816C16BEABD}"/>
    <cellStyle name="Normal 5 4 2 2 7 4" xfId="19568" xr:uid="{B9623BC3-70E3-4437-8F5A-05F2C4808849}"/>
    <cellStyle name="Normal 5 4 2 2 7 5" xfId="28008" xr:uid="{590B774B-587B-4C89-B5FC-AEF2FB145A23}"/>
    <cellStyle name="Normal 5 4 2 2 8" xfId="4830" xr:uid="{00000000-0005-0000-0000-0000D61A0000}"/>
    <cellStyle name="Normal 5 4 2 2 8 2" xfId="13280" xr:uid="{56895AFB-7C71-444A-8CB3-63B940A9E7FA}"/>
    <cellStyle name="Normal 5 4 2 2 8 3" xfId="21720" xr:uid="{98192574-9DAE-4A31-A3F5-B4FC949E2496}"/>
    <cellStyle name="Normal 5 4 2 2 8 4" xfId="30160" xr:uid="{D92880E1-A5FB-4E3D-B710-B65D671985AF}"/>
    <cellStyle name="Normal 5 4 2 2 9" xfId="9062" xr:uid="{0FE095DF-1EDD-4AB5-BE32-99E27FACCEC0}"/>
    <cellStyle name="Normal 5 4 2 3" xfId="460" xr:uid="{00000000-0005-0000-0000-0000D71A0000}"/>
    <cellStyle name="Normal 5 4 2 3 10" xfId="25945" xr:uid="{93D3D8DE-B745-44D2-9943-F3310524C625}"/>
    <cellStyle name="Normal 5 4 2 3 2" xfId="934" xr:uid="{00000000-0005-0000-0000-0000D81A0000}"/>
    <cellStyle name="Normal 5 4 2 3 2 2" xfId="3168" xr:uid="{00000000-0005-0000-0000-0000D91A0000}"/>
    <cellStyle name="Normal 5 4 2 3 2 2 2" xfId="7390" xr:uid="{00000000-0005-0000-0000-0000DA1A0000}"/>
    <cellStyle name="Normal 5 4 2 3 2 2 2 2" xfId="15840" xr:uid="{B9E48B50-1838-4CB2-AF36-326856897038}"/>
    <cellStyle name="Normal 5 4 2 3 2 2 2 3" xfId="24280" xr:uid="{309D03CE-C612-4794-956F-933B1B5F8BB8}"/>
    <cellStyle name="Normal 5 4 2 3 2 2 2 4" xfId="32720" xr:uid="{9E45B127-E64E-4837-A600-A8935720521D}"/>
    <cellStyle name="Normal 5 4 2 3 2 2 3" xfId="11622" xr:uid="{D69D3A87-6FF2-4841-BB04-FFF03176BE7F}"/>
    <cellStyle name="Normal 5 4 2 3 2 2 4" xfId="20063" xr:uid="{48151F66-2428-486C-AB26-D550847E0179}"/>
    <cellStyle name="Normal 5 4 2 3 2 2 5" xfId="28503" xr:uid="{517E61C8-6E49-45AF-B077-547CD37BBC53}"/>
    <cellStyle name="Normal 5 4 2 3 2 3" xfId="5245" xr:uid="{00000000-0005-0000-0000-0000DB1A0000}"/>
    <cellStyle name="Normal 5 4 2 3 2 3 2" xfId="13695" xr:uid="{AA3D13F4-E643-4463-86CB-5099350E63D2}"/>
    <cellStyle name="Normal 5 4 2 3 2 3 3" xfId="22135" xr:uid="{F9D82F31-B84A-4654-83AF-639AD48B1514}"/>
    <cellStyle name="Normal 5 4 2 3 2 3 4" xfId="30575" xr:uid="{D4CA1CA3-7BFF-4A40-B900-8B2832F903BD}"/>
    <cellStyle name="Normal 5 4 2 3 2 4" xfId="9477" xr:uid="{F6A58FD7-DB99-4913-822B-E50DC7B1EAF3}"/>
    <cellStyle name="Normal 5 4 2 3 2 5" xfId="17918" xr:uid="{B55EB4D3-FDD0-4C0B-8F43-ACEA3FB1A70E}"/>
    <cellStyle name="Normal 5 4 2 3 2 6" xfId="26358" xr:uid="{C5861877-EFA2-48C6-B791-A0F1BDA34BEB}"/>
    <cellStyle name="Normal 5 4 2 3 3" xfId="1351" xr:uid="{00000000-0005-0000-0000-0000DC1A0000}"/>
    <cellStyle name="Normal 5 4 2 3 3 2" xfId="3581" xr:uid="{00000000-0005-0000-0000-0000DD1A0000}"/>
    <cellStyle name="Normal 5 4 2 3 3 2 2" xfId="7803" xr:uid="{00000000-0005-0000-0000-0000DE1A0000}"/>
    <cellStyle name="Normal 5 4 2 3 3 2 2 2" xfId="16253" xr:uid="{2172234A-2D04-4673-84F0-4AF1BF53913E}"/>
    <cellStyle name="Normal 5 4 2 3 3 2 2 3" xfId="24693" xr:uid="{21B27022-9473-4307-AE6B-6944AAEB6309}"/>
    <cellStyle name="Normal 5 4 2 3 3 2 2 4" xfId="33133" xr:uid="{11814D93-C413-4E8B-92A0-3F4E23AC5B89}"/>
    <cellStyle name="Normal 5 4 2 3 3 2 3" xfId="12035" xr:uid="{E8BD610E-F72F-49D5-BA75-F0F6BCA4F21E}"/>
    <cellStyle name="Normal 5 4 2 3 3 2 4" xfId="20476" xr:uid="{74F60476-780E-42B5-8535-979C9F4C7ABD}"/>
    <cellStyle name="Normal 5 4 2 3 3 2 5" xfId="28916" xr:uid="{70ECF83B-7549-4133-9A88-CF4F1412627B}"/>
    <cellStyle name="Normal 5 4 2 3 3 3" xfId="5658" xr:uid="{00000000-0005-0000-0000-0000DF1A0000}"/>
    <cellStyle name="Normal 5 4 2 3 3 3 2" xfId="14108" xr:uid="{202BC9A4-F23D-4F0A-B2D6-051F3FDE1CF7}"/>
    <cellStyle name="Normal 5 4 2 3 3 3 3" xfId="22548" xr:uid="{C7388A25-BD8A-4820-858D-42AFB99EAFAE}"/>
    <cellStyle name="Normal 5 4 2 3 3 3 4" xfId="30988" xr:uid="{72AEDD0E-2E9A-4529-A5A3-725BA47F2CA9}"/>
    <cellStyle name="Normal 5 4 2 3 3 4" xfId="9890" xr:uid="{62B316BA-C1E1-4396-81AF-DE4EB65BCA03}"/>
    <cellStyle name="Normal 5 4 2 3 3 5" xfId="18331" xr:uid="{A863146D-C6C7-42B8-BE2F-54E72BFDF9B7}"/>
    <cellStyle name="Normal 5 4 2 3 3 6" xfId="26771" xr:uid="{8076F3E7-6F9C-4E3C-9422-E5DF1ED1E9D2}"/>
    <cellStyle name="Normal 5 4 2 3 4" xfId="1764" xr:uid="{00000000-0005-0000-0000-0000E01A0000}"/>
    <cellStyle name="Normal 5 4 2 3 4 2" xfId="3994" xr:uid="{00000000-0005-0000-0000-0000E11A0000}"/>
    <cellStyle name="Normal 5 4 2 3 4 2 2" xfId="8216" xr:uid="{00000000-0005-0000-0000-0000E21A0000}"/>
    <cellStyle name="Normal 5 4 2 3 4 2 2 2" xfId="16666" xr:uid="{6A6244B6-223D-4569-9ADF-FD718BEFA377}"/>
    <cellStyle name="Normal 5 4 2 3 4 2 2 3" xfId="25106" xr:uid="{B2D36B70-8B7C-492E-8615-F75C977A93BF}"/>
    <cellStyle name="Normal 5 4 2 3 4 2 2 4" xfId="33546" xr:uid="{5396CE83-9768-40B0-A6E9-FBD729873F3A}"/>
    <cellStyle name="Normal 5 4 2 3 4 2 3" xfId="12448" xr:uid="{5B8634BE-B14C-40AB-BEF8-270FAC51EE98}"/>
    <cellStyle name="Normal 5 4 2 3 4 2 4" xfId="20889" xr:uid="{6E124E7B-C85A-4FA4-8AD7-7349EB7334BA}"/>
    <cellStyle name="Normal 5 4 2 3 4 2 5" xfId="29329" xr:uid="{42BA396C-BDDA-4D9E-8BDE-1602F20ED3D5}"/>
    <cellStyle name="Normal 5 4 2 3 4 3" xfId="6071" xr:uid="{00000000-0005-0000-0000-0000E31A0000}"/>
    <cellStyle name="Normal 5 4 2 3 4 3 2" xfId="14521" xr:uid="{D8ECFCA6-EA9B-428F-AC03-54E6F3F52C61}"/>
    <cellStyle name="Normal 5 4 2 3 4 3 3" xfId="22961" xr:uid="{8B610FB2-25CC-42E3-835D-8F75C3CE1060}"/>
    <cellStyle name="Normal 5 4 2 3 4 3 4" xfId="31401" xr:uid="{497263A6-304E-40A3-A19D-842D87031B18}"/>
    <cellStyle name="Normal 5 4 2 3 4 4" xfId="10303" xr:uid="{3433108F-513E-444A-8A7F-068EF11DAB7F}"/>
    <cellStyle name="Normal 5 4 2 3 4 5" xfId="18744" xr:uid="{B8EE9C26-FC29-4D5B-A8A6-42BBA394428C}"/>
    <cellStyle name="Normal 5 4 2 3 4 6" xfId="27184" xr:uid="{D195A90D-FA63-4D47-BD9E-A04132DD4639}"/>
    <cellStyle name="Normal 5 4 2 3 5" xfId="2178" xr:uid="{00000000-0005-0000-0000-0000E41A0000}"/>
    <cellStyle name="Normal 5 4 2 3 5 2" xfId="4407" xr:uid="{00000000-0005-0000-0000-0000E51A0000}"/>
    <cellStyle name="Normal 5 4 2 3 5 2 2" xfId="8629" xr:uid="{00000000-0005-0000-0000-0000E61A0000}"/>
    <cellStyle name="Normal 5 4 2 3 5 2 2 2" xfId="17079" xr:uid="{7EB03FBA-3B61-4F6A-923D-E781A5FCF302}"/>
    <cellStyle name="Normal 5 4 2 3 5 2 2 3" xfId="25519" xr:uid="{6F683B7F-45D3-4406-9E1D-5854E0097CD3}"/>
    <cellStyle name="Normal 5 4 2 3 5 2 2 4" xfId="33959" xr:uid="{26A947A2-E556-4C07-8533-E4E5EEA2A248}"/>
    <cellStyle name="Normal 5 4 2 3 5 2 3" xfId="12861" xr:uid="{36CF44B0-DE6E-4826-BE97-E9336C96F50B}"/>
    <cellStyle name="Normal 5 4 2 3 5 2 4" xfId="21302" xr:uid="{DDE6EA56-B6BC-4558-ABD9-5BA31BA28401}"/>
    <cellStyle name="Normal 5 4 2 3 5 2 5" xfId="29742" xr:uid="{65F85D9E-4E60-49D5-8109-8A65D7610BBB}"/>
    <cellStyle name="Normal 5 4 2 3 5 3" xfId="6484" xr:uid="{00000000-0005-0000-0000-0000E71A0000}"/>
    <cellStyle name="Normal 5 4 2 3 5 3 2" xfId="14934" xr:uid="{373D8134-88A9-4A5B-9A7E-B4464AC8A646}"/>
    <cellStyle name="Normal 5 4 2 3 5 3 3" xfId="23374" xr:uid="{BD07735E-5424-4FF1-9081-FEF1213F26CC}"/>
    <cellStyle name="Normal 5 4 2 3 5 3 4" xfId="31814" xr:uid="{974D9B05-EB39-404D-B2A0-9162569BE90F}"/>
    <cellStyle name="Normal 5 4 2 3 5 4" xfId="10716" xr:uid="{93C22B6A-5CB3-4603-99B1-98CCDD142203}"/>
    <cellStyle name="Normal 5 4 2 3 5 5" xfId="19157" xr:uid="{1BCB3CD6-55B7-49C0-9E33-0B3F917254E5}"/>
    <cellStyle name="Normal 5 4 2 3 5 6" xfId="27597" xr:uid="{E37B13CE-3A3B-4F54-A27E-663D712B6B16}"/>
    <cellStyle name="Normal 5 4 2 3 6" xfId="2614" xr:uid="{00000000-0005-0000-0000-0000E81A0000}"/>
    <cellStyle name="Normal 5 4 2 3 6 2" xfId="6897" xr:uid="{00000000-0005-0000-0000-0000E91A0000}"/>
    <cellStyle name="Normal 5 4 2 3 6 2 2" xfId="15347" xr:uid="{2A4023C6-4EDC-40C0-8FBC-44833508A69A}"/>
    <cellStyle name="Normal 5 4 2 3 6 2 3" xfId="23787" xr:uid="{B77187EB-8273-49A7-AF84-2C70A3A5494A}"/>
    <cellStyle name="Normal 5 4 2 3 6 2 4" xfId="32227" xr:uid="{9A1C65FE-48F8-4502-9FD3-B6F8CEF4EA31}"/>
    <cellStyle name="Normal 5 4 2 3 6 3" xfId="11129" xr:uid="{BBC2E7AC-EBD3-4A86-B70E-7950BBA4A79F}"/>
    <cellStyle name="Normal 5 4 2 3 6 4" xfId="19570" xr:uid="{BFCC21F1-BD41-4BC1-8458-2FD1EE90DA87}"/>
    <cellStyle name="Normal 5 4 2 3 6 5" xfId="28010" xr:uid="{487514CF-597C-48F9-865B-DEE30CC2DA2A}"/>
    <cellStyle name="Normal 5 4 2 3 7" xfId="4832" xr:uid="{00000000-0005-0000-0000-0000EA1A0000}"/>
    <cellStyle name="Normal 5 4 2 3 7 2" xfId="13282" xr:uid="{83ACEF5E-25FC-4949-9628-F2499903E782}"/>
    <cellStyle name="Normal 5 4 2 3 7 3" xfId="21722" xr:uid="{A941D10F-FFD5-4449-9153-C5D19A227BAA}"/>
    <cellStyle name="Normal 5 4 2 3 7 4" xfId="30162" xr:uid="{2E37FC72-3BFF-4F0E-9C46-F6B3497B5626}"/>
    <cellStyle name="Normal 5 4 2 3 8" xfId="9064" xr:uid="{72EB9604-C95F-4BB6-BFC4-45C351ECF4E7}"/>
    <cellStyle name="Normal 5 4 2 3 9" xfId="17505" xr:uid="{7AF7FC5C-21E5-45A6-8EDE-637FE651CA70}"/>
    <cellStyle name="Normal 5 4 2 4" xfId="931" xr:uid="{00000000-0005-0000-0000-0000EB1A0000}"/>
    <cellStyle name="Normal 5 4 2 4 2" xfId="3165" xr:uid="{00000000-0005-0000-0000-0000EC1A0000}"/>
    <cellStyle name="Normal 5 4 2 4 2 2" xfId="7387" xr:uid="{00000000-0005-0000-0000-0000ED1A0000}"/>
    <cellStyle name="Normal 5 4 2 4 2 2 2" xfId="15837" xr:uid="{E8E1FB7D-904F-4763-8AEC-01B707AC3C0D}"/>
    <cellStyle name="Normal 5 4 2 4 2 2 3" xfId="24277" xr:uid="{BA225D03-1BAB-4FEF-862D-AC00BEFD2B6F}"/>
    <cellStyle name="Normal 5 4 2 4 2 2 4" xfId="32717" xr:uid="{F741709C-361B-4BEE-AD09-ED8B9687BC41}"/>
    <cellStyle name="Normal 5 4 2 4 2 3" xfId="11619" xr:uid="{4453844E-C031-45B2-A912-0BF79C05AB80}"/>
    <cellStyle name="Normal 5 4 2 4 2 4" xfId="20060" xr:uid="{B9F25703-ABD2-43C0-B522-FA93B6C4BF05}"/>
    <cellStyle name="Normal 5 4 2 4 2 5" xfId="28500" xr:uid="{8FB0309D-8EDF-42AB-98FC-267EDFFAD36D}"/>
    <cellStyle name="Normal 5 4 2 4 3" xfId="5242" xr:uid="{00000000-0005-0000-0000-0000EE1A0000}"/>
    <cellStyle name="Normal 5 4 2 4 3 2" xfId="13692" xr:uid="{45317C39-785E-4856-96F0-6ECB5EA7A549}"/>
    <cellStyle name="Normal 5 4 2 4 3 3" xfId="22132" xr:uid="{677F65A7-789A-4C79-82AE-E5CA6871DE1C}"/>
    <cellStyle name="Normal 5 4 2 4 3 4" xfId="30572" xr:uid="{6B587F39-3AAF-411D-91F0-66CA1D1E4D4D}"/>
    <cellStyle name="Normal 5 4 2 4 4" xfId="9474" xr:uid="{D3EC2CA0-5720-4428-84C5-86B30CBBDE3B}"/>
    <cellStyle name="Normal 5 4 2 4 5" xfId="17915" xr:uid="{44A78956-CE65-4DB3-9530-AFF8D89EB87F}"/>
    <cellStyle name="Normal 5 4 2 4 6" xfId="26355" xr:uid="{B04C2E11-906E-49F0-8658-99A5F6233F19}"/>
    <cellStyle name="Normal 5 4 2 5" xfId="1348" xr:uid="{00000000-0005-0000-0000-0000EF1A0000}"/>
    <cellStyle name="Normal 5 4 2 5 2" xfId="3578" xr:uid="{00000000-0005-0000-0000-0000F01A0000}"/>
    <cellStyle name="Normal 5 4 2 5 2 2" xfId="7800" xr:uid="{00000000-0005-0000-0000-0000F11A0000}"/>
    <cellStyle name="Normal 5 4 2 5 2 2 2" xfId="16250" xr:uid="{4125E958-EC3A-4B65-B672-C2617B86639A}"/>
    <cellStyle name="Normal 5 4 2 5 2 2 3" xfId="24690" xr:uid="{10BBD6F0-5BAA-4A19-9E9C-CDF587E989CC}"/>
    <cellStyle name="Normal 5 4 2 5 2 2 4" xfId="33130" xr:uid="{5E5EB926-BE16-48A4-9D2B-EF299BEB5F00}"/>
    <cellStyle name="Normal 5 4 2 5 2 3" xfId="12032" xr:uid="{78C8D11F-9362-42F6-A043-6A2EB19BE1E0}"/>
    <cellStyle name="Normal 5 4 2 5 2 4" xfId="20473" xr:uid="{7AED5171-908C-470B-9D4B-4888ACB09930}"/>
    <cellStyle name="Normal 5 4 2 5 2 5" xfId="28913" xr:uid="{86757732-BB95-4FA2-952B-110C8F31D4D6}"/>
    <cellStyle name="Normal 5 4 2 5 3" xfId="5655" xr:uid="{00000000-0005-0000-0000-0000F21A0000}"/>
    <cellStyle name="Normal 5 4 2 5 3 2" xfId="14105" xr:uid="{E84C513A-E936-47EA-9B71-0CCF18D10825}"/>
    <cellStyle name="Normal 5 4 2 5 3 3" xfId="22545" xr:uid="{34D164C5-EEAE-4D9B-88CA-9F888CA1D570}"/>
    <cellStyle name="Normal 5 4 2 5 3 4" xfId="30985" xr:uid="{B38DA6C4-FFF9-4F09-937A-2960256F52EB}"/>
    <cellStyle name="Normal 5 4 2 5 4" xfId="9887" xr:uid="{4FACD6F4-153F-4BC3-AB7D-BD28B799E8DB}"/>
    <cellStyle name="Normal 5 4 2 5 5" xfId="18328" xr:uid="{C5AB608A-2152-4B35-A560-96F6949C1157}"/>
    <cellStyle name="Normal 5 4 2 5 6" xfId="26768" xr:uid="{30AC84C3-1167-4043-A375-D5909EF00878}"/>
    <cellStyle name="Normal 5 4 2 6" xfId="1761" xr:uid="{00000000-0005-0000-0000-0000F31A0000}"/>
    <cellStyle name="Normal 5 4 2 6 2" xfId="3991" xr:uid="{00000000-0005-0000-0000-0000F41A0000}"/>
    <cellStyle name="Normal 5 4 2 6 2 2" xfId="8213" xr:uid="{00000000-0005-0000-0000-0000F51A0000}"/>
    <cellStyle name="Normal 5 4 2 6 2 2 2" xfId="16663" xr:uid="{9F7D9A02-FC38-45D7-AB3D-AB2F01DFE9C4}"/>
    <cellStyle name="Normal 5 4 2 6 2 2 3" xfId="25103" xr:uid="{C9CAD4CF-C55A-434B-AED5-F3FBD86BA81D}"/>
    <cellStyle name="Normal 5 4 2 6 2 2 4" xfId="33543" xr:uid="{D8D5ADAF-2CED-4871-A94C-BF18A74EAA12}"/>
    <cellStyle name="Normal 5 4 2 6 2 3" xfId="12445" xr:uid="{4DD9D497-C9C2-4DB9-A7A8-317100477F84}"/>
    <cellStyle name="Normal 5 4 2 6 2 4" xfId="20886" xr:uid="{9604515A-272B-49DF-8B98-BFE05677CF16}"/>
    <cellStyle name="Normal 5 4 2 6 2 5" xfId="29326" xr:uid="{5AD5642D-552D-40AB-B97D-4F597BCCE25F}"/>
    <cellStyle name="Normal 5 4 2 6 3" xfId="6068" xr:uid="{00000000-0005-0000-0000-0000F61A0000}"/>
    <cellStyle name="Normal 5 4 2 6 3 2" xfId="14518" xr:uid="{DC019702-A9E3-4C0B-A052-5678B518095E}"/>
    <cellStyle name="Normal 5 4 2 6 3 3" xfId="22958" xr:uid="{C71FD0E4-2205-4168-92F1-4189547DABBC}"/>
    <cellStyle name="Normal 5 4 2 6 3 4" xfId="31398" xr:uid="{937AB130-FC84-4876-9E83-922C0F8D6B17}"/>
    <cellStyle name="Normal 5 4 2 6 4" xfId="10300" xr:uid="{DCE436C4-595A-44CB-A7E5-8EA62E247620}"/>
    <cellStyle name="Normal 5 4 2 6 5" xfId="18741" xr:uid="{F75518C9-4C44-45FB-AF21-C0A93222567B}"/>
    <cellStyle name="Normal 5 4 2 6 6" xfId="27181" xr:uid="{3E2F47EC-B57D-4AC4-AD2C-547C7C10F2DE}"/>
    <cellStyle name="Normal 5 4 2 7" xfId="2175" xr:uid="{00000000-0005-0000-0000-0000F71A0000}"/>
    <cellStyle name="Normal 5 4 2 7 2" xfId="4404" xr:uid="{00000000-0005-0000-0000-0000F81A0000}"/>
    <cellStyle name="Normal 5 4 2 7 2 2" xfId="8626" xr:uid="{00000000-0005-0000-0000-0000F91A0000}"/>
    <cellStyle name="Normal 5 4 2 7 2 2 2" xfId="17076" xr:uid="{D025ED74-DD40-4C0C-AFD5-A505465CA587}"/>
    <cellStyle name="Normal 5 4 2 7 2 2 3" xfId="25516" xr:uid="{2E61D548-B225-4CFC-BDF3-F6574D47D26A}"/>
    <cellStyle name="Normal 5 4 2 7 2 2 4" xfId="33956" xr:uid="{AB265EF6-E83F-499C-853D-ADC2CBD46F71}"/>
    <cellStyle name="Normal 5 4 2 7 2 3" xfId="12858" xr:uid="{2A39E827-5B55-458B-8203-58A36F2600F3}"/>
    <cellStyle name="Normal 5 4 2 7 2 4" xfId="21299" xr:uid="{EE643845-700F-4BDF-8A76-5EC69DF10A34}"/>
    <cellStyle name="Normal 5 4 2 7 2 5" xfId="29739" xr:uid="{75D6CDE2-44CA-4CFE-A533-C2C162A768F5}"/>
    <cellStyle name="Normal 5 4 2 7 3" xfId="6481" xr:uid="{00000000-0005-0000-0000-0000FA1A0000}"/>
    <cellStyle name="Normal 5 4 2 7 3 2" xfId="14931" xr:uid="{AB254EA5-F77A-4773-AC48-AC2AAF19B1A8}"/>
    <cellStyle name="Normal 5 4 2 7 3 3" xfId="23371" xr:uid="{5A307BE2-4BD2-4699-8CB5-8C063E7260B7}"/>
    <cellStyle name="Normal 5 4 2 7 3 4" xfId="31811" xr:uid="{85272E23-E98E-4CB2-9670-5E8BF7FB335E}"/>
    <cellStyle name="Normal 5 4 2 7 4" xfId="10713" xr:uid="{14D73C88-3816-4AFE-AD1A-A087937B7ED0}"/>
    <cellStyle name="Normal 5 4 2 7 5" xfId="19154" xr:uid="{A724EE8C-ED28-44CD-93BB-C6C4803DBD79}"/>
    <cellStyle name="Normal 5 4 2 7 6" xfId="27594" xr:uid="{1A73A448-30B0-4002-BACA-DFF3A2D877A2}"/>
    <cellStyle name="Normal 5 4 2 8" xfId="2611" xr:uid="{00000000-0005-0000-0000-0000FB1A0000}"/>
    <cellStyle name="Normal 5 4 2 8 2" xfId="6894" xr:uid="{00000000-0005-0000-0000-0000FC1A0000}"/>
    <cellStyle name="Normal 5 4 2 8 2 2" xfId="15344" xr:uid="{0F359081-0C58-4DBA-A2B4-EA186439E0F5}"/>
    <cellStyle name="Normal 5 4 2 8 2 3" xfId="23784" xr:uid="{ECB9D514-070B-4D41-8F5F-53B658DA5FE6}"/>
    <cellStyle name="Normal 5 4 2 8 2 4" xfId="32224" xr:uid="{3428A7A5-0949-4A3A-8163-B2FD6896E9E3}"/>
    <cellStyle name="Normal 5 4 2 8 3" xfId="11126" xr:uid="{958F5B9A-6379-479F-99BB-9B978EB3F2C6}"/>
    <cellStyle name="Normal 5 4 2 8 4" xfId="19567" xr:uid="{45CC970C-7AF7-4CCF-8968-5809D88B99E1}"/>
    <cellStyle name="Normal 5 4 2 8 5" xfId="28007" xr:uid="{E964C34D-E4EF-4681-9184-1CE6AC31937D}"/>
    <cellStyle name="Normal 5 4 2 9" xfId="4829" xr:uid="{00000000-0005-0000-0000-0000FD1A0000}"/>
    <cellStyle name="Normal 5 4 2 9 2" xfId="13279" xr:uid="{DFB93582-F22D-4FD5-9444-6EE6DCD6D132}"/>
    <cellStyle name="Normal 5 4 2 9 3" xfId="21719" xr:uid="{D14BC823-A5C3-4F45-9A84-BD5572D4C33A}"/>
    <cellStyle name="Normal 5 4 2 9 4" xfId="30159" xr:uid="{606BABFC-FA3A-4E42-A13F-C62F54984029}"/>
    <cellStyle name="Normal 5 4 3" xfId="461" xr:uid="{00000000-0005-0000-0000-0000FE1A0000}"/>
    <cellStyle name="Normal 5 4 3 10" xfId="17506" xr:uid="{8002B5E0-F2C1-4939-9DE5-06E0B32C31A5}"/>
    <cellStyle name="Normal 5 4 3 11" xfId="25946" xr:uid="{2677C369-32CF-456D-9380-E1CFDAED1D85}"/>
    <cellStyle name="Normal 5 4 3 2" xfId="462" xr:uid="{00000000-0005-0000-0000-0000FF1A0000}"/>
    <cellStyle name="Normal 5 4 3 2 10" xfId="25947" xr:uid="{11F002E6-F2FD-4109-B648-6105E6080F4B}"/>
    <cellStyle name="Normal 5 4 3 2 2" xfId="936" xr:uid="{00000000-0005-0000-0000-0000001B0000}"/>
    <cellStyle name="Normal 5 4 3 2 2 2" xfId="3170" xr:uid="{00000000-0005-0000-0000-0000011B0000}"/>
    <cellStyle name="Normal 5 4 3 2 2 2 2" xfId="7392" xr:uid="{00000000-0005-0000-0000-0000021B0000}"/>
    <cellStyle name="Normal 5 4 3 2 2 2 2 2" xfId="15842" xr:uid="{DEAB80FD-0E26-45AB-B0A9-0E1D9FBFD432}"/>
    <cellStyle name="Normal 5 4 3 2 2 2 2 3" xfId="24282" xr:uid="{B7448915-64B1-4481-9A4C-F474DAE48C5F}"/>
    <cellStyle name="Normal 5 4 3 2 2 2 2 4" xfId="32722" xr:uid="{0A37032C-3A91-423E-B63E-68A3DF4A6555}"/>
    <cellStyle name="Normal 5 4 3 2 2 2 3" xfId="11624" xr:uid="{279687A1-F52A-49FF-847F-0C96F969C871}"/>
    <cellStyle name="Normal 5 4 3 2 2 2 4" xfId="20065" xr:uid="{1BF86EA9-A468-4B13-959C-1D4CACC5EBF4}"/>
    <cellStyle name="Normal 5 4 3 2 2 2 5" xfId="28505" xr:uid="{6D03ACF8-89F4-43C3-B4B2-78BFF9832A1B}"/>
    <cellStyle name="Normal 5 4 3 2 2 3" xfId="5247" xr:uid="{00000000-0005-0000-0000-0000031B0000}"/>
    <cellStyle name="Normal 5 4 3 2 2 3 2" xfId="13697" xr:uid="{9561C460-29F4-43AE-B354-32FF3C50B669}"/>
    <cellStyle name="Normal 5 4 3 2 2 3 3" xfId="22137" xr:uid="{2469B6D1-6C3D-4B5A-874F-DEEAE1DED1EC}"/>
    <cellStyle name="Normal 5 4 3 2 2 3 4" xfId="30577" xr:uid="{9F8B26A1-E0CC-404F-A6D9-308A83A17A99}"/>
    <cellStyle name="Normal 5 4 3 2 2 4" xfId="9479" xr:uid="{48E54E55-D857-4786-B3C6-9F8751F354E5}"/>
    <cellStyle name="Normal 5 4 3 2 2 5" xfId="17920" xr:uid="{3FB7E7BC-9404-4032-A589-048B2EBA350C}"/>
    <cellStyle name="Normal 5 4 3 2 2 6" xfId="26360" xr:uid="{1DF23C02-5405-4799-A64E-680E8438D12B}"/>
    <cellStyle name="Normal 5 4 3 2 3" xfId="1353" xr:uid="{00000000-0005-0000-0000-0000041B0000}"/>
    <cellStyle name="Normal 5 4 3 2 3 2" xfId="3583" xr:uid="{00000000-0005-0000-0000-0000051B0000}"/>
    <cellStyle name="Normal 5 4 3 2 3 2 2" xfId="7805" xr:uid="{00000000-0005-0000-0000-0000061B0000}"/>
    <cellStyle name="Normal 5 4 3 2 3 2 2 2" xfId="16255" xr:uid="{D240962C-AF0A-466B-B385-A5C49D53778F}"/>
    <cellStyle name="Normal 5 4 3 2 3 2 2 3" xfId="24695" xr:uid="{047B5785-96D1-4ED5-A2C6-CD09E7FF0F06}"/>
    <cellStyle name="Normal 5 4 3 2 3 2 2 4" xfId="33135" xr:uid="{DB99695F-4DD4-470D-8EB8-A2B517C448EE}"/>
    <cellStyle name="Normal 5 4 3 2 3 2 3" xfId="12037" xr:uid="{0FC4A096-E06F-4EC9-A9BD-18A9595A7578}"/>
    <cellStyle name="Normal 5 4 3 2 3 2 4" xfId="20478" xr:uid="{0D1F0859-02FC-46F9-9EF1-F57D4CF8CD1B}"/>
    <cellStyle name="Normal 5 4 3 2 3 2 5" xfId="28918" xr:uid="{4B33D4E7-64AD-4473-AFF8-B00D82191C84}"/>
    <cellStyle name="Normal 5 4 3 2 3 3" xfId="5660" xr:uid="{00000000-0005-0000-0000-0000071B0000}"/>
    <cellStyle name="Normal 5 4 3 2 3 3 2" xfId="14110" xr:uid="{5391C731-1484-4723-9FA1-6B01F0216FB2}"/>
    <cellStyle name="Normal 5 4 3 2 3 3 3" xfId="22550" xr:uid="{6406FD9B-7387-404A-8A1E-397ABFD68989}"/>
    <cellStyle name="Normal 5 4 3 2 3 3 4" xfId="30990" xr:uid="{3E88EB73-A312-481A-82C0-9C4D95151A25}"/>
    <cellStyle name="Normal 5 4 3 2 3 4" xfId="9892" xr:uid="{7DD31F9D-2CCE-4459-8BAB-31283F3EEED5}"/>
    <cellStyle name="Normal 5 4 3 2 3 5" xfId="18333" xr:uid="{82927253-DF8B-44E1-86DB-95AF8D0F315E}"/>
    <cellStyle name="Normal 5 4 3 2 3 6" xfId="26773" xr:uid="{F2A8072F-D2C5-4C3D-B076-DE059BAACA79}"/>
    <cellStyle name="Normal 5 4 3 2 4" xfId="1766" xr:uid="{00000000-0005-0000-0000-0000081B0000}"/>
    <cellStyle name="Normal 5 4 3 2 4 2" xfId="3996" xr:uid="{00000000-0005-0000-0000-0000091B0000}"/>
    <cellStyle name="Normal 5 4 3 2 4 2 2" xfId="8218" xr:uid="{00000000-0005-0000-0000-00000A1B0000}"/>
    <cellStyle name="Normal 5 4 3 2 4 2 2 2" xfId="16668" xr:uid="{A246DE1F-024F-4EFB-B3C7-60F324969BE7}"/>
    <cellStyle name="Normal 5 4 3 2 4 2 2 3" xfId="25108" xr:uid="{99552034-531D-4AFE-9BF0-6D7AB60D9B59}"/>
    <cellStyle name="Normal 5 4 3 2 4 2 2 4" xfId="33548" xr:uid="{A57F5946-42F1-4E77-89C5-9E4977E842C3}"/>
    <cellStyle name="Normal 5 4 3 2 4 2 3" xfId="12450" xr:uid="{EAD965C7-EB08-44BD-A124-25AC6F779260}"/>
    <cellStyle name="Normal 5 4 3 2 4 2 4" xfId="20891" xr:uid="{01F0A15D-5B85-4DF9-832D-7F562C5F9C98}"/>
    <cellStyle name="Normal 5 4 3 2 4 2 5" xfId="29331" xr:uid="{DD3F7F93-0710-4E19-A390-84D0BFC9B604}"/>
    <cellStyle name="Normal 5 4 3 2 4 3" xfId="6073" xr:uid="{00000000-0005-0000-0000-00000B1B0000}"/>
    <cellStyle name="Normal 5 4 3 2 4 3 2" xfId="14523" xr:uid="{06FA9365-6A02-4A9F-BBFA-BA6CE1A17A6F}"/>
    <cellStyle name="Normal 5 4 3 2 4 3 3" xfId="22963" xr:uid="{C8539B40-C86B-4C93-8148-06BAE6611B7E}"/>
    <cellStyle name="Normal 5 4 3 2 4 3 4" xfId="31403" xr:uid="{92278A0D-458C-49C7-9A01-C3DA1E9B9B7D}"/>
    <cellStyle name="Normal 5 4 3 2 4 4" xfId="10305" xr:uid="{E43AAAE1-C6A8-48DA-9DD6-39552329E465}"/>
    <cellStyle name="Normal 5 4 3 2 4 5" xfId="18746" xr:uid="{0FF7FC67-870B-4DC1-B50E-7F9AFDFC8237}"/>
    <cellStyle name="Normal 5 4 3 2 4 6" xfId="27186" xr:uid="{22D0A030-3EFB-4BD9-ABEF-6AAA288B9B02}"/>
    <cellStyle name="Normal 5 4 3 2 5" xfId="2180" xr:uid="{00000000-0005-0000-0000-00000C1B0000}"/>
    <cellStyle name="Normal 5 4 3 2 5 2" xfId="4409" xr:uid="{00000000-0005-0000-0000-00000D1B0000}"/>
    <cellStyle name="Normal 5 4 3 2 5 2 2" xfId="8631" xr:uid="{00000000-0005-0000-0000-00000E1B0000}"/>
    <cellStyle name="Normal 5 4 3 2 5 2 2 2" xfId="17081" xr:uid="{561C3600-F30F-4F49-B3FB-5A7325090576}"/>
    <cellStyle name="Normal 5 4 3 2 5 2 2 3" xfId="25521" xr:uid="{1547C218-3AD8-41D2-ABE3-30B32E227933}"/>
    <cellStyle name="Normal 5 4 3 2 5 2 2 4" xfId="33961" xr:uid="{5D708D45-30BF-4C8D-A422-198946E3437B}"/>
    <cellStyle name="Normal 5 4 3 2 5 2 3" xfId="12863" xr:uid="{0E278794-0DDB-42E7-9B69-E95A83527B9D}"/>
    <cellStyle name="Normal 5 4 3 2 5 2 4" xfId="21304" xr:uid="{A8220DBD-5376-43D8-90CD-9E3C26D1B46F}"/>
    <cellStyle name="Normal 5 4 3 2 5 2 5" xfId="29744" xr:uid="{7FDBE05C-5987-4EDA-82A5-FF481CE0394D}"/>
    <cellStyle name="Normal 5 4 3 2 5 3" xfId="6486" xr:uid="{00000000-0005-0000-0000-00000F1B0000}"/>
    <cellStyle name="Normal 5 4 3 2 5 3 2" xfId="14936" xr:uid="{29A8BC3D-C919-456A-952C-CBCFD9B28E2B}"/>
    <cellStyle name="Normal 5 4 3 2 5 3 3" xfId="23376" xr:uid="{844C7918-0673-4E4D-BDC0-BB7AC8E133C9}"/>
    <cellStyle name="Normal 5 4 3 2 5 3 4" xfId="31816" xr:uid="{2E67FDE6-AB6B-4808-B342-FE39AE09CB7D}"/>
    <cellStyle name="Normal 5 4 3 2 5 4" xfId="10718" xr:uid="{AA8141A7-6D4A-4BE3-B54B-CACE7F248E73}"/>
    <cellStyle name="Normal 5 4 3 2 5 5" xfId="19159" xr:uid="{023D32D9-AC2B-46DE-B39A-52477A6889F9}"/>
    <cellStyle name="Normal 5 4 3 2 5 6" xfId="27599" xr:uid="{B50582F0-B23B-493F-9D2C-37AD0526C888}"/>
    <cellStyle name="Normal 5 4 3 2 6" xfId="2616" xr:uid="{00000000-0005-0000-0000-0000101B0000}"/>
    <cellStyle name="Normal 5 4 3 2 6 2" xfId="6899" xr:uid="{00000000-0005-0000-0000-0000111B0000}"/>
    <cellStyle name="Normal 5 4 3 2 6 2 2" xfId="15349" xr:uid="{8667184D-63C9-405B-9434-C7AE25A2B131}"/>
    <cellStyle name="Normal 5 4 3 2 6 2 3" xfId="23789" xr:uid="{4398C89C-3D1B-4CBD-B639-393E9B194859}"/>
    <cellStyle name="Normal 5 4 3 2 6 2 4" xfId="32229" xr:uid="{0BF35E59-7CAA-4263-8818-7812B9BD093C}"/>
    <cellStyle name="Normal 5 4 3 2 6 3" xfId="11131" xr:uid="{EB11FE9F-63F7-40D7-9B6A-3DD3B92C70B6}"/>
    <cellStyle name="Normal 5 4 3 2 6 4" xfId="19572" xr:uid="{ABF7A599-1E88-4D62-80DC-1CD14B8250D9}"/>
    <cellStyle name="Normal 5 4 3 2 6 5" xfId="28012" xr:uid="{6A88B171-E29A-4D92-9983-2FF431DFCEE2}"/>
    <cellStyle name="Normal 5 4 3 2 7" xfId="4834" xr:uid="{00000000-0005-0000-0000-0000121B0000}"/>
    <cellStyle name="Normal 5 4 3 2 7 2" xfId="13284" xr:uid="{F7FE4143-4DCC-482A-8FCD-BF4B60587722}"/>
    <cellStyle name="Normal 5 4 3 2 7 3" xfId="21724" xr:uid="{44951EB0-037A-4200-AE17-AE21B4BBABD8}"/>
    <cellStyle name="Normal 5 4 3 2 7 4" xfId="30164" xr:uid="{93840C1E-FFC1-4F1F-A9A0-7C91539EB3D6}"/>
    <cellStyle name="Normal 5 4 3 2 8" xfId="9066" xr:uid="{2344CA8A-2E5A-4F41-ACE3-656B7D31B86D}"/>
    <cellStyle name="Normal 5 4 3 2 9" xfId="17507" xr:uid="{71E6F44A-D761-438A-8C0D-00A370EA3121}"/>
    <cellStyle name="Normal 5 4 3 3" xfId="935" xr:uid="{00000000-0005-0000-0000-0000131B0000}"/>
    <cellStyle name="Normal 5 4 3 3 2" xfId="3169" xr:uid="{00000000-0005-0000-0000-0000141B0000}"/>
    <cellStyle name="Normal 5 4 3 3 2 2" xfId="7391" xr:uid="{00000000-0005-0000-0000-0000151B0000}"/>
    <cellStyle name="Normal 5 4 3 3 2 2 2" xfId="15841" xr:uid="{24F59D1C-4FB6-435F-B392-ACBA8A15C12A}"/>
    <cellStyle name="Normal 5 4 3 3 2 2 3" xfId="24281" xr:uid="{01A3D2EF-6342-401D-B574-793FFE6C8FA2}"/>
    <cellStyle name="Normal 5 4 3 3 2 2 4" xfId="32721" xr:uid="{FE11E8A3-FC45-4EC1-AE52-E90D77DC0BA7}"/>
    <cellStyle name="Normal 5 4 3 3 2 3" xfId="11623" xr:uid="{FC1A123D-5B72-4B75-998F-E5D39D65C9C5}"/>
    <cellStyle name="Normal 5 4 3 3 2 4" xfId="20064" xr:uid="{BFACB16C-A84F-43A0-94E4-944FD2514D4E}"/>
    <cellStyle name="Normal 5 4 3 3 2 5" xfId="28504" xr:uid="{1544AE15-91D3-4A79-B643-760323A3D5BC}"/>
    <cellStyle name="Normal 5 4 3 3 3" xfId="5246" xr:uid="{00000000-0005-0000-0000-0000161B0000}"/>
    <cellStyle name="Normal 5 4 3 3 3 2" xfId="13696" xr:uid="{0C4AD2F6-D6E2-4F43-9C67-EA800BA0E494}"/>
    <cellStyle name="Normal 5 4 3 3 3 3" xfId="22136" xr:uid="{AFBE9A57-045C-40C2-8684-67FC13805978}"/>
    <cellStyle name="Normal 5 4 3 3 3 4" xfId="30576" xr:uid="{96F1D69F-7477-4D56-9093-4BE5F74EBAC1}"/>
    <cellStyle name="Normal 5 4 3 3 4" xfId="9478" xr:uid="{FE6E8A3C-3385-41FF-AEBC-74746434301E}"/>
    <cellStyle name="Normal 5 4 3 3 5" xfId="17919" xr:uid="{EA4D14C5-3D0E-4A52-B3B3-8AAFFC844D88}"/>
    <cellStyle name="Normal 5 4 3 3 6" xfId="26359" xr:uid="{274C2403-4932-470A-9996-D0679597CA8E}"/>
    <cellStyle name="Normal 5 4 3 4" xfId="1352" xr:uid="{00000000-0005-0000-0000-0000171B0000}"/>
    <cellStyle name="Normal 5 4 3 4 2" xfId="3582" xr:uid="{00000000-0005-0000-0000-0000181B0000}"/>
    <cellStyle name="Normal 5 4 3 4 2 2" xfId="7804" xr:uid="{00000000-0005-0000-0000-0000191B0000}"/>
    <cellStyle name="Normal 5 4 3 4 2 2 2" xfId="16254" xr:uid="{C53DA0AF-A700-4E90-B41C-91141D30481C}"/>
    <cellStyle name="Normal 5 4 3 4 2 2 3" xfId="24694" xr:uid="{F00F61B4-2950-4487-A072-04B8FCE4D47A}"/>
    <cellStyle name="Normal 5 4 3 4 2 2 4" xfId="33134" xr:uid="{FF355EE4-36D4-4821-A81E-EAD589B5B66A}"/>
    <cellStyle name="Normal 5 4 3 4 2 3" xfId="12036" xr:uid="{EC7B2549-2590-4C2A-94C5-89B07FF63480}"/>
    <cellStyle name="Normal 5 4 3 4 2 4" xfId="20477" xr:uid="{6F324D04-D820-46BF-9E22-9CF7F56AE110}"/>
    <cellStyle name="Normal 5 4 3 4 2 5" xfId="28917" xr:uid="{7421413A-E76B-4BFF-9848-03FE3CCE874A}"/>
    <cellStyle name="Normal 5 4 3 4 3" xfId="5659" xr:uid="{00000000-0005-0000-0000-00001A1B0000}"/>
    <cellStyle name="Normal 5 4 3 4 3 2" xfId="14109" xr:uid="{883F6F6E-B852-4EEE-A9A8-09AD022910A0}"/>
    <cellStyle name="Normal 5 4 3 4 3 3" xfId="22549" xr:uid="{1A992236-EB3D-4885-B257-4F95AAE5BF36}"/>
    <cellStyle name="Normal 5 4 3 4 3 4" xfId="30989" xr:uid="{29736527-786B-4745-95B4-3ADB894B7424}"/>
    <cellStyle name="Normal 5 4 3 4 4" xfId="9891" xr:uid="{5FD5BEA2-3853-4E33-8AC0-DD19E68AB024}"/>
    <cellStyle name="Normal 5 4 3 4 5" xfId="18332" xr:uid="{2142E50D-7E21-4461-AB56-A644E2241782}"/>
    <cellStyle name="Normal 5 4 3 4 6" xfId="26772" xr:uid="{CE19D085-1798-4F43-9614-736C524DDB1E}"/>
    <cellStyle name="Normal 5 4 3 5" xfId="1765" xr:uid="{00000000-0005-0000-0000-00001B1B0000}"/>
    <cellStyle name="Normal 5 4 3 5 2" xfId="3995" xr:uid="{00000000-0005-0000-0000-00001C1B0000}"/>
    <cellStyle name="Normal 5 4 3 5 2 2" xfId="8217" xr:uid="{00000000-0005-0000-0000-00001D1B0000}"/>
    <cellStyle name="Normal 5 4 3 5 2 2 2" xfId="16667" xr:uid="{4D82DADA-FF4C-43B2-BBB1-51CC840C6313}"/>
    <cellStyle name="Normal 5 4 3 5 2 2 3" xfId="25107" xr:uid="{2973986A-4254-4733-A997-7CDB1E55A72E}"/>
    <cellStyle name="Normal 5 4 3 5 2 2 4" xfId="33547" xr:uid="{E062EB01-7601-4308-8684-495CB563F86B}"/>
    <cellStyle name="Normal 5 4 3 5 2 3" xfId="12449" xr:uid="{6295BC98-119D-4EEE-9DB0-D581C5AB2C4F}"/>
    <cellStyle name="Normal 5 4 3 5 2 4" xfId="20890" xr:uid="{3B062A80-A561-4A8D-AA35-C71A2103AE6F}"/>
    <cellStyle name="Normal 5 4 3 5 2 5" xfId="29330" xr:uid="{A01C33F8-637F-46C2-A14B-BB5EBEA947B4}"/>
    <cellStyle name="Normal 5 4 3 5 3" xfId="6072" xr:uid="{00000000-0005-0000-0000-00001E1B0000}"/>
    <cellStyle name="Normal 5 4 3 5 3 2" xfId="14522" xr:uid="{22B42EEE-D7FF-409E-B5E5-BB8B1BF17E98}"/>
    <cellStyle name="Normal 5 4 3 5 3 3" xfId="22962" xr:uid="{E9D443B4-FBD9-4330-9661-D1CF28F5A070}"/>
    <cellStyle name="Normal 5 4 3 5 3 4" xfId="31402" xr:uid="{94F7DA1C-6371-49FE-8E1C-3F443DC5C448}"/>
    <cellStyle name="Normal 5 4 3 5 4" xfId="10304" xr:uid="{D7080045-0F5F-434D-A9D9-83CB03E4ADBA}"/>
    <cellStyle name="Normal 5 4 3 5 5" xfId="18745" xr:uid="{98A2F3E6-C757-4D92-9961-06F213B755F7}"/>
    <cellStyle name="Normal 5 4 3 5 6" xfId="27185" xr:uid="{B7B66503-BFF6-4D7A-8CC2-D139E63BBFE2}"/>
    <cellStyle name="Normal 5 4 3 6" xfId="2179" xr:uid="{00000000-0005-0000-0000-00001F1B0000}"/>
    <cellStyle name="Normal 5 4 3 6 2" xfId="4408" xr:uid="{00000000-0005-0000-0000-0000201B0000}"/>
    <cellStyle name="Normal 5 4 3 6 2 2" xfId="8630" xr:uid="{00000000-0005-0000-0000-0000211B0000}"/>
    <cellStyle name="Normal 5 4 3 6 2 2 2" xfId="17080" xr:uid="{878CBB9F-21F2-4F6F-B1C3-D3F5D789F72A}"/>
    <cellStyle name="Normal 5 4 3 6 2 2 3" xfId="25520" xr:uid="{2B1FC86C-8A0A-4A04-9155-BF2DE2B45930}"/>
    <cellStyle name="Normal 5 4 3 6 2 2 4" xfId="33960" xr:uid="{75E731C7-88E8-444C-BF94-410B8345F75C}"/>
    <cellStyle name="Normal 5 4 3 6 2 3" xfId="12862" xr:uid="{F688FFAC-7B67-4A7B-9BC1-ABFB95D8C3B0}"/>
    <cellStyle name="Normal 5 4 3 6 2 4" xfId="21303" xr:uid="{13C195D1-2EF4-483F-BA3D-260DA79E7AB0}"/>
    <cellStyle name="Normal 5 4 3 6 2 5" xfId="29743" xr:uid="{7431BADD-5F58-4654-A7AD-3FBE763BFA9E}"/>
    <cellStyle name="Normal 5 4 3 6 3" xfId="6485" xr:uid="{00000000-0005-0000-0000-0000221B0000}"/>
    <cellStyle name="Normal 5 4 3 6 3 2" xfId="14935" xr:uid="{F170DA11-F571-4DF2-942C-AD5505BB9A01}"/>
    <cellStyle name="Normal 5 4 3 6 3 3" xfId="23375" xr:uid="{EB61577B-2C7C-4E0E-AB5D-121B3F96D60E}"/>
    <cellStyle name="Normal 5 4 3 6 3 4" xfId="31815" xr:uid="{84B989A9-12CF-4B21-8899-AEF761BE825E}"/>
    <cellStyle name="Normal 5 4 3 6 4" xfId="10717" xr:uid="{484BD755-BDDC-4DFC-9118-72F86F38642B}"/>
    <cellStyle name="Normal 5 4 3 6 5" xfId="19158" xr:uid="{B5EDED89-BAC7-4B12-A201-E9EBD31EF666}"/>
    <cellStyle name="Normal 5 4 3 6 6" xfId="27598" xr:uid="{6B736059-0A00-40C0-9E18-18852FBCAFF1}"/>
    <cellStyle name="Normal 5 4 3 7" xfId="2615" xr:uid="{00000000-0005-0000-0000-0000231B0000}"/>
    <cellStyle name="Normal 5 4 3 7 2" xfId="6898" xr:uid="{00000000-0005-0000-0000-0000241B0000}"/>
    <cellStyle name="Normal 5 4 3 7 2 2" xfId="15348" xr:uid="{28C0AB95-D5C2-4A07-BFAE-C5389C0434D9}"/>
    <cellStyle name="Normal 5 4 3 7 2 3" xfId="23788" xr:uid="{0A025DE9-631E-4AA4-8C1B-6DCB33CE2729}"/>
    <cellStyle name="Normal 5 4 3 7 2 4" xfId="32228" xr:uid="{0C0DD8DE-5CDB-4CAF-A05F-3E11422D6B17}"/>
    <cellStyle name="Normal 5 4 3 7 3" xfId="11130" xr:uid="{85A9C461-4850-49F2-90D3-A028B370100E}"/>
    <cellStyle name="Normal 5 4 3 7 4" xfId="19571" xr:uid="{E89FB7F8-4D50-4626-8E2B-EBDA3F5A6258}"/>
    <cellStyle name="Normal 5 4 3 7 5" xfId="28011" xr:uid="{1E96004F-AAEF-4C85-97FC-538A90B1AE99}"/>
    <cellStyle name="Normal 5 4 3 8" xfId="4833" xr:uid="{00000000-0005-0000-0000-0000251B0000}"/>
    <cellStyle name="Normal 5 4 3 8 2" xfId="13283" xr:uid="{2CFA0799-D49A-4FD8-A9A8-5CC0C8CC8BB4}"/>
    <cellStyle name="Normal 5 4 3 8 3" xfId="21723" xr:uid="{67E3EA2F-DCF4-459E-A582-430FFC43BF3C}"/>
    <cellStyle name="Normal 5 4 3 8 4" xfId="30163" xr:uid="{9ECEABC5-8F92-44C7-9EB9-8921128C4FE2}"/>
    <cellStyle name="Normal 5 4 3 9" xfId="9065" xr:uid="{0B5851C7-8B6A-40AA-A5E3-325574CC934E}"/>
    <cellStyle name="Normal 5 4 4" xfId="463" xr:uid="{00000000-0005-0000-0000-0000261B0000}"/>
    <cellStyle name="Normal 5 4 4 10" xfId="25948" xr:uid="{F3C58944-D3D5-45F0-9B6E-77ADD77665D8}"/>
    <cellStyle name="Normal 5 4 4 2" xfId="937" xr:uid="{00000000-0005-0000-0000-0000271B0000}"/>
    <cellStyle name="Normal 5 4 4 2 2" xfId="3171" xr:uid="{00000000-0005-0000-0000-0000281B0000}"/>
    <cellStyle name="Normal 5 4 4 2 2 2" xfId="7393" xr:uid="{00000000-0005-0000-0000-0000291B0000}"/>
    <cellStyle name="Normal 5 4 4 2 2 2 2" xfId="15843" xr:uid="{409DB59E-4A9C-4072-AB96-7A71C4FB1287}"/>
    <cellStyle name="Normal 5 4 4 2 2 2 3" xfId="24283" xr:uid="{AF303C43-9FDD-4ED3-9C82-8722835CB9AD}"/>
    <cellStyle name="Normal 5 4 4 2 2 2 4" xfId="32723" xr:uid="{1962963A-E0F7-4554-999E-443A8B6F27F9}"/>
    <cellStyle name="Normal 5 4 4 2 2 3" xfId="11625" xr:uid="{660562AF-5A55-4BA7-890D-59D0BB025A15}"/>
    <cellStyle name="Normal 5 4 4 2 2 4" xfId="20066" xr:uid="{82AC6685-1976-4B0A-9D7C-D401A74E695F}"/>
    <cellStyle name="Normal 5 4 4 2 2 5" xfId="28506" xr:uid="{439A4619-C49D-419A-A97C-3B104F120EAF}"/>
    <cellStyle name="Normal 5 4 4 2 3" xfId="5248" xr:uid="{00000000-0005-0000-0000-00002A1B0000}"/>
    <cellStyle name="Normal 5 4 4 2 3 2" xfId="13698" xr:uid="{597F5B4B-3297-4D4F-83C0-DD0D3AEB158F}"/>
    <cellStyle name="Normal 5 4 4 2 3 3" xfId="22138" xr:uid="{CF3A9CB5-19C7-4204-86D1-6EDA59C5E0D5}"/>
    <cellStyle name="Normal 5 4 4 2 3 4" xfId="30578" xr:uid="{4144BFBE-24FB-48F7-9B37-9BC8062AC3ED}"/>
    <cellStyle name="Normal 5 4 4 2 4" xfId="9480" xr:uid="{9614627C-DE30-449A-ACA5-60E851AD314D}"/>
    <cellStyle name="Normal 5 4 4 2 5" xfId="17921" xr:uid="{7D55B1BD-0EBD-4A50-8911-D160E24718BE}"/>
    <cellStyle name="Normal 5 4 4 2 6" xfId="26361" xr:uid="{1E8922DA-4858-4D5B-BEDF-68EE01D2C2A6}"/>
    <cellStyle name="Normal 5 4 4 3" xfId="1354" xr:uid="{00000000-0005-0000-0000-00002B1B0000}"/>
    <cellStyle name="Normal 5 4 4 3 2" xfId="3584" xr:uid="{00000000-0005-0000-0000-00002C1B0000}"/>
    <cellStyle name="Normal 5 4 4 3 2 2" xfId="7806" xr:uid="{00000000-0005-0000-0000-00002D1B0000}"/>
    <cellStyle name="Normal 5 4 4 3 2 2 2" xfId="16256" xr:uid="{6CB27F13-122E-4EF1-BA62-44329107608B}"/>
    <cellStyle name="Normal 5 4 4 3 2 2 3" xfId="24696" xr:uid="{7E0B7001-F8B7-4378-8038-6CA06DEA72EB}"/>
    <cellStyle name="Normal 5 4 4 3 2 2 4" xfId="33136" xr:uid="{92E0FBF6-8A86-41B2-B574-55372C3456BC}"/>
    <cellStyle name="Normal 5 4 4 3 2 3" xfId="12038" xr:uid="{A64A3455-30C9-43A3-B043-782190D3F646}"/>
    <cellStyle name="Normal 5 4 4 3 2 4" xfId="20479" xr:uid="{22FAFBC7-C81D-42D1-A0B4-8F1B441CBE9D}"/>
    <cellStyle name="Normal 5 4 4 3 2 5" xfId="28919" xr:uid="{390E8553-A3C7-4819-B002-5652B138DB6D}"/>
    <cellStyle name="Normal 5 4 4 3 3" xfId="5661" xr:uid="{00000000-0005-0000-0000-00002E1B0000}"/>
    <cellStyle name="Normal 5 4 4 3 3 2" xfId="14111" xr:uid="{0A01BF5D-4F91-41FE-A8AA-3172C3D86772}"/>
    <cellStyle name="Normal 5 4 4 3 3 3" xfId="22551" xr:uid="{22E06A1D-572B-42CA-9E8F-966FE8AA6FED}"/>
    <cellStyle name="Normal 5 4 4 3 3 4" xfId="30991" xr:uid="{B862CF90-16AD-4C2A-AD05-4D583B15322E}"/>
    <cellStyle name="Normal 5 4 4 3 4" xfId="9893" xr:uid="{77463E21-4295-43A3-BB92-379372D2D0DE}"/>
    <cellStyle name="Normal 5 4 4 3 5" xfId="18334" xr:uid="{42A2E683-57A4-45DF-BC8C-E5ADFCE4C8F8}"/>
    <cellStyle name="Normal 5 4 4 3 6" xfId="26774" xr:uid="{3826DF79-BA47-44CA-98F1-EA528C27D8FD}"/>
    <cellStyle name="Normal 5 4 4 4" xfId="1767" xr:uid="{00000000-0005-0000-0000-00002F1B0000}"/>
    <cellStyle name="Normal 5 4 4 4 2" xfId="3997" xr:uid="{00000000-0005-0000-0000-0000301B0000}"/>
    <cellStyle name="Normal 5 4 4 4 2 2" xfId="8219" xr:uid="{00000000-0005-0000-0000-0000311B0000}"/>
    <cellStyle name="Normal 5 4 4 4 2 2 2" xfId="16669" xr:uid="{3AEE1A7D-2886-4889-9138-D0341304130B}"/>
    <cellStyle name="Normal 5 4 4 4 2 2 3" xfId="25109" xr:uid="{CBC3017C-D874-4777-9727-44CAF1DA2ED1}"/>
    <cellStyle name="Normal 5 4 4 4 2 2 4" xfId="33549" xr:uid="{89CD194B-1E9B-4FFC-B9A0-0B91A90B779D}"/>
    <cellStyle name="Normal 5 4 4 4 2 3" xfId="12451" xr:uid="{7632F5A2-7854-464D-8E9B-3ECEC3793343}"/>
    <cellStyle name="Normal 5 4 4 4 2 4" xfId="20892" xr:uid="{CC41C366-5C81-488C-A87C-C36D2672EBC5}"/>
    <cellStyle name="Normal 5 4 4 4 2 5" xfId="29332" xr:uid="{34D7E197-23B6-48A6-8317-0828703B2289}"/>
    <cellStyle name="Normal 5 4 4 4 3" xfId="6074" xr:uid="{00000000-0005-0000-0000-0000321B0000}"/>
    <cellStyle name="Normal 5 4 4 4 3 2" xfId="14524" xr:uid="{16FF5C74-4DA8-4E10-9039-DFD6CA403BDF}"/>
    <cellStyle name="Normal 5 4 4 4 3 3" xfId="22964" xr:uid="{810CA691-6636-4F91-886A-26352EF2CE11}"/>
    <cellStyle name="Normal 5 4 4 4 3 4" xfId="31404" xr:uid="{B7449B40-94CD-4643-8AFD-2A4B9E57683C}"/>
    <cellStyle name="Normal 5 4 4 4 4" xfId="10306" xr:uid="{B69D42C7-9FD3-4C09-82ED-54BA3F2397BD}"/>
    <cellStyle name="Normal 5 4 4 4 5" xfId="18747" xr:uid="{B6FE268E-0572-4308-8883-FA744DE004DE}"/>
    <cellStyle name="Normal 5 4 4 4 6" xfId="27187" xr:uid="{52A17719-4D50-49C7-9B08-7A66EF986FB3}"/>
    <cellStyle name="Normal 5 4 4 5" xfId="2181" xr:uid="{00000000-0005-0000-0000-0000331B0000}"/>
    <cellStyle name="Normal 5 4 4 5 2" xfId="4410" xr:uid="{00000000-0005-0000-0000-0000341B0000}"/>
    <cellStyle name="Normal 5 4 4 5 2 2" xfId="8632" xr:uid="{00000000-0005-0000-0000-0000351B0000}"/>
    <cellStyle name="Normal 5 4 4 5 2 2 2" xfId="17082" xr:uid="{BD88BAA2-8244-421F-8821-D97BB3991161}"/>
    <cellStyle name="Normal 5 4 4 5 2 2 3" xfId="25522" xr:uid="{953F1F60-DCB8-442B-888E-3B8A2F11E493}"/>
    <cellStyle name="Normal 5 4 4 5 2 2 4" xfId="33962" xr:uid="{09E8D761-E5A1-445B-AFD3-5CFC27B5983D}"/>
    <cellStyle name="Normal 5 4 4 5 2 3" xfId="12864" xr:uid="{19DDD840-FBC3-4384-8811-EAA336A6D6EF}"/>
    <cellStyle name="Normal 5 4 4 5 2 4" xfId="21305" xr:uid="{8DA3BDEC-3F34-4AF0-84FD-183DA48CAAEF}"/>
    <cellStyle name="Normal 5 4 4 5 2 5" xfId="29745" xr:uid="{882C3FB7-C7E0-40F4-AE1B-49384AB7DF96}"/>
    <cellStyle name="Normal 5 4 4 5 3" xfId="6487" xr:uid="{00000000-0005-0000-0000-0000361B0000}"/>
    <cellStyle name="Normal 5 4 4 5 3 2" xfId="14937" xr:uid="{3F4AFE4E-4A96-4EC9-92B4-C4F9797C49E9}"/>
    <cellStyle name="Normal 5 4 4 5 3 3" xfId="23377" xr:uid="{11DEF6E4-411B-4DDF-8145-8FB2C5ACA1E2}"/>
    <cellStyle name="Normal 5 4 4 5 3 4" xfId="31817" xr:uid="{8AEFFA46-F2C7-4C0F-94A2-AFE5781785ED}"/>
    <cellStyle name="Normal 5 4 4 5 4" xfId="10719" xr:uid="{7E3AA2B2-7278-4287-9B49-5037A3846CC1}"/>
    <cellStyle name="Normal 5 4 4 5 5" xfId="19160" xr:uid="{1265DF70-705C-412F-B9A8-DFBAC41E0436}"/>
    <cellStyle name="Normal 5 4 4 5 6" xfId="27600" xr:uid="{352B591A-7679-4000-9465-190708FADEAA}"/>
    <cellStyle name="Normal 5 4 4 6" xfId="2617" xr:uid="{00000000-0005-0000-0000-0000371B0000}"/>
    <cellStyle name="Normal 5 4 4 6 2" xfId="6900" xr:uid="{00000000-0005-0000-0000-0000381B0000}"/>
    <cellStyle name="Normal 5 4 4 6 2 2" xfId="15350" xr:uid="{B613EA2F-9F1E-4641-946C-D1F63FDA5D68}"/>
    <cellStyle name="Normal 5 4 4 6 2 3" xfId="23790" xr:uid="{A28CE595-EAB8-43B1-8DE5-8ED6B0E2F29C}"/>
    <cellStyle name="Normal 5 4 4 6 2 4" xfId="32230" xr:uid="{EB112B08-8323-4018-9672-BA3270ABC46E}"/>
    <cellStyle name="Normal 5 4 4 6 3" xfId="11132" xr:uid="{AD8512F7-29C0-428D-B240-80174AFBC53B}"/>
    <cellStyle name="Normal 5 4 4 6 4" xfId="19573" xr:uid="{57C32C22-04BD-4B1D-868B-A8238D175AD5}"/>
    <cellStyle name="Normal 5 4 4 6 5" xfId="28013" xr:uid="{64D68AE6-A1CD-4CCC-8ABD-39CE77CECE06}"/>
    <cellStyle name="Normal 5 4 4 7" xfId="4835" xr:uid="{00000000-0005-0000-0000-0000391B0000}"/>
    <cellStyle name="Normal 5 4 4 7 2" xfId="13285" xr:uid="{3915B5E6-ACE8-4BCF-8E21-19629B1DB293}"/>
    <cellStyle name="Normal 5 4 4 7 3" xfId="21725" xr:uid="{78985FCF-2881-4CB0-9C65-996352F49548}"/>
    <cellStyle name="Normal 5 4 4 7 4" xfId="30165" xr:uid="{6CA423DD-96BC-44FA-8D2C-10D06C6CA5F4}"/>
    <cellStyle name="Normal 5 4 4 8" xfId="9067" xr:uid="{D304108A-6876-4D44-B6AB-F5995090C832}"/>
    <cellStyle name="Normal 5 4 4 9" xfId="17508" xr:uid="{4D2F86A5-4040-46C9-9BAD-77D509885388}"/>
    <cellStyle name="Normal 5 4 5" xfId="930" xr:uid="{00000000-0005-0000-0000-00003A1B0000}"/>
    <cellStyle name="Normal 5 4 5 2" xfId="3164" xr:uid="{00000000-0005-0000-0000-00003B1B0000}"/>
    <cellStyle name="Normal 5 4 5 2 2" xfId="7386" xr:uid="{00000000-0005-0000-0000-00003C1B0000}"/>
    <cellStyle name="Normal 5 4 5 2 2 2" xfId="15836" xr:uid="{81CD0C56-62B6-4FC5-84A8-99C08CDB5BC2}"/>
    <cellStyle name="Normal 5 4 5 2 2 3" xfId="24276" xr:uid="{C41F262F-1D6D-4EB7-B216-2C1B054E2B27}"/>
    <cellStyle name="Normal 5 4 5 2 2 4" xfId="32716" xr:uid="{AE87499E-3C09-4611-A46A-A09E46576B19}"/>
    <cellStyle name="Normal 5 4 5 2 3" xfId="11618" xr:uid="{196FDFDE-BD8B-4A94-950D-4BCFEBFC9562}"/>
    <cellStyle name="Normal 5 4 5 2 4" xfId="20059" xr:uid="{3F18E13F-CD2D-43C7-A5D5-117A2A53B7BB}"/>
    <cellStyle name="Normal 5 4 5 2 5" xfId="28499" xr:uid="{8596F9FC-C0BC-4157-882B-24E5731FF013}"/>
    <cellStyle name="Normal 5 4 5 3" xfId="5241" xr:uid="{00000000-0005-0000-0000-00003D1B0000}"/>
    <cellStyle name="Normal 5 4 5 3 2" xfId="13691" xr:uid="{33B21770-AE27-4351-AC5D-A26EA93C1236}"/>
    <cellStyle name="Normal 5 4 5 3 3" xfId="22131" xr:uid="{6B4DF21C-1F73-45A2-A1D5-D19B65A64322}"/>
    <cellStyle name="Normal 5 4 5 3 4" xfId="30571" xr:uid="{957A7D52-42CD-41B3-AC21-95B38B4F95FF}"/>
    <cellStyle name="Normal 5 4 5 4" xfId="9473" xr:uid="{939D4DE3-9EA5-4773-B496-A42F35D6BB43}"/>
    <cellStyle name="Normal 5 4 5 5" xfId="17914" xr:uid="{2AFD3519-C92A-4905-89ED-8FB8C6BE4BCF}"/>
    <cellStyle name="Normal 5 4 5 6" xfId="26354" xr:uid="{6E246E57-1105-4314-AC58-B0FF5E167F72}"/>
    <cellStyle name="Normal 5 4 6" xfId="1347" xr:uid="{00000000-0005-0000-0000-00003E1B0000}"/>
    <cellStyle name="Normal 5 4 6 2" xfId="3577" xr:uid="{00000000-0005-0000-0000-00003F1B0000}"/>
    <cellStyle name="Normal 5 4 6 2 2" xfId="7799" xr:uid="{00000000-0005-0000-0000-0000401B0000}"/>
    <cellStyle name="Normal 5 4 6 2 2 2" xfId="16249" xr:uid="{B6CC1DDF-2C07-4DC7-8A6B-46BE0FE5F1E0}"/>
    <cellStyle name="Normal 5 4 6 2 2 3" xfId="24689" xr:uid="{28AE0FA0-6B28-4181-821A-9FF36BAA629B}"/>
    <cellStyle name="Normal 5 4 6 2 2 4" xfId="33129" xr:uid="{3709000F-937E-4EE4-94DE-334D55830EEC}"/>
    <cellStyle name="Normal 5 4 6 2 3" xfId="12031" xr:uid="{215633C6-BE52-4B4D-8CFB-E589DB25DA88}"/>
    <cellStyle name="Normal 5 4 6 2 4" xfId="20472" xr:uid="{6F4B56B8-A2C7-4AD0-8A6A-5A090EFD13F3}"/>
    <cellStyle name="Normal 5 4 6 2 5" xfId="28912" xr:uid="{2833A211-859C-409B-A973-A6DDF0736FA7}"/>
    <cellStyle name="Normal 5 4 6 3" xfId="5654" xr:uid="{00000000-0005-0000-0000-0000411B0000}"/>
    <cellStyle name="Normal 5 4 6 3 2" xfId="14104" xr:uid="{7E0F237D-7A9A-4F33-9590-C0AF4475D3A7}"/>
    <cellStyle name="Normal 5 4 6 3 3" xfId="22544" xr:uid="{FBBEFB22-9655-44BA-90A8-719EA93755D0}"/>
    <cellStyle name="Normal 5 4 6 3 4" xfId="30984" xr:uid="{66DCFB99-A230-451D-96AC-2E8A7C35AAD3}"/>
    <cellStyle name="Normal 5 4 6 4" xfId="9886" xr:uid="{617025F2-E852-47C7-B769-8F2192B41AF0}"/>
    <cellStyle name="Normal 5 4 6 5" xfId="18327" xr:uid="{4AB110CF-FBEC-49B7-88A4-21C1E1090C0C}"/>
    <cellStyle name="Normal 5 4 6 6" xfId="26767" xr:uid="{FA0B944F-FD66-4E9C-86C7-1A5449BE54C8}"/>
    <cellStyle name="Normal 5 4 7" xfId="1760" xr:uid="{00000000-0005-0000-0000-0000421B0000}"/>
    <cellStyle name="Normal 5 4 7 2" xfId="3990" xr:uid="{00000000-0005-0000-0000-0000431B0000}"/>
    <cellStyle name="Normal 5 4 7 2 2" xfId="8212" xr:uid="{00000000-0005-0000-0000-0000441B0000}"/>
    <cellStyle name="Normal 5 4 7 2 2 2" xfId="16662" xr:uid="{82143FE0-B80E-4568-A800-0AD2A883FCB1}"/>
    <cellStyle name="Normal 5 4 7 2 2 3" xfId="25102" xr:uid="{EDF5276A-9C4E-404F-B38D-0C401AA44E7F}"/>
    <cellStyle name="Normal 5 4 7 2 2 4" xfId="33542" xr:uid="{96FA49F8-DE72-403B-A9F0-759F56A938BF}"/>
    <cellStyle name="Normal 5 4 7 2 3" xfId="12444" xr:uid="{4A61066E-7EB2-4B20-9CA4-B29075D0BB40}"/>
    <cellStyle name="Normal 5 4 7 2 4" xfId="20885" xr:uid="{376D1F0F-95A9-44FC-B756-D0F216379CE0}"/>
    <cellStyle name="Normal 5 4 7 2 5" xfId="29325" xr:uid="{6ECAA677-3DC4-42C2-B6B4-84EA21F09BAF}"/>
    <cellStyle name="Normal 5 4 7 3" xfId="6067" xr:uid="{00000000-0005-0000-0000-0000451B0000}"/>
    <cellStyle name="Normal 5 4 7 3 2" xfId="14517" xr:uid="{19349F8D-B1EB-42E5-AD30-549E65C1466B}"/>
    <cellStyle name="Normal 5 4 7 3 3" xfId="22957" xr:uid="{8A0C2433-CDA7-4718-A11E-2A32713429CC}"/>
    <cellStyle name="Normal 5 4 7 3 4" xfId="31397" xr:uid="{9D506F80-C064-4EAE-9B62-B7C2757D2368}"/>
    <cellStyle name="Normal 5 4 7 4" xfId="10299" xr:uid="{6E96FB9D-7F97-4A12-8C65-C6AF06921C9E}"/>
    <cellStyle name="Normal 5 4 7 5" xfId="18740" xr:uid="{71194BD3-9ACF-4BF9-A4A7-ECB7EC0BADCC}"/>
    <cellStyle name="Normal 5 4 7 6" xfId="27180" xr:uid="{3DB7EA94-5119-4F8B-8045-000A845F86FC}"/>
    <cellStyle name="Normal 5 4 8" xfId="2174" xr:uid="{00000000-0005-0000-0000-0000461B0000}"/>
    <cellStyle name="Normal 5 4 8 2" xfId="4403" xr:uid="{00000000-0005-0000-0000-0000471B0000}"/>
    <cellStyle name="Normal 5 4 8 2 2" xfId="8625" xr:uid="{00000000-0005-0000-0000-0000481B0000}"/>
    <cellStyle name="Normal 5 4 8 2 2 2" xfId="17075" xr:uid="{A9F9C210-C568-4493-9D96-2DF95B4FFDA8}"/>
    <cellStyle name="Normal 5 4 8 2 2 3" xfId="25515" xr:uid="{0F3F50E5-4D1D-4DBA-BAF5-B9A55409B67E}"/>
    <cellStyle name="Normal 5 4 8 2 2 4" xfId="33955" xr:uid="{76108BE1-2E84-45AE-8567-77217C593952}"/>
    <cellStyle name="Normal 5 4 8 2 3" xfId="12857" xr:uid="{F9C2D8FF-C78F-4258-A30A-5D435ABADBDA}"/>
    <cellStyle name="Normal 5 4 8 2 4" xfId="21298" xr:uid="{584209CB-8E7F-48C8-83EF-F05585AF28B3}"/>
    <cellStyle name="Normal 5 4 8 2 5" xfId="29738" xr:uid="{FF2A6416-1952-4997-9959-8DEBFA489D63}"/>
    <cellStyle name="Normal 5 4 8 3" xfId="6480" xr:uid="{00000000-0005-0000-0000-0000491B0000}"/>
    <cellStyle name="Normal 5 4 8 3 2" xfId="14930" xr:uid="{9AF7F6DA-409D-430A-AB1F-15E5ED879804}"/>
    <cellStyle name="Normal 5 4 8 3 3" xfId="23370" xr:uid="{3938817F-4C29-42F8-BED9-7EDF025657CA}"/>
    <cellStyle name="Normal 5 4 8 3 4" xfId="31810" xr:uid="{78ADF022-38CA-4221-81F9-3361D6F5FCFF}"/>
    <cellStyle name="Normal 5 4 8 4" xfId="10712" xr:uid="{816A1A0A-CAA6-4EB9-B1A9-EAAAB5C03397}"/>
    <cellStyle name="Normal 5 4 8 5" xfId="19153" xr:uid="{C2901D18-A3F1-4EA9-8F65-C15A4BD27116}"/>
    <cellStyle name="Normal 5 4 8 6" xfId="27593" xr:uid="{B2AF64E5-38A3-4D1C-8EDA-902730771562}"/>
    <cellStyle name="Normal 5 4 9" xfId="2610" xr:uid="{00000000-0005-0000-0000-00004A1B0000}"/>
    <cellStyle name="Normal 5 4 9 2" xfId="6893" xr:uid="{00000000-0005-0000-0000-00004B1B0000}"/>
    <cellStyle name="Normal 5 4 9 2 2" xfId="15343" xr:uid="{014C538E-A162-409D-BA9D-5CE1C48D264F}"/>
    <cellStyle name="Normal 5 4 9 2 3" xfId="23783" xr:uid="{2805F3D5-0C67-4701-841D-FAD0D9B424AB}"/>
    <cellStyle name="Normal 5 4 9 2 4" xfId="32223" xr:uid="{CCFDCD30-3FE1-4FA0-BA6E-4390001C10B0}"/>
    <cellStyle name="Normal 5 4 9 3" xfId="11125" xr:uid="{0E4D61F5-34DE-4975-AF08-176975502365}"/>
    <cellStyle name="Normal 5 4 9 4" xfId="19566" xr:uid="{243A2DC1-D92B-47D7-9DF5-62805C685BD0}"/>
    <cellStyle name="Normal 5 4 9 5" xfId="28006" xr:uid="{DE031E13-F1BB-406C-8212-8F9EA0DA6C75}"/>
    <cellStyle name="Normal 5 5" xfId="464" xr:uid="{00000000-0005-0000-0000-00004C1B0000}"/>
    <cellStyle name="Normal 5 5 10" xfId="9068" xr:uid="{A0CB4BED-8A0C-485A-9700-27F736C709E3}"/>
    <cellStyle name="Normal 5 5 11" xfId="17509" xr:uid="{5E89B554-E4EC-4A1E-9549-DC18C7A8B21E}"/>
    <cellStyle name="Normal 5 5 12" xfId="25949" xr:uid="{9C438749-3A0F-4584-8282-E44903D1B366}"/>
    <cellStyle name="Normal 5 5 2" xfId="465" xr:uid="{00000000-0005-0000-0000-00004D1B0000}"/>
    <cellStyle name="Normal 5 5 2 10" xfId="17510" xr:uid="{B975C743-C64D-4954-A873-C7BFCB7E5A26}"/>
    <cellStyle name="Normal 5 5 2 11" xfId="25950" xr:uid="{222EBEA7-A89F-48F6-AED2-AA579C57FFA9}"/>
    <cellStyle name="Normal 5 5 2 2" xfId="466" xr:uid="{00000000-0005-0000-0000-00004E1B0000}"/>
    <cellStyle name="Normal 5 5 2 2 10" xfId="25951" xr:uid="{849D1F54-1427-4A19-B9F0-A7A161623D1F}"/>
    <cellStyle name="Normal 5 5 2 2 2" xfId="940" xr:uid="{00000000-0005-0000-0000-00004F1B0000}"/>
    <cellStyle name="Normal 5 5 2 2 2 2" xfId="3174" xr:uid="{00000000-0005-0000-0000-0000501B0000}"/>
    <cellStyle name="Normal 5 5 2 2 2 2 2" xfId="7396" xr:uid="{00000000-0005-0000-0000-0000511B0000}"/>
    <cellStyle name="Normal 5 5 2 2 2 2 2 2" xfId="15846" xr:uid="{3529907B-A7F6-4C06-A0C7-765D7D43FFBD}"/>
    <cellStyle name="Normal 5 5 2 2 2 2 2 3" xfId="24286" xr:uid="{B304A145-936A-4141-B36D-12D3A36187D1}"/>
    <cellStyle name="Normal 5 5 2 2 2 2 2 4" xfId="32726" xr:uid="{D2739E4A-C720-48F8-AB4C-855D8CD67A21}"/>
    <cellStyle name="Normal 5 5 2 2 2 2 3" xfId="11628" xr:uid="{1A853081-5E02-4BF7-B340-D0ADC628F1A7}"/>
    <cellStyle name="Normal 5 5 2 2 2 2 4" xfId="20069" xr:uid="{CD55BAB6-D57C-4842-84F3-46BAAF13505E}"/>
    <cellStyle name="Normal 5 5 2 2 2 2 5" xfId="28509" xr:uid="{DEA912C5-2ACD-4458-8DD0-4FDD4F3E833E}"/>
    <cellStyle name="Normal 5 5 2 2 2 3" xfId="5251" xr:uid="{00000000-0005-0000-0000-0000521B0000}"/>
    <cellStyle name="Normal 5 5 2 2 2 3 2" xfId="13701" xr:uid="{632D3449-91B6-4A8F-94C7-F91B2E338A08}"/>
    <cellStyle name="Normal 5 5 2 2 2 3 3" xfId="22141" xr:uid="{321F476B-48EF-4B24-900F-C45BAAE4D63F}"/>
    <cellStyle name="Normal 5 5 2 2 2 3 4" xfId="30581" xr:uid="{8A983B65-9AB9-4BD0-8817-3AAB142F35AF}"/>
    <cellStyle name="Normal 5 5 2 2 2 4" xfId="9483" xr:uid="{84439595-C8B0-49F8-AE45-2CFD4D11077E}"/>
    <cellStyle name="Normal 5 5 2 2 2 5" xfId="17924" xr:uid="{F302AFBA-4586-4772-BF8B-282D1622AA08}"/>
    <cellStyle name="Normal 5 5 2 2 2 6" xfId="26364" xr:uid="{17629619-7455-404E-B7AF-D4CC74741E1B}"/>
    <cellStyle name="Normal 5 5 2 2 3" xfId="1357" xr:uid="{00000000-0005-0000-0000-0000531B0000}"/>
    <cellStyle name="Normal 5 5 2 2 3 2" xfId="3587" xr:uid="{00000000-0005-0000-0000-0000541B0000}"/>
    <cellStyle name="Normal 5 5 2 2 3 2 2" xfId="7809" xr:uid="{00000000-0005-0000-0000-0000551B0000}"/>
    <cellStyle name="Normal 5 5 2 2 3 2 2 2" xfId="16259" xr:uid="{D4368158-48E1-4210-B05A-8873E0DBF5AD}"/>
    <cellStyle name="Normal 5 5 2 2 3 2 2 3" xfId="24699" xr:uid="{27B23E1B-0C2C-4064-8F1C-3E4971206F09}"/>
    <cellStyle name="Normal 5 5 2 2 3 2 2 4" xfId="33139" xr:uid="{6B47AF60-CF35-4B9C-BD85-96295E3C7D1E}"/>
    <cellStyle name="Normal 5 5 2 2 3 2 3" xfId="12041" xr:uid="{35C6E2A0-0A11-4865-83AA-3A5EFAB247DC}"/>
    <cellStyle name="Normal 5 5 2 2 3 2 4" xfId="20482" xr:uid="{52C6AF0E-BD8F-4BF5-8548-805B25621FDE}"/>
    <cellStyle name="Normal 5 5 2 2 3 2 5" xfId="28922" xr:uid="{8F66E76F-3AE6-4FAC-A80E-C9AC71FBD88F}"/>
    <cellStyle name="Normal 5 5 2 2 3 3" xfId="5664" xr:uid="{00000000-0005-0000-0000-0000561B0000}"/>
    <cellStyle name="Normal 5 5 2 2 3 3 2" xfId="14114" xr:uid="{0668792B-4097-4A09-8329-7609E0ED3962}"/>
    <cellStyle name="Normal 5 5 2 2 3 3 3" xfId="22554" xr:uid="{E5986CBA-1929-4D7F-8947-1C3BB972506F}"/>
    <cellStyle name="Normal 5 5 2 2 3 3 4" xfId="30994" xr:uid="{08304CE8-E554-4AA0-B7CE-E54E6C31029A}"/>
    <cellStyle name="Normal 5 5 2 2 3 4" xfId="9896" xr:uid="{3345C582-6221-4B92-A761-A462FD8F1486}"/>
    <cellStyle name="Normal 5 5 2 2 3 5" xfId="18337" xr:uid="{804F6B16-F0F4-4311-837C-DB276FC85EE5}"/>
    <cellStyle name="Normal 5 5 2 2 3 6" xfId="26777" xr:uid="{7ACD9782-AEB3-4195-80C6-2B49E00E5F0C}"/>
    <cellStyle name="Normal 5 5 2 2 4" xfId="1770" xr:uid="{00000000-0005-0000-0000-0000571B0000}"/>
    <cellStyle name="Normal 5 5 2 2 4 2" xfId="4000" xr:uid="{00000000-0005-0000-0000-0000581B0000}"/>
    <cellStyle name="Normal 5 5 2 2 4 2 2" xfId="8222" xr:uid="{00000000-0005-0000-0000-0000591B0000}"/>
    <cellStyle name="Normal 5 5 2 2 4 2 2 2" xfId="16672" xr:uid="{4E4DFE5C-F1E3-4FB6-8839-76BE2C91E6BA}"/>
    <cellStyle name="Normal 5 5 2 2 4 2 2 3" xfId="25112" xr:uid="{DEE0F541-57D7-4DBD-9684-28CCBB8F8E36}"/>
    <cellStyle name="Normal 5 5 2 2 4 2 2 4" xfId="33552" xr:uid="{24BB3638-5BA3-4FA7-8695-21DC4D652476}"/>
    <cellStyle name="Normal 5 5 2 2 4 2 3" xfId="12454" xr:uid="{4D8ECE8B-6F16-4711-9EAC-8A56656CFE53}"/>
    <cellStyle name="Normal 5 5 2 2 4 2 4" xfId="20895" xr:uid="{E95F105F-DE39-4B07-A3F7-16E1D784CF1E}"/>
    <cellStyle name="Normal 5 5 2 2 4 2 5" xfId="29335" xr:uid="{DFD431DE-9E83-4AD5-B70F-9B84D2F0F1A1}"/>
    <cellStyle name="Normal 5 5 2 2 4 3" xfId="6077" xr:uid="{00000000-0005-0000-0000-00005A1B0000}"/>
    <cellStyle name="Normal 5 5 2 2 4 3 2" xfId="14527" xr:uid="{E3926E56-0EA4-4363-A4CE-0EA47C6152A7}"/>
    <cellStyle name="Normal 5 5 2 2 4 3 3" xfId="22967" xr:uid="{F60AAA5F-4A72-40ED-AA20-E4F9E9D82280}"/>
    <cellStyle name="Normal 5 5 2 2 4 3 4" xfId="31407" xr:uid="{2CBF47F7-5B62-41DF-9368-F2FD3845E5B6}"/>
    <cellStyle name="Normal 5 5 2 2 4 4" xfId="10309" xr:uid="{1F02B334-77D7-4D13-B0A8-E4DCF1E3085A}"/>
    <cellStyle name="Normal 5 5 2 2 4 5" xfId="18750" xr:uid="{873DFF24-449F-42A9-8DC0-69B52B0501CD}"/>
    <cellStyle name="Normal 5 5 2 2 4 6" xfId="27190" xr:uid="{A57BC0A6-FC10-43BB-A081-FE6ECE1E12DE}"/>
    <cellStyle name="Normal 5 5 2 2 5" xfId="2184" xr:uid="{00000000-0005-0000-0000-00005B1B0000}"/>
    <cellStyle name="Normal 5 5 2 2 5 2" xfId="4413" xr:uid="{00000000-0005-0000-0000-00005C1B0000}"/>
    <cellStyle name="Normal 5 5 2 2 5 2 2" xfId="8635" xr:uid="{00000000-0005-0000-0000-00005D1B0000}"/>
    <cellStyle name="Normal 5 5 2 2 5 2 2 2" xfId="17085" xr:uid="{F47656A4-043A-4EFE-97E4-F9812775A5CE}"/>
    <cellStyle name="Normal 5 5 2 2 5 2 2 3" xfId="25525" xr:uid="{B471D5FD-175A-4998-8F7F-FB0AE385209A}"/>
    <cellStyle name="Normal 5 5 2 2 5 2 2 4" xfId="33965" xr:uid="{6116EAFC-2C86-4773-AC66-22D49CBCB3B8}"/>
    <cellStyle name="Normal 5 5 2 2 5 2 3" xfId="12867" xr:uid="{AF876758-60D1-445E-9FDC-6CC2CEE97D5A}"/>
    <cellStyle name="Normal 5 5 2 2 5 2 4" xfId="21308" xr:uid="{2596BCA8-7C1F-4491-97D7-36B8C7B60248}"/>
    <cellStyle name="Normal 5 5 2 2 5 2 5" xfId="29748" xr:uid="{D29E90ED-DA5A-4938-992A-453FE1D7571C}"/>
    <cellStyle name="Normal 5 5 2 2 5 3" xfId="6490" xr:uid="{00000000-0005-0000-0000-00005E1B0000}"/>
    <cellStyle name="Normal 5 5 2 2 5 3 2" xfId="14940" xr:uid="{DF965BBC-81AF-440D-9482-B843E9E9B6F4}"/>
    <cellStyle name="Normal 5 5 2 2 5 3 3" xfId="23380" xr:uid="{E21924E9-422A-488A-9E5E-65F5F2289405}"/>
    <cellStyle name="Normal 5 5 2 2 5 3 4" xfId="31820" xr:uid="{6F1C5BEB-87EB-4299-8F39-FE51EEDFC688}"/>
    <cellStyle name="Normal 5 5 2 2 5 4" xfId="10722" xr:uid="{8F1FB676-BFB3-497A-A87B-CAC7D1C403FD}"/>
    <cellStyle name="Normal 5 5 2 2 5 5" xfId="19163" xr:uid="{84876F4D-6066-46C1-89EF-C3C5EAF968CB}"/>
    <cellStyle name="Normal 5 5 2 2 5 6" xfId="27603" xr:uid="{645BE430-9805-45C8-B9CA-2DA355654808}"/>
    <cellStyle name="Normal 5 5 2 2 6" xfId="2620" xr:uid="{00000000-0005-0000-0000-00005F1B0000}"/>
    <cellStyle name="Normal 5 5 2 2 6 2" xfId="6903" xr:uid="{00000000-0005-0000-0000-0000601B0000}"/>
    <cellStyle name="Normal 5 5 2 2 6 2 2" xfId="15353" xr:uid="{777F4CFC-50B2-4DDE-944C-B4FB03F7DA8A}"/>
    <cellStyle name="Normal 5 5 2 2 6 2 3" xfId="23793" xr:uid="{D7402A24-EC12-4586-B2C7-EC2A0AF3DB19}"/>
    <cellStyle name="Normal 5 5 2 2 6 2 4" xfId="32233" xr:uid="{035BA05F-8E7E-4926-89D3-7B9DBC44B87A}"/>
    <cellStyle name="Normal 5 5 2 2 6 3" xfId="11135" xr:uid="{3D77888A-E426-4212-88A8-11F62B0DFAF9}"/>
    <cellStyle name="Normal 5 5 2 2 6 4" xfId="19576" xr:uid="{14E7E2B6-917A-4626-88B2-DBA7A2399519}"/>
    <cellStyle name="Normal 5 5 2 2 6 5" xfId="28016" xr:uid="{C5014EBD-1C30-464B-92FF-CDCA0E3B78A3}"/>
    <cellStyle name="Normal 5 5 2 2 7" xfId="4838" xr:uid="{00000000-0005-0000-0000-0000611B0000}"/>
    <cellStyle name="Normal 5 5 2 2 7 2" xfId="13288" xr:uid="{A02EB3E0-37C9-43A7-9B18-07CEA3913DB7}"/>
    <cellStyle name="Normal 5 5 2 2 7 3" xfId="21728" xr:uid="{EE17981E-8F86-438D-9177-A4F54EDE0931}"/>
    <cellStyle name="Normal 5 5 2 2 7 4" xfId="30168" xr:uid="{DA8C92E1-BED4-46BD-A81F-52D26BDA2614}"/>
    <cellStyle name="Normal 5 5 2 2 8" xfId="9070" xr:uid="{299E1F7F-E199-4389-AA2E-275688E7C364}"/>
    <cellStyle name="Normal 5 5 2 2 9" xfId="17511" xr:uid="{2E41A855-0211-45E2-8CFA-75FA6C39A606}"/>
    <cellStyle name="Normal 5 5 2 3" xfId="939" xr:uid="{00000000-0005-0000-0000-0000621B0000}"/>
    <cellStyle name="Normal 5 5 2 3 2" xfId="3173" xr:uid="{00000000-0005-0000-0000-0000631B0000}"/>
    <cellStyle name="Normal 5 5 2 3 2 2" xfId="7395" xr:uid="{00000000-0005-0000-0000-0000641B0000}"/>
    <cellStyle name="Normal 5 5 2 3 2 2 2" xfId="15845" xr:uid="{88738568-923E-470A-93DB-2116FDDC78A5}"/>
    <cellStyle name="Normal 5 5 2 3 2 2 3" xfId="24285" xr:uid="{83D2A9EC-40CF-4948-AA77-3F20A7C9FAD3}"/>
    <cellStyle name="Normal 5 5 2 3 2 2 4" xfId="32725" xr:uid="{A93A57E0-AB54-46F5-840B-76CAFC0668E5}"/>
    <cellStyle name="Normal 5 5 2 3 2 3" xfId="11627" xr:uid="{268465AC-3811-44D1-87CD-5F940280B7D5}"/>
    <cellStyle name="Normal 5 5 2 3 2 4" xfId="20068" xr:uid="{31074A71-4492-4A83-86A8-01949F31993B}"/>
    <cellStyle name="Normal 5 5 2 3 2 5" xfId="28508" xr:uid="{EF5D8F0E-008A-4A62-84BA-4181B56FC5AE}"/>
    <cellStyle name="Normal 5 5 2 3 3" xfId="5250" xr:uid="{00000000-0005-0000-0000-0000651B0000}"/>
    <cellStyle name="Normal 5 5 2 3 3 2" xfId="13700" xr:uid="{EC26FE2B-ACE0-4ED5-BA4D-19AE5D0EA8FF}"/>
    <cellStyle name="Normal 5 5 2 3 3 3" xfId="22140" xr:uid="{3CFF3C97-3E81-45ED-9E4F-5CC86A56A994}"/>
    <cellStyle name="Normal 5 5 2 3 3 4" xfId="30580" xr:uid="{8DB84795-6A56-4F80-8CC2-A8368FF5FFE2}"/>
    <cellStyle name="Normal 5 5 2 3 4" xfId="9482" xr:uid="{2E5B11A5-02CF-4AFC-BF00-647DAEFAE1AB}"/>
    <cellStyle name="Normal 5 5 2 3 5" xfId="17923" xr:uid="{90CBB557-AECD-4DC5-BED5-34AD8906817B}"/>
    <cellStyle name="Normal 5 5 2 3 6" xfId="26363" xr:uid="{CB283193-46E0-40DE-B404-EF3D80CA9842}"/>
    <cellStyle name="Normal 5 5 2 4" xfId="1356" xr:uid="{00000000-0005-0000-0000-0000661B0000}"/>
    <cellStyle name="Normal 5 5 2 4 2" xfId="3586" xr:uid="{00000000-0005-0000-0000-0000671B0000}"/>
    <cellStyle name="Normal 5 5 2 4 2 2" xfId="7808" xr:uid="{00000000-0005-0000-0000-0000681B0000}"/>
    <cellStyle name="Normal 5 5 2 4 2 2 2" xfId="16258" xr:uid="{232D84C2-62BF-4B4F-B2D2-97D1ACD1E362}"/>
    <cellStyle name="Normal 5 5 2 4 2 2 3" xfId="24698" xr:uid="{9F682C72-F3D4-4DF5-86EE-A4B9288BB15B}"/>
    <cellStyle name="Normal 5 5 2 4 2 2 4" xfId="33138" xr:uid="{813B60D4-1AAE-4237-B87D-47818AAC9287}"/>
    <cellStyle name="Normal 5 5 2 4 2 3" xfId="12040" xr:uid="{EE5DA021-9669-4753-95CB-F899768899B8}"/>
    <cellStyle name="Normal 5 5 2 4 2 4" xfId="20481" xr:uid="{5BAB5143-322A-4E06-B5B6-68DC8E3988E7}"/>
    <cellStyle name="Normal 5 5 2 4 2 5" xfId="28921" xr:uid="{584EAC7E-FFEA-487E-90DF-D9D51CAE9BF9}"/>
    <cellStyle name="Normal 5 5 2 4 3" xfId="5663" xr:uid="{00000000-0005-0000-0000-0000691B0000}"/>
    <cellStyle name="Normal 5 5 2 4 3 2" xfId="14113" xr:uid="{4C4A9206-BD66-4207-B2E4-5310A0BBF46C}"/>
    <cellStyle name="Normal 5 5 2 4 3 3" xfId="22553" xr:uid="{B55A28CA-49DF-4819-8C70-1E3013720E1F}"/>
    <cellStyle name="Normal 5 5 2 4 3 4" xfId="30993" xr:uid="{B27112FF-BEEA-4AC3-9371-B6B69154EDBB}"/>
    <cellStyle name="Normal 5 5 2 4 4" xfId="9895" xr:uid="{1A6BC000-6016-45CB-93F7-690C0C58D4A4}"/>
    <cellStyle name="Normal 5 5 2 4 5" xfId="18336" xr:uid="{24D475EF-77FC-4A63-88FD-161868AC4501}"/>
    <cellStyle name="Normal 5 5 2 4 6" xfId="26776" xr:uid="{0E6F5602-721B-4660-8DD3-DD0D465C86D3}"/>
    <cellStyle name="Normal 5 5 2 5" xfId="1769" xr:uid="{00000000-0005-0000-0000-00006A1B0000}"/>
    <cellStyle name="Normal 5 5 2 5 2" xfId="3999" xr:uid="{00000000-0005-0000-0000-00006B1B0000}"/>
    <cellStyle name="Normal 5 5 2 5 2 2" xfId="8221" xr:uid="{00000000-0005-0000-0000-00006C1B0000}"/>
    <cellStyle name="Normal 5 5 2 5 2 2 2" xfId="16671" xr:uid="{9D88FFD8-6DBA-435C-93D3-91F2F6192211}"/>
    <cellStyle name="Normal 5 5 2 5 2 2 3" xfId="25111" xr:uid="{FD863278-B373-4DE6-A69E-7A10C19BA20A}"/>
    <cellStyle name="Normal 5 5 2 5 2 2 4" xfId="33551" xr:uid="{F3AA23FA-746C-4362-8FEE-366445755D3B}"/>
    <cellStyle name="Normal 5 5 2 5 2 3" xfId="12453" xr:uid="{B520CAC5-24A1-46A2-B7B6-1B04ACD0B13E}"/>
    <cellStyle name="Normal 5 5 2 5 2 4" xfId="20894" xr:uid="{F3CE3F40-CC0B-431F-B572-1C05B0E040D7}"/>
    <cellStyle name="Normal 5 5 2 5 2 5" xfId="29334" xr:uid="{973824CF-3784-4224-9E38-27AA407FA8C5}"/>
    <cellStyle name="Normal 5 5 2 5 3" xfId="6076" xr:uid="{00000000-0005-0000-0000-00006D1B0000}"/>
    <cellStyle name="Normal 5 5 2 5 3 2" xfId="14526" xr:uid="{E8BB3E5F-C437-4F51-A63A-63AF38F47E40}"/>
    <cellStyle name="Normal 5 5 2 5 3 3" xfId="22966" xr:uid="{4FFC091D-53E1-4C07-B569-B51F6DBA9AFD}"/>
    <cellStyle name="Normal 5 5 2 5 3 4" xfId="31406" xr:uid="{D8914801-F9A1-4AE8-A1DC-9BAF1E695321}"/>
    <cellStyle name="Normal 5 5 2 5 4" xfId="10308" xr:uid="{76E54197-F9C7-4A29-AEA3-3A4B1153647E}"/>
    <cellStyle name="Normal 5 5 2 5 5" xfId="18749" xr:uid="{1E813D8C-68C1-46D7-B432-8798BFAC938A}"/>
    <cellStyle name="Normal 5 5 2 5 6" xfId="27189" xr:uid="{C27E7843-EB94-4072-8AA6-389629FE6D7D}"/>
    <cellStyle name="Normal 5 5 2 6" xfId="2183" xr:uid="{00000000-0005-0000-0000-00006E1B0000}"/>
    <cellStyle name="Normal 5 5 2 6 2" xfId="4412" xr:uid="{00000000-0005-0000-0000-00006F1B0000}"/>
    <cellStyle name="Normal 5 5 2 6 2 2" xfId="8634" xr:uid="{00000000-0005-0000-0000-0000701B0000}"/>
    <cellStyle name="Normal 5 5 2 6 2 2 2" xfId="17084" xr:uid="{AD437078-4091-41D4-BA27-C51F835D5601}"/>
    <cellStyle name="Normal 5 5 2 6 2 2 3" xfId="25524" xr:uid="{59E9C65C-5BED-4775-9E4D-C2E9A54770FF}"/>
    <cellStyle name="Normal 5 5 2 6 2 2 4" xfId="33964" xr:uid="{648C8ADB-8B74-401E-A071-E5EDB11505D5}"/>
    <cellStyle name="Normal 5 5 2 6 2 3" xfId="12866" xr:uid="{9FE126AF-3587-438D-BA90-A7ECC17AC272}"/>
    <cellStyle name="Normal 5 5 2 6 2 4" xfId="21307" xr:uid="{D9C12D0F-97E6-44C7-B6B1-FD50D9DF77D5}"/>
    <cellStyle name="Normal 5 5 2 6 2 5" xfId="29747" xr:uid="{BABB44F8-E5C9-45F0-811C-B862B396DDB1}"/>
    <cellStyle name="Normal 5 5 2 6 3" xfId="6489" xr:uid="{00000000-0005-0000-0000-0000711B0000}"/>
    <cellStyle name="Normal 5 5 2 6 3 2" xfId="14939" xr:uid="{4F9866A2-46FA-458E-8D8C-3F83BF45A2BE}"/>
    <cellStyle name="Normal 5 5 2 6 3 3" xfId="23379" xr:uid="{478F99B7-9F7B-4F1B-A718-B74FFBD3CFB4}"/>
    <cellStyle name="Normal 5 5 2 6 3 4" xfId="31819" xr:uid="{32CEB718-D2AE-4BC4-8CA9-2B865FD08DE3}"/>
    <cellStyle name="Normal 5 5 2 6 4" xfId="10721" xr:uid="{A1D8B33B-E6EE-4C3E-9A3E-125A835DC0BF}"/>
    <cellStyle name="Normal 5 5 2 6 5" xfId="19162" xr:uid="{7569E880-85AE-4AD2-957D-F52033F26AE5}"/>
    <cellStyle name="Normal 5 5 2 6 6" xfId="27602" xr:uid="{F4CB57EB-3B86-4677-99C8-1D366AEE3BD3}"/>
    <cellStyle name="Normal 5 5 2 7" xfId="2619" xr:uid="{00000000-0005-0000-0000-0000721B0000}"/>
    <cellStyle name="Normal 5 5 2 7 2" xfId="6902" xr:uid="{00000000-0005-0000-0000-0000731B0000}"/>
    <cellStyle name="Normal 5 5 2 7 2 2" xfId="15352" xr:uid="{F3EFB35B-91FC-4C6B-ADA5-B039DA813A7F}"/>
    <cellStyle name="Normal 5 5 2 7 2 3" xfId="23792" xr:uid="{211D795D-61B5-4564-9B58-454758D2B185}"/>
    <cellStyle name="Normal 5 5 2 7 2 4" xfId="32232" xr:uid="{15470A3E-554D-40FD-BBF9-ACB083819582}"/>
    <cellStyle name="Normal 5 5 2 7 3" xfId="11134" xr:uid="{3F3B67E3-C684-48AE-8F8C-A7D0F2098045}"/>
    <cellStyle name="Normal 5 5 2 7 4" xfId="19575" xr:uid="{1AF8E1BE-7A1E-417C-839F-51A984F05DCB}"/>
    <cellStyle name="Normal 5 5 2 7 5" xfId="28015" xr:uid="{C16A5DD2-8562-41C8-9823-12EDEA26594B}"/>
    <cellStyle name="Normal 5 5 2 8" xfId="4837" xr:uid="{00000000-0005-0000-0000-0000741B0000}"/>
    <cellStyle name="Normal 5 5 2 8 2" xfId="13287" xr:uid="{472D7F10-928A-429A-9366-67394CEFEEE8}"/>
    <cellStyle name="Normal 5 5 2 8 3" xfId="21727" xr:uid="{A7DF672C-D181-4CEB-BA7D-C0E3C3284BAF}"/>
    <cellStyle name="Normal 5 5 2 8 4" xfId="30167" xr:uid="{434A1E4D-FE27-467B-A7CA-D91CC0996668}"/>
    <cellStyle name="Normal 5 5 2 9" xfId="9069" xr:uid="{2D4BDF85-B05D-49E6-AF9D-4828F754A599}"/>
    <cellStyle name="Normal 5 5 3" xfId="467" xr:uid="{00000000-0005-0000-0000-0000751B0000}"/>
    <cellStyle name="Normal 5 5 3 10" xfId="25952" xr:uid="{3D0B6989-9547-4D3B-B154-CEC2052AA200}"/>
    <cellStyle name="Normal 5 5 3 2" xfId="941" xr:uid="{00000000-0005-0000-0000-0000761B0000}"/>
    <cellStyle name="Normal 5 5 3 2 2" xfId="3175" xr:uid="{00000000-0005-0000-0000-0000771B0000}"/>
    <cellStyle name="Normal 5 5 3 2 2 2" xfId="7397" xr:uid="{00000000-0005-0000-0000-0000781B0000}"/>
    <cellStyle name="Normal 5 5 3 2 2 2 2" xfId="15847" xr:uid="{FE54A4F3-A893-4E74-A225-F0675AD4A180}"/>
    <cellStyle name="Normal 5 5 3 2 2 2 3" xfId="24287" xr:uid="{5AFCDDC2-E6F3-43B4-9B0A-E2FA1D4381B7}"/>
    <cellStyle name="Normal 5 5 3 2 2 2 4" xfId="32727" xr:uid="{5CC912F7-6A3A-4425-8FD8-1DB1E03C975E}"/>
    <cellStyle name="Normal 5 5 3 2 2 3" xfId="11629" xr:uid="{9BE3AEB4-A0FF-4204-A7F3-3FD7EEE54911}"/>
    <cellStyle name="Normal 5 5 3 2 2 4" xfId="20070" xr:uid="{F53A3444-0336-4BD6-9B3E-437E2D0A0261}"/>
    <cellStyle name="Normal 5 5 3 2 2 5" xfId="28510" xr:uid="{FC78B894-0783-40A2-830E-9B6FDFE4F436}"/>
    <cellStyle name="Normal 5 5 3 2 3" xfId="5252" xr:uid="{00000000-0005-0000-0000-0000791B0000}"/>
    <cellStyle name="Normal 5 5 3 2 3 2" xfId="13702" xr:uid="{175D9D42-C153-48FB-ACBF-7E15F5155C3F}"/>
    <cellStyle name="Normal 5 5 3 2 3 3" xfId="22142" xr:uid="{1813DB55-BD26-4A2A-83B6-C516AB633B85}"/>
    <cellStyle name="Normal 5 5 3 2 3 4" xfId="30582" xr:uid="{E415F136-4F5D-4EA3-BB2E-E14B890E66BD}"/>
    <cellStyle name="Normal 5 5 3 2 4" xfId="9484" xr:uid="{C0A21746-3B4F-48F9-B2FA-76204F693150}"/>
    <cellStyle name="Normal 5 5 3 2 5" xfId="17925" xr:uid="{0508707F-FE58-4F65-A4DE-8875C1F84D49}"/>
    <cellStyle name="Normal 5 5 3 2 6" xfId="26365" xr:uid="{758838EA-2DE1-436C-AAF4-F7E24A5E7D50}"/>
    <cellStyle name="Normal 5 5 3 3" xfId="1358" xr:uid="{00000000-0005-0000-0000-00007A1B0000}"/>
    <cellStyle name="Normal 5 5 3 3 2" xfId="3588" xr:uid="{00000000-0005-0000-0000-00007B1B0000}"/>
    <cellStyle name="Normal 5 5 3 3 2 2" xfId="7810" xr:uid="{00000000-0005-0000-0000-00007C1B0000}"/>
    <cellStyle name="Normal 5 5 3 3 2 2 2" xfId="16260" xr:uid="{C3160D9A-4FE6-4321-B880-B9B477B1FB27}"/>
    <cellStyle name="Normal 5 5 3 3 2 2 3" xfId="24700" xr:uid="{C1663164-1EA4-4925-AA1E-99E45DFA92C2}"/>
    <cellStyle name="Normal 5 5 3 3 2 2 4" xfId="33140" xr:uid="{6DAC7755-0BA0-40FF-B61A-CB9D3CC65B4C}"/>
    <cellStyle name="Normal 5 5 3 3 2 3" xfId="12042" xr:uid="{434411B0-528D-414B-B79F-4ADA34225E38}"/>
    <cellStyle name="Normal 5 5 3 3 2 4" xfId="20483" xr:uid="{8833ABEF-E484-4E60-BD41-2222489DC6D5}"/>
    <cellStyle name="Normal 5 5 3 3 2 5" xfId="28923" xr:uid="{E06949A5-26D2-4A96-9FD4-677E04A9002B}"/>
    <cellStyle name="Normal 5 5 3 3 3" xfId="5665" xr:uid="{00000000-0005-0000-0000-00007D1B0000}"/>
    <cellStyle name="Normal 5 5 3 3 3 2" xfId="14115" xr:uid="{B8FFC20C-C341-4680-978C-CE79D59809AE}"/>
    <cellStyle name="Normal 5 5 3 3 3 3" xfId="22555" xr:uid="{4D233813-F549-435A-A6AB-AC0E2702A47D}"/>
    <cellStyle name="Normal 5 5 3 3 3 4" xfId="30995" xr:uid="{18AF13DE-D298-4FAD-A152-FDD1EBBB71B2}"/>
    <cellStyle name="Normal 5 5 3 3 4" xfId="9897" xr:uid="{BD725254-310B-414D-8C53-3CFE398EDBF7}"/>
    <cellStyle name="Normal 5 5 3 3 5" xfId="18338" xr:uid="{51D1E9F5-67E5-49D3-B771-2232B409A399}"/>
    <cellStyle name="Normal 5 5 3 3 6" xfId="26778" xr:uid="{EA2C8796-4D2D-4876-9528-336C2DC1FBFE}"/>
    <cellStyle name="Normal 5 5 3 4" xfId="1771" xr:uid="{00000000-0005-0000-0000-00007E1B0000}"/>
    <cellStyle name="Normal 5 5 3 4 2" xfId="4001" xr:uid="{00000000-0005-0000-0000-00007F1B0000}"/>
    <cellStyle name="Normal 5 5 3 4 2 2" xfId="8223" xr:uid="{00000000-0005-0000-0000-0000801B0000}"/>
    <cellStyle name="Normal 5 5 3 4 2 2 2" xfId="16673" xr:uid="{AE26A89D-1C35-47DD-91DE-42449300A9F3}"/>
    <cellStyle name="Normal 5 5 3 4 2 2 3" xfId="25113" xr:uid="{81A7FDE1-DEF6-4ADD-A6C6-0231C4225FC8}"/>
    <cellStyle name="Normal 5 5 3 4 2 2 4" xfId="33553" xr:uid="{2CB65B0A-D70C-4CF5-99D2-63D73240D960}"/>
    <cellStyle name="Normal 5 5 3 4 2 3" xfId="12455" xr:uid="{D1D55ED6-FBEE-43ED-94F6-0ED9F51ED483}"/>
    <cellStyle name="Normal 5 5 3 4 2 4" xfId="20896" xr:uid="{9216DFF3-4C92-4071-8039-5F328B78FBFA}"/>
    <cellStyle name="Normal 5 5 3 4 2 5" xfId="29336" xr:uid="{C8FE054C-39E0-42A2-93E5-6C302DF4378D}"/>
    <cellStyle name="Normal 5 5 3 4 3" xfId="6078" xr:uid="{00000000-0005-0000-0000-0000811B0000}"/>
    <cellStyle name="Normal 5 5 3 4 3 2" xfId="14528" xr:uid="{719079BA-9E79-4FFE-A78E-B3F020F13624}"/>
    <cellStyle name="Normal 5 5 3 4 3 3" xfId="22968" xr:uid="{81454A81-41AC-4108-9507-BF6FC0516C91}"/>
    <cellStyle name="Normal 5 5 3 4 3 4" xfId="31408" xr:uid="{0B3A86D3-CFD4-49BF-A676-7C41D28CF2D2}"/>
    <cellStyle name="Normal 5 5 3 4 4" xfId="10310" xr:uid="{CDB9708B-F80E-4FF1-BCFA-F44619BFC640}"/>
    <cellStyle name="Normal 5 5 3 4 5" xfId="18751" xr:uid="{9D364BF7-2B04-4D10-82C6-E24C8C39184E}"/>
    <cellStyle name="Normal 5 5 3 4 6" xfId="27191" xr:uid="{F4428FA9-755F-45B8-9D5F-B82C4706BCB4}"/>
    <cellStyle name="Normal 5 5 3 5" xfId="2185" xr:uid="{00000000-0005-0000-0000-0000821B0000}"/>
    <cellStyle name="Normal 5 5 3 5 2" xfId="4414" xr:uid="{00000000-0005-0000-0000-0000831B0000}"/>
    <cellStyle name="Normal 5 5 3 5 2 2" xfId="8636" xr:uid="{00000000-0005-0000-0000-0000841B0000}"/>
    <cellStyle name="Normal 5 5 3 5 2 2 2" xfId="17086" xr:uid="{F84871D7-D612-4D9A-8BE1-29E6D9387311}"/>
    <cellStyle name="Normal 5 5 3 5 2 2 3" xfId="25526" xr:uid="{67201178-A271-4ABD-A226-0DBA6CFC3CE6}"/>
    <cellStyle name="Normal 5 5 3 5 2 2 4" xfId="33966" xr:uid="{43218EEC-694A-4390-9A2D-1AC1B12E8857}"/>
    <cellStyle name="Normal 5 5 3 5 2 3" xfId="12868" xr:uid="{665BC0CA-2E68-4D69-95EE-46E4B5A3F422}"/>
    <cellStyle name="Normal 5 5 3 5 2 4" xfId="21309" xr:uid="{91F2B259-24DA-4D99-82D2-7B83B82482FA}"/>
    <cellStyle name="Normal 5 5 3 5 2 5" xfId="29749" xr:uid="{92E38207-51B4-4DF3-BE42-4740D0B39D09}"/>
    <cellStyle name="Normal 5 5 3 5 3" xfId="6491" xr:uid="{00000000-0005-0000-0000-0000851B0000}"/>
    <cellStyle name="Normal 5 5 3 5 3 2" xfId="14941" xr:uid="{01CD51D5-DF4E-4562-8922-A63CB1DDEF76}"/>
    <cellStyle name="Normal 5 5 3 5 3 3" xfId="23381" xr:uid="{62270618-2AD0-49F5-9835-45CD6D7B690B}"/>
    <cellStyle name="Normal 5 5 3 5 3 4" xfId="31821" xr:uid="{935C8660-7A93-4D24-8C12-F3CCA61D4D3C}"/>
    <cellStyle name="Normal 5 5 3 5 4" xfId="10723" xr:uid="{C9F456C6-9B30-43E5-A003-97FC0F0635EA}"/>
    <cellStyle name="Normal 5 5 3 5 5" xfId="19164" xr:uid="{8C2A099A-93B9-4DA1-BF8A-E522AF0225F8}"/>
    <cellStyle name="Normal 5 5 3 5 6" xfId="27604" xr:uid="{D60FC37A-EDDC-41B7-939C-417DF07FD644}"/>
    <cellStyle name="Normal 5 5 3 6" xfId="2621" xr:uid="{00000000-0005-0000-0000-0000861B0000}"/>
    <cellStyle name="Normal 5 5 3 6 2" xfId="6904" xr:uid="{00000000-0005-0000-0000-0000871B0000}"/>
    <cellStyle name="Normal 5 5 3 6 2 2" xfId="15354" xr:uid="{A7F4B56F-4F9C-4A03-964D-9DA39AEEA229}"/>
    <cellStyle name="Normal 5 5 3 6 2 3" xfId="23794" xr:uid="{8BC0E750-EDE3-4911-8778-33F721484F7E}"/>
    <cellStyle name="Normal 5 5 3 6 2 4" xfId="32234" xr:uid="{6A22FD4B-9393-403D-B35D-0532DBAC1F28}"/>
    <cellStyle name="Normal 5 5 3 6 3" xfId="11136" xr:uid="{48F6F297-2795-4FA4-8B59-D9BEF7EEC243}"/>
    <cellStyle name="Normal 5 5 3 6 4" xfId="19577" xr:uid="{C836821D-0797-4D83-870D-BC80721510B6}"/>
    <cellStyle name="Normal 5 5 3 6 5" xfId="28017" xr:uid="{6FA30E65-BD44-48FE-AE79-E33C3B3E5CDB}"/>
    <cellStyle name="Normal 5 5 3 7" xfId="4839" xr:uid="{00000000-0005-0000-0000-0000881B0000}"/>
    <cellStyle name="Normal 5 5 3 7 2" xfId="13289" xr:uid="{6048C2E6-7203-470F-ABD7-5CDB843AB223}"/>
    <cellStyle name="Normal 5 5 3 7 3" xfId="21729" xr:uid="{CD2E0A79-B724-4DEF-8AB3-685FE5A1EB3A}"/>
    <cellStyle name="Normal 5 5 3 7 4" xfId="30169" xr:uid="{34FA5644-9BDD-442C-8EB7-F857B0959E6F}"/>
    <cellStyle name="Normal 5 5 3 8" xfId="9071" xr:uid="{1E458668-CD5D-4D3A-BA9A-11472E471CDC}"/>
    <cellStyle name="Normal 5 5 3 9" xfId="17512" xr:uid="{B09F3397-33F4-45F6-91E8-E40440476D08}"/>
    <cellStyle name="Normal 5 5 4" xfId="938" xr:uid="{00000000-0005-0000-0000-0000891B0000}"/>
    <cellStyle name="Normal 5 5 4 2" xfId="3172" xr:uid="{00000000-0005-0000-0000-00008A1B0000}"/>
    <cellStyle name="Normal 5 5 4 2 2" xfId="7394" xr:uid="{00000000-0005-0000-0000-00008B1B0000}"/>
    <cellStyle name="Normal 5 5 4 2 2 2" xfId="15844" xr:uid="{CF8CFFE6-9573-4100-83D5-AB09C1902D7C}"/>
    <cellStyle name="Normal 5 5 4 2 2 3" xfId="24284" xr:uid="{C57837FB-D3EB-4139-92B7-92A5C78DF037}"/>
    <cellStyle name="Normal 5 5 4 2 2 4" xfId="32724" xr:uid="{9D1F0B11-C659-48B0-8DFF-E3E54B8F0235}"/>
    <cellStyle name="Normal 5 5 4 2 3" xfId="11626" xr:uid="{7E4A645F-19E3-48C2-B874-EDCD576E1FDA}"/>
    <cellStyle name="Normal 5 5 4 2 4" xfId="20067" xr:uid="{F0087F76-D429-4C84-8F0D-0FB5AC7E7CD2}"/>
    <cellStyle name="Normal 5 5 4 2 5" xfId="28507" xr:uid="{547A247F-9BEB-468A-BD36-79EF455CA5FC}"/>
    <cellStyle name="Normal 5 5 4 3" xfId="5249" xr:uid="{00000000-0005-0000-0000-00008C1B0000}"/>
    <cellStyle name="Normal 5 5 4 3 2" xfId="13699" xr:uid="{42319312-E13E-4861-8D4E-D537706C9BA4}"/>
    <cellStyle name="Normal 5 5 4 3 3" xfId="22139" xr:uid="{C71B0B75-75D4-4E83-8489-604AA3D97F22}"/>
    <cellStyle name="Normal 5 5 4 3 4" xfId="30579" xr:uid="{44F062DE-EB14-4A3E-80A8-6EADE15AE87C}"/>
    <cellStyle name="Normal 5 5 4 4" xfId="9481" xr:uid="{BB70FA5B-DE94-445E-8E2D-436CD5E9C5ED}"/>
    <cellStyle name="Normal 5 5 4 5" xfId="17922" xr:uid="{60B90309-029B-4EE1-80BF-B6A602943A2C}"/>
    <cellStyle name="Normal 5 5 4 6" xfId="26362" xr:uid="{6C331B6F-2340-4686-9E23-23E78DFCFCBE}"/>
    <cellStyle name="Normal 5 5 5" xfId="1355" xr:uid="{00000000-0005-0000-0000-00008D1B0000}"/>
    <cellStyle name="Normal 5 5 5 2" xfId="3585" xr:uid="{00000000-0005-0000-0000-00008E1B0000}"/>
    <cellStyle name="Normal 5 5 5 2 2" xfId="7807" xr:uid="{00000000-0005-0000-0000-00008F1B0000}"/>
    <cellStyle name="Normal 5 5 5 2 2 2" xfId="16257" xr:uid="{EE848C2F-906D-44F5-92C9-F1C1D1F0B2B2}"/>
    <cellStyle name="Normal 5 5 5 2 2 3" xfId="24697" xr:uid="{316357E0-4F27-475B-B83F-4DE83124C492}"/>
    <cellStyle name="Normal 5 5 5 2 2 4" xfId="33137" xr:uid="{90CAA913-A6D7-436C-B486-2CE3C6CA0B6A}"/>
    <cellStyle name="Normal 5 5 5 2 3" xfId="12039" xr:uid="{2058DF99-999E-4167-8CD4-1D621F87C8C7}"/>
    <cellStyle name="Normal 5 5 5 2 4" xfId="20480" xr:uid="{F0C7DBFC-1509-4B0C-8F2F-718D0D420C04}"/>
    <cellStyle name="Normal 5 5 5 2 5" xfId="28920" xr:uid="{D311F950-C4BE-468D-98AD-676495D43F30}"/>
    <cellStyle name="Normal 5 5 5 3" xfId="5662" xr:uid="{00000000-0005-0000-0000-0000901B0000}"/>
    <cellStyle name="Normal 5 5 5 3 2" xfId="14112" xr:uid="{CD187ABA-5A2E-429D-8EF8-60C39E59CBA7}"/>
    <cellStyle name="Normal 5 5 5 3 3" xfId="22552" xr:uid="{6AEF3E2F-62F2-40C8-92D0-1167C50961AF}"/>
    <cellStyle name="Normal 5 5 5 3 4" xfId="30992" xr:uid="{65CA60B5-D9A8-433F-8391-5CCE91EC1220}"/>
    <cellStyle name="Normal 5 5 5 4" xfId="9894" xr:uid="{5B839966-F460-4EC0-85B8-FE57A46A36D1}"/>
    <cellStyle name="Normal 5 5 5 5" xfId="18335" xr:uid="{1563A55D-C776-4F7D-A896-F8FFE89EC790}"/>
    <cellStyle name="Normal 5 5 5 6" xfId="26775" xr:uid="{9D6083A8-00CC-4EFB-B569-1899B244D6F7}"/>
    <cellStyle name="Normal 5 5 6" xfId="1768" xr:uid="{00000000-0005-0000-0000-0000911B0000}"/>
    <cellStyle name="Normal 5 5 6 2" xfId="3998" xr:uid="{00000000-0005-0000-0000-0000921B0000}"/>
    <cellStyle name="Normal 5 5 6 2 2" xfId="8220" xr:uid="{00000000-0005-0000-0000-0000931B0000}"/>
    <cellStyle name="Normal 5 5 6 2 2 2" xfId="16670" xr:uid="{77E22133-58FE-437F-8F3F-339C40ECBB5F}"/>
    <cellStyle name="Normal 5 5 6 2 2 3" xfId="25110" xr:uid="{D5EB9015-E8BA-4765-8571-FE0DBA658098}"/>
    <cellStyle name="Normal 5 5 6 2 2 4" xfId="33550" xr:uid="{2B526AF6-534E-4F1D-941F-831129416376}"/>
    <cellStyle name="Normal 5 5 6 2 3" xfId="12452" xr:uid="{EE3A57CE-FD1F-4B66-AEE5-E3B2628BEA04}"/>
    <cellStyle name="Normal 5 5 6 2 4" xfId="20893" xr:uid="{6C8D24EB-3B8C-4C95-8216-82A4A9F1B304}"/>
    <cellStyle name="Normal 5 5 6 2 5" xfId="29333" xr:uid="{77E1A3CB-DF6B-44A7-AD2F-F858DE5C8014}"/>
    <cellStyle name="Normal 5 5 6 3" xfId="6075" xr:uid="{00000000-0005-0000-0000-0000941B0000}"/>
    <cellStyle name="Normal 5 5 6 3 2" xfId="14525" xr:uid="{8580C81E-5A35-4D14-9792-DDA32A92C299}"/>
    <cellStyle name="Normal 5 5 6 3 3" xfId="22965" xr:uid="{44228CF6-3EDD-46D5-A587-E939ADA90758}"/>
    <cellStyle name="Normal 5 5 6 3 4" xfId="31405" xr:uid="{BB7104E6-D600-44C8-B67E-619ABFE9631F}"/>
    <cellStyle name="Normal 5 5 6 4" xfId="10307" xr:uid="{FF8F434A-77FB-49C1-BEE5-35A397B8C0E4}"/>
    <cellStyle name="Normal 5 5 6 5" xfId="18748" xr:uid="{10434BD1-2DAE-463D-941D-6A96D6EA0F74}"/>
    <cellStyle name="Normal 5 5 6 6" xfId="27188" xr:uid="{932B8826-C631-48AF-BFB1-632A8035A742}"/>
    <cellStyle name="Normal 5 5 7" xfId="2182" xr:uid="{00000000-0005-0000-0000-0000951B0000}"/>
    <cellStyle name="Normal 5 5 7 2" xfId="4411" xr:uid="{00000000-0005-0000-0000-0000961B0000}"/>
    <cellStyle name="Normal 5 5 7 2 2" xfId="8633" xr:uid="{00000000-0005-0000-0000-0000971B0000}"/>
    <cellStyle name="Normal 5 5 7 2 2 2" xfId="17083" xr:uid="{150684B9-BC99-4179-BD71-ADF2280AD594}"/>
    <cellStyle name="Normal 5 5 7 2 2 3" xfId="25523" xr:uid="{2C0F9289-5B03-40C2-A0A8-3AF04D734567}"/>
    <cellStyle name="Normal 5 5 7 2 2 4" xfId="33963" xr:uid="{A8E20339-53BD-4155-BA0F-3E6CC7CE57BC}"/>
    <cellStyle name="Normal 5 5 7 2 3" xfId="12865" xr:uid="{78F7D37C-633D-47DF-B787-0B63FAD75791}"/>
    <cellStyle name="Normal 5 5 7 2 4" xfId="21306" xr:uid="{4837891E-5433-46F5-A38C-2B34F1ACB4A1}"/>
    <cellStyle name="Normal 5 5 7 2 5" xfId="29746" xr:uid="{A2A40B53-AB6D-4516-9EB2-93C50E077C6E}"/>
    <cellStyle name="Normal 5 5 7 3" xfId="6488" xr:uid="{00000000-0005-0000-0000-0000981B0000}"/>
    <cellStyle name="Normal 5 5 7 3 2" xfId="14938" xr:uid="{E5C744A3-B1BE-46AC-AEB8-39AC4F45EC70}"/>
    <cellStyle name="Normal 5 5 7 3 3" xfId="23378" xr:uid="{8F094A5C-74C5-479E-94E6-F00BAD1CCFEC}"/>
    <cellStyle name="Normal 5 5 7 3 4" xfId="31818" xr:uid="{E7E7D3A2-D0CB-449E-AD42-C397290C0DBA}"/>
    <cellStyle name="Normal 5 5 7 4" xfId="10720" xr:uid="{1E59EDA1-3BB1-4D6A-BAE4-B8227BB94FC9}"/>
    <cellStyle name="Normal 5 5 7 5" xfId="19161" xr:uid="{B4C4F16C-C8C5-4E5E-87A1-646D2741739B}"/>
    <cellStyle name="Normal 5 5 7 6" xfId="27601" xr:uid="{4010847D-D6FB-4B28-8AF6-F92A887FA5B2}"/>
    <cellStyle name="Normal 5 5 8" xfId="2618" xr:uid="{00000000-0005-0000-0000-0000991B0000}"/>
    <cellStyle name="Normal 5 5 8 2" xfId="6901" xr:uid="{00000000-0005-0000-0000-00009A1B0000}"/>
    <cellStyle name="Normal 5 5 8 2 2" xfId="15351" xr:uid="{26086D24-1FBF-4CAE-A83A-8C9D68C5912F}"/>
    <cellStyle name="Normal 5 5 8 2 3" xfId="23791" xr:uid="{B0E969CA-1C48-4350-A405-D167B41F276B}"/>
    <cellStyle name="Normal 5 5 8 2 4" xfId="32231" xr:uid="{A8D83220-9E12-4CE6-8200-13425FFD9C36}"/>
    <cellStyle name="Normal 5 5 8 3" xfId="11133" xr:uid="{F704E380-C92A-4D8C-87F9-2BCBE7BBA2FD}"/>
    <cellStyle name="Normal 5 5 8 4" xfId="19574" xr:uid="{520CD93E-DB15-420C-80EC-BE868ACA9933}"/>
    <cellStyle name="Normal 5 5 8 5" xfId="28014" xr:uid="{5B4D253C-B64F-4F34-B424-C7CA1EEF34B8}"/>
    <cellStyle name="Normal 5 5 9" xfId="4836" xr:uid="{00000000-0005-0000-0000-00009B1B0000}"/>
    <cellStyle name="Normal 5 5 9 2" xfId="13286" xr:uid="{99BE116D-E299-493A-A0C4-F0D29298304F}"/>
    <cellStyle name="Normal 5 5 9 3" xfId="21726" xr:uid="{491B07C2-8839-43FD-9AB8-BE90006D5174}"/>
    <cellStyle name="Normal 5 5 9 4" xfId="30166" xr:uid="{85F492C4-55EC-48DD-97B3-5DD0E3A21FC4}"/>
    <cellStyle name="Normal 5 6" xfId="468" xr:uid="{00000000-0005-0000-0000-00009C1B0000}"/>
    <cellStyle name="Normal 5 6 10" xfId="17513" xr:uid="{ED9424FA-4F3E-489B-A9BA-86FAFB4BABB9}"/>
    <cellStyle name="Normal 5 6 11" xfId="25953" xr:uid="{8136DFF1-45B3-410D-B642-3209E2450B91}"/>
    <cellStyle name="Normal 5 6 2" xfId="469" xr:uid="{00000000-0005-0000-0000-00009D1B0000}"/>
    <cellStyle name="Normal 5 6 2 10" xfId="25954" xr:uid="{76288385-7CFF-4A48-8781-2951E4920DAA}"/>
    <cellStyle name="Normal 5 6 2 2" xfId="943" xr:uid="{00000000-0005-0000-0000-00009E1B0000}"/>
    <cellStyle name="Normal 5 6 2 2 2" xfId="3177" xr:uid="{00000000-0005-0000-0000-00009F1B0000}"/>
    <cellStyle name="Normal 5 6 2 2 2 2" xfId="7399" xr:uid="{00000000-0005-0000-0000-0000A01B0000}"/>
    <cellStyle name="Normal 5 6 2 2 2 2 2" xfId="15849" xr:uid="{0116F07A-496E-478E-8024-1D63BA80EFC4}"/>
    <cellStyle name="Normal 5 6 2 2 2 2 3" xfId="24289" xr:uid="{28EACF03-28AA-43B6-BF57-3DF29865BFE9}"/>
    <cellStyle name="Normal 5 6 2 2 2 2 4" xfId="32729" xr:uid="{4D42FE11-D0D7-4344-9235-F7D40DE2A295}"/>
    <cellStyle name="Normal 5 6 2 2 2 3" xfId="11631" xr:uid="{E8997C09-53CE-45AE-AC24-F34EAB1A0D34}"/>
    <cellStyle name="Normal 5 6 2 2 2 4" xfId="20072" xr:uid="{0517DD6B-3F6F-4753-9C4F-4649D9640171}"/>
    <cellStyle name="Normal 5 6 2 2 2 5" xfId="28512" xr:uid="{019A028F-956D-4799-93A0-1B8D9DCFAEF9}"/>
    <cellStyle name="Normal 5 6 2 2 3" xfId="5254" xr:uid="{00000000-0005-0000-0000-0000A11B0000}"/>
    <cellStyle name="Normal 5 6 2 2 3 2" xfId="13704" xr:uid="{D9707FDD-4FA2-4078-8164-A42C71E00B29}"/>
    <cellStyle name="Normal 5 6 2 2 3 3" xfId="22144" xr:uid="{99C12FB7-1397-462E-A71A-65658197DF42}"/>
    <cellStyle name="Normal 5 6 2 2 3 4" xfId="30584" xr:uid="{CEA24C8C-6D71-423C-9552-534F0CB78C04}"/>
    <cellStyle name="Normal 5 6 2 2 4" xfId="9486" xr:uid="{E8800B57-44CD-47E3-B61F-E894D7A94E0D}"/>
    <cellStyle name="Normal 5 6 2 2 5" xfId="17927" xr:uid="{C7FAEEA4-12AF-4212-8785-C84D76FFE795}"/>
    <cellStyle name="Normal 5 6 2 2 6" xfId="26367" xr:uid="{7F888F55-AAC5-4FC3-9348-A0197B051A50}"/>
    <cellStyle name="Normal 5 6 2 3" xfId="1360" xr:uid="{00000000-0005-0000-0000-0000A21B0000}"/>
    <cellStyle name="Normal 5 6 2 3 2" xfId="3590" xr:uid="{00000000-0005-0000-0000-0000A31B0000}"/>
    <cellStyle name="Normal 5 6 2 3 2 2" xfId="7812" xr:uid="{00000000-0005-0000-0000-0000A41B0000}"/>
    <cellStyle name="Normal 5 6 2 3 2 2 2" xfId="16262" xr:uid="{25EBF899-76D4-4A2C-9C7C-4902E990A537}"/>
    <cellStyle name="Normal 5 6 2 3 2 2 3" xfId="24702" xr:uid="{03BF3347-8934-4315-B8E5-369848F5D54F}"/>
    <cellStyle name="Normal 5 6 2 3 2 2 4" xfId="33142" xr:uid="{FF53DEF6-AE22-4875-BCAB-A7C5BD703991}"/>
    <cellStyle name="Normal 5 6 2 3 2 3" xfId="12044" xr:uid="{A229F61D-2D15-4BCB-9991-72E965F65EDC}"/>
    <cellStyle name="Normal 5 6 2 3 2 4" xfId="20485" xr:uid="{9A3AC826-ECF6-44A2-980B-93C07C3FBD2F}"/>
    <cellStyle name="Normal 5 6 2 3 2 5" xfId="28925" xr:uid="{BEBF5394-F5F4-419F-9B9D-85E83A0A9FEA}"/>
    <cellStyle name="Normal 5 6 2 3 3" xfId="5667" xr:uid="{00000000-0005-0000-0000-0000A51B0000}"/>
    <cellStyle name="Normal 5 6 2 3 3 2" xfId="14117" xr:uid="{7CEE5B4C-0CC8-4532-88CF-6F8CA0E2A65C}"/>
    <cellStyle name="Normal 5 6 2 3 3 3" xfId="22557" xr:uid="{0BE245C7-6123-491D-9392-0B413ECA2BA7}"/>
    <cellStyle name="Normal 5 6 2 3 3 4" xfId="30997" xr:uid="{154ACBBB-C757-4836-9E63-31BE32177497}"/>
    <cellStyle name="Normal 5 6 2 3 4" xfId="9899" xr:uid="{35877E3B-B6D5-450A-8BA1-1775E724B04E}"/>
    <cellStyle name="Normal 5 6 2 3 5" xfId="18340" xr:uid="{94B5A1F6-A5B5-4DBA-9408-8B2C8C077DD2}"/>
    <cellStyle name="Normal 5 6 2 3 6" xfId="26780" xr:uid="{705DA554-94B7-4EBB-B422-C940F7115415}"/>
    <cellStyle name="Normal 5 6 2 4" xfId="1773" xr:uid="{00000000-0005-0000-0000-0000A61B0000}"/>
    <cellStyle name="Normal 5 6 2 4 2" xfId="4003" xr:uid="{00000000-0005-0000-0000-0000A71B0000}"/>
    <cellStyle name="Normal 5 6 2 4 2 2" xfId="8225" xr:uid="{00000000-0005-0000-0000-0000A81B0000}"/>
    <cellStyle name="Normal 5 6 2 4 2 2 2" xfId="16675" xr:uid="{432E7450-143A-48AA-A967-21171C68C433}"/>
    <cellStyle name="Normal 5 6 2 4 2 2 3" xfId="25115" xr:uid="{912F4B74-D4E4-4BA8-A009-01FCE63264D4}"/>
    <cellStyle name="Normal 5 6 2 4 2 2 4" xfId="33555" xr:uid="{66FA006A-3893-48EE-B24E-33E889AE1947}"/>
    <cellStyle name="Normal 5 6 2 4 2 3" xfId="12457" xr:uid="{B31BB1F7-0F82-43F1-A545-BBDF4637AD29}"/>
    <cellStyle name="Normal 5 6 2 4 2 4" xfId="20898" xr:uid="{4B94450E-90E8-4276-B545-E4924C2877EF}"/>
    <cellStyle name="Normal 5 6 2 4 2 5" xfId="29338" xr:uid="{FEA0ED2F-51A4-48F0-8844-70F5133F6BE2}"/>
    <cellStyle name="Normal 5 6 2 4 3" xfId="6080" xr:uid="{00000000-0005-0000-0000-0000A91B0000}"/>
    <cellStyle name="Normal 5 6 2 4 3 2" xfId="14530" xr:uid="{BC7F0C13-1F9D-4557-AD01-0E5D5C35A91F}"/>
    <cellStyle name="Normal 5 6 2 4 3 3" xfId="22970" xr:uid="{DB9177F5-578C-49A9-A064-55577D9297EA}"/>
    <cellStyle name="Normal 5 6 2 4 3 4" xfId="31410" xr:uid="{097CCE8A-41E6-4ED5-8803-846A8FE2DEDD}"/>
    <cellStyle name="Normal 5 6 2 4 4" xfId="10312" xr:uid="{6E7CAB75-CB6E-47CF-A20B-344A899434FD}"/>
    <cellStyle name="Normal 5 6 2 4 5" xfId="18753" xr:uid="{41AD0E60-8F43-4488-AFB9-DE8F1EEF7CA5}"/>
    <cellStyle name="Normal 5 6 2 4 6" xfId="27193" xr:uid="{60E6263C-7E85-4E2A-A158-F94A5A0B4B50}"/>
    <cellStyle name="Normal 5 6 2 5" xfId="2187" xr:uid="{00000000-0005-0000-0000-0000AA1B0000}"/>
    <cellStyle name="Normal 5 6 2 5 2" xfId="4416" xr:uid="{00000000-0005-0000-0000-0000AB1B0000}"/>
    <cellStyle name="Normal 5 6 2 5 2 2" xfId="8638" xr:uid="{00000000-0005-0000-0000-0000AC1B0000}"/>
    <cellStyle name="Normal 5 6 2 5 2 2 2" xfId="17088" xr:uid="{D29AC8A6-808A-4E24-9A11-FC091F0511AB}"/>
    <cellStyle name="Normal 5 6 2 5 2 2 3" xfId="25528" xr:uid="{E4060529-8B9D-446F-B869-833812E0B01D}"/>
    <cellStyle name="Normal 5 6 2 5 2 2 4" xfId="33968" xr:uid="{5977D4CC-1921-4E97-A526-79AC7475F19B}"/>
    <cellStyle name="Normal 5 6 2 5 2 3" xfId="12870" xr:uid="{735D8FD0-BB1A-4797-B2DF-BE5DCE96BF2A}"/>
    <cellStyle name="Normal 5 6 2 5 2 4" xfId="21311" xr:uid="{5628CA83-6ABE-4E55-8037-CDFC4E726EF2}"/>
    <cellStyle name="Normal 5 6 2 5 2 5" xfId="29751" xr:uid="{FCBFA304-0277-421F-813D-863C21927F70}"/>
    <cellStyle name="Normal 5 6 2 5 3" xfId="6493" xr:uid="{00000000-0005-0000-0000-0000AD1B0000}"/>
    <cellStyle name="Normal 5 6 2 5 3 2" xfId="14943" xr:uid="{126C7FE3-DD28-4503-AFE3-2D84DA12E4C4}"/>
    <cellStyle name="Normal 5 6 2 5 3 3" xfId="23383" xr:uid="{669F0913-8BD4-4D06-AB69-097A8C9182CE}"/>
    <cellStyle name="Normal 5 6 2 5 3 4" xfId="31823" xr:uid="{1A2B48E2-5E35-4650-83A6-16233F0B352F}"/>
    <cellStyle name="Normal 5 6 2 5 4" xfId="10725" xr:uid="{8AE6F011-AC69-40A5-BEA8-503364084D9A}"/>
    <cellStyle name="Normal 5 6 2 5 5" xfId="19166" xr:uid="{92E8417B-5E96-409A-B3D5-F3C211B9F97A}"/>
    <cellStyle name="Normal 5 6 2 5 6" xfId="27606" xr:uid="{6B4658A9-556C-4014-8D13-2636D8F3C293}"/>
    <cellStyle name="Normal 5 6 2 6" xfId="2623" xr:uid="{00000000-0005-0000-0000-0000AE1B0000}"/>
    <cellStyle name="Normal 5 6 2 6 2" xfId="6906" xr:uid="{00000000-0005-0000-0000-0000AF1B0000}"/>
    <cellStyle name="Normal 5 6 2 6 2 2" xfId="15356" xr:uid="{E2E1B5F2-7309-4B73-AD33-F10BE7BF19EE}"/>
    <cellStyle name="Normal 5 6 2 6 2 3" xfId="23796" xr:uid="{16B04709-DF94-48EB-88F0-05B0DF812019}"/>
    <cellStyle name="Normal 5 6 2 6 2 4" xfId="32236" xr:uid="{C4CE7F55-2332-4D2F-8E63-92FD60A68E08}"/>
    <cellStyle name="Normal 5 6 2 6 3" xfId="11138" xr:uid="{82CDDBAE-DC6F-4688-8879-4F6108CF45CB}"/>
    <cellStyle name="Normal 5 6 2 6 4" xfId="19579" xr:uid="{C81EB96B-ADD7-40CC-9C90-4256A8CFF434}"/>
    <cellStyle name="Normal 5 6 2 6 5" xfId="28019" xr:uid="{B7668F98-9CE4-4A8E-935B-85121106ECF2}"/>
    <cellStyle name="Normal 5 6 2 7" xfId="4841" xr:uid="{00000000-0005-0000-0000-0000B01B0000}"/>
    <cellStyle name="Normal 5 6 2 7 2" xfId="13291" xr:uid="{50964F55-E37A-43B1-A8A8-11E229350CAF}"/>
    <cellStyle name="Normal 5 6 2 7 3" xfId="21731" xr:uid="{93DF51A9-BF72-426D-8EC7-10764A3CEF3E}"/>
    <cellStyle name="Normal 5 6 2 7 4" xfId="30171" xr:uid="{9E0DAAF0-CF15-4205-9F62-EC01AA9FF9E4}"/>
    <cellStyle name="Normal 5 6 2 8" xfId="9073" xr:uid="{1C581F1A-8C8D-46F7-9965-5C5DA73419A8}"/>
    <cellStyle name="Normal 5 6 2 9" xfId="17514" xr:uid="{8BF7F822-CDAF-4009-9A33-974C92AC7655}"/>
    <cellStyle name="Normal 5 6 3" xfId="942" xr:uid="{00000000-0005-0000-0000-0000B11B0000}"/>
    <cellStyle name="Normal 5 6 3 2" xfId="3176" xr:uid="{00000000-0005-0000-0000-0000B21B0000}"/>
    <cellStyle name="Normal 5 6 3 2 2" xfId="7398" xr:uid="{00000000-0005-0000-0000-0000B31B0000}"/>
    <cellStyle name="Normal 5 6 3 2 2 2" xfId="15848" xr:uid="{1AA8092E-CD9D-40AE-9300-BA8C70EF98F3}"/>
    <cellStyle name="Normal 5 6 3 2 2 3" xfId="24288" xr:uid="{ADB1D16A-D6F6-474F-A7AC-78452D03594A}"/>
    <cellStyle name="Normal 5 6 3 2 2 4" xfId="32728" xr:uid="{4CA6D652-7184-4538-A749-DAB121FE2AA7}"/>
    <cellStyle name="Normal 5 6 3 2 3" xfId="11630" xr:uid="{4E9D1542-B415-49BA-8E22-996B8C30B89F}"/>
    <cellStyle name="Normal 5 6 3 2 4" xfId="20071" xr:uid="{EF82CA07-AA0B-45E9-BE26-FFBB4FEACAC6}"/>
    <cellStyle name="Normal 5 6 3 2 5" xfId="28511" xr:uid="{30D50F0F-BE0C-483C-B64A-C40009330C73}"/>
    <cellStyle name="Normal 5 6 3 3" xfId="5253" xr:uid="{00000000-0005-0000-0000-0000B41B0000}"/>
    <cellStyle name="Normal 5 6 3 3 2" xfId="13703" xr:uid="{980D78CD-BEEB-475A-A2B3-26BF4A8B16B9}"/>
    <cellStyle name="Normal 5 6 3 3 3" xfId="22143" xr:uid="{EF9914D0-E1DF-4423-B4AE-80CF20878472}"/>
    <cellStyle name="Normal 5 6 3 3 4" xfId="30583" xr:uid="{92FED226-44F5-421B-A740-CED5196C9F46}"/>
    <cellStyle name="Normal 5 6 3 4" xfId="9485" xr:uid="{5D0355E2-5347-45A3-A09A-5A44D00A9DB3}"/>
    <cellStyle name="Normal 5 6 3 5" xfId="17926" xr:uid="{66C3F2FB-7639-4FE1-8BCD-17A5655C607F}"/>
    <cellStyle name="Normal 5 6 3 6" xfId="26366" xr:uid="{F4E9FE29-8B77-4480-A2E7-5720AF4C5138}"/>
    <cellStyle name="Normal 5 6 4" xfId="1359" xr:uid="{00000000-0005-0000-0000-0000B51B0000}"/>
    <cellStyle name="Normal 5 6 4 2" xfId="3589" xr:uid="{00000000-0005-0000-0000-0000B61B0000}"/>
    <cellStyle name="Normal 5 6 4 2 2" xfId="7811" xr:uid="{00000000-0005-0000-0000-0000B71B0000}"/>
    <cellStyle name="Normal 5 6 4 2 2 2" xfId="16261" xr:uid="{4FE23530-9258-42F1-84F6-5F22515293A1}"/>
    <cellStyle name="Normal 5 6 4 2 2 3" xfId="24701" xr:uid="{27237D28-5DE7-43CF-A04D-B2A9106578EE}"/>
    <cellStyle name="Normal 5 6 4 2 2 4" xfId="33141" xr:uid="{44548949-7622-45AC-A373-3CC693416D41}"/>
    <cellStyle name="Normal 5 6 4 2 3" xfId="12043" xr:uid="{E934B335-0E23-4657-AD06-816F4A0957CA}"/>
    <cellStyle name="Normal 5 6 4 2 4" xfId="20484" xr:uid="{DC29B714-3BD1-42BC-8EAE-0431D5B9871D}"/>
    <cellStyle name="Normal 5 6 4 2 5" xfId="28924" xr:uid="{47FA38C0-4687-4970-A273-FB3FBD1E67DA}"/>
    <cellStyle name="Normal 5 6 4 3" xfId="5666" xr:uid="{00000000-0005-0000-0000-0000B81B0000}"/>
    <cellStyle name="Normal 5 6 4 3 2" xfId="14116" xr:uid="{77AB7F3F-DC3A-4AC7-B279-ADC8D6C1C8F7}"/>
    <cellStyle name="Normal 5 6 4 3 3" xfId="22556" xr:uid="{ABF774FB-A82A-44DE-A3DE-4A1E6049182C}"/>
    <cellStyle name="Normal 5 6 4 3 4" xfId="30996" xr:uid="{8216BD7C-DECF-4F17-A698-05CD6528B5D6}"/>
    <cellStyle name="Normal 5 6 4 4" xfId="9898" xr:uid="{A819D0C2-5CD8-4C5D-A114-50A20ABD116E}"/>
    <cellStyle name="Normal 5 6 4 5" xfId="18339" xr:uid="{049C5D51-515B-4BA6-BDD7-9266FEBCC17C}"/>
    <cellStyle name="Normal 5 6 4 6" xfId="26779" xr:uid="{ECD804D5-0902-468F-A583-89BDC8AA6E35}"/>
    <cellStyle name="Normal 5 6 5" xfId="1772" xr:uid="{00000000-0005-0000-0000-0000B91B0000}"/>
    <cellStyle name="Normal 5 6 5 2" xfId="4002" xr:uid="{00000000-0005-0000-0000-0000BA1B0000}"/>
    <cellStyle name="Normal 5 6 5 2 2" xfId="8224" xr:uid="{00000000-0005-0000-0000-0000BB1B0000}"/>
    <cellStyle name="Normal 5 6 5 2 2 2" xfId="16674" xr:uid="{7C8ECAE6-DBEF-4F47-9D90-A24D0C6BDE75}"/>
    <cellStyle name="Normal 5 6 5 2 2 3" xfId="25114" xr:uid="{4CAB0E66-E2FD-4223-9601-49CA01E6A0D7}"/>
    <cellStyle name="Normal 5 6 5 2 2 4" xfId="33554" xr:uid="{517BF801-8467-4328-B25F-986C28BD6A97}"/>
    <cellStyle name="Normal 5 6 5 2 3" xfId="12456" xr:uid="{F9E2796F-0D59-4ACB-981E-F8C659DE8156}"/>
    <cellStyle name="Normal 5 6 5 2 4" xfId="20897" xr:uid="{B09B9AD1-4FAB-4F75-91FC-8D36A0993918}"/>
    <cellStyle name="Normal 5 6 5 2 5" xfId="29337" xr:uid="{72925F40-A8CA-4009-B706-45D7D948472E}"/>
    <cellStyle name="Normal 5 6 5 3" xfId="6079" xr:uid="{00000000-0005-0000-0000-0000BC1B0000}"/>
    <cellStyle name="Normal 5 6 5 3 2" xfId="14529" xr:uid="{B98AB2A8-2971-4D23-8D95-434F95A8AB59}"/>
    <cellStyle name="Normal 5 6 5 3 3" xfId="22969" xr:uid="{F766BE7E-E1D9-4F5C-8B1D-DC0CAC66B54E}"/>
    <cellStyle name="Normal 5 6 5 3 4" xfId="31409" xr:uid="{52B0E042-78AD-478B-A7A1-203D526693FC}"/>
    <cellStyle name="Normal 5 6 5 4" xfId="10311" xr:uid="{75BC0DD0-F78A-4A46-B672-34D43F708D73}"/>
    <cellStyle name="Normal 5 6 5 5" xfId="18752" xr:uid="{E015FDFD-69B4-4015-9DDC-08412DC50E2D}"/>
    <cellStyle name="Normal 5 6 5 6" xfId="27192" xr:uid="{EC47367F-4F1E-47D6-9C43-80A00DEB02AB}"/>
    <cellStyle name="Normal 5 6 6" xfId="2186" xr:uid="{00000000-0005-0000-0000-0000BD1B0000}"/>
    <cellStyle name="Normal 5 6 6 2" xfId="4415" xr:uid="{00000000-0005-0000-0000-0000BE1B0000}"/>
    <cellStyle name="Normal 5 6 6 2 2" xfId="8637" xr:uid="{00000000-0005-0000-0000-0000BF1B0000}"/>
    <cellStyle name="Normal 5 6 6 2 2 2" xfId="17087" xr:uid="{378AFCD0-C981-4F25-BFFF-12DAD69F24AC}"/>
    <cellStyle name="Normal 5 6 6 2 2 3" xfId="25527" xr:uid="{4C8B2283-C952-4EEB-A5C6-AC09C4202817}"/>
    <cellStyle name="Normal 5 6 6 2 2 4" xfId="33967" xr:uid="{E81D055F-6D3F-405C-A0B7-B43FF0D144B6}"/>
    <cellStyle name="Normal 5 6 6 2 3" xfId="12869" xr:uid="{5C0E4F6F-B594-46B9-A8E6-262B283756CC}"/>
    <cellStyle name="Normal 5 6 6 2 4" xfId="21310" xr:uid="{A247102E-E8AD-4D4B-8B97-3F604AE4494C}"/>
    <cellStyle name="Normal 5 6 6 2 5" xfId="29750" xr:uid="{FD0BCD4D-B468-4F9D-A7D4-D41ECCEE596D}"/>
    <cellStyle name="Normal 5 6 6 3" xfId="6492" xr:uid="{00000000-0005-0000-0000-0000C01B0000}"/>
    <cellStyle name="Normal 5 6 6 3 2" xfId="14942" xr:uid="{3362A715-FF71-4854-922E-1CB33513B16C}"/>
    <cellStyle name="Normal 5 6 6 3 3" xfId="23382" xr:uid="{B4672159-D86B-413F-9331-CFE79D0E168D}"/>
    <cellStyle name="Normal 5 6 6 3 4" xfId="31822" xr:uid="{5AA8ECCF-EBB1-434D-9ED0-DB445D139804}"/>
    <cellStyle name="Normal 5 6 6 4" xfId="10724" xr:uid="{BB9D6007-9D82-42E7-BFC7-F3CE8E015E25}"/>
    <cellStyle name="Normal 5 6 6 5" xfId="19165" xr:uid="{AACA2B8D-B4C9-4A6B-A4D2-52C231D54E4F}"/>
    <cellStyle name="Normal 5 6 6 6" xfId="27605" xr:uid="{F75DCDB7-C8D3-464F-8563-4D28CEAD117B}"/>
    <cellStyle name="Normal 5 6 7" xfId="2622" xr:uid="{00000000-0005-0000-0000-0000C11B0000}"/>
    <cellStyle name="Normal 5 6 7 2" xfId="6905" xr:uid="{00000000-0005-0000-0000-0000C21B0000}"/>
    <cellStyle name="Normal 5 6 7 2 2" xfId="15355" xr:uid="{D8365250-722D-425C-AF4E-8AC42A1C890A}"/>
    <cellStyle name="Normal 5 6 7 2 3" xfId="23795" xr:uid="{352E548F-13D1-44A9-8E04-6D2A72912D39}"/>
    <cellStyle name="Normal 5 6 7 2 4" xfId="32235" xr:uid="{684BD52F-8257-4089-8A9A-726E53ED6154}"/>
    <cellStyle name="Normal 5 6 7 3" xfId="11137" xr:uid="{5B2A9A18-353F-4AC0-AD8E-0514C9D5552B}"/>
    <cellStyle name="Normal 5 6 7 4" xfId="19578" xr:uid="{08FB724F-84A2-4B98-8B36-469ACFDA988E}"/>
    <cellStyle name="Normal 5 6 7 5" xfId="28018" xr:uid="{AF85341E-4DBA-457A-9562-6BF1515D489A}"/>
    <cellStyle name="Normal 5 6 8" xfId="4840" xr:uid="{00000000-0005-0000-0000-0000C31B0000}"/>
    <cellStyle name="Normal 5 6 8 2" xfId="13290" xr:uid="{78E188BD-4F43-47EE-A6E8-6F369EE0EC66}"/>
    <cellStyle name="Normal 5 6 8 3" xfId="21730" xr:uid="{2AFCF178-8359-473C-B75F-A302DC482F5D}"/>
    <cellStyle name="Normal 5 6 8 4" xfId="30170" xr:uid="{8DF89413-1B1F-47F4-8B38-E1AE168E8916}"/>
    <cellStyle name="Normal 5 6 9" xfId="9072" xr:uid="{15E17839-B107-4E15-9342-9DB5074780C0}"/>
    <cellStyle name="Normal 5 7" xfId="470" xr:uid="{00000000-0005-0000-0000-0000C41B0000}"/>
    <cellStyle name="Normal 5 7 10" xfId="25955" xr:uid="{17128310-2A28-4378-AA06-DD22BE960C56}"/>
    <cellStyle name="Normal 5 7 2" xfId="944" xr:uid="{00000000-0005-0000-0000-0000C51B0000}"/>
    <cellStyle name="Normal 5 7 2 2" xfId="3178" xr:uid="{00000000-0005-0000-0000-0000C61B0000}"/>
    <cellStyle name="Normal 5 7 2 2 2" xfId="7400" xr:uid="{00000000-0005-0000-0000-0000C71B0000}"/>
    <cellStyle name="Normal 5 7 2 2 2 2" xfId="15850" xr:uid="{B4720653-39C7-4043-B31B-EA0A3F57E648}"/>
    <cellStyle name="Normal 5 7 2 2 2 3" xfId="24290" xr:uid="{DCCA673D-5C9A-41C5-9202-1DDD78698D57}"/>
    <cellStyle name="Normal 5 7 2 2 2 4" xfId="32730" xr:uid="{7B8C12ED-2A6F-46E1-9467-BE7E14889FE8}"/>
    <cellStyle name="Normal 5 7 2 2 3" xfId="11632" xr:uid="{05396076-7C8B-41DF-8A83-87E89A6B1ABB}"/>
    <cellStyle name="Normal 5 7 2 2 4" xfId="20073" xr:uid="{83CA1B57-71DE-4B2C-856E-E97E65155F60}"/>
    <cellStyle name="Normal 5 7 2 2 5" xfId="28513" xr:uid="{BE99268E-EDC1-4F62-9B07-D1CD339BB4B5}"/>
    <cellStyle name="Normal 5 7 2 3" xfId="5255" xr:uid="{00000000-0005-0000-0000-0000C81B0000}"/>
    <cellStyle name="Normal 5 7 2 3 2" xfId="13705" xr:uid="{062933F3-D4A0-4634-ADE7-4F892C16C9C7}"/>
    <cellStyle name="Normal 5 7 2 3 3" xfId="22145" xr:uid="{5B1FAB60-3519-4AA9-8FE1-51967F11696E}"/>
    <cellStyle name="Normal 5 7 2 3 4" xfId="30585" xr:uid="{D8569B7D-16F2-4642-8109-F6501D983745}"/>
    <cellStyle name="Normal 5 7 2 4" xfId="9487" xr:uid="{A1B1FA61-7611-4985-A130-415190840BFA}"/>
    <cellStyle name="Normal 5 7 2 5" xfId="17928" xr:uid="{CCBC6C0A-C9F7-4BF8-BC1E-83CCF383277E}"/>
    <cellStyle name="Normal 5 7 2 6" xfId="26368" xr:uid="{F79F0A22-0318-441B-9B61-1D2ACA151195}"/>
    <cellStyle name="Normal 5 7 3" xfId="1361" xr:uid="{00000000-0005-0000-0000-0000C91B0000}"/>
    <cellStyle name="Normal 5 7 3 2" xfId="3591" xr:uid="{00000000-0005-0000-0000-0000CA1B0000}"/>
    <cellStyle name="Normal 5 7 3 2 2" xfId="7813" xr:uid="{00000000-0005-0000-0000-0000CB1B0000}"/>
    <cellStyle name="Normal 5 7 3 2 2 2" xfId="16263" xr:uid="{8664FFAB-6035-45C4-9BCF-096781A3CA30}"/>
    <cellStyle name="Normal 5 7 3 2 2 3" xfId="24703" xr:uid="{CCE0EE42-576C-43D7-8320-332EF7D9CE81}"/>
    <cellStyle name="Normal 5 7 3 2 2 4" xfId="33143" xr:uid="{307E68C9-7918-4C80-81EC-95068290027F}"/>
    <cellStyle name="Normal 5 7 3 2 3" xfId="12045" xr:uid="{1F7B31CA-290B-4820-827F-0B0B61B4D97F}"/>
    <cellStyle name="Normal 5 7 3 2 4" xfId="20486" xr:uid="{7FA6F681-351F-4CDB-82C1-57E0FA5F3486}"/>
    <cellStyle name="Normal 5 7 3 2 5" xfId="28926" xr:uid="{54230AC4-C3A5-46ED-9589-913F66717913}"/>
    <cellStyle name="Normal 5 7 3 3" xfId="5668" xr:uid="{00000000-0005-0000-0000-0000CC1B0000}"/>
    <cellStyle name="Normal 5 7 3 3 2" xfId="14118" xr:uid="{7FE3FD61-C1D7-4463-B80A-90209E23C8FD}"/>
    <cellStyle name="Normal 5 7 3 3 3" xfId="22558" xr:uid="{2879469F-F0A1-46F4-8AE4-29B99A127A54}"/>
    <cellStyle name="Normal 5 7 3 3 4" xfId="30998" xr:uid="{9CA70FE6-32F6-41B4-A97F-C19F45F36445}"/>
    <cellStyle name="Normal 5 7 3 4" xfId="9900" xr:uid="{49C07491-1B04-4300-8DE3-FB081780E9EA}"/>
    <cellStyle name="Normal 5 7 3 5" xfId="18341" xr:uid="{1765A05D-3B48-4DA4-8DAA-5098E187D0F1}"/>
    <cellStyle name="Normal 5 7 3 6" xfId="26781" xr:uid="{1A81EE25-EAF5-472B-9145-084EBE7763FB}"/>
    <cellStyle name="Normal 5 7 4" xfId="1774" xr:uid="{00000000-0005-0000-0000-0000CD1B0000}"/>
    <cellStyle name="Normal 5 7 4 2" xfId="4004" xr:uid="{00000000-0005-0000-0000-0000CE1B0000}"/>
    <cellStyle name="Normal 5 7 4 2 2" xfId="8226" xr:uid="{00000000-0005-0000-0000-0000CF1B0000}"/>
    <cellStyle name="Normal 5 7 4 2 2 2" xfId="16676" xr:uid="{BB66B11A-2FD9-456D-82FC-C7E3E51BABC5}"/>
    <cellStyle name="Normal 5 7 4 2 2 3" xfId="25116" xr:uid="{AC571717-DFAD-4A92-AE41-078372A98940}"/>
    <cellStyle name="Normal 5 7 4 2 2 4" xfId="33556" xr:uid="{60FBAE5B-95A5-406A-A6DD-6091E1ED3212}"/>
    <cellStyle name="Normal 5 7 4 2 3" xfId="12458" xr:uid="{B8CE9154-03DC-401C-8A9B-449E8601BF58}"/>
    <cellStyle name="Normal 5 7 4 2 4" xfId="20899" xr:uid="{9FE33FEA-3A75-4AD5-90EE-ABE9029667C0}"/>
    <cellStyle name="Normal 5 7 4 2 5" xfId="29339" xr:uid="{7C39F113-2586-480F-A277-8154930BB8FD}"/>
    <cellStyle name="Normal 5 7 4 3" xfId="6081" xr:uid="{00000000-0005-0000-0000-0000D01B0000}"/>
    <cellStyle name="Normal 5 7 4 3 2" xfId="14531" xr:uid="{D3725305-252C-435B-8EFC-F36EBE6E3176}"/>
    <cellStyle name="Normal 5 7 4 3 3" xfId="22971" xr:uid="{80D28E64-4038-4FA3-B0FE-35228B0CC3EE}"/>
    <cellStyle name="Normal 5 7 4 3 4" xfId="31411" xr:uid="{1F002FFB-D2A6-4570-A2CE-97965CFCBC6D}"/>
    <cellStyle name="Normal 5 7 4 4" xfId="10313" xr:uid="{020F1C4E-CA0B-48A5-8404-F8AF64F94B09}"/>
    <cellStyle name="Normal 5 7 4 5" xfId="18754" xr:uid="{FE31317A-30A5-464C-A0E1-67995FF2D75D}"/>
    <cellStyle name="Normal 5 7 4 6" xfId="27194" xr:uid="{579AFC1C-83E4-4FF4-BD17-04E8CBDF946C}"/>
    <cellStyle name="Normal 5 7 5" xfId="2188" xr:uid="{00000000-0005-0000-0000-0000D11B0000}"/>
    <cellStyle name="Normal 5 7 5 2" xfId="4417" xr:uid="{00000000-0005-0000-0000-0000D21B0000}"/>
    <cellStyle name="Normal 5 7 5 2 2" xfId="8639" xr:uid="{00000000-0005-0000-0000-0000D31B0000}"/>
    <cellStyle name="Normal 5 7 5 2 2 2" xfId="17089" xr:uid="{A6A766E8-FDCC-4A3C-9371-4E8AC8A1C86F}"/>
    <cellStyle name="Normal 5 7 5 2 2 3" xfId="25529" xr:uid="{85527B5E-1D25-443D-B242-9D3B34783B2C}"/>
    <cellStyle name="Normal 5 7 5 2 2 4" xfId="33969" xr:uid="{95523ECD-A743-4C00-9981-B4317C5BA374}"/>
    <cellStyle name="Normal 5 7 5 2 3" xfId="12871" xr:uid="{0B73B7DA-5707-4EF7-B93E-18C6DBAF28C9}"/>
    <cellStyle name="Normal 5 7 5 2 4" xfId="21312" xr:uid="{BF8ABEBB-90DE-45B6-98AC-3689C3E1690A}"/>
    <cellStyle name="Normal 5 7 5 2 5" xfId="29752" xr:uid="{56FDD107-141A-4C8B-B24D-F1115DC174D1}"/>
    <cellStyle name="Normal 5 7 5 3" xfId="6494" xr:uid="{00000000-0005-0000-0000-0000D41B0000}"/>
    <cellStyle name="Normal 5 7 5 3 2" xfId="14944" xr:uid="{9A3D53F6-54D4-4945-81F0-F3E01D92CF65}"/>
    <cellStyle name="Normal 5 7 5 3 3" xfId="23384" xr:uid="{C224F037-55C6-4D29-A16D-55AF29BC0C94}"/>
    <cellStyle name="Normal 5 7 5 3 4" xfId="31824" xr:uid="{6E8D9F6E-FA73-4A4E-9B4E-C9904F30AF2B}"/>
    <cellStyle name="Normal 5 7 5 4" xfId="10726" xr:uid="{7EE6FFCA-4050-4DCB-AA50-DC790A5EB10E}"/>
    <cellStyle name="Normal 5 7 5 5" xfId="19167" xr:uid="{9B51B2D8-404C-4FE5-B7AA-61756599AFBC}"/>
    <cellStyle name="Normal 5 7 5 6" xfId="27607" xr:uid="{8A64B644-57BF-4014-8A12-3B0CB6C9943D}"/>
    <cellStyle name="Normal 5 7 6" xfId="2624" xr:uid="{00000000-0005-0000-0000-0000D51B0000}"/>
    <cellStyle name="Normal 5 7 6 2" xfId="6907" xr:uid="{00000000-0005-0000-0000-0000D61B0000}"/>
    <cellStyle name="Normal 5 7 6 2 2" xfId="15357" xr:uid="{7F76DFF7-BD8A-4D20-99F1-E071CF0D13C6}"/>
    <cellStyle name="Normal 5 7 6 2 3" xfId="23797" xr:uid="{A843017F-EA2A-478D-92C8-C268CBB9FB76}"/>
    <cellStyle name="Normal 5 7 6 2 4" xfId="32237" xr:uid="{ECB5BF95-1DC4-4464-A4F9-A2A8B0D23713}"/>
    <cellStyle name="Normal 5 7 6 3" xfId="11139" xr:uid="{A9669634-30EB-45D2-82A0-EF119FAC4512}"/>
    <cellStyle name="Normal 5 7 6 4" xfId="19580" xr:uid="{B1CFDF60-91A2-4796-A03C-4C773204D879}"/>
    <cellStyle name="Normal 5 7 6 5" xfId="28020" xr:uid="{BBFB6380-655D-459B-B925-8FA89E4198A1}"/>
    <cellStyle name="Normal 5 7 7" xfId="4842" xr:uid="{00000000-0005-0000-0000-0000D71B0000}"/>
    <cellStyle name="Normal 5 7 7 2" xfId="13292" xr:uid="{6F9D61AA-6E0C-4582-8A5C-B87EEE7388D1}"/>
    <cellStyle name="Normal 5 7 7 3" xfId="21732" xr:uid="{D30FBB85-A966-42B4-A2A6-4C7D31E57376}"/>
    <cellStyle name="Normal 5 7 7 4" xfId="30172" xr:uid="{AD32DD77-E716-4462-9C13-BEF9DC5EA0DA}"/>
    <cellStyle name="Normal 5 7 8" xfId="9074" xr:uid="{924602C7-DEFA-4E0F-8808-863CB31C5CA5}"/>
    <cellStyle name="Normal 5 7 9" xfId="17515" xr:uid="{7EDA1994-2833-48D3-AB67-77D538132ABC}"/>
    <cellStyle name="Normal 5 8" xfId="880" xr:uid="{00000000-0005-0000-0000-0000D81B0000}"/>
    <cellStyle name="Normal 5 8 2" xfId="3115" xr:uid="{00000000-0005-0000-0000-0000D91B0000}"/>
    <cellStyle name="Normal 5 8 2 2" xfId="7337" xr:uid="{00000000-0005-0000-0000-0000DA1B0000}"/>
    <cellStyle name="Normal 5 8 2 2 2" xfId="15787" xr:uid="{C5FB3D40-CC67-46BB-A92C-F7930D4E6DFB}"/>
    <cellStyle name="Normal 5 8 2 2 3" xfId="24227" xr:uid="{76299A3D-CC3A-4436-9CE0-28BD3E069531}"/>
    <cellStyle name="Normal 5 8 2 2 4" xfId="32667" xr:uid="{4BBF8C29-70F3-4FD5-AEEB-11CB0AAFE0DF}"/>
    <cellStyle name="Normal 5 8 2 3" xfId="11569" xr:uid="{84DB3B37-20B8-482E-BF97-5485ACAEA79B}"/>
    <cellStyle name="Normal 5 8 2 4" xfId="20010" xr:uid="{1B5EAAEA-8F64-4D4A-94BC-4BE951A5AF82}"/>
    <cellStyle name="Normal 5 8 2 5" xfId="28450" xr:uid="{93432F68-84C8-4D26-B50B-CF3138E74913}"/>
    <cellStyle name="Normal 5 8 3" xfId="5192" xr:uid="{00000000-0005-0000-0000-0000DB1B0000}"/>
    <cellStyle name="Normal 5 8 3 2" xfId="13642" xr:uid="{2291D0E7-047C-4552-B538-0CFB4F88EBA5}"/>
    <cellStyle name="Normal 5 8 3 3" xfId="22082" xr:uid="{7DCE0FA5-A73E-48C1-BBD6-CB8181F41F11}"/>
    <cellStyle name="Normal 5 8 3 4" xfId="30522" xr:uid="{A8343D85-99C2-4A61-8A05-B62EDC50BDEB}"/>
    <cellStyle name="Normal 5 8 4" xfId="9424" xr:uid="{7F835E15-FB4F-47DD-AFCF-35EEA9C1DFB9}"/>
    <cellStyle name="Normal 5 8 5" xfId="17865" xr:uid="{6983081C-F6F6-48A8-9EE5-3DDEBA886E74}"/>
    <cellStyle name="Normal 5 8 6" xfId="26305" xr:uid="{DB54E077-B715-45A0-BA50-3826980DB1DC}"/>
    <cellStyle name="Normal 5 9" xfId="1298" xr:uid="{00000000-0005-0000-0000-0000DC1B0000}"/>
    <cellStyle name="Normal 5 9 2" xfId="3528" xr:uid="{00000000-0005-0000-0000-0000DD1B0000}"/>
    <cellStyle name="Normal 5 9 2 2" xfId="7750" xr:uid="{00000000-0005-0000-0000-0000DE1B0000}"/>
    <cellStyle name="Normal 5 9 2 2 2" xfId="16200" xr:uid="{362D3C0E-3B1F-435D-A56B-D501B22489DC}"/>
    <cellStyle name="Normal 5 9 2 2 3" xfId="24640" xr:uid="{62543E89-F1F5-486D-9EFB-184B6163B13B}"/>
    <cellStyle name="Normal 5 9 2 2 4" xfId="33080" xr:uid="{7BAC693F-FF75-40AD-B462-48E9D6470388}"/>
    <cellStyle name="Normal 5 9 2 3" xfId="11982" xr:uid="{BCA52A68-8BE3-48A5-8A31-AB007F603BA4}"/>
    <cellStyle name="Normal 5 9 2 4" xfId="20423" xr:uid="{D9EF68EC-C5B9-4FEE-838B-72E4A8D1D5B9}"/>
    <cellStyle name="Normal 5 9 2 5" xfId="28863" xr:uid="{1BCD1373-51E1-4F51-9007-A2D57F0E9D36}"/>
    <cellStyle name="Normal 5 9 3" xfId="5605" xr:uid="{00000000-0005-0000-0000-0000DF1B0000}"/>
    <cellStyle name="Normal 5 9 3 2" xfId="14055" xr:uid="{841519D3-FB1E-42E8-8ED0-0EED1638784F}"/>
    <cellStyle name="Normal 5 9 3 3" xfId="22495" xr:uid="{9C525FFC-C96D-4CF6-8F0D-AA8B3DF50159}"/>
    <cellStyle name="Normal 5 9 3 4" xfId="30935" xr:uid="{EA0979CD-A0F7-47E4-879B-D1DFF3A8A244}"/>
    <cellStyle name="Normal 5 9 4" xfId="9837" xr:uid="{A9804114-0DB5-4B99-BF9E-51C288F7B508}"/>
    <cellStyle name="Normal 5 9 5" xfId="18278" xr:uid="{50A09B79-EBD8-4A28-AA8E-1E214E2FDE8F}"/>
    <cellStyle name="Normal 5 9 6" xfId="26718" xr:uid="{8D2D12F4-2AA7-4076-BDAD-9120492D7033}"/>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2 2 2" xfId="17090" xr:uid="{54C2E535-968C-465F-875D-77912BF8FFC3}"/>
    <cellStyle name="Normal 8 10 2 2 3" xfId="25530" xr:uid="{45E73691-ACD1-4D25-8DA7-FFA3A803E7D3}"/>
    <cellStyle name="Normal 8 10 2 2 4" xfId="33970" xr:uid="{8AAD9C6B-FDA7-4CC0-BF51-1401221E6CA0}"/>
    <cellStyle name="Normal 8 10 2 3" xfId="12872" xr:uid="{7A7529AB-CB8B-44E9-824C-4087D2E3BF18}"/>
    <cellStyle name="Normal 8 10 2 4" xfId="21313" xr:uid="{65197440-0707-45C2-A474-E364F659B801}"/>
    <cellStyle name="Normal 8 10 2 5" xfId="29753" xr:uid="{BEEC6139-9247-422D-9BB7-6276D644BE21}"/>
    <cellStyle name="Normal 8 10 3" xfId="6495" xr:uid="{00000000-0005-0000-0000-0000EB1B0000}"/>
    <cellStyle name="Normal 8 10 3 2" xfId="14945" xr:uid="{913C4144-0DD7-43A6-8569-51CCE4581C0F}"/>
    <cellStyle name="Normal 8 10 3 3" xfId="23385" xr:uid="{722B8ACE-A3C0-4983-AD86-7260CCE5286A}"/>
    <cellStyle name="Normal 8 10 3 4" xfId="31825" xr:uid="{38DCC813-2DC3-44CB-AF59-D980A2787D86}"/>
    <cellStyle name="Normal 8 10 4" xfId="10727" xr:uid="{5170436D-3EE0-4D5B-8685-E4590FDFA3DD}"/>
    <cellStyle name="Normal 8 10 5" xfId="19168" xr:uid="{C3202CCF-D75D-4055-ACF9-4405DA4002D6}"/>
    <cellStyle name="Normal 8 10 6" xfId="27608" xr:uid="{C6765130-93C8-4AA2-8CAB-A0444F4DE780}"/>
    <cellStyle name="Normal 8 11" xfId="2625" xr:uid="{00000000-0005-0000-0000-0000EC1B0000}"/>
    <cellStyle name="Normal 8 11 2" xfId="6908" xr:uid="{00000000-0005-0000-0000-0000ED1B0000}"/>
    <cellStyle name="Normal 8 11 2 2" xfId="15358" xr:uid="{78850208-9537-469A-B8A9-DC824966CAB3}"/>
    <cellStyle name="Normal 8 11 2 3" xfId="23798" xr:uid="{D7D00FF5-AC6F-406E-8A82-AE7D70988569}"/>
    <cellStyle name="Normal 8 11 2 4" xfId="32238" xr:uid="{4B7BA1C9-08BF-4E53-A087-34E76DFA4E51}"/>
    <cellStyle name="Normal 8 11 3" xfId="11140" xr:uid="{DE1AED45-80CC-468A-9525-37E4DF628FC8}"/>
    <cellStyle name="Normal 8 11 4" xfId="19581" xr:uid="{AD0663AB-53AE-4397-B6DB-C5D18285CB2F}"/>
    <cellStyle name="Normal 8 11 5" xfId="28021" xr:uid="{24B231DB-D6AC-4C33-A7AF-8161CB385D33}"/>
    <cellStyle name="Normal 8 12" xfId="4843" xr:uid="{00000000-0005-0000-0000-0000EE1B0000}"/>
    <cellStyle name="Normal 8 12 2" xfId="13293" xr:uid="{2E2C84F0-685B-49CC-8246-080DC441A625}"/>
    <cellStyle name="Normal 8 12 3" xfId="21733" xr:uid="{2797D6B8-F9AF-4CA2-BF8D-0C326914119E}"/>
    <cellStyle name="Normal 8 12 4" xfId="30173" xr:uid="{0B611962-1C4D-4EEB-A5BF-7FD6DFF78659}"/>
    <cellStyle name="Normal 8 13" xfId="9075" xr:uid="{D99AD3AF-55EE-4A99-A596-3CD1A67CFEC2}"/>
    <cellStyle name="Normal 8 14" xfId="17516" xr:uid="{4976751E-D3A1-4A4B-BE43-6B3F6DF2EADD}"/>
    <cellStyle name="Normal 8 15" xfId="25956" xr:uid="{BEF9A58D-FE0A-437B-A3AA-F8AF4043FD1E}"/>
    <cellStyle name="Normal 8 2" xfId="479" xr:uid="{00000000-0005-0000-0000-0000EF1B0000}"/>
    <cellStyle name="Normal 8 2 10" xfId="2626" xr:uid="{00000000-0005-0000-0000-0000F01B0000}"/>
    <cellStyle name="Normal 8 2 10 2" xfId="6909" xr:uid="{00000000-0005-0000-0000-0000F11B0000}"/>
    <cellStyle name="Normal 8 2 10 2 2" xfId="15359" xr:uid="{5F488A88-DA7A-47F5-B9B4-52190111CC0B}"/>
    <cellStyle name="Normal 8 2 10 2 3" xfId="23799" xr:uid="{2788EDB0-97AF-4E9B-BA2D-B0EFA0384C53}"/>
    <cellStyle name="Normal 8 2 10 2 4" xfId="32239" xr:uid="{28421A56-1E0D-461A-AA4F-72B67D50D37F}"/>
    <cellStyle name="Normal 8 2 10 3" xfId="11141" xr:uid="{1ED5BFDF-76C2-4B05-964C-10278027ACA3}"/>
    <cellStyle name="Normal 8 2 10 4" xfId="19582" xr:uid="{474EB06B-C291-4B69-8F19-A41A936BCF70}"/>
    <cellStyle name="Normal 8 2 10 5" xfId="28022" xr:uid="{47AC8F0B-B4BF-40D8-9B11-31659EEE2B7A}"/>
    <cellStyle name="Normal 8 2 11" xfId="4844" xr:uid="{00000000-0005-0000-0000-0000F21B0000}"/>
    <cellStyle name="Normal 8 2 11 2" xfId="13294" xr:uid="{40B7800C-DFCC-4FE5-8883-84A1199C5483}"/>
    <cellStyle name="Normal 8 2 11 3" xfId="21734" xr:uid="{D8E1E718-8A33-4CC4-9550-D879DB9884F5}"/>
    <cellStyle name="Normal 8 2 11 4" xfId="30174" xr:uid="{7CA70CC4-A18E-4F9D-AA86-391F66F35D50}"/>
    <cellStyle name="Normal 8 2 12" xfId="9076" xr:uid="{BED9CCE8-4B15-4F2C-B295-84DCFABA6BB7}"/>
    <cellStyle name="Normal 8 2 13" xfId="17517" xr:uid="{E74F229B-8F49-43C1-9BCA-74D64A4B8995}"/>
    <cellStyle name="Normal 8 2 14" xfId="25957" xr:uid="{12803286-6610-42B1-8049-37064D832A96}"/>
    <cellStyle name="Normal 8 2 2" xfId="480" xr:uid="{00000000-0005-0000-0000-0000F31B0000}"/>
    <cellStyle name="Normal 8 2 2 10" xfId="4845" xr:uid="{00000000-0005-0000-0000-0000F41B0000}"/>
    <cellStyle name="Normal 8 2 2 10 2" xfId="13295" xr:uid="{C271BD56-A063-4E8C-9A24-228284ECA4A7}"/>
    <cellStyle name="Normal 8 2 2 10 3" xfId="21735" xr:uid="{484BAC03-8231-4942-9DED-8C701E7D1F67}"/>
    <cellStyle name="Normal 8 2 2 10 4" xfId="30175" xr:uid="{67EE73AE-F5FD-498A-B499-71175A3A3A6A}"/>
    <cellStyle name="Normal 8 2 2 11" xfId="9077" xr:uid="{47BA64B6-6497-4614-808D-5AC2AEAE2EA8}"/>
    <cellStyle name="Normal 8 2 2 12" xfId="17518" xr:uid="{E0DAC53E-71D1-493A-8B0E-AAD40E1BF3C8}"/>
    <cellStyle name="Normal 8 2 2 13" xfId="25958" xr:uid="{67BB3F94-F237-4BC4-818C-456B5B291BEC}"/>
    <cellStyle name="Normal 8 2 2 2" xfId="481" xr:uid="{00000000-0005-0000-0000-0000F51B0000}"/>
    <cellStyle name="Normal 8 2 2 2 10" xfId="9078" xr:uid="{9EA9899A-4B11-4D7B-BCAA-F27EB4FACC21}"/>
    <cellStyle name="Normal 8 2 2 2 11" xfId="17519" xr:uid="{8BC8C3A5-F6BF-41FF-A0A2-EBECD9D3D92F}"/>
    <cellStyle name="Normal 8 2 2 2 12" xfId="25959" xr:uid="{EB05636B-3EE5-49EA-993B-097372F2CFDA}"/>
    <cellStyle name="Normal 8 2 2 2 2" xfId="482" xr:uid="{00000000-0005-0000-0000-0000F61B0000}"/>
    <cellStyle name="Normal 8 2 2 2 2 10" xfId="17520" xr:uid="{E2B348ED-EA4C-4696-8F21-122C38698A5F}"/>
    <cellStyle name="Normal 8 2 2 2 2 11" xfId="25960" xr:uid="{5F0AC422-669B-4809-AB7D-B4A4044466AA}"/>
    <cellStyle name="Normal 8 2 2 2 2 2" xfId="483" xr:uid="{00000000-0005-0000-0000-0000F71B0000}"/>
    <cellStyle name="Normal 8 2 2 2 2 2 10" xfId="25961" xr:uid="{997C501B-C3DC-4164-BDF4-165804BB0BF5}"/>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2 2 2" xfId="15856" xr:uid="{9413F6F8-C52D-452D-820F-A3BA1771FA71}"/>
    <cellStyle name="Normal 8 2 2 2 2 2 2 2 2 3" xfId="24296" xr:uid="{751A6B3B-E873-4E8C-84CB-E8A7C226C372}"/>
    <cellStyle name="Normal 8 2 2 2 2 2 2 2 2 4" xfId="32736" xr:uid="{58970EE7-2A6A-4BE7-8BE0-233F3CE43C2D}"/>
    <cellStyle name="Normal 8 2 2 2 2 2 2 2 3" xfId="11638" xr:uid="{5108BA1F-85D0-4535-8A43-77AB6ED58207}"/>
    <cellStyle name="Normal 8 2 2 2 2 2 2 2 4" xfId="20079" xr:uid="{6442CD5D-293A-43D7-9D34-A583A5146D44}"/>
    <cellStyle name="Normal 8 2 2 2 2 2 2 2 5" xfId="28519" xr:uid="{7858960E-F6B8-425B-88A3-C242B2E2707B}"/>
    <cellStyle name="Normal 8 2 2 2 2 2 2 3" xfId="5261" xr:uid="{00000000-0005-0000-0000-0000FB1B0000}"/>
    <cellStyle name="Normal 8 2 2 2 2 2 2 3 2" xfId="13711" xr:uid="{89D178C0-74E3-4F38-9CCD-C085AC25FE64}"/>
    <cellStyle name="Normal 8 2 2 2 2 2 2 3 3" xfId="22151" xr:uid="{CCB8E94F-1CCA-457E-853C-46DA5A16BAFA}"/>
    <cellStyle name="Normal 8 2 2 2 2 2 2 3 4" xfId="30591" xr:uid="{1CA41CB5-71C2-45CB-B738-6FBE0674650B}"/>
    <cellStyle name="Normal 8 2 2 2 2 2 2 4" xfId="9493" xr:uid="{8B06BAE0-D490-4F7E-A1D5-31D3DEAF67CE}"/>
    <cellStyle name="Normal 8 2 2 2 2 2 2 5" xfId="17934" xr:uid="{EC2D6172-D6E9-4A97-8FF4-98A0FC80BF69}"/>
    <cellStyle name="Normal 8 2 2 2 2 2 2 6" xfId="26374" xr:uid="{B8C5D452-E456-454E-9342-FE3C5123E4A4}"/>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2 2 2" xfId="16269" xr:uid="{BCF3EBCC-2F23-4D2E-97C8-391F4487743B}"/>
    <cellStyle name="Normal 8 2 2 2 2 2 3 2 2 3" xfId="24709" xr:uid="{BE8A3F1D-AD41-4B87-89BE-4199671104A9}"/>
    <cellStyle name="Normal 8 2 2 2 2 2 3 2 2 4" xfId="33149" xr:uid="{BF92D210-42C6-4708-9ED9-6CBA8910B50F}"/>
    <cellStyle name="Normal 8 2 2 2 2 2 3 2 3" xfId="12051" xr:uid="{01784D8F-BB8D-4370-ABA8-F0E5740E2CA8}"/>
    <cellStyle name="Normal 8 2 2 2 2 2 3 2 4" xfId="20492" xr:uid="{EEB6E596-37D7-4EDF-B4BD-25AB508BDD6E}"/>
    <cellStyle name="Normal 8 2 2 2 2 2 3 2 5" xfId="28932" xr:uid="{77173EDF-6081-43B4-9D9F-D0CDC1D2C9DC}"/>
    <cellStyle name="Normal 8 2 2 2 2 2 3 3" xfId="5674" xr:uid="{00000000-0005-0000-0000-0000FF1B0000}"/>
    <cellStyle name="Normal 8 2 2 2 2 2 3 3 2" xfId="14124" xr:uid="{8DF5A97E-B406-481D-8D03-A5FDCF753577}"/>
    <cellStyle name="Normal 8 2 2 2 2 2 3 3 3" xfId="22564" xr:uid="{58F38942-2337-402C-8D64-07E6EB161115}"/>
    <cellStyle name="Normal 8 2 2 2 2 2 3 3 4" xfId="31004" xr:uid="{687E18B6-7237-4CDE-81AF-D98E9EA697CE}"/>
    <cellStyle name="Normal 8 2 2 2 2 2 3 4" xfId="9906" xr:uid="{3237B484-A866-4128-B490-FB2A34CD6F3A}"/>
    <cellStyle name="Normal 8 2 2 2 2 2 3 5" xfId="18347" xr:uid="{3471DD63-CFDB-42B4-AA1E-175FC4192C94}"/>
    <cellStyle name="Normal 8 2 2 2 2 2 3 6" xfId="26787" xr:uid="{85B504D8-443E-44F9-88FE-1EDADDECC67E}"/>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2 2 2" xfId="16682" xr:uid="{B9CC8C33-3E78-4B1D-A9C0-385C80983DC7}"/>
    <cellStyle name="Normal 8 2 2 2 2 2 4 2 2 3" xfId="25122" xr:uid="{A856000A-AA78-4B09-9A5D-5412D906BCC9}"/>
    <cellStyle name="Normal 8 2 2 2 2 2 4 2 2 4" xfId="33562" xr:uid="{8FBAB952-391F-4C84-B78A-24BB4DFA2184}"/>
    <cellStyle name="Normal 8 2 2 2 2 2 4 2 3" xfId="12464" xr:uid="{93787C84-DE4D-4ADA-A138-4AD7C10A3809}"/>
    <cellStyle name="Normal 8 2 2 2 2 2 4 2 4" xfId="20905" xr:uid="{3C9ABBDC-54F8-4F39-96F6-3846EA34B6AB}"/>
    <cellStyle name="Normal 8 2 2 2 2 2 4 2 5" xfId="29345" xr:uid="{BC0B7354-2D98-4692-BB37-920A9F2F3D43}"/>
    <cellStyle name="Normal 8 2 2 2 2 2 4 3" xfId="6087" xr:uid="{00000000-0005-0000-0000-0000031C0000}"/>
    <cellStyle name="Normal 8 2 2 2 2 2 4 3 2" xfId="14537" xr:uid="{361F72D1-11C7-4C89-A96E-75A8C8F19DDD}"/>
    <cellStyle name="Normal 8 2 2 2 2 2 4 3 3" xfId="22977" xr:uid="{B8EE59F6-8226-4B01-A6A4-62E5A49CD9FF}"/>
    <cellStyle name="Normal 8 2 2 2 2 2 4 3 4" xfId="31417" xr:uid="{86C80E0C-E9F6-4DD2-BF39-C17B3943E642}"/>
    <cellStyle name="Normal 8 2 2 2 2 2 4 4" xfId="10319" xr:uid="{14F07BB4-F7CB-449D-B2DE-A796A1DC1219}"/>
    <cellStyle name="Normal 8 2 2 2 2 2 4 5" xfId="18760" xr:uid="{FB916901-D468-4755-A069-1C60BC2894F8}"/>
    <cellStyle name="Normal 8 2 2 2 2 2 4 6" xfId="27200" xr:uid="{F914091F-04D0-4C59-94C8-90D67DF6E2F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2 2 2" xfId="17095" xr:uid="{25E8D897-E19F-4C96-AC6D-45719A9B0B3F}"/>
    <cellStyle name="Normal 8 2 2 2 2 2 5 2 2 3" xfId="25535" xr:uid="{BBDF36DC-5DB3-4273-847F-9AD4BE53F5AE}"/>
    <cellStyle name="Normal 8 2 2 2 2 2 5 2 2 4" xfId="33975" xr:uid="{6DAC3C6E-A219-437F-8AEA-C4029D8E527D}"/>
    <cellStyle name="Normal 8 2 2 2 2 2 5 2 3" xfId="12877" xr:uid="{929F139A-BCBD-4FAB-8927-9D118AE850D9}"/>
    <cellStyle name="Normal 8 2 2 2 2 2 5 2 4" xfId="21318" xr:uid="{54000524-2850-4B55-A351-E3F224FD0E1D}"/>
    <cellStyle name="Normal 8 2 2 2 2 2 5 2 5" xfId="29758" xr:uid="{AEBF7336-C2E8-4520-9FBD-FBDBFB8A7E15}"/>
    <cellStyle name="Normal 8 2 2 2 2 2 5 3" xfId="6500" xr:uid="{00000000-0005-0000-0000-0000071C0000}"/>
    <cellStyle name="Normal 8 2 2 2 2 2 5 3 2" xfId="14950" xr:uid="{58A8B6EC-2153-49D1-A509-7F37FF8D55A4}"/>
    <cellStyle name="Normal 8 2 2 2 2 2 5 3 3" xfId="23390" xr:uid="{2CB82AD0-5978-4060-9A30-350B4A963D5F}"/>
    <cellStyle name="Normal 8 2 2 2 2 2 5 3 4" xfId="31830" xr:uid="{EBD42A83-F122-4959-AD2C-6696F5BFCB70}"/>
    <cellStyle name="Normal 8 2 2 2 2 2 5 4" xfId="10732" xr:uid="{2F7C9322-7A6D-43A7-8D12-F28EB6BACC49}"/>
    <cellStyle name="Normal 8 2 2 2 2 2 5 5" xfId="19173" xr:uid="{E74DE92A-874A-42F8-876A-BE4B85E6EF3F}"/>
    <cellStyle name="Normal 8 2 2 2 2 2 5 6" xfId="27613" xr:uid="{F459791B-2357-4F38-A1E1-515A8699EE08}"/>
    <cellStyle name="Normal 8 2 2 2 2 2 6" xfId="2630" xr:uid="{00000000-0005-0000-0000-0000081C0000}"/>
    <cellStyle name="Normal 8 2 2 2 2 2 6 2" xfId="6913" xr:uid="{00000000-0005-0000-0000-0000091C0000}"/>
    <cellStyle name="Normal 8 2 2 2 2 2 6 2 2" xfId="15363" xr:uid="{41E90A05-A815-4688-AF6C-C6C49ED27294}"/>
    <cellStyle name="Normal 8 2 2 2 2 2 6 2 3" xfId="23803" xr:uid="{2A842D93-B004-4449-A378-78D4E9A98648}"/>
    <cellStyle name="Normal 8 2 2 2 2 2 6 2 4" xfId="32243" xr:uid="{354CBB13-CEB5-4867-B88C-E56DF78EADD6}"/>
    <cellStyle name="Normal 8 2 2 2 2 2 6 3" xfId="11145" xr:uid="{F9E75728-29A2-4EBC-BE3E-C980B5BD4BB0}"/>
    <cellStyle name="Normal 8 2 2 2 2 2 6 4" xfId="19586" xr:uid="{770C6956-9B3B-4C0D-A4E2-AC58695E4404}"/>
    <cellStyle name="Normal 8 2 2 2 2 2 6 5" xfId="28026" xr:uid="{B7984562-327C-44F7-B103-256311D58B3B}"/>
    <cellStyle name="Normal 8 2 2 2 2 2 7" xfId="4848" xr:uid="{00000000-0005-0000-0000-00000A1C0000}"/>
    <cellStyle name="Normal 8 2 2 2 2 2 7 2" xfId="13298" xr:uid="{63B7437F-57E9-499F-BE71-32FD11B6613E}"/>
    <cellStyle name="Normal 8 2 2 2 2 2 7 3" xfId="21738" xr:uid="{F4D4FE50-004A-495F-913B-4B2150DAC23F}"/>
    <cellStyle name="Normal 8 2 2 2 2 2 7 4" xfId="30178" xr:uid="{31553290-3B0D-4ABD-9B3E-1591D997E29F}"/>
    <cellStyle name="Normal 8 2 2 2 2 2 8" xfId="9080" xr:uid="{7AE3A642-679E-4CF9-AEE1-3B8DD93F7534}"/>
    <cellStyle name="Normal 8 2 2 2 2 2 9" xfId="17521" xr:uid="{5F9E2DEC-0C3E-4E96-A52E-5935306F9156}"/>
    <cellStyle name="Normal 8 2 2 2 2 3" xfId="949" xr:uid="{00000000-0005-0000-0000-00000B1C0000}"/>
    <cellStyle name="Normal 8 2 2 2 2 3 2" xfId="3183" xr:uid="{00000000-0005-0000-0000-00000C1C0000}"/>
    <cellStyle name="Normal 8 2 2 2 2 3 2 2" xfId="7405" xr:uid="{00000000-0005-0000-0000-00000D1C0000}"/>
    <cellStyle name="Normal 8 2 2 2 2 3 2 2 2" xfId="15855" xr:uid="{52C297FE-806F-4BA9-AC30-FD4103295A2B}"/>
    <cellStyle name="Normal 8 2 2 2 2 3 2 2 3" xfId="24295" xr:uid="{5277B8E4-EBF0-4663-BB8F-EAB268CB3D1A}"/>
    <cellStyle name="Normal 8 2 2 2 2 3 2 2 4" xfId="32735" xr:uid="{0A026B14-9D10-4037-8E25-43B853903000}"/>
    <cellStyle name="Normal 8 2 2 2 2 3 2 3" xfId="11637" xr:uid="{271C7547-07CB-4D1A-8E75-A386FE904225}"/>
    <cellStyle name="Normal 8 2 2 2 2 3 2 4" xfId="20078" xr:uid="{8DC85A3D-A67B-4682-82AD-E05BCE8C015B}"/>
    <cellStyle name="Normal 8 2 2 2 2 3 2 5" xfId="28518" xr:uid="{F84AADCD-4F01-44B9-919A-56455F162E1B}"/>
    <cellStyle name="Normal 8 2 2 2 2 3 3" xfId="5260" xr:uid="{00000000-0005-0000-0000-00000E1C0000}"/>
    <cellStyle name="Normal 8 2 2 2 2 3 3 2" xfId="13710" xr:uid="{94DF521E-84D1-4242-8FA0-D4532FAEDD7F}"/>
    <cellStyle name="Normal 8 2 2 2 2 3 3 3" xfId="22150" xr:uid="{BECDC74F-024A-4742-B2E0-E71DB656DEC8}"/>
    <cellStyle name="Normal 8 2 2 2 2 3 3 4" xfId="30590" xr:uid="{90FCEFD9-C215-4BE1-8940-5D04CA05F1AF}"/>
    <cellStyle name="Normal 8 2 2 2 2 3 4" xfId="9492" xr:uid="{824D63B3-3725-444C-A29E-F74DD7B5B6D9}"/>
    <cellStyle name="Normal 8 2 2 2 2 3 5" xfId="17933" xr:uid="{060CDEBB-E76E-407D-A34B-38744F84331E}"/>
    <cellStyle name="Normal 8 2 2 2 2 3 6" xfId="26373" xr:uid="{3B717707-BD62-4325-85E8-A550E06394D4}"/>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2 2 2" xfId="16268" xr:uid="{6152C58F-BDB8-4B24-AED9-AB1F912AEE83}"/>
    <cellStyle name="Normal 8 2 2 2 2 4 2 2 3" xfId="24708" xr:uid="{9D0B8612-760D-4219-8D45-6711C6EBF976}"/>
    <cellStyle name="Normal 8 2 2 2 2 4 2 2 4" xfId="33148" xr:uid="{E3BE7EC4-2968-4681-96FF-E58CD6B05EB1}"/>
    <cellStyle name="Normal 8 2 2 2 2 4 2 3" xfId="12050" xr:uid="{1036659F-8FE9-4AEB-9C9C-7BD4FA0C6CE5}"/>
    <cellStyle name="Normal 8 2 2 2 2 4 2 4" xfId="20491" xr:uid="{AB76DCA8-523D-46DC-8C60-CA8177C89DF2}"/>
    <cellStyle name="Normal 8 2 2 2 2 4 2 5" xfId="28931" xr:uid="{9CBCB66A-F728-4364-BEFA-F81E2C256BA5}"/>
    <cellStyle name="Normal 8 2 2 2 2 4 3" xfId="5673" xr:uid="{00000000-0005-0000-0000-0000121C0000}"/>
    <cellStyle name="Normal 8 2 2 2 2 4 3 2" xfId="14123" xr:uid="{5E915151-A89D-46AA-975D-08579C406166}"/>
    <cellStyle name="Normal 8 2 2 2 2 4 3 3" xfId="22563" xr:uid="{FF499020-D6BB-417C-AC89-97343BD43247}"/>
    <cellStyle name="Normal 8 2 2 2 2 4 3 4" xfId="31003" xr:uid="{0B235461-42E8-4581-8E65-2FFECAE48D71}"/>
    <cellStyle name="Normal 8 2 2 2 2 4 4" xfId="9905" xr:uid="{D538E7CB-850A-4BD6-923D-476E419B2F09}"/>
    <cellStyle name="Normal 8 2 2 2 2 4 5" xfId="18346" xr:uid="{9675DAC5-A8A5-4609-9301-A04AF1807B1C}"/>
    <cellStyle name="Normal 8 2 2 2 2 4 6" xfId="26786" xr:uid="{B52E1CE5-DE54-41AA-A6DC-7FED11FFE585}"/>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2 2 2" xfId="16681" xr:uid="{3E8698E1-675A-4EA3-9615-2C0F289083D5}"/>
    <cellStyle name="Normal 8 2 2 2 2 5 2 2 3" xfId="25121" xr:uid="{461F7299-856D-4358-9779-4670C6A755E2}"/>
    <cellStyle name="Normal 8 2 2 2 2 5 2 2 4" xfId="33561" xr:uid="{87FA3DF8-23F5-4691-8F0A-B16F0C0C37E7}"/>
    <cellStyle name="Normal 8 2 2 2 2 5 2 3" xfId="12463" xr:uid="{7E9E0CC2-F786-4203-9D20-42FCAF9860D2}"/>
    <cellStyle name="Normal 8 2 2 2 2 5 2 4" xfId="20904" xr:uid="{8BE55AB2-4AB8-4962-A059-30A0EC4FFA3B}"/>
    <cellStyle name="Normal 8 2 2 2 2 5 2 5" xfId="29344" xr:uid="{23C0950E-52CC-4E83-B96D-CEFB5CA17A77}"/>
    <cellStyle name="Normal 8 2 2 2 2 5 3" xfId="6086" xr:uid="{00000000-0005-0000-0000-0000161C0000}"/>
    <cellStyle name="Normal 8 2 2 2 2 5 3 2" xfId="14536" xr:uid="{0D682116-B868-4983-8D73-1EE708A10C98}"/>
    <cellStyle name="Normal 8 2 2 2 2 5 3 3" xfId="22976" xr:uid="{0950BC79-ACB7-486D-993F-9C520D9AFC5F}"/>
    <cellStyle name="Normal 8 2 2 2 2 5 3 4" xfId="31416" xr:uid="{08805CF4-C823-46C0-8503-B3D1D8F57B30}"/>
    <cellStyle name="Normal 8 2 2 2 2 5 4" xfId="10318" xr:uid="{9DE3D691-343A-4153-A34C-3D22C85E6B63}"/>
    <cellStyle name="Normal 8 2 2 2 2 5 5" xfId="18759" xr:uid="{2F472EB7-3954-45A6-BD25-61313BE2045C}"/>
    <cellStyle name="Normal 8 2 2 2 2 5 6" xfId="27199" xr:uid="{B40A3083-1768-4131-BD7E-8F1C7C385BCD}"/>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2 2 2" xfId="17094" xr:uid="{AB0D2B82-B3D4-4F6C-8C0F-55D4B0EDAF25}"/>
    <cellStyle name="Normal 8 2 2 2 2 6 2 2 3" xfId="25534" xr:uid="{997622C6-7E00-4135-A097-5068AB56A81E}"/>
    <cellStyle name="Normal 8 2 2 2 2 6 2 2 4" xfId="33974" xr:uid="{7D7A01AB-6776-4FAA-B15E-0769F6B6ADE6}"/>
    <cellStyle name="Normal 8 2 2 2 2 6 2 3" xfId="12876" xr:uid="{31D478EB-3CEA-439B-9A52-8FE2448FE6CF}"/>
    <cellStyle name="Normal 8 2 2 2 2 6 2 4" xfId="21317" xr:uid="{B7AF5B87-C51C-423A-8C53-13DB5904253F}"/>
    <cellStyle name="Normal 8 2 2 2 2 6 2 5" xfId="29757" xr:uid="{F93799C6-89DF-4A8F-A9C2-B86CAC396782}"/>
    <cellStyle name="Normal 8 2 2 2 2 6 3" xfId="6499" xr:uid="{00000000-0005-0000-0000-00001A1C0000}"/>
    <cellStyle name="Normal 8 2 2 2 2 6 3 2" xfId="14949" xr:uid="{B6D3A809-880A-4999-8E78-DFF4C26303EE}"/>
    <cellStyle name="Normal 8 2 2 2 2 6 3 3" xfId="23389" xr:uid="{DB418B2E-A2D4-47E8-9AE7-08212B868767}"/>
    <cellStyle name="Normal 8 2 2 2 2 6 3 4" xfId="31829" xr:uid="{A4F971AF-7D35-4C37-B3CB-2333A10E3574}"/>
    <cellStyle name="Normal 8 2 2 2 2 6 4" xfId="10731" xr:uid="{DBDD5035-25E7-44F6-A80B-FA2AD6BE032F}"/>
    <cellStyle name="Normal 8 2 2 2 2 6 5" xfId="19172" xr:uid="{6403AD72-CBA0-4EE5-AB2E-B267B9CC3F74}"/>
    <cellStyle name="Normal 8 2 2 2 2 6 6" xfId="27612" xr:uid="{8FA1AFCF-5071-4938-A9B0-4E29858531A7}"/>
    <cellStyle name="Normal 8 2 2 2 2 7" xfId="2629" xr:uid="{00000000-0005-0000-0000-00001B1C0000}"/>
    <cellStyle name="Normal 8 2 2 2 2 7 2" xfId="6912" xr:uid="{00000000-0005-0000-0000-00001C1C0000}"/>
    <cellStyle name="Normal 8 2 2 2 2 7 2 2" xfId="15362" xr:uid="{3BB1AF92-41FF-48A5-9A2D-55A2EC1CA438}"/>
    <cellStyle name="Normal 8 2 2 2 2 7 2 3" xfId="23802" xr:uid="{C5A86227-6EF7-49FF-B86F-0989F13B0076}"/>
    <cellStyle name="Normal 8 2 2 2 2 7 2 4" xfId="32242" xr:uid="{C60BC658-169C-43F6-BE69-FEC523A0BCE1}"/>
    <cellStyle name="Normal 8 2 2 2 2 7 3" xfId="11144" xr:uid="{1189B392-1E15-410C-9BE9-619F5AD9B0D8}"/>
    <cellStyle name="Normal 8 2 2 2 2 7 4" xfId="19585" xr:uid="{0C3331B7-7336-424A-B7D2-05496F74BB5D}"/>
    <cellStyle name="Normal 8 2 2 2 2 7 5" xfId="28025" xr:uid="{C4F58FB9-365C-4794-B684-37B19DFD79A3}"/>
    <cellStyle name="Normal 8 2 2 2 2 8" xfId="4847" xr:uid="{00000000-0005-0000-0000-00001D1C0000}"/>
    <cellStyle name="Normal 8 2 2 2 2 8 2" xfId="13297" xr:uid="{D283BBEF-77F7-46F6-974C-E81A39067009}"/>
    <cellStyle name="Normal 8 2 2 2 2 8 3" xfId="21737" xr:uid="{EDFA0D89-E3DC-408B-9D7F-2D18B68A950A}"/>
    <cellStyle name="Normal 8 2 2 2 2 8 4" xfId="30177" xr:uid="{F39ED64C-2EA4-4472-A440-25B81A6AFE59}"/>
    <cellStyle name="Normal 8 2 2 2 2 9" xfId="9079" xr:uid="{2A88AC3D-E0E1-4B7F-A3BE-81E6655B29C3}"/>
    <cellStyle name="Normal 8 2 2 2 3" xfId="484" xr:uid="{00000000-0005-0000-0000-00001E1C0000}"/>
    <cellStyle name="Normal 8 2 2 2 3 10" xfId="25962" xr:uid="{05C47DB3-E3A1-44E1-8371-1C04B232E98A}"/>
    <cellStyle name="Normal 8 2 2 2 3 2" xfId="951" xr:uid="{00000000-0005-0000-0000-00001F1C0000}"/>
    <cellStyle name="Normal 8 2 2 2 3 2 2" xfId="3185" xr:uid="{00000000-0005-0000-0000-0000201C0000}"/>
    <cellStyle name="Normal 8 2 2 2 3 2 2 2" xfId="7407" xr:uid="{00000000-0005-0000-0000-0000211C0000}"/>
    <cellStyle name="Normal 8 2 2 2 3 2 2 2 2" xfId="15857" xr:uid="{173F6EC5-F0F6-4077-BC91-0945F6FBE4BC}"/>
    <cellStyle name="Normal 8 2 2 2 3 2 2 2 3" xfId="24297" xr:uid="{B4E8DFEC-8306-4F95-8298-B1A987FE7E85}"/>
    <cellStyle name="Normal 8 2 2 2 3 2 2 2 4" xfId="32737" xr:uid="{EBA930BF-CF7D-467D-8102-DDE88DD8A768}"/>
    <cellStyle name="Normal 8 2 2 2 3 2 2 3" xfId="11639" xr:uid="{C891CC4D-7718-4F07-A3A4-7BB2C044E22A}"/>
    <cellStyle name="Normal 8 2 2 2 3 2 2 4" xfId="20080" xr:uid="{1337D094-D79B-49BE-A7F2-12C15DB736B6}"/>
    <cellStyle name="Normal 8 2 2 2 3 2 2 5" xfId="28520" xr:uid="{5F157813-B66D-447B-8DA2-29DB69C669DA}"/>
    <cellStyle name="Normal 8 2 2 2 3 2 3" xfId="5262" xr:uid="{00000000-0005-0000-0000-0000221C0000}"/>
    <cellStyle name="Normal 8 2 2 2 3 2 3 2" xfId="13712" xr:uid="{28A14B0F-411F-4C18-B51A-16BD01F15A3E}"/>
    <cellStyle name="Normal 8 2 2 2 3 2 3 3" xfId="22152" xr:uid="{843C79B3-E960-4659-9CF0-C5522D2C4A4E}"/>
    <cellStyle name="Normal 8 2 2 2 3 2 3 4" xfId="30592" xr:uid="{55149853-05C2-4EC5-90F5-8A18A85885E9}"/>
    <cellStyle name="Normal 8 2 2 2 3 2 4" xfId="9494" xr:uid="{42F7B0EC-18C9-4D2A-8B4D-829A5AE4FDB1}"/>
    <cellStyle name="Normal 8 2 2 2 3 2 5" xfId="17935" xr:uid="{3F486F3E-6AEB-4C83-8FC1-FBD351953CF4}"/>
    <cellStyle name="Normal 8 2 2 2 3 2 6" xfId="26375" xr:uid="{66B70382-A63E-4273-A67A-2AAC450BE08D}"/>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2 2 2" xfId="16270" xr:uid="{0B5A5093-A220-4E24-973A-CC5975483B95}"/>
    <cellStyle name="Normal 8 2 2 2 3 3 2 2 3" xfId="24710" xr:uid="{CA1D7216-CEA7-46F3-A51E-C52E00253B39}"/>
    <cellStyle name="Normal 8 2 2 2 3 3 2 2 4" xfId="33150" xr:uid="{BB8FCE9C-117A-47F4-8312-B907882DA315}"/>
    <cellStyle name="Normal 8 2 2 2 3 3 2 3" xfId="12052" xr:uid="{6E2AE249-C154-4E83-B0B3-FDDFDB8D6F9D}"/>
    <cellStyle name="Normal 8 2 2 2 3 3 2 4" xfId="20493" xr:uid="{F204D998-5A8B-4C44-A3EE-805AA5E58C68}"/>
    <cellStyle name="Normal 8 2 2 2 3 3 2 5" xfId="28933" xr:uid="{DD651887-3F77-4773-8B14-4783A67F5718}"/>
    <cellStyle name="Normal 8 2 2 2 3 3 3" xfId="5675" xr:uid="{00000000-0005-0000-0000-0000261C0000}"/>
    <cellStyle name="Normal 8 2 2 2 3 3 3 2" xfId="14125" xr:uid="{B7993BED-606D-40D6-954E-CC8CB066FC04}"/>
    <cellStyle name="Normal 8 2 2 2 3 3 3 3" xfId="22565" xr:uid="{F3A8ADD2-2440-4D7E-BE59-47CCAC22BE94}"/>
    <cellStyle name="Normal 8 2 2 2 3 3 3 4" xfId="31005" xr:uid="{23D88E55-3D7B-4211-8AF5-D9E73BEE778C}"/>
    <cellStyle name="Normal 8 2 2 2 3 3 4" xfId="9907" xr:uid="{BA23BBF1-1D0A-49B6-BAC9-18CA8B910F08}"/>
    <cellStyle name="Normal 8 2 2 2 3 3 5" xfId="18348" xr:uid="{9CD94278-A8D0-4C30-9003-1C705328E0EE}"/>
    <cellStyle name="Normal 8 2 2 2 3 3 6" xfId="26788" xr:uid="{B420B6CF-AD1E-489A-96B8-35554503107E}"/>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2 2 2" xfId="16683" xr:uid="{D47FD08E-E600-4F5B-95AB-C52DD0ED61FD}"/>
    <cellStyle name="Normal 8 2 2 2 3 4 2 2 3" xfId="25123" xr:uid="{BE252ECF-23DA-4346-B3BC-1655D17CF139}"/>
    <cellStyle name="Normal 8 2 2 2 3 4 2 2 4" xfId="33563" xr:uid="{5E4E2E50-4B96-4030-BD2A-BD9CC3189F1C}"/>
    <cellStyle name="Normal 8 2 2 2 3 4 2 3" xfId="12465" xr:uid="{0F6BFFDF-D45E-4A86-9D3B-CCA3EBBDBBD9}"/>
    <cellStyle name="Normal 8 2 2 2 3 4 2 4" xfId="20906" xr:uid="{51C62198-2696-48E3-9BAF-D708E3ABB436}"/>
    <cellStyle name="Normal 8 2 2 2 3 4 2 5" xfId="29346" xr:uid="{E302C072-E9EE-4BD2-8A97-2EA2BD5E2FF6}"/>
    <cellStyle name="Normal 8 2 2 2 3 4 3" xfId="6088" xr:uid="{00000000-0005-0000-0000-00002A1C0000}"/>
    <cellStyle name="Normal 8 2 2 2 3 4 3 2" xfId="14538" xr:uid="{2642B427-9967-46EC-A093-4DC957FA6F03}"/>
    <cellStyle name="Normal 8 2 2 2 3 4 3 3" xfId="22978" xr:uid="{EF5FA3FB-7507-47DE-8597-A8F5DB4EC30B}"/>
    <cellStyle name="Normal 8 2 2 2 3 4 3 4" xfId="31418" xr:uid="{11439113-22C7-4CC6-83B5-0708A8016647}"/>
    <cellStyle name="Normal 8 2 2 2 3 4 4" xfId="10320" xr:uid="{B11621C3-4F9C-40F2-8AEB-9F6B66559F70}"/>
    <cellStyle name="Normal 8 2 2 2 3 4 5" xfId="18761" xr:uid="{E822810F-2E5F-4587-9196-66030CE9E3E4}"/>
    <cellStyle name="Normal 8 2 2 2 3 4 6" xfId="27201" xr:uid="{CFCD29F4-58F6-4A9D-9CD5-75E75FDBAF3E}"/>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2 2 2" xfId="17096" xr:uid="{F158E58B-890B-4BEF-ACF0-82ED26E8AF27}"/>
    <cellStyle name="Normal 8 2 2 2 3 5 2 2 3" xfId="25536" xr:uid="{1233CA7B-F373-44F7-BC4B-10B14803F81A}"/>
    <cellStyle name="Normal 8 2 2 2 3 5 2 2 4" xfId="33976" xr:uid="{FC8461CB-31B2-448E-A274-BE9CA3EB2939}"/>
    <cellStyle name="Normal 8 2 2 2 3 5 2 3" xfId="12878" xr:uid="{61EEC4B2-8A21-4200-8D7E-947410EA386B}"/>
    <cellStyle name="Normal 8 2 2 2 3 5 2 4" xfId="21319" xr:uid="{D1D2E93B-C88A-4532-A8D9-00D7AC578587}"/>
    <cellStyle name="Normal 8 2 2 2 3 5 2 5" xfId="29759" xr:uid="{F216105F-2E42-4115-9D2F-501105CF6596}"/>
    <cellStyle name="Normal 8 2 2 2 3 5 3" xfId="6501" xr:uid="{00000000-0005-0000-0000-00002E1C0000}"/>
    <cellStyle name="Normal 8 2 2 2 3 5 3 2" xfId="14951" xr:uid="{FB7B96B1-31C8-4B63-BF85-3485D9A8C5CE}"/>
    <cellStyle name="Normal 8 2 2 2 3 5 3 3" xfId="23391" xr:uid="{0CFC4647-8F36-41B2-85CD-9298215889C4}"/>
    <cellStyle name="Normal 8 2 2 2 3 5 3 4" xfId="31831" xr:uid="{20D50D5C-EA09-409E-928E-FEFA009EE13A}"/>
    <cellStyle name="Normal 8 2 2 2 3 5 4" xfId="10733" xr:uid="{DECA1175-B16C-48D8-A9F2-EFC118DB6D90}"/>
    <cellStyle name="Normal 8 2 2 2 3 5 5" xfId="19174" xr:uid="{DD5107BE-18A5-4CD2-AA80-5CFBB19EAA2C}"/>
    <cellStyle name="Normal 8 2 2 2 3 5 6" xfId="27614" xr:uid="{B2011E0E-3FE2-45C7-87E6-05509F38CDB7}"/>
    <cellStyle name="Normal 8 2 2 2 3 6" xfId="2631" xr:uid="{00000000-0005-0000-0000-00002F1C0000}"/>
    <cellStyle name="Normal 8 2 2 2 3 6 2" xfId="6914" xr:uid="{00000000-0005-0000-0000-0000301C0000}"/>
    <cellStyle name="Normal 8 2 2 2 3 6 2 2" xfId="15364" xr:uid="{3186CCB6-692B-42C8-836F-E75627D64FA3}"/>
    <cellStyle name="Normal 8 2 2 2 3 6 2 3" xfId="23804" xr:uid="{397F59F3-9ECF-4643-B1CC-BCD93053488E}"/>
    <cellStyle name="Normal 8 2 2 2 3 6 2 4" xfId="32244" xr:uid="{24DD3E30-5500-4DF1-906A-1FD063CE30C9}"/>
    <cellStyle name="Normal 8 2 2 2 3 6 3" xfId="11146" xr:uid="{ED0EF045-2A77-4411-8B81-D3CA63B953E6}"/>
    <cellStyle name="Normal 8 2 2 2 3 6 4" xfId="19587" xr:uid="{8716FDE7-B21E-4411-9C8C-496DEABD919D}"/>
    <cellStyle name="Normal 8 2 2 2 3 6 5" xfId="28027" xr:uid="{5954AD9F-0310-4842-A7B6-52D632E9685F}"/>
    <cellStyle name="Normal 8 2 2 2 3 7" xfId="4849" xr:uid="{00000000-0005-0000-0000-0000311C0000}"/>
    <cellStyle name="Normal 8 2 2 2 3 7 2" xfId="13299" xr:uid="{7427F1E6-F825-4A6C-BF02-333664F3E10F}"/>
    <cellStyle name="Normal 8 2 2 2 3 7 3" xfId="21739" xr:uid="{088B114E-EA88-42C0-B660-83844B700DCF}"/>
    <cellStyle name="Normal 8 2 2 2 3 7 4" xfId="30179" xr:uid="{353B200E-E4F0-4484-A01B-0424892F8FC6}"/>
    <cellStyle name="Normal 8 2 2 2 3 8" xfId="9081" xr:uid="{9456087F-CB36-42BC-AECF-C3815220564B}"/>
    <cellStyle name="Normal 8 2 2 2 3 9" xfId="17522" xr:uid="{E2E2E17E-6310-4D2D-9243-5B1982D69736}"/>
    <cellStyle name="Normal 8 2 2 2 4" xfId="948" xr:uid="{00000000-0005-0000-0000-0000321C0000}"/>
    <cellStyle name="Normal 8 2 2 2 4 2" xfId="3182" xr:uid="{00000000-0005-0000-0000-0000331C0000}"/>
    <cellStyle name="Normal 8 2 2 2 4 2 2" xfId="7404" xr:uid="{00000000-0005-0000-0000-0000341C0000}"/>
    <cellStyle name="Normal 8 2 2 2 4 2 2 2" xfId="15854" xr:uid="{E3F18F64-B42C-41BE-9719-5B217152E61A}"/>
    <cellStyle name="Normal 8 2 2 2 4 2 2 3" xfId="24294" xr:uid="{8600B4C7-7EEC-4FD1-8BB2-0A0E91434E2F}"/>
    <cellStyle name="Normal 8 2 2 2 4 2 2 4" xfId="32734" xr:uid="{3A94A7E9-6B6B-447D-9150-D358630F2537}"/>
    <cellStyle name="Normal 8 2 2 2 4 2 3" xfId="11636" xr:uid="{05C791D9-2F5C-4AF5-8D36-D38F72FB37D2}"/>
    <cellStyle name="Normal 8 2 2 2 4 2 4" xfId="20077" xr:uid="{AA72EA6A-D293-4670-8BE7-6190C47AFE91}"/>
    <cellStyle name="Normal 8 2 2 2 4 2 5" xfId="28517" xr:uid="{FA237E2D-A770-446B-9970-F8364B89E570}"/>
    <cellStyle name="Normal 8 2 2 2 4 3" xfId="5259" xr:uid="{00000000-0005-0000-0000-0000351C0000}"/>
    <cellStyle name="Normal 8 2 2 2 4 3 2" xfId="13709" xr:uid="{05BABDD4-1328-4182-826D-606CAFF61781}"/>
    <cellStyle name="Normal 8 2 2 2 4 3 3" xfId="22149" xr:uid="{8F106B98-4EC7-47DB-B850-DD1A60228DC8}"/>
    <cellStyle name="Normal 8 2 2 2 4 3 4" xfId="30589" xr:uid="{75218AC3-C733-4C0F-9F4D-CF096536AC50}"/>
    <cellStyle name="Normal 8 2 2 2 4 4" xfId="9491" xr:uid="{C2AF6641-5B1C-4A87-B814-05A37E09E45F}"/>
    <cellStyle name="Normal 8 2 2 2 4 5" xfId="17932" xr:uid="{06264C29-0F9C-4AE9-B349-B80991131D80}"/>
    <cellStyle name="Normal 8 2 2 2 4 6" xfId="26372" xr:uid="{DFE4FBE4-2FD9-41A5-A115-2A076EAE5978}"/>
    <cellStyle name="Normal 8 2 2 2 5" xfId="1365" xr:uid="{00000000-0005-0000-0000-0000361C0000}"/>
    <cellStyle name="Normal 8 2 2 2 5 2" xfId="3595" xr:uid="{00000000-0005-0000-0000-0000371C0000}"/>
    <cellStyle name="Normal 8 2 2 2 5 2 2" xfId="7817" xr:uid="{00000000-0005-0000-0000-0000381C0000}"/>
    <cellStyle name="Normal 8 2 2 2 5 2 2 2" xfId="16267" xr:uid="{DF64C3A7-0123-4E83-A262-9409E1E265C8}"/>
    <cellStyle name="Normal 8 2 2 2 5 2 2 3" xfId="24707" xr:uid="{79A55F48-3588-451C-89A0-F3BECCC93545}"/>
    <cellStyle name="Normal 8 2 2 2 5 2 2 4" xfId="33147" xr:uid="{49761500-D253-4503-B613-E5D3E0D8C89D}"/>
    <cellStyle name="Normal 8 2 2 2 5 2 3" xfId="12049" xr:uid="{53462892-D28E-4702-85DC-EBCDCABE6FC2}"/>
    <cellStyle name="Normal 8 2 2 2 5 2 4" xfId="20490" xr:uid="{FF2F89C9-6A98-4EF7-A5AB-E2D3F0E0055A}"/>
    <cellStyle name="Normal 8 2 2 2 5 2 5" xfId="28930" xr:uid="{2BA0333F-5CFB-4EE7-A835-C5214CF2D227}"/>
    <cellStyle name="Normal 8 2 2 2 5 3" xfId="5672" xr:uid="{00000000-0005-0000-0000-0000391C0000}"/>
    <cellStyle name="Normal 8 2 2 2 5 3 2" xfId="14122" xr:uid="{2803CFEB-13F1-49FC-A7B4-2D25B8B42343}"/>
    <cellStyle name="Normal 8 2 2 2 5 3 3" xfId="22562" xr:uid="{DD51F83C-388D-49D2-B74E-BF37A286BF8D}"/>
    <cellStyle name="Normal 8 2 2 2 5 3 4" xfId="31002" xr:uid="{BB234B03-E319-4332-8B9A-8A386D5F0C4D}"/>
    <cellStyle name="Normal 8 2 2 2 5 4" xfId="9904" xr:uid="{9616A83A-6971-4969-A433-6A77A249AC43}"/>
    <cellStyle name="Normal 8 2 2 2 5 5" xfId="18345" xr:uid="{BF154730-E920-4D9E-84FE-AB5B212CC9C7}"/>
    <cellStyle name="Normal 8 2 2 2 5 6" xfId="26785" xr:uid="{0E15C39C-EF47-4C7D-BD93-B57256E0D078}"/>
    <cellStyle name="Normal 8 2 2 2 6" xfId="1778" xr:uid="{00000000-0005-0000-0000-00003A1C0000}"/>
    <cellStyle name="Normal 8 2 2 2 6 2" xfId="4008" xr:uid="{00000000-0005-0000-0000-00003B1C0000}"/>
    <cellStyle name="Normal 8 2 2 2 6 2 2" xfId="8230" xr:uid="{00000000-0005-0000-0000-00003C1C0000}"/>
    <cellStyle name="Normal 8 2 2 2 6 2 2 2" xfId="16680" xr:uid="{CAD373DC-EC20-4DED-B926-73C9CF15541D}"/>
    <cellStyle name="Normal 8 2 2 2 6 2 2 3" xfId="25120" xr:uid="{B3E3B481-1474-4DB2-8699-930A03B77422}"/>
    <cellStyle name="Normal 8 2 2 2 6 2 2 4" xfId="33560" xr:uid="{39D32C4B-54F3-415C-A5B7-A53A9B52C821}"/>
    <cellStyle name="Normal 8 2 2 2 6 2 3" xfId="12462" xr:uid="{0D8C8E93-5EF7-4FC3-A3E9-5485BB42F08E}"/>
    <cellStyle name="Normal 8 2 2 2 6 2 4" xfId="20903" xr:uid="{EDCFAF6E-D3EF-4A0E-86E2-738D81F89E1E}"/>
    <cellStyle name="Normal 8 2 2 2 6 2 5" xfId="29343" xr:uid="{40DA0CFE-0077-4C7B-8D51-104709A9EA0C}"/>
    <cellStyle name="Normal 8 2 2 2 6 3" xfId="6085" xr:uid="{00000000-0005-0000-0000-00003D1C0000}"/>
    <cellStyle name="Normal 8 2 2 2 6 3 2" xfId="14535" xr:uid="{0698FA53-7B49-458A-A9BB-2961E9A7AB5B}"/>
    <cellStyle name="Normal 8 2 2 2 6 3 3" xfId="22975" xr:uid="{9BA004EF-622E-41DA-86EA-F113A01A97E6}"/>
    <cellStyle name="Normal 8 2 2 2 6 3 4" xfId="31415" xr:uid="{64DCC314-4ED6-4318-A61F-0B835A3AB741}"/>
    <cellStyle name="Normal 8 2 2 2 6 4" xfId="10317" xr:uid="{DBC56278-F503-4DC8-B348-7A90AEF16B4A}"/>
    <cellStyle name="Normal 8 2 2 2 6 5" xfId="18758" xr:uid="{1AA55EDD-EE29-4249-A10E-42461F7550FD}"/>
    <cellStyle name="Normal 8 2 2 2 6 6" xfId="27198" xr:uid="{5E34BC29-A983-4080-8B47-2D04D40474A4}"/>
    <cellStyle name="Normal 8 2 2 2 7" xfId="2192" xr:uid="{00000000-0005-0000-0000-00003E1C0000}"/>
    <cellStyle name="Normal 8 2 2 2 7 2" xfId="4421" xr:uid="{00000000-0005-0000-0000-00003F1C0000}"/>
    <cellStyle name="Normal 8 2 2 2 7 2 2" xfId="8643" xr:uid="{00000000-0005-0000-0000-0000401C0000}"/>
    <cellStyle name="Normal 8 2 2 2 7 2 2 2" xfId="17093" xr:uid="{ECCADFB3-6439-49B9-866E-8732410F1C9C}"/>
    <cellStyle name="Normal 8 2 2 2 7 2 2 3" xfId="25533" xr:uid="{440B2222-43F1-4AE5-8E5F-1D728C72C6BD}"/>
    <cellStyle name="Normal 8 2 2 2 7 2 2 4" xfId="33973" xr:uid="{42A1B9F1-21D8-4A76-B572-4E78206BA286}"/>
    <cellStyle name="Normal 8 2 2 2 7 2 3" xfId="12875" xr:uid="{D010FB80-3049-4012-8AC4-94FF145EFC2E}"/>
    <cellStyle name="Normal 8 2 2 2 7 2 4" xfId="21316" xr:uid="{1A0B3DC7-ED32-4BC3-9CFC-5A46CF334D1E}"/>
    <cellStyle name="Normal 8 2 2 2 7 2 5" xfId="29756" xr:uid="{F171CAD7-657C-4A04-AC09-AF42BBF2916A}"/>
    <cellStyle name="Normal 8 2 2 2 7 3" xfId="6498" xr:uid="{00000000-0005-0000-0000-0000411C0000}"/>
    <cellStyle name="Normal 8 2 2 2 7 3 2" xfId="14948" xr:uid="{8E1A64CA-9E2E-4F55-B917-542E12D5481E}"/>
    <cellStyle name="Normal 8 2 2 2 7 3 3" xfId="23388" xr:uid="{EBDF0F4A-6DCE-497D-9E87-2D603D0EF579}"/>
    <cellStyle name="Normal 8 2 2 2 7 3 4" xfId="31828" xr:uid="{DCBBFC61-433A-46F9-A777-E8BB01EDB255}"/>
    <cellStyle name="Normal 8 2 2 2 7 4" xfId="10730" xr:uid="{7BDCC589-4F67-4678-B2C3-01A0AB5562BC}"/>
    <cellStyle name="Normal 8 2 2 2 7 5" xfId="19171" xr:uid="{90783022-E1C7-483F-B75D-A650DC797005}"/>
    <cellStyle name="Normal 8 2 2 2 7 6" xfId="27611" xr:uid="{0274B59E-8CF9-448E-B1AD-738C9AF838F9}"/>
    <cellStyle name="Normal 8 2 2 2 8" xfId="2628" xr:uid="{00000000-0005-0000-0000-0000421C0000}"/>
    <cellStyle name="Normal 8 2 2 2 8 2" xfId="6911" xr:uid="{00000000-0005-0000-0000-0000431C0000}"/>
    <cellStyle name="Normal 8 2 2 2 8 2 2" xfId="15361" xr:uid="{1F19A4F4-6B40-4D4C-9855-44FC03A138DB}"/>
    <cellStyle name="Normal 8 2 2 2 8 2 3" xfId="23801" xr:uid="{5A6D27C7-16F9-4C41-9EEC-632752999060}"/>
    <cellStyle name="Normal 8 2 2 2 8 2 4" xfId="32241" xr:uid="{9D8ABB19-A138-4907-8039-1C5299F7E85B}"/>
    <cellStyle name="Normal 8 2 2 2 8 3" xfId="11143" xr:uid="{BBD7844B-E0F6-48A5-8B3F-463B35FCEEDD}"/>
    <cellStyle name="Normal 8 2 2 2 8 4" xfId="19584" xr:uid="{C23BE0A3-576E-44FA-8C72-DB3D44522429}"/>
    <cellStyle name="Normal 8 2 2 2 8 5" xfId="28024" xr:uid="{005B0E5E-C2CA-46E9-9C16-2224508C2EBD}"/>
    <cellStyle name="Normal 8 2 2 2 9" xfId="4846" xr:uid="{00000000-0005-0000-0000-0000441C0000}"/>
    <cellStyle name="Normal 8 2 2 2 9 2" xfId="13296" xr:uid="{31A5E8D2-9C5D-4087-9BB0-667C07023843}"/>
    <cellStyle name="Normal 8 2 2 2 9 3" xfId="21736" xr:uid="{9092C490-29A3-4866-81CC-42390FD62BAF}"/>
    <cellStyle name="Normal 8 2 2 2 9 4" xfId="30176" xr:uid="{BF94CAC8-C861-482C-BBB1-64B5EF043123}"/>
    <cellStyle name="Normal 8 2 2 3" xfId="485" xr:uid="{00000000-0005-0000-0000-0000451C0000}"/>
    <cellStyle name="Normal 8 2 2 3 10" xfId="17523" xr:uid="{8A9110FD-20D4-4192-9AC2-65D1C668C285}"/>
    <cellStyle name="Normal 8 2 2 3 11" xfId="25963" xr:uid="{0F9116F9-0E20-4E08-82D1-398F910C156E}"/>
    <cellStyle name="Normal 8 2 2 3 2" xfId="486" xr:uid="{00000000-0005-0000-0000-0000461C0000}"/>
    <cellStyle name="Normal 8 2 2 3 2 10" xfId="25964" xr:uid="{5F28A33F-BE7A-4B1F-941D-E9D7154CDA9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2 2 2" xfId="15859" xr:uid="{54507787-2470-453E-B88E-721F9E5F9F0C}"/>
    <cellStyle name="Normal 8 2 2 3 2 2 2 2 3" xfId="24299" xr:uid="{EED2E895-3E1C-4379-8D5D-C4C3E605EB02}"/>
    <cellStyle name="Normal 8 2 2 3 2 2 2 2 4" xfId="32739" xr:uid="{E68F28BC-92F2-46E6-BDE3-8D8E3F462CB2}"/>
    <cellStyle name="Normal 8 2 2 3 2 2 2 3" xfId="11641" xr:uid="{7BE5C1BD-F06D-4E24-9FD0-28DAAB90A0D9}"/>
    <cellStyle name="Normal 8 2 2 3 2 2 2 4" xfId="20082" xr:uid="{9F6F3D13-A9D0-483A-B62D-75C50ECF6DD7}"/>
    <cellStyle name="Normal 8 2 2 3 2 2 2 5" xfId="28522" xr:uid="{562F9A9C-F99A-4FDA-8C51-3CC18A6421DD}"/>
    <cellStyle name="Normal 8 2 2 3 2 2 3" xfId="5264" xr:uid="{00000000-0005-0000-0000-00004A1C0000}"/>
    <cellStyle name="Normal 8 2 2 3 2 2 3 2" xfId="13714" xr:uid="{CC1E0FAB-A87C-4D71-B003-15F119F32B33}"/>
    <cellStyle name="Normal 8 2 2 3 2 2 3 3" xfId="22154" xr:uid="{47B542A2-F950-4311-AA02-641F63AFC810}"/>
    <cellStyle name="Normal 8 2 2 3 2 2 3 4" xfId="30594" xr:uid="{234EAB3B-B5DF-4B2C-8BA1-396DDECFA3F9}"/>
    <cellStyle name="Normal 8 2 2 3 2 2 4" xfId="9496" xr:uid="{B9B1278C-581B-4362-815E-F73700F5FFB0}"/>
    <cellStyle name="Normal 8 2 2 3 2 2 5" xfId="17937" xr:uid="{59B54C4F-B6E7-429B-9E73-DE1409D451F0}"/>
    <cellStyle name="Normal 8 2 2 3 2 2 6" xfId="26377" xr:uid="{C7DECFD6-7E38-4A58-93C9-2013B3AF1506}"/>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2 2 2" xfId="16272" xr:uid="{A5D75531-5B74-4F17-BF26-8971F0D45777}"/>
    <cellStyle name="Normal 8 2 2 3 2 3 2 2 3" xfId="24712" xr:uid="{772C479E-BBD9-4574-BCFA-C9EB99BE2EF3}"/>
    <cellStyle name="Normal 8 2 2 3 2 3 2 2 4" xfId="33152" xr:uid="{DC698E61-E170-4C21-AB0B-7B4021D2E91E}"/>
    <cellStyle name="Normal 8 2 2 3 2 3 2 3" xfId="12054" xr:uid="{7A3B188C-2BA0-4FF8-A317-D73D5B52ADD4}"/>
    <cellStyle name="Normal 8 2 2 3 2 3 2 4" xfId="20495" xr:uid="{C4B8808A-871C-4A0B-BDFC-78F2A9B48034}"/>
    <cellStyle name="Normal 8 2 2 3 2 3 2 5" xfId="28935" xr:uid="{BC0D3EEF-A579-4A34-A64C-F8ECFCC7B1CE}"/>
    <cellStyle name="Normal 8 2 2 3 2 3 3" xfId="5677" xr:uid="{00000000-0005-0000-0000-00004E1C0000}"/>
    <cellStyle name="Normal 8 2 2 3 2 3 3 2" xfId="14127" xr:uid="{62D418FA-E0D6-4B7C-A3E1-DC35FF2F2C30}"/>
    <cellStyle name="Normal 8 2 2 3 2 3 3 3" xfId="22567" xr:uid="{7EC8D463-19CC-4EED-BE34-FAB1750ACCF8}"/>
    <cellStyle name="Normal 8 2 2 3 2 3 3 4" xfId="31007" xr:uid="{CB635A77-9255-45FD-B96B-66E4439B2AB0}"/>
    <cellStyle name="Normal 8 2 2 3 2 3 4" xfId="9909" xr:uid="{7658F267-321F-4F4F-9B8D-80280304ED64}"/>
    <cellStyle name="Normal 8 2 2 3 2 3 5" xfId="18350" xr:uid="{E032156C-27DB-40B0-932E-91197A8CAA10}"/>
    <cellStyle name="Normal 8 2 2 3 2 3 6" xfId="26790" xr:uid="{53626CFE-15FE-4ED3-8BD6-4C17795EA957}"/>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2 2 2" xfId="16685" xr:uid="{764F02E9-4EBC-4108-9320-6CD3E2C00251}"/>
    <cellStyle name="Normal 8 2 2 3 2 4 2 2 3" xfId="25125" xr:uid="{22C4865F-90CF-4C03-85F8-41A128033F79}"/>
    <cellStyle name="Normal 8 2 2 3 2 4 2 2 4" xfId="33565" xr:uid="{E32D28A4-DD2B-4D8B-836A-03AB5F033419}"/>
    <cellStyle name="Normal 8 2 2 3 2 4 2 3" xfId="12467" xr:uid="{5082939A-E2FC-4EDC-BCAF-A383FE6A071D}"/>
    <cellStyle name="Normal 8 2 2 3 2 4 2 4" xfId="20908" xr:uid="{033CEAA4-09E8-41B5-B469-311D0D2D6D0A}"/>
    <cellStyle name="Normal 8 2 2 3 2 4 2 5" xfId="29348" xr:uid="{9C829A56-5E89-4C22-BEB6-0961B5BB7158}"/>
    <cellStyle name="Normal 8 2 2 3 2 4 3" xfId="6090" xr:uid="{00000000-0005-0000-0000-0000521C0000}"/>
    <cellStyle name="Normal 8 2 2 3 2 4 3 2" xfId="14540" xr:uid="{C042021C-EC76-401E-AFDF-73FEC7A6895D}"/>
    <cellStyle name="Normal 8 2 2 3 2 4 3 3" xfId="22980" xr:uid="{64FF6A5A-1763-4B63-9319-1E0582C70EB1}"/>
    <cellStyle name="Normal 8 2 2 3 2 4 3 4" xfId="31420" xr:uid="{A1177A98-01EF-44FB-97C4-92243E680D4F}"/>
    <cellStyle name="Normal 8 2 2 3 2 4 4" xfId="10322" xr:uid="{2CBE27AC-F8FD-44AE-B60E-E0EF9CDBDF21}"/>
    <cellStyle name="Normal 8 2 2 3 2 4 5" xfId="18763" xr:uid="{45DEF913-AA65-497A-AC6D-CCF28D670AA6}"/>
    <cellStyle name="Normal 8 2 2 3 2 4 6" xfId="27203" xr:uid="{996EF17E-6134-46DF-B0AF-38A505CCFDF4}"/>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2 2 2" xfId="17098" xr:uid="{157321BA-1AD3-4BCF-8D22-DB2AC39009A1}"/>
    <cellStyle name="Normal 8 2 2 3 2 5 2 2 3" xfId="25538" xr:uid="{14017EFF-853C-442A-9459-51313F1F9D34}"/>
    <cellStyle name="Normal 8 2 2 3 2 5 2 2 4" xfId="33978" xr:uid="{6B90F7A8-FDB3-4445-BFCE-D7D6A696293D}"/>
    <cellStyle name="Normal 8 2 2 3 2 5 2 3" xfId="12880" xr:uid="{E9008762-D4C1-4770-9ED5-5080E682946D}"/>
    <cellStyle name="Normal 8 2 2 3 2 5 2 4" xfId="21321" xr:uid="{BFD6FC81-8997-4A00-BFF5-5F38BE7089A2}"/>
    <cellStyle name="Normal 8 2 2 3 2 5 2 5" xfId="29761" xr:uid="{A059ED99-D41A-4B04-802E-D37FE57F4E68}"/>
    <cellStyle name="Normal 8 2 2 3 2 5 3" xfId="6503" xr:uid="{00000000-0005-0000-0000-0000561C0000}"/>
    <cellStyle name="Normal 8 2 2 3 2 5 3 2" xfId="14953" xr:uid="{161A6A76-C545-477F-9F5A-C65B745B2B0E}"/>
    <cellStyle name="Normal 8 2 2 3 2 5 3 3" xfId="23393" xr:uid="{413E1E24-C50A-4479-8F57-68BEA79397A1}"/>
    <cellStyle name="Normal 8 2 2 3 2 5 3 4" xfId="31833" xr:uid="{C13D3617-02FE-430B-AB94-640A463BD070}"/>
    <cellStyle name="Normal 8 2 2 3 2 5 4" xfId="10735" xr:uid="{A9C6B938-8A89-4117-83C1-A7B108A6ABB6}"/>
    <cellStyle name="Normal 8 2 2 3 2 5 5" xfId="19176" xr:uid="{F25B4F7B-817A-4536-AE6E-8FBE6748A7D5}"/>
    <cellStyle name="Normal 8 2 2 3 2 5 6" xfId="27616" xr:uid="{8B437037-BA39-4AF5-8048-C2772080B65D}"/>
    <cellStyle name="Normal 8 2 2 3 2 6" xfId="2633" xr:uid="{00000000-0005-0000-0000-0000571C0000}"/>
    <cellStyle name="Normal 8 2 2 3 2 6 2" xfId="6916" xr:uid="{00000000-0005-0000-0000-0000581C0000}"/>
    <cellStyle name="Normal 8 2 2 3 2 6 2 2" xfId="15366" xr:uid="{864792A5-1BB2-429F-96CA-C116FD65E31C}"/>
    <cellStyle name="Normal 8 2 2 3 2 6 2 3" xfId="23806" xr:uid="{44651722-ACCF-4881-9497-F4EC434BF46A}"/>
    <cellStyle name="Normal 8 2 2 3 2 6 2 4" xfId="32246" xr:uid="{34100696-3A7A-4FBC-A62F-4661BAF66902}"/>
    <cellStyle name="Normal 8 2 2 3 2 6 3" xfId="11148" xr:uid="{519601D6-98C1-4E09-8CEF-5ECF7DA3C0A2}"/>
    <cellStyle name="Normal 8 2 2 3 2 6 4" xfId="19589" xr:uid="{C77BD805-6E41-40B4-A82D-37D2958D2D1C}"/>
    <cellStyle name="Normal 8 2 2 3 2 6 5" xfId="28029" xr:uid="{257B67E9-E061-4B30-8817-9FF949942B7E}"/>
    <cellStyle name="Normal 8 2 2 3 2 7" xfId="4851" xr:uid="{00000000-0005-0000-0000-0000591C0000}"/>
    <cellStyle name="Normal 8 2 2 3 2 7 2" xfId="13301" xr:uid="{34333A63-7102-401B-9DE6-67BD9E9192A1}"/>
    <cellStyle name="Normal 8 2 2 3 2 7 3" xfId="21741" xr:uid="{2379A33C-560A-448D-A473-A91567028E29}"/>
    <cellStyle name="Normal 8 2 2 3 2 7 4" xfId="30181" xr:uid="{4FCC1A03-F1C7-472C-B840-8F5EBAD71153}"/>
    <cellStyle name="Normal 8 2 2 3 2 8" xfId="9083" xr:uid="{D2841BA6-FDA5-4BE6-8C59-13621135D580}"/>
    <cellStyle name="Normal 8 2 2 3 2 9" xfId="17524" xr:uid="{6327FCDE-77FF-472D-93DE-11E7E184F054}"/>
    <cellStyle name="Normal 8 2 2 3 3" xfId="952" xr:uid="{00000000-0005-0000-0000-00005A1C0000}"/>
    <cellStyle name="Normal 8 2 2 3 3 2" xfId="3186" xr:uid="{00000000-0005-0000-0000-00005B1C0000}"/>
    <cellStyle name="Normal 8 2 2 3 3 2 2" xfId="7408" xr:uid="{00000000-0005-0000-0000-00005C1C0000}"/>
    <cellStyle name="Normal 8 2 2 3 3 2 2 2" xfId="15858" xr:uid="{31427103-69D7-4559-A1B3-B38AF7960E4C}"/>
    <cellStyle name="Normal 8 2 2 3 3 2 2 3" xfId="24298" xr:uid="{71307D8D-1ABC-428B-A833-8F7AFE04CF68}"/>
    <cellStyle name="Normal 8 2 2 3 3 2 2 4" xfId="32738" xr:uid="{24B9F56C-6B18-4DE8-BED1-1E93B66FB5E3}"/>
    <cellStyle name="Normal 8 2 2 3 3 2 3" xfId="11640" xr:uid="{31800795-0FB6-4D46-8962-3BD052FECBDB}"/>
    <cellStyle name="Normal 8 2 2 3 3 2 4" xfId="20081" xr:uid="{22EF9ED1-42A1-45DC-BB79-451D1DAF05AD}"/>
    <cellStyle name="Normal 8 2 2 3 3 2 5" xfId="28521" xr:uid="{D8BFF325-CAFA-4DBA-974A-D53ADDEF412E}"/>
    <cellStyle name="Normal 8 2 2 3 3 3" xfId="5263" xr:uid="{00000000-0005-0000-0000-00005D1C0000}"/>
    <cellStyle name="Normal 8 2 2 3 3 3 2" xfId="13713" xr:uid="{0A74EDF4-6364-4A9D-ACB7-F8F1C690F92D}"/>
    <cellStyle name="Normal 8 2 2 3 3 3 3" xfId="22153" xr:uid="{82019E56-9D1E-46DD-857A-7F47701A29B6}"/>
    <cellStyle name="Normal 8 2 2 3 3 3 4" xfId="30593" xr:uid="{D141CE05-B9F0-43DE-8DCB-AE382F98E2DF}"/>
    <cellStyle name="Normal 8 2 2 3 3 4" xfId="9495" xr:uid="{DD6EF094-244D-42B7-8D32-07E2B1DA84B8}"/>
    <cellStyle name="Normal 8 2 2 3 3 5" xfId="17936" xr:uid="{2D6A9BD1-A282-4D11-9F5E-04215CAE249D}"/>
    <cellStyle name="Normal 8 2 2 3 3 6" xfId="26376" xr:uid="{F683074D-0513-4C0C-929F-A67648880BD3}"/>
    <cellStyle name="Normal 8 2 2 3 4" xfId="1369" xr:uid="{00000000-0005-0000-0000-00005E1C0000}"/>
    <cellStyle name="Normal 8 2 2 3 4 2" xfId="3599" xr:uid="{00000000-0005-0000-0000-00005F1C0000}"/>
    <cellStyle name="Normal 8 2 2 3 4 2 2" xfId="7821" xr:uid="{00000000-0005-0000-0000-0000601C0000}"/>
    <cellStyle name="Normal 8 2 2 3 4 2 2 2" xfId="16271" xr:uid="{E5D32E6D-34B2-4954-895D-F8FB03316FC7}"/>
    <cellStyle name="Normal 8 2 2 3 4 2 2 3" xfId="24711" xr:uid="{AF3A8C54-8EC4-41EF-B71B-671337A3EF20}"/>
    <cellStyle name="Normal 8 2 2 3 4 2 2 4" xfId="33151" xr:uid="{A3BF9AE9-ED85-4DBC-83EB-032E819374A2}"/>
    <cellStyle name="Normal 8 2 2 3 4 2 3" xfId="12053" xr:uid="{BEB3C57B-0A5B-442E-A464-B9C2F34F6243}"/>
    <cellStyle name="Normal 8 2 2 3 4 2 4" xfId="20494" xr:uid="{AF53AB10-F834-471B-9B62-1AC38412F469}"/>
    <cellStyle name="Normal 8 2 2 3 4 2 5" xfId="28934" xr:uid="{70D01C9E-95F4-4287-AA92-4605C7ED9229}"/>
    <cellStyle name="Normal 8 2 2 3 4 3" xfId="5676" xr:uid="{00000000-0005-0000-0000-0000611C0000}"/>
    <cellStyle name="Normal 8 2 2 3 4 3 2" xfId="14126" xr:uid="{2C584C4A-0775-4C1E-B3C5-CB11A1709CBC}"/>
    <cellStyle name="Normal 8 2 2 3 4 3 3" xfId="22566" xr:uid="{9929C295-57D8-43A1-A96E-4B6DAF8D1151}"/>
    <cellStyle name="Normal 8 2 2 3 4 3 4" xfId="31006" xr:uid="{6BCE9EC5-AEE4-45AD-BEB1-9ABA6016A298}"/>
    <cellStyle name="Normal 8 2 2 3 4 4" xfId="9908" xr:uid="{E21309E5-29F1-4662-A94E-093434BFDC2C}"/>
    <cellStyle name="Normal 8 2 2 3 4 5" xfId="18349" xr:uid="{E58B5BDD-BD8A-4899-AEE6-E719ADF85492}"/>
    <cellStyle name="Normal 8 2 2 3 4 6" xfId="26789" xr:uid="{75D7866E-57EF-4F2F-93C9-7A038DC66599}"/>
    <cellStyle name="Normal 8 2 2 3 5" xfId="1782" xr:uid="{00000000-0005-0000-0000-0000621C0000}"/>
    <cellStyle name="Normal 8 2 2 3 5 2" xfId="4012" xr:uid="{00000000-0005-0000-0000-0000631C0000}"/>
    <cellStyle name="Normal 8 2 2 3 5 2 2" xfId="8234" xr:uid="{00000000-0005-0000-0000-0000641C0000}"/>
    <cellStyle name="Normal 8 2 2 3 5 2 2 2" xfId="16684" xr:uid="{3CD635B1-C459-4FDB-9FA2-834C76A5191F}"/>
    <cellStyle name="Normal 8 2 2 3 5 2 2 3" xfId="25124" xr:uid="{FEF55A12-7D01-4238-A3FE-719D902C02D3}"/>
    <cellStyle name="Normal 8 2 2 3 5 2 2 4" xfId="33564" xr:uid="{8E9079DC-553B-4DEC-88C0-2198BC6CFAC6}"/>
    <cellStyle name="Normal 8 2 2 3 5 2 3" xfId="12466" xr:uid="{5EB6C796-279C-4C2E-B22A-D671FCC6F885}"/>
    <cellStyle name="Normal 8 2 2 3 5 2 4" xfId="20907" xr:uid="{CD82511C-4F32-4928-9916-2EE51B11C7BC}"/>
    <cellStyle name="Normal 8 2 2 3 5 2 5" xfId="29347" xr:uid="{6B9E39CF-3ABD-4A53-9B2D-22A7C2B959EB}"/>
    <cellStyle name="Normal 8 2 2 3 5 3" xfId="6089" xr:uid="{00000000-0005-0000-0000-0000651C0000}"/>
    <cellStyle name="Normal 8 2 2 3 5 3 2" xfId="14539" xr:uid="{8FE90963-2816-4579-A4AF-2598145CDE81}"/>
    <cellStyle name="Normal 8 2 2 3 5 3 3" xfId="22979" xr:uid="{4ACFF5CE-DA15-488C-A32E-E2EA17C7EE3A}"/>
    <cellStyle name="Normal 8 2 2 3 5 3 4" xfId="31419" xr:uid="{0238F1B2-CC2E-481D-89A4-893AD570F0C0}"/>
    <cellStyle name="Normal 8 2 2 3 5 4" xfId="10321" xr:uid="{8A23D30E-6AD4-46E4-BF32-D55F28C70689}"/>
    <cellStyle name="Normal 8 2 2 3 5 5" xfId="18762" xr:uid="{0C0F66CF-0FDE-436E-AF0C-5E5C21495182}"/>
    <cellStyle name="Normal 8 2 2 3 5 6" xfId="27202" xr:uid="{13BA3BA3-131E-4BA7-B040-550B7575AE63}"/>
    <cellStyle name="Normal 8 2 2 3 6" xfId="2196" xr:uid="{00000000-0005-0000-0000-0000661C0000}"/>
    <cellStyle name="Normal 8 2 2 3 6 2" xfId="4425" xr:uid="{00000000-0005-0000-0000-0000671C0000}"/>
    <cellStyle name="Normal 8 2 2 3 6 2 2" xfId="8647" xr:uid="{00000000-0005-0000-0000-0000681C0000}"/>
    <cellStyle name="Normal 8 2 2 3 6 2 2 2" xfId="17097" xr:uid="{1BC4C1FA-BE19-4F3F-BD40-EAE8F816A5E7}"/>
    <cellStyle name="Normal 8 2 2 3 6 2 2 3" xfId="25537" xr:uid="{32E038F0-5231-4D51-85DF-028C5695111E}"/>
    <cellStyle name="Normal 8 2 2 3 6 2 2 4" xfId="33977" xr:uid="{78C202DC-5B43-4708-A638-8CA9CCD5DDC4}"/>
    <cellStyle name="Normal 8 2 2 3 6 2 3" xfId="12879" xr:uid="{61E79205-D7D7-4BE2-8F8F-051D47DFCCC7}"/>
    <cellStyle name="Normal 8 2 2 3 6 2 4" xfId="21320" xr:uid="{A356C399-227E-4177-BEEE-57F31E89FB25}"/>
    <cellStyle name="Normal 8 2 2 3 6 2 5" xfId="29760" xr:uid="{932ACFB2-ED0F-4B15-AB07-E80664C898CA}"/>
    <cellStyle name="Normal 8 2 2 3 6 3" xfId="6502" xr:uid="{00000000-0005-0000-0000-0000691C0000}"/>
    <cellStyle name="Normal 8 2 2 3 6 3 2" xfId="14952" xr:uid="{4F85BF59-322A-485D-A568-72B65C19C0B5}"/>
    <cellStyle name="Normal 8 2 2 3 6 3 3" xfId="23392" xr:uid="{1AAF63FF-D328-41C8-A8BF-581805E4822A}"/>
    <cellStyle name="Normal 8 2 2 3 6 3 4" xfId="31832" xr:uid="{5D8FBFD8-A0E6-419A-8239-73F3314FD1D0}"/>
    <cellStyle name="Normal 8 2 2 3 6 4" xfId="10734" xr:uid="{4695279A-A3BA-4D1A-B7DF-C7FC462F4340}"/>
    <cellStyle name="Normal 8 2 2 3 6 5" xfId="19175" xr:uid="{79BD8482-02E2-4CF6-AD53-D1503265D217}"/>
    <cellStyle name="Normal 8 2 2 3 6 6" xfId="27615" xr:uid="{63F85D47-D4E4-4A6A-92D8-5C0B2B1BD2D2}"/>
    <cellStyle name="Normal 8 2 2 3 7" xfId="2632" xr:uid="{00000000-0005-0000-0000-00006A1C0000}"/>
    <cellStyle name="Normal 8 2 2 3 7 2" xfId="6915" xr:uid="{00000000-0005-0000-0000-00006B1C0000}"/>
    <cellStyle name="Normal 8 2 2 3 7 2 2" xfId="15365" xr:uid="{B22EBE7D-6B04-449C-B373-373B9E0B3C72}"/>
    <cellStyle name="Normal 8 2 2 3 7 2 3" xfId="23805" xr:uid="{8CD5B817-F0EF-4378-AFF1-7913BE7C1D12}"/>
    <cellStyle name="Normal 8 2 2 3 7 2 4" xfId="32245" xr:uid="{00B28820-B8A8-4525-ACAC-17FC37FA87EE}"/>
    <cellStyle name="Normal 8 2 2 3 7 3" xfId="11147" xr:uid="{4BCB6C9C-2D12-4154-AB1D-6A82F4CCC620}"/>
    <cellStyle name="Normal 8 2 2 3 7 4" xfId="19588" xr:uid="{4F94560E-5CE0-4AFC-A6A4-CC946E106B3E}"/>
    <cellStyle name="Normal 8 2 2 3 7 5" xfId="28028" xr:uid="{1737631A-1265-4224-830D-A241B3ED688D}"/>
    <cellStyle name="Normal 8 2 2 3 8" xfId="4850" xr:uid="{00000000-0005-0000-0000-00006C1C0000}"/>
    <cellStyle name="Normal 8 2 2 3 8 2" xfId="13300" xr:uid="{AB828BB8-6A13-464E-9C24-F34CAA84E550}"/>
    <cellStyle name="Normal 8 2 2 3 8 3" xfId="21740" xr:uid="{C70494F7-67B6-4F7F-A5DE-1AABFE18CC94}"/>
    <cellStyle name="Normal 8 2 2 3 8 4" xfId="30180" xr:uid="{E9581A99-FCD3-4E44-9860-D9D5309FEAFA}"/>
    <cellStyle name="Normal 8 2 2 3 9" xfId="9082" xr:uid="{E23C59C9-E404-4C30-B09D-7C93446B4BC8}"/>
    <cellStyle name="Normal 8 2 2 4" xfId="487" xr:uid="{00000000-0005-0000-0000-00006D1C0000}"/>
    <cellStyle name="Normal 8 2 2 4 10" xfId="25965" xr:uid="{2637B10C-ACC3-4F9E-8812-4782721F0C23}"/>
    <cellStyle name="Normal 8 2 2 4 2" xfId="954" xr:uid="{00000000-0005-0000-0000-00006E1C0000}"/>
    <cellStyle name="Normal 8 2 2 4 2 2" xfId="3188" xr:uid="{00000000-0005-0000-0000-00006F1C0000}"/>
    <cellStyle name="Normal 8 2 2 4 2 2 2" xfId="7410" xr:uid="{00000000-0005-0000-0000-0000701C0000}"/>
    <cellStyle name="Normal 8 2 2 4 2 2 2 2" xfId="15860" xr:uid="{0BD79897-8CE6-4C76-8E95-57E39DFD504C}"/>
    <cellStyle name="Normal 8 2 2 4 2 2 2 3" xfId="24300" xr:uid="{736194C8-C295-445D-AA8E-B68DBEEAC667}"/>
    <cellStyle name="Normal 8 2 2 4 2 2 2 4" xfId="32740" xr:uid="{180B608F-D35B-4497-8B58-2CC7DBBA9B0C}"/>
    <cellStyle name="Normal 8 2 2 4 2 2 3" xfId="11642" xr:uid="{36995213-9F35-4628-959C-0AB4737680D7}"/>
    <cellStyle name="Normal 8 2 2 4 2 2 4" xfId="20083" xr:uid="{B82B6939-12E1-4642-8835-F60DDDA1DD30}"/>
    <cellStyle name="Normal 8 2 2 4 2 2 5" xfId="28523" xr:uid="{888D65D9-276B-4493-8173-ABDC6B607DDA}"/>
    <cellStyle name="Normal 8 2 2 4 2 3" xfId="5265" xr:uid="{00000000-0005-0000-0000-0000711C0000}"/>
    <cellStyle name="Normal 8 2 2 4 2 3 2" xfId="13715" xr:uid="{C60F99D1-16AA-4381-9357-D325DC2183BC}"/>
    <cellStyle name="Normal 8 2 2 4 2 3 3" xfId="22155" xr:uid="{9B4B4458-188D-4E62-8963-1311C528F037}"/>
    <cellStyle name="Normal 8 2 2 4 2 3 4" xfId="30595" xr:uid="{B1C37685-5F5C-45BC-AD73-15F4A3716A15}"/>
    <cellStyle name="Normal 8 2 2 4 2 4" xfId="9497" xr:uid="{ED5B1C60-3F7A-4256-BBE9-69F1B12F077A}"/>
    <cellStyle name="Normal 8 2 2 4 2 5" xfId="17938" xr:uid="{027C1179-7118-4E05-A634-513CF67BA808}"/>
    <cellStyle name="Normal 8 2 2 4 2 6" xfId="26378" xr:uid="{548491EC-6799-465F-BC17-999BB21B42C0}"/>
    <cellStyle name="Normal 8 2 2 4 3" xfId="1371" xr:uid="{00000000-0005-0000-0000-0000721C0000}"/>
    <cellStyle name="Normal 8 2 2 4 3 2" xfId="3601" xr:uid="{00000000-0005-0000-0000-0000731C0000}"/>
    <cellStyle name="Normal 8 2 2 4 3 2 2" xfId="7823" xr:uid="{00000000-0005-0000-0000-0000741C0000}"/>
    <cellStyle name="Normal 8 2 2 4 3 2 2 2" xfId="16273" xr:uid="{A06E70E0-EC2D-4DAA-B20D-57D7E50BA823}"/>
    <cellStyle name="Normal 8 2 2 4 3 2 2 3" xfId="24713" xr:uid="{8B5CC383-0BB3-4715-AA10-DD0CB9DF1444}"/>
    <cellStyle name="Normal 8 2 2 4 3 2 2 4" xfId="33153" xr:uid="{A47291A3-12D4-4419-AE4E-E7358A78E639}"/>
    <cellStyle name="Normal 8 2 2 4 3 2 3" xfId="12055" xr:uid="{C1250FC7-AB2D-4545-AC69-2FC0214F10AD}"/>
    <cellStyle name="Normal 8 2 2 4 3 2 4" xfId="20496" xr:uid="{ED3123DA-D0E6-4732-AE52-08C94C4B3273}"/>
    <cellStyle name="Normal 8 2 2 4 3 2 5" xfId="28936" xr:uid="{4BF44B06-822E-4C91-9B4B-D5722BF72E97}"/>
    <cellStyle name="Normal 8 2 2 4 3 3" xfId="5678" xr:uid="{00000000-0005-0000-0000-0000751C0000}"/>
    <cellStyle name="Normal 8 2 2 4 3 3 2" xfId="14128" xr:uid="{DBDE3E5B-E68C-4FBC-9681-5176F6EEABBD}"/>
    <cellStyle name="Normal 8 2 2 4 3 3 3" xfId="22568" xr:uid="{38882086-9649-4340-8C25-B753490580D2}"/>
    <cellStyle name="Normal 8 2 2 4 3 3 4" xfId="31008" xr:uid="{1569A003-F8AE-4739-950E-35E52DBF9C3A}"/>
    <cellStyle name="Normal 8 2 2 4 3 4" xfId="9910" xr:uid="{913E9E07-30EF-4990-9B78-FE7B6E5E0BB5}"/>
    <cellStyle name="Normal 8 2 2 4 3 5" xfId="18351" xr:uid="{635AC98F-4293-4386-9A11-A14026F6927F}"/>
    <cellStyle name="Normal 8 2 2 4 3 6" xfId="26791" xr:uid="{5F623A69-E6EA-4D33-8B1C-F7F80813D898}"/>
    <cellStyle name="Normal 8 2 2 4 4" xfId="1784" xr:uid="{00000000-0005-0000-0000-0000761C0000}"/>
    <cellStyle name="Normal 8 2 2 4 4 2" xfId="4014" xr:uid="{00000000-0005-0000-0000-0000771C0000}"/>
    <cellStyle name="Normal 8 2 2 4 4 2 2" xfId="8236" xr:uid="{00000000-0005-0000-0000-0000781C0000}"/>
    <cellStyle name="Normal 8 2 2 4 4 2 2 2" xfId="16686" xr:uid="{51348F02-8B0A-4C83-9B00-4EA0844277F2}"/>
    <cellStyle name="Normal 8 2 2 4 4 2 2 3" xfId="25126" xr:uid="{D38858F3-B678-49C8-8843-6EC1D8D85797}"/>
    <cellStyle name="Normal 8 2 2 4 4 2 2 4" xfId="33566" xr:uid="{E023796B-E11C-4A32-972D-FA28C6D5AEF4}"/>
    <cellStyle name="Normal 8 2 2 4 4 2 3" xfId="12468" xr:uid="{2C0253EB-428E-44AC-A565-F61EA4941D63}"/>
    <cellStyle name="Normal 8 2 2 4 4 2 4" xfId="20909" xr:uid="{6FB6FE12-31AE-453F-B73D-4B13EB3D49DC}"/>
    <cellStyle name="Normal 8 2 2 4 4 2 5" xfId="29349" xr:uid="{8C00CDFA-A520-457A-8075-9357C8292C2D}"/>
    <cellStyle name="Normal 8 2 2 4 4 3" xfId="6091" xr:uid="{00000000-0005-0000-0000-0000791C0000}"/>
    <cellStyle name="Normal 8 2 2 4 4 3 2" xfId="14541" xr:uid="{115FA5F6-6C8A-4CCD-A711-E52DCA09C4B4}"/>
    <cellStyle name="Normal 8 2 2 4 4 3 3" xfId="22981" xr:uid="{8FA87854-107C-4C43-8316-4DD72E40C191}"/>
    <cellStyle name="Normal 8 2 2 4 4 3 4" xfId="31421" xr:uid="{DF6936BA-BB17-4F20-92E1-DE4AD9D7FD28}"/>
    <cellStyle name="Normal 8 2 2 4 4 4" xfId="10323" xr:uid="{DD59119F-5203-45EC-B744-A29D65B08D71}"/>
    <cellStyle name="Normal 8 2 2 4 4 5" xfId="18764" xr:uid="{2D7FE984-0385-44B6-AE2E-B4F005797C88}"/>
    <cellStyle name="Normal 8 2 2 4 4 6" xfId="27204" xr:uid="{2C8C9B23-1927-414F-8728-3BCB2C9EF52D}"/>
    <cellStyle name="Normal 8 2 2 4 5" xfId="2198" xr:uid="{00000000-0005-0000-0000-00007A1C0000}"/>
    <cellStyle name="Normal 8 2 2 4 5 2" xfId="4427" xr:uid="{00000000-0005-0000-0000-00007B1C0000}"/>
    <cellStyle name="Normal 8 2 2 4 5 2 2" xfId="8649" xr:uid="{00000000-0005-0000-0000-00007C1C0000}"/>
    <cellStyle name="Normal 8 2 2 4 5 2 2 2" xfId="17099" xr:uid="{AAEFD6FC-90CC-4AAB-866B-818129783E47}"/>
    <cellStyle name="Normal 8 2 2 4 5 2 2 3" xfId="25539" xr:uid="{E8FB140A-9E27-453F-912D-3C3CEECC6A55}"/>
    <cellStyle name="Normal 8 2 2 4 5 2 2 4" xfId="33979" xr:uid="{48982413-1E82-4582-BD1D-1CDFC53226EA}"/>
    <cellStyle name="Normal 8 2 2 4 5 2 3" xfId="12881" xr:uid="{D73F9E57-EA7D-470B-9C27-8ED716171353}"/>
    <cellStyle name="Normal 8 2 2 4 5 2 4" xfId="21322" xr:uid="{B11C3588-EF1A-4D6A-956B-624679606A8B}"/>
    <cellStyle name="Normal 8 2 2 4 5 2 5" xfId="29762" xr:uid="{585BEA7A-243E-464E-8051-60092C833A34}"/>
    <cellStyle name="Normal 8 2 2 4 5 3" xfId="6504" xr:uid="{00000000-0005-0000-0000-00007D1C0000}"/>
    <cellStyle name="Normal 8 2 2 4 5 3 2" xfId="14954" xr:uid="{35031E54-4142-4F0C-BDD1-1203D469D2CA}"/>
    <cellStyle name="Normal 8 2 2 4 5 3 3" xfId="23394" xr:uid="{B21AEC02-20C0-40DE-8B92-FB06BD7D2EB4}"/>
    <cellStyle name="Normal 8 2 2 4 5 3 4" xfId="31834" xr:uid="{FD268A41-E1D8-444F-A47A-CAF4BAABDF86}"/>
    <cellStyle name="Normal 8 2 2 4 5 4" xfId="10736" xr:uid="{094F2973-0D57-4157-BB11-3426640B53A1}"/>
    <cellStyle name="Normal 8 2 2 4 5 5" xfId="19177" xr:uid="{FC2DE3F2-DE16-40F6-985C-FB44599C7388}"/>
    <cellStyle name="Normal 8 2 2 4 5 6" xfId="27617" xr:uid="{14C7AA17-D44F-4D3B-855E-8AEDDA8D79F7}"/>
    <cellStyle name="Normal 8 2 2 4 6" xfId="2634" xr:uid="{00000000-0005-0000-0000-00007E1C0000}"/>
    <cellStyle name="Normal 8 2 2 4 6 2" xfId="6917" xr:uid="{00000000-0005-0000-0000-00007F1C0000}"/>
    <cellStyle name="Normal 8 2 2 4 6 2 2" xfId="15367" xr:uid="{331652FE-19D5-412C-880D-E90602BBB8D2}"/>
    <cellStyle name="Normal 8 2 2 4 6 2 3" xfId="23807" xr:uid="{679042ED-2CC4-4D36-851A-A11CE753D478}"/>
    <cellStyle name="Normal 8 2 2 4 6 2 4" xfId="32247" xr:uid="{8EC9A0A2-7641-4741-8CBD-3A8D0311C9D1}"/>
    <cellStyle name="Normal 8 2 2 4 6 3" xfId="11149" xr:uid="{D8013327-FBF2-44A2-9C64-6AA4FDBF4A4A}"/>
    <cellStyle name="Normal 8 2 2 4 6 4" xfId="19590" xr:uid="{6E549F3C-DDA2-4474-9328-8186FAE41864}"/>
    <cellStyle name="Normal 8 2 2 4 6 5" xfId="28030" xr:uid="{AEDC63D2-25B2-4217-BD8B-12F6CEEC25B2}"/>
    <cellStyle name="Normal 8 2 2 4 7" xfId="4852" xr:uid="{00000000-0005-0000-0000-0000801C0000}"/>
    <cellStyle name="Normal 8 2 2 4 7 2" xfId="13302" xr:uid="{1F8624C6-DECD-4FC0-8252-7D31EF43B787}"/>
    <cellStyle name="Normal 8 2 2 4 7 3" xfId="21742" xr:uid="{D068588A-64F2-45BC-97B8-095D79BAC449}"/>
    <cellStyle name="Normal 8 2 2 4 7 4" xfId="30182" xr:uid="{3A8C7E81-24E6-4BA5-8982-25EFAE99E355}"/>
    <cellStyle name="Normal 8 2 2 4 8" xfId="9084" xr:uid="{C4B6B0F7-44DC-45DF-B7A6-D17979F9E8BB}"/>
    <cellStyle name="Normal 8 2 2 4 9" xfId="17525" xr:uid="{EEA71430-F4CF-415E-90D9-F77613AFEF7E}"/>
    <cellStyle name="Normal 8 2 2 5" xfId="947" xr:uid="{00000000-0005-0000-0000-0000811C0000}"/>
    <cellStyle name="Normal 8 2 2 5 2" xfId="3181" xr:uid="{00000000-0005-0000-0000-0000821C0000}"/>
    <cellStyle name="Normal 8 2 2 5 2 2" xfId="7403" xr:uid="{00000000-0005-0000-0000-0000831C0000}"/>
    <cellStyle name="Normal 8 2 2 5 2 2 2" xfId="15853" xr:uid="{6ECF629D-68E5-437B-9D17-88A1041271B6}"/>
    <cellStyle name="Normal 8 2 2 5 2 2 3" xfId="24293" xr:uid="{924206CB-880B-46E1-8BBF-6B9DCB4E09A9}"/>
    <cellStyle name="Normal 8 2 2 5 2 2 4" xfId="32733" xr:uid="{11AA93AF-831F-4E53-92A0-34FEFD7D8DF7}"/>
    <cellStyle name="Normal 8 2 2 5 2 3" xfId="11635" xr:uid="{C8DC4D07-1EC8-4CA6-859B-A6C41C82D3D0}"/>
    <cellStyle name="Normal 8 2 2 5 2 4" xfId="20076" xr:uid="{71C75B6F-1C4C-4035-B7EA-1DB3FAEE75B7}"/>
    <cellStyle name="Normal 8 2 2 5 2 5" xfId="28516" xr:uid="{E2911870-FE85-4100-88CB-47FEAB049885}"/>
    <cellStyle name="Normal 8 2 2 5 3" xfId="5258" xr:uid="{00000000-0005-0000-0000-0000841C0000}"/>
    <cellStyle name="Normal 8 2 2 5 3 2" xfId="13708" xr:uid="{6711153E-8F48-4431-8A02-091F0FF11357}"/>
    <cellStyle name="Normal 8 2 2 5 3 3" xfId="22148" xr:uid="{D07BD4FB-7F3F-4C17-AAD2-269FC0761BC9}"/>
    <cellStyle name="Normal 8 2 2 5 3 4" xfId="30588" xr:uid="{C7B8309F-BDDC-418E-BF4D-784752437899}"/>
    <cellStyle name="Normal 8 2 2 5 4" xfId="9490" xr:uid="{061ED20B-AF86-42FB-B966-9DFC5769E651}"/>
    <cellStyle name="Normal 8 2 2 5 5" xfId="17931" xr:uid="{952BA521-0E8C-4D07-92A9-C0F2337164D4}"/>
    <cellStyle name="Normal 8 2 2 5 6" xfId="26371" xr:uid="{9886C46E-29F4-4899-954D-5C0B80BC9FE9}"/>
    <cellStyle name="Normal 8 2 2 6" xfId="1364" xr:uid="{00000000-0005-0000-0000-0000851C0000}"/>
    <cellStyle name="Normal 8 2 2 6 2" xfId="3594" xr:uid="{00000000-0005-0000-0000-0000861C0000}"/>
    <cellStyle name="Normal 8 2 2 6 2 2" xfId="7816" xr:uid="{00000000-0005-0000-0000-0000871C0000}"/>
    <cellStyle name="Normal 8 2 2 6 2 2 2" xfId="16266" xr:uid="{7F0E6A0C-1612-4C9D-8FF7-198814B3A0B7}"/>
    <cellStyle name="Normal 8 2 2 6 2 2 3" xfId="24706" xr:uid="{A52702EC-FF46-49D0-8AF7-7DE582EF8C91}"/>
    <cellStyle name="Normal 8 2 2 6 2 2 4" xfId="33146" xr:uid="{10B6D007-196E-4885-BE7F-E7C872FFE153}"/>
    <cellStyle name="Normal 8 2 2 6 2 3" xfId="12048" xr:uid="{7F625B7A-F5A3-442C-8160-FB936BF019C9}"/>
    <cellStyle name="Normal 8 2 2 6 2 4" xfId="20489" xr:uid="{AA7596D0-0336-4EE7-964B-3F18D4F7B593}"/>
    <cellStyle name="Normal 8 2 2 6 2 5" xfId="28929" xr:uid="{FA71742D-2431-4547-9529-C44072D1C6B4}"/>
    <cellStyle name="Normal 8 2 2 6 3" xfId="5671" xr:uid="{00000000-0005-0000-0000-0000881C0000}"/>
    <cellStyle name="Normal 8 2 2 6 3 2" xfId="14121" xr:uid="{97E7DC85-06C9-4DC8-8C56-3A861F80669E}"/>
    <cellStyle name="Normal 8 2 2 6 3 3" xfId="22561" xr:uid="{25DFEFBE-F0AE-4069-8F0F-3686F92238B3}"/>
    <cellStyle name="Normal 8 2 2 6 3 4" xfId="31001" xr:uid="{A5B2C8FC-0218-44D7-85D8-1D00C1EF909A}"/>
    <cellStyle name="Normal 8 2 2 6 4" xfId="9903" xr:uid="{4234C692-3B85-4C4F-A1B8-9131BCBCCB90}"/>
    <cellStyle name="Normal 8 2 2 6 5" xfId="18344" xr:uid="{930ADBE9-0C39-4262-9ED6-8F53744142C9}"/>
    <cellStyle name="Normal 8 2 2 6 6" xfId="26784" xr:uid="{11E68B1B-1F78-4868-9B2C-C420FF974F3E}"/>
    <cellStyle name="Normal 8 2 2 7" xfId="1777" xr:uid="{00000000-0005-0000-0000-0000891C0000}"/>
    <cellStyle name="Normal 8 2 2 7 2" xfId="4007" xr:uid="{00000000-0005-0000-0000-00008A1C0000}"/>
    <cellStyle name="Normal 8 2 2 7 2 2" xfId="8229" xr:uid="{00000000-0005-0000-0000-00008B1C0000}"/>
    <cellStyle name="Normal 8 2 2 7 2 2 2" xfId="16679" xr:uid="{BCEA8E0A-F3C5-4889-BC1B-FF4D585F6D52}"/>
    <cellStyle name="Normal 8 2 2 7 2 2 3" xfId="25119" xr:uid="{7B365800-6EAA-48BA-BD9F-7576F1CC9F76}"/>
    <cellStyle name="Normal 8 2 2 7 2 2 4" xfId="33559" xr:uid="{E3AEC7C6-A5C4-428B-80AE-D964D0B3EE7B}"/>
    <cellStyle name="Normal 8 2 2 7 2 3" xfId="12461" xr:uid="{48C17ECB-7D36-45B4-BEF2-A9AB30D04A03}"/>
    <cellStyle name="Normal 8 2 2 7 2 4" xfId="20902" xr:uid="{83B1608D-C5CF-4F13-B5F5-A1DDC694D8CD}"/>
    <cellStyle name="Normal 8 2 2 7 2 5" xfId="29342" xr:uid="{00C9A462-0453-4A14-8D78-D94A820D7BD5}"/>
    <cellStyle name="Normal 8 2 2 7 3" xfId="6084" xr:uid="{00000000-0005-0000-0000-00008C1C0000}"/>
    <cellStyle name="Normal 8 2 2 7 3 2" xfId="14534" xr:uid="{9D0F9129-0774-4CD9-AFA8-3686F7F60266}"/>
    <cellStyle name="Normal 8 2 2 7 3 3" xfId="22974" xr:uid="{33FCB48B-1D9E-440B-AE48-9F52A02521F7}"/>
    <cellStyle name="Normal 8 2 2 7 3 4" xfId="31414" xr:uid="{B99CC84E-F35A-4054-9D43-6F7A60DADB23}"/>
    <cellStyle name="Normal 8 2 2 7 4" xfId="10316" xr:uid="{6FB771A4-A86E-4731-A930-542D8B8C16ED}"/>
    <cellStyle name="Normal 8 2 2 7 5" xfId="18757" xr:uid="{66DA5951-F80A-4D55-BB13-B19FB5E27182}"/>
    <cellStyle name="Normal 8 2 2 7 6" xfId="27197" xr:uid="{677BFA61-53A0-4ACE-BD7F-D770961A0239}"/>
    <cellStyle name="Normal 8 2 2 8" xfId="2191" xr:uid="{00000000-0005-0000-0000-00008D1C0000}"/>
    <cellStyle name="Normal 8 2 2 8 2" xfId="4420" xr:uid="{00000000-0005-0000-0000-00008E1C0000}"/>
    <cellStyle name="Normal 8 2 2 8 2 2" xfId="8642" xr:uid="{00000000-0005-0000-0000-00008F1C0000}"/>
    <cellStyle name="Normal 8 2 2 8 2 2 2" xfId="17092" xr:uid="{4FF5188E-0761-4298-9C51-992E903F70FA}"/>
    <cellStyle name="Normal 8 2 2 8 2 2 3" xfId="25532" xr:uid="{4D04C4FA-27B2-4029-A053-0F056E9D1DCA}"/>
    <cellStyle name="Normal 8 2 2 8 2 2 4" xfId="33972" xr:uid="{148776A6-46D7-439C-8869-23763F0F778F}"/>
    <cellStyle name="Normal 8 2 2 8 2 3" xfId="12874" xr:uid="{EAC30E72-8438-4C87-A89F-9274D32CC684}"/>
    <cellStyle name="Normal 8 2 2 8 2 4" xfId="21315" xr:uid="{44A1EF03-5FC5-45D6-8997-7256F0D3A427}"/>
    <cellStyle name="Normal 8 2 2 8 2 5" xfId="29755" xr:uid="{73457C5D-2ED0-41F4-8043-9B5AF67DA0B9}"/>
    <cellStyle name="Normal 8 2 2 8 3" xfId="6497" xr:uid="{00000000-0005-0000-0000-0000901C0000}"/>
    <cellStyle name="Normal 8 2 2 8 3 2" xfId="14947" xr:uid="{48AC93CC-EFAE-4DC3-90E4-6A732241E499}"/>
    <cellStyle name="Normal 8 2 2 8 3 3" xfId="23387" xr:uid="{E83069C9-E813-4CBF-A902-A2449FE731F1}"/>
    <cellStyle name="Normal 8 2 2 8 3 4" xfId="31827" xr:uid="{175379A2-D26F-4CD9-AD30-D8D382998315}"/>
    <cellStyle name="Normal 8 2 2 8 4" xfId="10729" xr:uid="{88423C68-706B-4CE8-9DA4-88FF646ED3C2}"/>
    <cellStyle name="Normal 8 2 2 8 5" xfId="19170" xr:uid="{E71F35F8-2153-487F-B8E6-BB9396E96F5E}"/>
    <cellStyle name="Normal 8 2 2 8 6" xfId="27610" xr:uid="{C4C086C3-102B-4E11-92AF-97A7924AC48B}"/>
    <cellStyle name="Normal 8 2 2 9" xfId="2627" xr:uid="{00000000-0005-0000-0000-0000911C0000}"/>
    <cellStyle name="Normal 8 2 2 9 2" xfId="6910" xr:uid="{00000000-0005-0000-0000-0000921C0000}"/>
    <cellStyle name="Normal 8 2 2 9 2 2" xfId="15360" xr:uid="{853100E2-D1E7-435B-B868-14DE44F42781}"/>
    <cellStyle name="Normal 8 2 2 9 2 3" xfId="23800" xr:uid="{DB1228DD-1356-40AB-92EB-271487569DD1}"/>
    <cellStyle name="Normal 8 2 2 9 2 4" xfId="32240" xr:uid="{C6F8EA04-3563-424B-A549-43F19CF3EC79}"/>
    <cellStyle name="Normal 8 2 2 9 3" xfId="11142" xr:uid="{C98E0F38-6408-4A90-A7E4-491292982487}"/>
    <cellStyle name="Normal 8 2 2 9 4" xfId="19583" xr:uid="{1B8A98DE-D023-44A0-9402-B9759E6FA275}"/>
    <cellStyle name="Normal 8 2 2 9 5" xfId="28023" xr:uid="{C32822F1-DCC8-41DE-85AE-78EEFF46B2A5}"/>
    <cellStyle name="Normal 8 2 3" xfId="488" xr:uid="{00000000-0005-0000-0000-0000931C0000}"/>
    <cellStyle name="Normal 8 2 3 10" xfId="9085" xr:uid="{AC5A671E-4D0B-4FF7-86FA-B921F827ACDB}"/>
    <cellStyle name="Normal 8 2 3 11" xfId="17526" xr:uid="{D4669C18-7601-4B72-876A-537C521E6B97}"/>
    <cellStyle name="Normal 8 2 3 12" xfId="25966" xr:uid="{A528F51D-33DD-44B2-8C40-DDFD066E0419}"/>
    <cellStyle name="Normal 8 2 3 2" xfId="489" xr:uid="{00000000-0005-0000-0000-0000941C0000}"/>
    <cellStyle name="Normal 8 2 3 2 10" xfId="17527" xr:uid="{4A4BE434-6451-4A1F-9F34-A0A4DA124445}"/>
    <cellStyle name="Normal 8 2 3 2 11" xfId="25967" xr:uid="{DB6765F8-9C60-4F33-9F05-281F1FCC8A02}"/>
    <cellStyle name="Normal 8 2 3 2 2" xfId="490" xr:uid="{00000000-0005-0000-0000-0000951C0000}"/>
    <cellStyle name="Normal 8 2 3 2 2 10" xfId="25968" xr:uid="{41F4D90F-7923-459D-8E4C-0CBF5DB5805A}"/>
    <cellStyle name="Normal 8 2 3 2 2 2" xfId="957" xr:uid="{00000000-0005-0000-0000-0000961C0000}"/>
    <cellStyle name="Normal 8 2 3 2 2 2 2" xfId="3191" xr:uid="{00000000-0005-0000-0000-0000971C0000}"/>
    <cellStyle name="Normal 8 2 3 2 2 2 2 2" xfId="7413" xr:uid="{00000000-0005-0000-0000-0000981C0000}"/>
    <cellStyle name="Normal 8 2 3 2 2 2 2 2 2" xfId="15863" xr:uid="{E652879B-8A62-4FE0-A097-5F952572B86C}"/>
    <cellStyle name="Normal 8 2 3 2 2 2 2 2 3" xfId="24303" xr:uid="{18C14760-76A2-4F16-90E2-2D047D0DD207}"/>
    <cellStyle name="Normal 8 2 3 2 2 2 2 2 4" xfId="32743" xr:uid="{7761459B-2AAE-49F6-9371-7019CC50D7D8}"/>
    <cellStyle name="Normal 8 2 3 2 2 2 2 3" xfId="11645" xr:uid="{3835E194-BB73-40AC-847A-CB835BAD73FF}"/>
    <cellStyle name="Normal 8 2 3 2 2 2 2 4" xfId="20086" xr:uid="{573CFA0B-6EC0-4461-86E6-55046AC0B9C1}"/>
    <cellStyle name="Normal 8 2 3 2 2 2 2 5" xfId="28526" xr:uid="{F6CFCC0D-BE62-41F4-A8B1-2F261D381F6C}"/>
    <cellStyle name="Normal 8 2 3 2 2 2 3" xfId="5268" xr:uid="{00000000-0005-0000-0000-0000991C0000}"/>
    <cellStyle name="Normal 8 2 3 2 2 2 3 2" xfId="13718" xr:uid="{22D24097-4E87-4464-B8DB-BFBBAD158C0B}"/>
    <cellStyle name="Normal 8 2 3 2 2 2 3 3" xfId="22158" xr:uid="{061A9343-A078-45D9-98CA-88DAF1D77E60}"/>
    <cellStyle name="Normal 8 2 3 2 2 2 3 4" xfId="30598" xr:uid="{936A0BE1-69FD-42F2-AB53-D594AF48DD18}"/>
    <cellStyle name="Normal 8 2 3 2 2 2 4" xfId="9500" xr:uid="{E573081A-F82C-40BE-B906-D0C800856403}"/>
    <cellStyle name="Normal 8 2 3 2 2 2 5" xfId="17941" xr:uid="{2C6AF6F3-AD40-4B0D-8328-B9A96BD0AF05}"/>
    <cellStyle name="Normal 8 2 3 2 2 2 6" xfId="26381" xr:uid="{013AAA56-DAF1-495E-A6D1-1C91E988EAD7}"/>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2 2 2" xfId="16276" xr:uid="{94FFF16B-7863-46BF-839F-06AFAEA34C32}"/>
    <cellStyle name="Normal 8 2 3 2 2 3 2 2 3" xfId="24716" xr:uid="{F2A040A0-FF3E-44CB-B120-7C15410F48EE}"/>
    <cellStyle name="Normal 8 2 3 2 2 3 2 2 4" xfId="33156" xr:uid="{2F9273CE-C55A-47AE-92C9-2DB8DD721FCB}"/>
    <cellStyle name="Normal 8 2 3 2 2 3 2 3" xfId="12058" xr:uid="{709A6BC6-CECF-400B-827C-1DA21636B911}"/>
    <cellStyle name="Normal 8 2 3 2 2 3 2 4" xfId="20499" xr:uid="{AA69DA92-B42E-4C5E-AC80-C521CBCB73B5}"/>
    <cellStyle name="Normal 8 2 3 2 2 3 2 5" xfId="28939" xr:uid="{D7AEB1DB-A275-41C6-8A2E-FCB851B29E6F}"/>
    <cellStyle name="Normal 8 2 3 2 2 3 3" xfId="5681" xr:uid="{00000000-0005-0000-0000-00009D1C0000}"/>
    <cellStyle name="Normal 8 2 3 2 2 3 3 2" xfId="14131" xr:uid="{B8E44F94-A4D0-4AAF-A5CA-3BC6F5135C0D}"/>
    <cellStyle name="Normal 8 2 3 2 2 3 3 3" xfId="22571" xr:uid="{F5CE6146-E7B6-4B97-9F9B-3FCD10784C1E}"/>
    <cellStyle name="Normal 8 2 3 2 2 3 3 4" xfId="31011" xr:uid="{3394C8F8-800C-4C17-9DDB-483025B1904C}"/>
    <cellStyle name="Normal 8 2 3 2 2 3 4" xfId="9913" xr:uid="{5870EA9C-D1EC-4647-867C-D1E4C794C581}"/>
    <cellStyle name="Normal 8 2 3 2 2 3 5" xfId="18354" xr:uid="{CE5ADA4B-77EC-43AF-851B-1606361FD9DB}"/>
    <cellStyle name="Normal 8 2 3 2 2 3 6" xfId="26794" xr:uid="{A022F452-58C6-4913-B3CE-01B031601C4C}"/>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2 2 2" xfId="16689" xr:uid="{F64DDCE8-A6CA-44CF-AD8B-6C49BF2613F5}"/>
    <cellStyle name="Normal 8 2 3 2 2 4 2 2 3" xfId="25129" xr:uid="{42EB0FC0-FB27-45CD-934A-8E545B84F46F}"/>
    <cellStyle name="Normal 8 2 3 2 2 4 2 2 4" xfId="33569" xr:uid="{981D575E-6724-496C-BDF1-A9A7B0BB9BA0}"/>
    <cellStyle name="Normal 8 2 3 2 2 4 2 3" xfId="12471" xr:uid="{C3A8369F-D7FD-4AD9-913B-8514EFD4714F}"/>
    <cellStyle name="Normal 8 2 3 2 2 4 2 4" xfId="20912" xr:uid="{1E3D701E-A17F-478F-B362-7E09A82D93D5}"/>
    <cellStyle name="Normal 8 2 3 2 2 4 2 5" xfId="29352" xr:uid="{1CF1BABF-7908-4CD9-A535-54F53645321C}"/>
    <cellStyle name="Normal 8 2 3 2 2 4 3" xfId="6094" xr:uid="{00000000-0005-0000-0000-0000A11C0000}"/>
    <cellStyle name="Normal 8 2 3 2 2 4 3 2" xfId="14544" xr:uid="{E813B03F-90D8-4E3C-83C2-B26C04EFF1DA}"/>
    <cellStyle name="Normal 8 2 3 2 2 4 3 3" xfId="22984" xr:uid="{5685BA92-9444-455E-A64C-3AB109929E23}"/>
    <cellStyle name="Normal 8 2 3 2 2 4 3 4" xfId="31424" xr:uid="{127A62E4-946E-4980-80B3-B47E256E0C1A}"/>
    <cellStyle name="Normal 8 2 3 2 2 4 4" xfId="10326" xr:uid="{2147FC2B-DE9F-444C-A0DB-CCCB3F0F75DA}"/>
    <cellStyle name="Normal 8 2 3 2 2 4 5" xfId="18767" xr:uid="{01D49E88-3964-45DB-AE68-E732D138D2CC}"/>
    <cellStyle name="Normal 8 2 3 2 2 4 6" xfId="27207" xr:uid="{30EBA07C-A3E4-4D98-A093-D528A4B6B386}"/>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2 2 2" xfId="17102" xr:uid="{E2095DC0-B159-4317-B8FC-4C1C015E6717}"/>
    <cellStyle name="Normal 8 2 3 2 2 5 2 2 3" xfId="25542" xr:uid="{D45E04DC-390D-425E-B076-835087E173C0}"/>
    <cellStyle name="Normal 8 2 3 2 2 5 2 2 4" xfId="33982" xr:uid="{55FA5A78-53F3-4197-92C1-B8BEF50C73AF}"/>
    <cellStyle name="Normal 8 2 3 2 2 5 2 3" xfId="12884" xr:uid="{C08B9F39-C2DD-4A78-8FB2-F7427459FBA6}"/>
    <cellStyle name="Normal 8 2 3 2 2 5 2 4" xfId="21325" xr:uid="{F6DE2DD8-0917-4409-B751-CEA26B156D48}"/>
    <cellStyle name="Normal 8 2 3 2 2 5 2 5" xfId="29765" xr:uid="{4EEBA56E-D10E-4750-B872-D4FABF4E56B4}"/>
    <cellStyle name="Normal 8 2 3 2 2 5 3" xfId="6507" xr:uid="{00000000-0005-0000-0000-0000A51C0000}"/>
    <cellStyle name="Normal 8 2 3 2 2 5 3 2" xfId="14957" xr:uid="{4621A58F-6354-418E-9F71-2EFA17FC2508}"/>
    <cellStyle name="Normal 8 2 3 2 2 5 3 3" xfId="23397" xr:uid="{63F3D46E-C964-46D5-A273-0BF8EB03A6DA}"/>
    <cellStyle name="Normal 8 2 3 2 2 5 3 4" xfId="31837" xr:uid="{2F6A726E-7979-49D2-989F-B0A35917269A}"/>
    <cellStyle name="Normal 8 2 3 2 2 5 4" xfId="10739" xr:uid="{E105867A-56EE-43EF-80D2-0F08FA05CCF8}"/>
    <cellStyle name="Normal 8 2 3 2 2 5 5" xfId="19180" xr:uid="{363A4BD8-37D6-4BB0-9D3D-9FF39BF7AD17}"/>
    <cellStyle name="Normal 8 2 3 2 2 5 6" xfId="27620" xr:uid="{E334AE22-273D-4F28-A69F-67F2C8B6EEF0}"/>
    <cellStyle name="Normal 8 2 3 2 2 6" xfId="2637" xr:uid="{00000000-0005-0000-0000-0000A61C0000}"/>
    <cellStyle name="Normal 8 2 3 2 2 6 2" xfId="6920" xr:uid="{00000000-0005-0000-0000-0000A71C0000}"/>
    <cellStyle name="Normal 8 2 3 2 2 6 2 2" xfId="15370" xr:uid="{6C7843A2-71A6-4637-8919-1A43A01C5FD0}"/>
    <cellStyle name="Normal 8 2 3 2 2 6 2 3" xfId="23810" xr:uid="{CCC88C75-09BE-48E0-98CD-9161A9995058}"/>
    <cellStyle name="Normal 8 2 3 2 2 6 2 4" xfId="32250" xr:uid="{B382D128-7B86-4DCD-A795-612431A3F09B}"/>
    <cellStyle name="Normal 8 2 3 2 2 6 3" xfId="11152" xr:uid="{55622DA6-45FE-4801-9222-26B9B095CFF5}"/>
    <cellStyle name="Normal 8 2 3 2 2 6 4" xfId="19593" xr:uid="{1E591CAD-E342-47D8-AB01-AD06BEBB3FE5}"/>
    <cellStyle name="Normal 8 2 3 2 2 6 5" xfId="28033" xr:uid="{0CE41097-2DC7-4D5F-AF4F-5E8FAA80B5CC}"/>
    <cellStyle name="Normal 8 2 3 2 2 7" xfId="4855" xr:uid="{00000000-0005-0000-0000-0000A81C0000}"/>
    <cellStyle name="Normal 8 2 3 2 2 7 2" xfId="13305" xr:uid="{D2F8D156-6277-4FC9-B23C-602BB5229040}"/>
    <cellStyle name="Normal 8 2 3 2 2 7 3" xfId="21745" xr:uid="{0A165B6E-5FD4-446F-A19B-E8DD9F4FFD7B}"/>
    <cellStyle name="Normal 8 2 3 2 2 7 4" xfId="30185" xr:uid="{13F45931-719D-4E90-8ECA-E9E7D2D38B35}"/>
    <cellStyle name="Normal 8 2 3 2 2 8" xfId="9087" xr:uid="{34E06BB9-44D9-4D7F-9274-B84EB08A3B5E}"/>
    <cellStyle name="Normal 8 2 3 2 2 9" xfId="17528" xr:uid="{BBC9BCBC-FD1D-4972-9033-0BD29CF22BE2}"/>
    <cellStyle name="Normal 8 2 3 2 3" xfId="956" xr:uid="{00000000-0005-0000-0000-0000A91C0000}"/>
    <cellStyle name="Normal 8 2 3 2 3 2" xfId="3190" xr:uid="{00000000-0005-0000-0000-0000AA1C0000}"/>
    <cellStyle name="Normal 8 2 3 2 3 2 2" xfId="7412" xr:uid="{00000000-0005-0000-0000-0000AB1C0000}"/>
    <cellStyle name="Normal 8 2 3 2 3 2 2 2" xfId="15862" xr:uid="{EA427AF7-EB43-42BD-B353-EEECCE23E4CF}"/>
    <cellStyle name="Normal 8 2 3 2 3 2 2 3" xfId="24302" xr:uid="{DB6DF6C9-AB7A-4369-B281-0C15E7727218}"/>
    <cellStyle name="Normal 8 2 3 2 3 2 2 4" xfId="32742" xr:uid="{1A50347F-776D-4A3E-A4E1-86A3EC5443B4}"/>
    <cellStyle name="Normal 8 2 3 2 3 2 3" xfId="11644" xr:uid="{027CEE50-3907-4855-8EF6-395488F6402F}"/>
    <cellStyle name="Normal 8 2 3 2 3 2 4" xfId="20085" xr:uid="{C141F038-0A2D-4DD3-B2CC-54438CDA4B8F}"/>
    <cellStyle name="Normal 8 2 3 2 3 2 5" xfId="28525" xr:uid="{711A68C1-B1B9-4D95-93D4-A138E33DA8A5}"/>
    <cellStyle name="Normal 8 2 3 2 3 3" xfId="5267" xr:uid="{00000000-0005-0000-0000-0000AC1C0000}"/>
    <cellStyle name="Normal 8 2 3 2 3 3 2" xfId="13717" xr:uid="{EAEF9724-67C6-4896-8761-504F94B771D6}"/>
    <cellStyle name="Normal 8 2 3 2 3 3 3" xfId="22157" xr:uid="{E3B7F059-F613-45A8-8DAB-E058F3FF83F6}"/>
    <cellStyle name="Normal 8 2 3 2 3 3 4" xfId="30597" xr:uid="{7E0E72C9-9D54-4DC6-917B-3F1923D3EA2E}"/>
    <cellStyle name="Normal 8 2 3 2 3 4" xfId="9499" xr:uid="{E24C6EC9-BDCB-49B9-9B00-84D45720BA4B}"/>
    <cellStyle name="Normal 8 2 3 2 3 5" xfId="17940" xr:uid="{DEF5C126-3588-4A33-8AD6-4AB1F8DC5BBF}"/>
    <cellStyle name="Normal 8 2 3 2 3 6" xfId="26380" xr:uid="{26CBC7BA-B845-4B25-8232-F59F654D9F67}"/>
    <cellStyle name="Normal 8 2 3 2 4" xfId="1373" xr:uid="{00000000-0005-0000-0000-0000AD1C0000}"/>
    <cellStyle name="Normal 8 2 3 2 4 2" xfId="3603" xr:uid="{00000000-0005-0000-0000-0000AE1C0000}"/>
    <cellStyle name="Normal 8 2 3 2 4 2 2" xfId="7825" xr:uid="{00000000-0005-0000-0000-0000AF1C0000}"/>
    <cellStyle name="Normal 8 2 3 2 4 2 2 2" xfId="16275" xr:uid="{479C5268-AC2F-4BBE-9BF5-661AFDDA5679}"/>
    <cellStyle name="Normal 8 2 3 2 4 2 2 3" xfId="24715" xr:uid="{FE83D534-589F-4545-843C-52CCCA9B7122}"/>
    <cellStyle name="Normal 8 2 3 2 4 2 2 4" xfId="33155" xr:uid="{8CE710F9-0491-4EC1-8452-9E8A555C2988}"/>
    <cellStyle name="Normal 8 2 3 2 4 2 3" xfId="12057" xr:uid="{10B16CDF-5384-49C4-9478-DB2489841802}"/>
    <cellStyle name="Normal 8 2 3 2 4 2 4" xfId="20498" xr:uid="{2BB59468-93DB-437E-9E32-C15752808BB2}"/>
    <cellStyle name="Normal 8 2 3 2 4 2 5" xfId="28938" xr:uid="{7B7167D5-0758-4AB7-BEB1-C1BC0E0B4B5F}"/>
    <cellStyle name="Normal 8 2 3 2 4 3" xfId="5680" xr:uid="{00000000-0005-0000-0000-0000B01C0000}"/>
    <cellStyle name="Normal 8 2 3 2 4 3 2" xfId="14130" xr:uid="{8539C556-760C-492B-8A98-518F6FE03FD8}"/>
    <cellStyle name="Normal 8 2 3 2 4 3 3" xfId="22570" xr:uid="{89AA661A-AF4F-4263-B0B7-89BB9F51D923}"/>
    <cellStyle name="Normal 8 2 3 2 4 3 4" xfId="31010" xr:uid="{878542F2-EC4D-4C65-8CA5-B660E399A4BE}"/>
    <cellStyle name="Normal 8 2 3 2 4 4" xfId="9912" xr:uid="{D34161E9-79D0-4DF7-B21E-9956EC05E3DC}"/>
    <cellStyle name="Normal 8 2 3 2 4 5" xfId="18353" xr:uid="{1D8347FE-0F9E-4C7A-8E13-B614EBADE632}"/>
    <cellStyle name="Normal 8 2 3 2 4 6" xfId="26793" xr:uid="{BC5FC860-5354-46C8-A5C5-89B65AD8694D}"/>
    <cellStyle name="Normal 8 2 3 2 5" xfId="1786" xr:uid="{00000000-0005-0000-0000-0000B11C0000}"/>
    <cellStyle name="Normal 8 2 3 2 5 2" xfId="4016" xr:uid="{00000000-0005-0000-0000-0000B21C0000}"/>
    <cellStyle name="Normal 8 2 3 2 5 2 2" xfId="8238" xr:uid="{00000000-0005-0000-0000-0000B31C0000}"/>
    <cellStyle name="Normal 8 2 3 2 5 2 2 2" xfId="16688" xr:uid="{09F68FFC-8D52-4865-9810-5C3C1C18E890}"/>
    <cellStyle name="Normal 8 2 3 2 5 2 2 3" xfId="25128" xr:uid="{B77A41B9-614E-435F-918C-3BA7465DB094}"/>
    <cellStyle name="Normal 8 2 3 2 5 2 2 4" xfId="33568" xr:uid="{33E6FA7D-D2CB-49E5-A364-F81A7291CAFB}"/>
    <cellStyle name="Normal 8 2 3 2 5 2 3" xfId="12470" xr:uid="{CD0C4DA2-473B-4647-B3E0-1D3A515F1777}"/>
    <cellStyle name="Normal 8 2 3 2 5 2 4" xfId="20911" xr:uid="{979F5BFA-A8AA-4058-A294-686A14FF541B}"/>
    <cellStyle name="Normal 8 2 3 2 5 2 5" xfId="29351" xr:uid="{1CCD7482-CC99-476A-B58D-022AD88F5CB4}"/>
    <cellStyle name="Normal 8 2 3 2 5 3" xfId="6093" xr:uid="{00000000-0005-0000-0000-0000B41C0000}"/>
    <cellStyle name="Normal 8 2 3 2 5 3 2" xfId="14543" xr:uid="{231AD276-A926-4D03-965E-7286037E58E6}"/>
    <cellStyle name="Normal 8 2 3 2 5 3 3" xfId="22983" xr:uid="{997F2E9E-5490-43FD-9A1A-D3EA7E973CE1}"/>
    <cellStyle name="Normal 8 2 3 2 5 3 4" xfId="31423" xr:uid="{C9A93CFF-38BB-4073-BAEB-55D38B5E0809}"/>
    <cellStyle name="Normal 8 2 3 2 5 4" xfId="10325" xr:uid="{3E14680B-F6E0-4264-BA82-90B856217F26}"/>
    <cellStyle name="Normal 8 2 3 2 5 5" xfId="18766" xr:uid="{421F5B10-F1B2-4025-B92D-9A51292A2DC0}"/>
    <cellStyle name="Normal 8 2 3 2 5 6" xfId="27206" xr:uid="{87FAFFF0-C307-47F8-ADF7-5DE33A6BCFF8}"/>
    <cellStyle name="Normal 8 2 3 2 6" xfId="2200" xr:uid="{00000000-0005-0000-0000-0000B51C0000}"/>
    <cellStyle name="Normal 8 2 3 2 6 2" xfId="4429" xr:uid="{00000000-0005-0000-0000-0000B61C0000}"/>
    <cellStyle name="Normal 8 2 3 2 6 2 2" xfId="8651" xr:uid="{00000000-0005-0000-0000-0000B71C0000}"/>
    <cellStyle name="Normal 8 2 3 2 6 2 2 2" xfId="17101" xr:uid="{745B3E26-C4AC-4050-945A-9D595FAE3AA8}"/>
    <cellStyle name="Normal 8 2 3 2 6 2 2 3" xfId="25541" xr:uid="{DBBFE10C-25A9-4EEF-BCB7-966E283B1C05}"/>
    <cellStyle name="Normal 8 2 3 2 6 2 2 4" xfId="33981" xr:uid="{CE92D6EF-05BB-4956-A05E-2CA1D58C56EB}"/>
    <cellStyle name="Normal 8 2 3 2 6 2 3" xfId="12883" xr:uid="{16719A21-F1F2-4F54-A3B4-4F8443E0B776}"/>
    <cellStyle name="Normal 8 2 3 2 6 2 4" xfId="21324" xr:uid="{767D6145-EB3C-473F-94B9-311EA51AF8E1}"/>
    <cellStyle name="Normal 8 2 3 2 6 2 5" xfId="29764" xr:uid="{B7702107-7DBC-4750-ADF1-3C5A0F677B3F}"/>
    <cellStyle name="Normal 8 2 3 2 6 3" xfId="6506" xr:uid="{00000000-0005-0000-0000-0000B81C0000}"/>
    <cellStyle name="Normal 8 2 3 2 6 3 2" xfId="14956" xr:uid="{E4078537-7B6D-4A24-8D62-323120013E2B}"/>
    <cellStyle name="Normal 8 2 3 2 6 3 3" xfId="23396" xr:uid="{C46522E0-565F-4A38-9817-40466A9EA6FC}"/>
    <cellStyle name="Normal 8 2 3 2 6 3 4" xfId="31836" xr:uid="{329F4042-0AE6-40F3-9181-4A61C9423EB0}"/>
    <cellStyle name="Normal 8 2 3 2 6 4" xfId="10738" xr:uid="{EC056502-0081-4CF4-9902-DA05154772D2}"/>
    <cellStyle name="Normal 8 2 3 2 6 5" xfId="19179" xr:uid="{65B67B9F-BF8B-4973-88F2-E2E6FD844D9B}"/>
    <cellStyle name="Normal 8 2 3 2 6 6" xfId="27619" xr:uid="{749F2E7A-642D-4BBA-9F27-42A3008D4145}"/>
    <cellStyle name="Normal 8 2 3 2 7" xfId="2636" xr:uid="{00000000-0005-0000-0000-0000B91C0000}"/>
    <cellStyle name="Normal 8 2 3 2 7 2" xfId="6919" xr:uid="{00000000-0005-0000-0000-0000BA1C0000}"/>
    <cellStyle name="Normal 8 2 3 2 7 2 2" xfId="15369" xr:uid="{DA59719B-9B95-4FC7-8012-0AD98B546E55}"/>
    <cellStyle name="Normal 8 2 3 2 7 2 3" xfId="23809" xr:uid="{4B189A79-02FA-41DB-8AC9-A1F9057E9C2A}"/>
    <cellStyle name="Normal 8 2 3 2 7 2 4" xfId="32249" xr:uid="{DB50CCFC-A362-495B-B208-6B9681B913EF}"/>
    <cellStyle name="Normal 8 2 3 2 7 3" xfId="11151" xr:uid="{47540DDF-D28A-42FE-A65A-E08BEAA0E1FD}"/>
    <cellStyle name="Normal 8 2 3 2 7 4" xfId="19592" xr:uid="{365235DD-B2CD-4547-8021-C1AE7E6D6A64}"/>
    <cellStyle name="Normal 8 2 3 2 7 5" xfId="28032" xr:uid="{B47E9EFA-C1A3-4555-B632-B765BA35D739}"/>
    <cellStyle name="Normal 8 2 3 2 8" xfId="4854" xr:uid="{00000000-0005-0000-0000-0000BB1C0000}"/>
    <cellStyle name="Normal 8 2 3 2 8 2" xfId="13304" xr:uid="{3C978035-114D-4A66-B6AB-B978E55D45A2}"/>
    <cellStyle name="Normal 8 2 3 2 8 3" xfId="21744" xr:uid="{6A5CC54D-7236-4E91-BF16-70E588EA5E23}"/>
    <cellStyle name="Normal 8 2 3 2 8 4" xfId="30184" xr:uid="{468A126F-B26A-465A-AEDF-7066A61A256A}"/>
    <cellStyle name="Normal 8 2 3 2 9" xfId="9086" xr:uid="{40F61DA3-5B0A-4137-A92C-02C5F28E38DB}"/>
    <cellStyle name="Normal 8 2 3 3" xfId="491" xr:uid="{00000000-0005-0000-0000-0000BC1C0000}"/>
    <cellStyle name="Normal 8 2 3 3 10" xfId="25969" xr:uid="{CDD9706F-C56D-4FAA-938C-B0C86C701E91}"/>
    <cellStyle name="Normal 8 2 3 3 2" xfId="958" xr:uid="{00000000-0005-0000-0000-0000BD1C0000}"/>
    <cellStyle name="Normal 8 2 3 3 2 2" xfId="3192" xr:uid="{00000000-0005-0000-0000-0000BE1C0000}"/>
    <cellStyle name="Normal 8 2 3 3 2 2 2" xfId="7414" xr:uid="{00000000-0005-0000-0000-0000BF1C0000}"/>
    <cellStyle name="Normal 8 2 3 3 2 2 2 2" xfId="15864" xr:uid="{FB79D7D4-54D7-4741-8563-3195AE541B3D}"/>
    <cellStyle name="Normal 8 2 3 3 2 2 2 3" xfId="24304" xr:uid="{1EC98BE0-AA16-4712-8B77-73543572DAD0}"/>
    <cellStyle name="Normal 8 2 3 3 2 2 2 4" xfId="32744" xr:uid="{54ED5C5B-B7DE-45B0-A2B2-359F6B91A7B0}"/>
    <cellStyle name="Normal 8 2 3 3 2 2 3" xfId="11646" xr:uid="{F3530BCA-372C-49A3-8429-C2A4D3BF2619}"/>
    <cellStyle name="Normal 8 2 3 3 2 2 4" xfId="20087" xr:uid="{BBEA204E-5BE9-4713-9EB8-F0F638D77301}"/>
    <cellStyle name="Normal 8 2 3 3 2 2 5" xfId="28527" xr:uid="{CBDEDB09-1B2A-4A27-A502-C73F2F34ACD8}"/>
    <cellStyle name="Normal 8 2 3 3 2 3" xfId="5269" xr:uid="{00000000-0005-0000-0000-0000C01C0000}"/>
    <cellStyle name="Normal 8 2 3 3 2 3 2" xfId="13719" xr:uid="{811E77F5-4C96-4703-8343-C7025C10D778}"/>
    <cellStyle name="Normal 8 2 3 3 2 3 3" xfId="22159" xr:uid="{D659780E-C76C-4777-B682-B3C070D3151C}"/>
    <cellStyle name="Normal 8 2 3 3 2 3 4" xfId="30599" xr:uid="{C59ED0FF-78EB-4FFA-B630-E218F454D62A}"/>
    <cellStyle name="Normal 8 2 3 3 2 4" xfId="9501" xr:uid="{EACF3B03-9E7D-4CE9-AE87-5C94B81C3839}"/>
    <cellStyle name="Normal 8 2 3 3 2 5" xfId="17942" xr:uid="{575677D7-3545-4A7C-A4BE-C5E5F0310A07}"/>
    <cellStyle name="Normal 8 2 3 3 2 6" xfId="26382" xr:uid="{CA6E47FF-C832-4148-AC45-85B338214919}"/>
    <cellStyle name="Normal 8 2 3 3 3" xfId="1375" xr:uid="{00000000-0005-0000-0000-0000C11C0000}"/>
    <cellStyle name="Normal 8 2 3 3 3 2" xfId="3605" xr:uid="{00000000-0005-0000-0000-0000C21C0000}"/>
    <cellStyle name="Normal 8 2 3 3 3 2 2" xfId="7827" xr:uid="{00000000-0005-0000-0000-0000C31C0000}"/>
    <cellStyle name="Normal 8 2 3 3 3 2 2 2" xfId="16277" xr:uid="{C329B0D1-5C98-4E17-9902-4D5A3DF7FEE6}"/>
    <cellStyle name="Normal 8 2 3 3 3 2 2 3" xfId="24717" xr:uid="{E0AD89C4-8C87-40E7-856C-4104FE8DE9AA}"/>
    <cellStyle name="Normal 8 2 3 3 3 2 2 4" xfId="33157" xr:uid="{FFE02F69-612B-4A19-B821-F5E74C168C8B}"/>
    <cellStyle name="Normal 8 2 3 3 3 2 3" xfId="12059" xr:uid="{85E69E39-A0DA-4BDE-8C1B-FAB52628E4F8}"/>
    <cellStyle name="Normal 8 2 3 3 3 2 4" xfId="20500" xr:uid="{6218468C-7159-4A62-9A50-AE239D411589}"/>
    <cellStyle name="Normal 8 2 3 3 3 2 5" xfId="28940" xr:uid="{B63639DB-58B5-49E4-94CE-D2785D8708C9}"/>
    <cellStyle name="Normal 8 2 3 3 3 3" xfId="5682" xr:uid="{00000000-0005-0000-0000-0000C41C0000}"/>
    <cellStyle name="Normal 8 2 3 3 3 3 2" xfId="14132" xr:uid="{0E6BCC52-C135-4C7D-A470-DDB5BF65048E}"/>
    <cellStyle name="Normal 8 2 3 3 3 3 3" xfId="22572" xr:uid="{ECAB066A-2C98-48CB-A378-7B0AD8471BC1}"/>
    <cellStyle name="Normal 8 2 3 3 3 3 4" xfId="31012" xr:uid="{4BF0D784-C5B1-46B3-AA1B-EB4AC07FA392}"/>
    <cellStyle name="Normal 8 2 3 3 3 4" xfId="9914" xr:uid="{6EFA7F45-9F17-4E47-90A7-091A28CD585D}"/>
    <cellStyle name="Normal 8 2 3 3 3 5" xfId="18355" xr:uid="{3BC72D46-7D71-4ED1-929B-CEDE7275C66D}"/>
    <cellStyle name="Normal 8 2 3 3 3 6" xfId="26795" xr:uid="{21D1ED70-0A8F-4B44-B285-8E17550951F7}"/>
    <cellStyle name="Normal 8 2 3 3 4" xfId="1788" xr:uid="{00000000-0005-0000-0000-0000C51C0000}"/>
    <cellStyle name="Normal 8 2 3 3 4 2" xfId="4018" xr:uid="{00000000-0005-0000-0000-0000C61C0000}"/>
    <cellStyle name="Normal 8 2 3 3 4 2 2" xfId="8240" xr:uid="{00000000-0005-0000-0000-0000C71C0000}"/>
    <cellStyle name="Normal 8 2 3 3 4 2 2 2" xfId="16690" xr:uid="{55A808EE-8067-4611-86FB-0D27A68B51BC}"/>
    <cellStyle name="Normal 8 2 3 3 4 2 2 3" xfId="25130" xr:uid="{54F5CBC8-D941-4630-A913-6239B534FB11}"/>
    <cellStyle name="Normal 8 2 3 3 4 2 2 4" xfId="33570" xr:uid="{63DF3358-E3A6-4B2C-B877-7C39EE1C3625}"/>
    <cellStyle name="Normal 8 2 3 3 4 2 3" xfId="12472" xr:uid="{5C6D3028-10EB-4EF1-94A2-42844C9BFA81}"/>
    <cellStyle name="Normal 8 2 3 3 4 2 4" xfId="20913" xr:uid="{F0875282-0AF4-4AA3-B157-F6FE04DE78AC}"/>
    <cellStyle name="Normal 8 2 3 3 4 2 5" xfId="29353" xr:uid="{C471C5F8-C8D5-4957-A58E-3F19A2E5E41F}"/>
    <cellStyle name="Normal 8 2 3 3 4 3" xfId="6095" xr:uid="{00000000-0005-0000-0000-0000C81C0000}"/>
    <cellStyle name="Normal 8 2 3 3 4 3 2" xfId="14545" xr:uid="{FA80F23C-54D1-4BC4-BAA3-3BF1787C3EF0}"/>
    <cellStyle name="Normal 8 2 3 3 4 3 3" xfId="22985" xr:uid="{CFCB222C-5569-442D-8BFB-835CF3F9024B}"/>
    <cellStyle name="Normal 8 2 3 3 4 3 4" xfId="31425" xr:uid="{A75F4809-156E-491F-A4C9-2AC1537F460E}"/>
    <cellStyle name="Normal 8 2 3 3 4 4" xfId="10327" xr:uid="{5027D82C-C7BF-4358-8FC1-CB17709A380C}"/>
    <cellStyle name="Normal 8 2 3 3 4 5" xfId="18768" xr:uid="{4E14B07F-C34D-4D66-8E04-DD9E28B80A9E}"/>
    <cellStyle name="Normal 8 2 3 3 4 6" xfId="27208" xr:uid="{FFD0E3C2-E853-44D8-AEE2-C6ACDE7C5816}"/>
    <cellStyle name="Normal 8 2 3 3 5" xfId="2202" xr:uid="{00000000-0005-0000-0000-0000C91C0000}"/>
    <cellStyle name="Normal 8 2 3 3 5 2" xfId="4431" xr:uid="{00000000-0005-0000-0000-0000CA1C0000}"/>
    <cellStyle name="Normal 8 2 3 3 5 2 2" xfId="8653" xr:uid="{00000000-0005-0000-0000-0000CB1C0000}"/>
    <cellStyle name="Normal 8 2 3 3 5 2 2 2" xfId="17103" xr:uid="{769A248F-58D0-412D-8B24-EB372C88A681}"/>
    <cellStyle name="Normal 8 2 3 3 5 2 2 3" xfId="25543" xr:uid="{DECA4A57-A5F9-4EAC-A808-34DC2EAF8879}"/>
    <cellStyle name="Normal 8 2 3 3 5 2 2 4" xfId="33983" xr:uid="{35E3FD63-B37F-4296-8D2C-E5D17C2E3481}"/>
    <cellStyle name="Normal 8 2 3 3 5 2 3" xfId="12885" xr:uid="{AF322E02-9B1F-41D4-9C64-2D856D3FE569}"/>
    <cellStyle name="Normal 8 2 3 3 5 2 4" xfId="21326" xr:uid="{1C78CB3A-FD50-4B1A-8642-224FE6A699B9}"/>
    <cellStyle name="Normal 8 2 3 3 5 2 5" xfId="29766" xr:uid="{A0080557-F354-4DAC-ABBB-D1E8BCC3926B}"/>
    <cellStyle name="Normal 8 2 3 3 5 3" xfId="6508" xr:uid="{00000000-0005-0000-0000-0000CC1C0000}"/>
    <cellStyle name="Normal 8 2 3 3 5 3 2" xfId="14958" xr:uid="{BBD7BD45-18E3-46FE-B47A-1E7B64404892}"/>
    <cellStyle name="Normal 8 2 3 3 5 3 3" xfId="23398" xr:uid="{4729F4F5-D063-4543-AF10-CFF48DFB86CC}"/>
    <cellStyle name="Normal 8 2 3 3 5 3 4" xfId="31838" xr:uid="{832A9F1E-DA0B-4923-945C-6BB5B9BD052B}"/>
    <cellStyle name="Normal 8 2 3 3 5 4" xfId="10740" xr:uid="{30772F5F-588C-4D02-AB69-76C31DE80574}"/>
    <cellStyle name="Normal 8 2 3 3 5 5" xfId="19181" xr:uid="{82C912A6-5369-45AB-967C-A727FF7B2E00}"/>
    <cellStyle name="Normal 8 2 3 3 5 6" xfId="27621" xr:uid="{F875962F-85AC-4AD4-8427-6F80324CB33C}"/>
    <cellStyle name="Normal 8 2 3 3 6" xfId="2638" xr:uid="{00000000-0005-0000-0000-0000CD1C0000}"/>
    <cellStyle name="Normal 8 2 3 3 6 2" xfId="6921" xr:uid="{00000000-0005-0000-0000-0000CE1C0000}"/>
    <cellStyle name="Normal 8 2 3 3 6 2 2" xfId="15371" xr:uid="{BAADA947-85A5-475A-B8B1-70172F41D1B9}"/>
    <cellStyle name="Normal 8 2 3 3 6 2 3" xfId="23811" xr:uid="{C5BBD878-5006-4F1B-A7EF-EB228023CAEF}"/>
    <cellStyle name="Normal 8 2 3 3 6 2 4" xfId="32251" xr:uid="{AE563EA6-509B-4B16-9D11-B4081B1171BF}"/>
    <cellStyle name="Normal 8 2 3 3 6 3" xfId="11153" xr:uid="{B2AA8942-1D5A-47F9-99FA-5CE15230A2DE}"/>
    <cellStyle name="Normal 8 2 3 3 6 4" xfId="19594" xr:uid="{87ACAE46-01E2-41A0-9BB1-778DD6CD0F99}"/>
    <cellStyle name="Normal 8 2 3 3 6 5" xfId="28034" xr:uid="{A7431D88-27A8-475F-8866-E310EB27B06B}"/>
    <cellStyle name="Normal 8 2 3 3 7" xfId="4856" xr:uid="{00000000-0005-0000-0000-0000CF1C0000}"/>
    <cellStyle name="Normal 8 2 3 3 7 2" xfId="13306" xr:uid="{A28F506F-748E-487F-8D43-8BB86F38E34C}"/>
    <cellStyle name="Normal 8 2 3 3 7 3" xfId="21746" xr:uid="{9E3F7B1C-84F8-467D-BE5E-4045ED8F1A28}"/>
    <cellStyle name="Normal 8 2 3 3 7 4" xfId="30186" xr:uid="{43646A06-940C-474D-89D2-42C04DFEAA5C}"/>
    <cellStyle name="Normal 8 2 3 3 8" xfId="9088" xr:uid="{02F6CB00-31C7-4EF2-8C8D-B8BB1609E4F1}"/>
    <cellStyle name="Normal 8 2 3 3 9" xfId="17529" xr:uid="{2228BAE7-1B48-4107-9DCE-6B7DEDCEC473}"/>
    <cellStyle name="Normal 8 2 3 4" xfId="955" xr:uid="{00000000-0005-0000-0000-0000D01C0000}"/>
    <cellStyle name="Normal 8 2 3 4 2" xfId="3189" xr:uid="{00000000-0005-0000-0000-0000D11C0000}"/>
    <cellStyle name="Normal 8 2 3 4 2 2" xfId="7411" xr:uid="{00000000-0005-0000-0000-0000D21C0000}"/>
    <cellStyle name="Normal 8 2 3 4 2 2 2" xfId="15861" xr:uid="{8B60D555-AC4D-4BB9-9FF8-DAA9E540A473}"/>
    <cellStyle name="Normal 8 2 3 4 2 2 3" xfId="24301" xr:uid="{8B32041E-A129-45FA-926D-7C8089C7FF23}"/>
    <cellStyle name="Normal 8 2 3 4 2 2 4" xfId="32741" xr:uid="{B3EF0AD0-D6D4-4FD4-B49A-DBD03F6F4F3A}"/>
    <cellStyle name="Normal 8 2 3 4 2 3" xfId="11643" xr:uid="{A22D8672-E6F1-4BE8-8B78-C3D9DCAFA3BF}"/>
    <cellStyle name="Normal 8 2 3 4 2 4" xfId="20084" xr:uid="{37444E60-4935-49FF-81FE-B4BC5C7AEE91}"/>
    <cellStyle name="Normal 8 2 3 4 2 5" xfId="28524" xr:uid="{73A06BB5-AD1D-45F1-A2D4-C6A5563D63F7}"/>
    <cellStyle name="Normal 8 2 3 4 3" xfId="5266" xr:uid="{00000000-0005-0000-0000-0000D31C0000}"/>
    <cellStyle name="Normal 8 2 3 4 3 2" xfId="13716" xr:uid="{5A9C9F6A-B7C0-4F2C-AF7C-0280C5955FB4}"/>
    <cellStyle name="Normal 8 2 3 4 3 3" xfId="22156" xr:uid="{37CE053A-B98B-4AD0-B72A-DF0DCA14105A}"/>
    <cellStyle name="Normal 8 2 3 4 3 4" xfId="30596" xr:uid="{E95513E5-7C80-4B8E-9E7E-71C5EDA59C6C}"/>
    <cellStyle name="Normal 8 2 3 4 4" xfId="9498" xr:uid="{1C92CB6A-E63E-42B9-B23A-DA84165C2EBA}"/>
    <cellStyle name="Normal 8 2 3 4 5" xfId="17939" xr:uid="{FD3621BC-04B2-459C-B7CC-FA6FEC837C83}"/>
    <cellStyle name="Normal 8 2 3 4 6" xfId="26379" xr:uid="{C0D63390-437C-4EFF-90A0-16F7A0907E5C}"/>
    <cellStyle name="Normal 8 2 3 5" xfId="1372" xr:uid="{00000000-0005-0000-0000-0000D41C0000}"/>
    <cellStyle name="Normal 8 2 3 5 2" xfId="3602" xr:uid="{00000000-0005-0000-0000-0000D51C0000}"/>
    <cellStyle name="Normal 8 2 3 5 2 2" xfId="7824" xr:uid="{00000000-0005-0000-0000-0000D61C0000}"/>
    <cellStyle name="Normal 8 2 3 5 2 2 2" xfId="16274" xr:uid="{6DCB80DB-D4B3-4EFE-AE96-7753E4A5A6F0}"/>
    <cellStyle name="Normal 8 2 3 5 2 2 3" xfId="24714" xr:uid="{DFEE293E-BA3F-4132-85BC-2ECF41363C71}"/>
    <cellStyle name="Normal 8 2 3 5 2 2 4" xfId="33154" xr:uid="{034997F0-AB9D-4C83-9B28-4080CDAE9A13}"/>
    <cellStyle name="Normal 8 2 3 5 2 3" xfId="12056" xr:uid="{A91257FD-3D5A-44BE-A270-1FF2D7707495}"/>
    <cellStyle name="Normal 8 2 3 5 2 4" xfId="20497" xr:uid="{EA76E585-CB88-4F78-88F3-2B5FD110021D}"/>
    <cellStyle name="Normal 8 2 3 5 2 5" xfId="28937" xr:uid="{DB4ECEC2-8B55-4658-A83F-9A74EEE45E8B}"/>
    <cellStyle name="Normal 8 2 3 5 3" xfId="5679" xr:uid="{00000000-0005-0000-0000-0000D71C0000}"/>
    <cellStyle name="Normal 8 2 3 5 3 2" xfId="14129" xr:uid="{E2DA1946-1650-4BC0-A73D-0EA09735D488}"/>
    <cellStyle name="Normal 8 2 3 5 3 3" xfId="22569" xr:uid="{0FE7DFCF-2EF9-4E72-8EAC-5239D5D1BF8B}"/>
    <cellStyle name="Normal 8 2 3 5 3 4" xfId="31009" xr:uid="{86AE2934-5236-4181-BE5A-40329965574F}"/>
    <cellStyle name="Normal 8 2 3 5 4" xfId="9911" xr:uid="{8C1A5DB8-EE40-44D8-86A8-7AB46A01F8FF}"/>
    <cellStyle name="Normal 8 2 3 5 5" xfId="18352" xr:uid="{25AE4819-EAF7-4FD9-8B65-B48ACE810332}"/>
    <cellStyle name="Normal 8 2 3 5 6" xfId="26792" xr:uid="{F9E04142-45A1-4599-BD95-B76C31DF71DC}"/>
    <cellStyle name="Normal 8 2 3 6" xfId="1785" xr:uid="{00000000-0005-0000-0000-0000D81C0000}"/>
    <cellStyle name="Normal 8 2 3 6 2" xfId="4015" xr:uid="{00000000-0005-0000-0000-0000D91C0000}"/>
    <cellStyle name="Normal 8 2 3 6 2 2" xfId="8237" xr:uid="{00000000-0005-0000-0000-0000DA1C0000}"/>
    <cellStyle name="Normal 8 2 3 6 2 2 2" xfId="16687" xr:uid="{823A7860-B5EA-411F-9A93-4622B5C21BA3}"/>
    <cellStyle name="Normal 8 2 3 6 2 2 3" xfId="25127" xr:uid="{E5640181-ED66-4A3E-859F-FA15FD679589}"/>
    <cellStyle name="Normal 8 2 3 6 2 2 4" xfId="33567" xr:uid="{9980DD3B-129E-4E8C-AF4F-37F41C501DF0}"/>
    <cellStyle name="Normal 8 2 3 6 2 3" xfId="12469" xr:uid="{BBB0DCB7-1A78-4934-9ED8-46B9ADB6404D}"/>
    <cellStyle name="Normal 8 2 3 6 2 4" xfId="20910" xr:uid="{8EAE7539-1C80-400C-9A08-17DE08FB777D}"/>
    <cellStyle name="Normal 8 2 3 6 2 5" xfId="29350" xr:uid="{5EF2A899-34A3-4072-95D3-F0EB75F32843}"/>
    <cellStyle name="Normal 8 2 3 6 3" xfId="6092" xr:uid="{00000000-0005-0000-0000-0000DB1C0000}"/>
    <cellStyle name="Normal 8 2 3 6 3 2" xfId="14542" xr:uid="{E0917994-602A-469F-8F61-F4478B41B18D}"/>
    <cellStyle name="Normal 8 2 3 6 3 3" xfId="22982" xr:uid="{D793BB49-C59E-473C-AF09-FB0C909A627E}"/>
    <cellStyle name="Normal 8 2 3 6 3 4" xfId="31422" xr:uid="{E19C06AF-2A22-426B-9286-9B4997351C67}"/>
    <cellStyle name="Normal 8 2 3 6 4" xfId="10324" xr:uid="{A69A0E43-1B34-4164-881D-A338110A529D}"/>
    <cellStyle name="Normal 8 2 3 6 5" xfId="18765" xr:uid="{1BA0D470-8555-4529-8CDA-894B527269EA}"/>
    <cellStyle name="Normal 8 2 3 6 6" xfId="27205" xr:uid="{971BC7CD-FF6B-4D0D-B198-94F6DED18D5C}"/>
    <cellStyle name="Normal 8 2 3 7" xfId="2199" xr:uid="{00000000-0005-0000-0000-0000DC1C0000}"/>
    <cellStyle name="Normal 8 2 3 7 2" xfId="4428" xr:uid="{00000000-0005-0000-0000-0000DD1C0000}"/>
    <cellStyle name="Normal 8 2 3 7 2 2" xfId="8650" xr:uid="{00000000-0005-0000-0000-0000DE1C0000}"/>
    <cellStyle name="Normal 8 2 3 7 2 2 2" xfId="17100" xr:uid="{8423CF6D-F003-4AFA-BE84-61B54C51C7D6}"/>
    <cellStyle name="Normal 8 2 3 7 2 2 3" xfId="25540" xr:uid="{C886EAE9-CDBE-4371-B297-CEEED0138FE7}"/>
    <cellStyle name="Normal 8 2 3 7 2 2 4" xfId="33980" xr:uid="{D701BE9D-957E-4D52-89FA-D3447989AC2F}"/>
    <cellStyle name="Normal 8 2 3 7 2 3" xfId="12882" xr:uid="{7A60CB30-9A24-4A1F-A5A8-D9DB03169A77}"/>
    <cellStyle name="Normal 8 2 3 7 2 4" xfId="21323" xr:uid="{547008A1-0778-49E0-AB8B-B175F59FF141}"/>
    <cellStyle name="Normal 8 2 3 7 2 5" xfId="29763" xr:uid="{48DEB490-C400-43E7-9689-367D89D4C8A4}"/>
    <cellStyle name="Normal 8 2 3 7 3" xfId="6505" xr:uid="{00000000-0005-0000-0000-0000DF1C0000}"/>
    <cellStyle name="Normal 8 2 3 7 3 2" xfId="14955" xr:uid="{6ED05EAC-607F-4AEF-8489-35DA4DAA71F1}"/>
    <cellStyle name="Normal 8 2 3 7 3 3" xfId="23395" xr:uid="{09354332-428F-4A99-809E-7A0EBFAFFEA4}"/>
    <cellStyle name="Normal 8 2 3 7 3 4" xfId="31835" xr:uid="{ED8FA706-2086-44A5-9888-3C7AD3496220}"/>
    <cellStyle name="Normal 8 2 3 7 4" xfId="10737" xr:uid="{E6D7F99A-FA03-4392-A9A5-27F5839AF9C1}"/>
    <cellStyle name="Normal 8 2 3 7 5" xfId="19178" xr:uid="{DC800EE1-D9D7-4815-88E0-8842C0FBE5CF}"/>
    <cellStyle name="Normal 8 2 3 7 6" xfId="27618" xr:uid="{C9EE0F55-F97F-4E3A-9312-17CC162BDC79}"/>
    <cellStyle name="Normal 8 2 3 8" xfId="2635" xr:uid="{00000000-0005-0000-0000-0000E01C0000}"/>
    <cellStyle name="Normal 8 2 3 8 2" xfId="6918" xr:uid="{00000000-0005-0000-0000-0000E11C0000}"/>
    <cellStyle name="Normal 8 2 3 8 2 2" xfId="15368" xr:uid="{E1BDDEFA-4CA0-4354-988B-82D86FC98F1E}"/>
    <cellStyle name="Normal 8 2 3 8 2 3" xfId="23808" xr:uid="{78B77531-F652-408D-8432-689116478F88}"/>
    <cellStyle name="Normal 8 2 3 8 2 4" xfId="32248" xr:uid="{CEC009DE-F0CA-4CC8-9570-BEC9E4891DEF}"/>
    <cellStyle name="Normal 8 2 3 8 3" xfId="11150" xr:uid="{52B6A672-E063-4EA5-905E-0D765F66C4F4}"/>
    <cellStyle name="Normal 8 2 3 8 4" xfId="19591" xr:uid="{BC19FA7B-0509-4B7D-996B-51878C018259}"/>
    <cellStyle name="Normal 8 2 3 8 5" xfId="28031" xr:uid="{BE208ECB-6405-4B95-9F3E-69D06E26FEC5}"/>
    <cellStyle name="Normal 8 2 3 9" xfId="4853" xr:uid="{00000000-0005-0000-0000-0000E21C0000}"/>
    <cellStyle name="Normal 8 2 3 9 2" xfId="13303" xr:uid="{F8FE4058-710B-4BD5-9D47-251C544468AB}"/>
    <cellStyle name="Normal 8 2 3 9 3" xfId="21743" xr:uid="{C2EE7FA2-B1FB-4785-B8EF-92B70F252B14}"/>
    <cellStyle name="Normal 8 2 3 9 4" xfId="30183" xr:uid="{139D0BD7-BDEB-4A0C-8369-89A2FC67B51C}"/>
    <cellStyle name="Normal 8 2 4" xfId="492" xr:uid="{00000000-0005-0000-0000-0000E31C0000}"/>
    <cellStyle name="Normal 8 2 4 10" xfId="17530" xr:uid="{61968E7C-6D33-42E8-B2AE-5F6A8EA517FC}"/>
    <cellStyle name="Normal 8 2 4 11" xfId="25970" xr:uid="{0BBDF202-9554-43C8-B904-7BF7FBADD3B8}"/>
    <cellStyle name="Normal 8 2 4 2" xfId="493" xr:uid="{00000000-0005-0000-0000-0000E41C0000}"/>
    <cellStyle name="Normal 8 2 4 2 10" xfId="25971" xr:uid="{EA32BA0A-E8DF-41ED-930D-9F360044DE75}"/>
    <cellStyle name="Normal 8 2 4 2 2" xfId="960" xr:uid="{00000000-0005-0000-0000-0000E51C0000}"/>
    <cellStyle name="Normal 8 2 4 2 2 2" xfId="3194" xr:uid="{00000000-0005-0000-0000-0000E61C0000}"/>
    <cellStyle name="Normal 8 2 4 2 2 2 2" xfId="7416" xr:uid="{00000000-0005-0000-0000-0000E71C0000}"/>
    <cellStyle name="Normal 8 2 4 2 2 2 2 2" xfId="15866" xr:uid="{ABD67F31-20F6-4F68-83A8-56CE64BCBB7B}"/>
    <cellStyle name="Normal 8 2 4 2 2 2 2 3" xfId="24306" xr:uid="{40499B07-2304-437F-BA5B-1C36D50FE039}"/>
    <cellStyle name="Normal 8 2 4 2 2 2 2 4" xfId="32746" xr:uid="{53970B4D-A377-4A97-9300-52FBF53AD2F4}"/>
    <cellStyle name="Normal 8 2 4 2 2 2 3" xfId="11648" xr:uid="{51A9B0FC-92C1-4E96-9401-54FEB83B87A7}"/>
    <cellStyle name="Normal 8 2 4 2 2 2 4" xfId="20089" xr:uid="{3A4F42EC-AFF7-4DA5-AE71-FF0BCD656BCD}"/>
    <cellStyle name="Normal 8 2 4 2 2 2 5" xfId="28529" xr:uid="{0D312B6A-05BC-486A-93C3-148BE31ADE19}"/>
    <cellStyle name="Normal 8 2 4 2 2 3" xfId="5271" xr:uid="{00000000-0005-0000-0000-0000E81C0000}"/>
    <cellStyle name="Normal 8 2 4 2 2 3 2" xfId="13721" xr:uid="{946515EE-5B60-4119-AE9D-7CD0F87CECD9}"/>
    <cellStyle name="Normal 8 2 4 2 2 3 3" xfId="22161" xr:uid="{FC30556A-1427-4DAE-A3C3-355D4F0F48DA}"/>
    <cellStyle name="Normal 8 2 4 2 2 3 4" xfId="30601" xr:uid="{E66643D5-26D5-48EE-B4F0-88E07BDA570A}"/>
    <cellStyle name="Normal 8 2 4 2 2 4" xfId="9503" xr:uid="{26277E3B-532F-43D3-BC13-8CE64AF381CB}"/>
    <cellStyle name="Normal 8 2 4 2 2 5" xfId="17944" xr:uid="{B3750E5A-63F9-42E0-BEC2-3F09346EC7EE}"/>
    <cellStyle name="Normal 8 2 4 2 2 6" xfId="26384" xr:uid="{1718C9DA-7FFB-4CFF-9889-A052E29E1BDA}"/>
    <cellStyle name="Normal 8 2 4 2 3" xfId="1377" xr:uid="{00000000-0005-0000-0000-0000E91C0000}"/>
    <cellStyle name="Normal 8 2 4 2 3 2" xfId="3607" xr:uid="{00000000-0005-0000-0000-0000EA1C0000}"/>
    <cellStyle name="Normal 8 2 4 2 3 2 2" xfId="7829" xr:uid="{00000000-0005-0000-0000-0000EB1C0000}"/>
    <cellStyle name="Normal 8 2 4 2 3 2 2 2" xfId="16279" xr:uid="{A2804DCA-8104-4FF3-A2CF-6934FB2E8915}"/>
    <cellStyle name="Normal 8 2 4 2 3 2 2 3" xfId="24719" xr:uid="{68A73F1C-8C06-4B60-954C-3DFCFCF15D78}"/>
    <cellStyle name="Normal 8 2 4 2 3 2 2 4" xfId="33159" xr:uid="{A9FB580A-D46B-4B7C-8A4B-3B116FEF00A6}"/>
    <cellStyle name="Normal 8 2 4 2 3 2 3" xfId="12061" xr:uid="{1F2DEAAC-C565-4CFA-A6F1-F22F82C208EA}"/>
    <cellStyle name="Normal 8 2 4 2 3 2 4" xfId="20502" xr:uid="{A824FDBA-D183-48A3-9C66-A42CBD6B5BF2}"/>
    <cellStyle name="Normal 8 2 4 2 3 2 5" xfId="28942" xr:uid="{221B12CF-0CF6-43C6-8279-7CF11A6F4019}"/>
    <cellStyle name="Normal 8 2 4 2 3 3" xfId="5684" xr:uid="{00000000-0005-0000-0000-0000EC1C0000}"/>
    <cellStyle name="Normal 8 2 4 2 3 3 2" xfId="14134" xr:uid="{7F13C45F-25E5-4AB2-AF1B-0E97793A4493}"/>
    <cellStyle name="Normal 8 2 4 2 3 3 3" xfId="22574" xr:uid="{8FD31835-0DCC-4B03-8EF2-1A8FEBD96B6C}"/>
    <cellStyle name="Normal 8 2 4 2 3 3 4" xfId="31014" xr:uid="{869AA628-2CD9-4E14-B406-6D0157E5515C}"/>
    <cellStyle name="Normal 8 2 4 2 3 4" xfId="9916" xr:uid="{32DC2382-9F0E-43F8-8AB5-FB2D47800C1A}"/>
    <cellStyle name="Normal 8 2 4 2 3 5" xfId="18357" xr:uid="{01EB612F-835C-4F5C-9997-6F3D90869DB7}"/>
    <cellStyle name="Normal 8 2 4 2 3 6" xfId="26797" xr:uid="{FE41EC41-8C1D-44B0-8C01-13C454C0F0DE}"/>
    <cellStyle name="Normal 8 2 4 2 4" xfId="1790" xr:uid="{00000000-0005-0000-0000-0000ED1C0000}"/>
    <cellStyle name="Normal 8 2 4 2 4 2" xfId="4020" xr:uid="{00000000-0005-0000-0000-0000EE1C0000}"/>
    <cellStyle name="Normal 8 2 4 2 4 2 2" xfId="8242" xr:uid="{00000000-0005-0000-0000-0000EF1C0000}"/>
    <cellStyle name="Normal 8 2 4 2 4 2 2 2" xfId="16692" xr:uid="{82AA90AF-A015-4EA4-BA51-85B697342B1D}"/>
    <cellStyle name="Normal 8 2 4 2 4 2 2 3" xfId="25132" xr:uid="{EBE031BD-53CD-4CB9-AD36-73747CE2EEF8}"/>
    <cellStyle name="Normal 8 2 4 2 4 2 2 4" xfId="33572" xr:uid="{9EA00AA3-1F5A-4B4E-9F87-47E05EE59F08}"/>
    <cellStyle name="Normal 8 2 4 2 4 2 3" xfId="12474" xr:uid="{F7A846C9-B978-479B-9030-5D25347ED931}"/>
    <cellStyle name="Normal 8 2 4 2 4 2 4" xfId="20915" xr:uid="{E7702DE2-5F91-448C-9C0B-234814A62419}"/>
    <cellStyle name="Normal 8 2 4 2 4 2 5" xfId="29355" xr:uid="{A063FC40-AA3C-42D5-9EF5-8715F51CDC77}"/>
    <cellStyle name="Normal 8 2 4 2 4 3" xfId="6097" xr:uid="{00000000-0005-0000-0000-0000F01C0000}"/>
    <cellStyle name="Normal 8 2 4 2 4 3 2" xfId="14547" xr:uid="{F6723771-2561-4DAC-986A-CF61D44D6758}"/>
    <cellStyle name="Normal 8 2 4 2 4 3 3" xfId="22987" xr:uid="{33E9FC46-1A01-4235-B8C6-DF039CCD7087}"/>
    <cellStyle name="Normal 8 2 4 2 4 3 4" xfId="31427" xr:uid="{A36FA0D6-6059-44B4-9A62-7943ACE0AFC5}"/>
    <cellStyle name="Normal 8 2 4 2 4 4" xfId="10329" xr:uid="{E56C3A58-099E-41A2-B23C-FD0AE1F65F2F}"/>
    <cellStyle name="Normal 8 2 4 2 4 5" xfId="18770" xr:uid="{6405BD65-A254-4174-9A83-DA55BC1497D8}"/>
    <cellStyle name="Normal 8 2 4 2 4 6" xfId="27210" xr:uid="{BF19FEFE-416D-4800-BFCA-3F3602815D17}"/>
    <cellStyle name="Normal 8 2 4 2 5" xfId="2204" xr:uid="{00000000-0005-0000-0000-0000F11C0000}"/>
    <cellStyle name="Normal 8 2 4 2 5 2" xfId="4433" xr:uid="{00000000-0005-0000-0000-0000F21C0000}"/>
    <cellStyle name="Normal 8 2 4 2 5 2 2" xfId="8655" xr:uid="{00000000-0005-0000-0000-0000F31C0000}"/>
    <cellStyle name="Normal 8 2 4 2 5 2 2 2" xfId="17105" xr:uid="{90AEBE0E-4CDA-48F8-9360-DF6AC2F3E578}"/>
    <cellStyle name="Normal 8 2 4 2 5 2 2 3" xfId="25545" xr:uid="{2CC93BFB-4F39-4548-87C4-C1BDF534FA89}"/>
    <cellStyle name="Normal 8 2 4 2 5 2 2 4" xfId="33985" xr:uid="{81E5A6CC-D249-42D7-BEB8-C3054CF74CCB}"/>
    <cellStyle name="Normal 8 2 4 2 5 2 3" xfId="12887" xr:uid="{1D9BBB3A-B45D-4607-AFC5-BF075BE3379C}"/>
    <cellStyle name="Normal 8 2 4 2 5 2 4" xfId="21328" xr:uid="{C742E53B-A173-4CC6-9C28-89C7CC3ED68B}"/>
    <cellStyle name="Normal 8 2 4 2 5 2 5" xfId="29768" xr:uid="{62A5AD73-842F-46EE-8F6A-52B35766D480}"/>
    <cellStyle name="Normal 8 2 4 2 5 3" xfId="6510" xr:uid="{00000000-0005-0000-0000-0000F41C0000}"/>
    <cellStyle name="Normal 8 2 4 2 5 3 2" xfId="14960" xr:uid="{0F14C9E0-5769-44D4-A3EE-F7D245867924}"/>
    <cellStyle name="Normal 8 2 4 2 5 3 3" xfId="23400" xr:uid="{BBDBE628-AFD1-4C6C-B143-D8ECE375675B}"/>
    <cellStyle name="Normal 8 2 4 2 5 3 4" xfId="31840" xr:uid="{52F8FB05-9380-416D-BDD0-C6E3BAF89FA0}"/>
    <cellStyle name="Normal 8 2 4 2 5 4" xfId="10742" xr:uid="{6B2C8F74-2644-4D88-85FB-1A8350E0BAD5}"/>
    <cellStyle name="Normal 8 2 4 2 5 5" xfId="19183" xr:uid="{8EFE5716-D9A2-42A9-94D4-D2B37A4EDD57}"/>
    <cellStyle name="Normal 8 2 4 2 5 6" xfId="27623" xr:uid="{4CBABF65-0CEF-46BC-80CB-71B072DA4C75}"/>
    <cellStyle name="Normal 8 2 4 2 6" xfId="2640" xr:uid="{00000000-0005-0000-0000-0000F51C0000}"/>
    <cellStyle name="Normal 8 2 4 2 6 2" xfId="6923" xr:uid="{00000000-0005-0000-0000-0000F61C0000}"/>
    <cellStyle name="Normal 8 2 4 2 6 2 2" xfId="15373" xr:uid="{AAA6F08C-552D-4FE8-A742-30D79A6C669F}"/>
    <cellStyle name="Normal 8 2 4 2 6 2 3" xfId="23813" xr:uid="{73FEA389-9D7F-4107-A15C-1BE91C64EC9A}"/>
    <cellStyle name="Normal 8 2 4 2 6 2 4" xfId="32253" xr:uid="{733C2CFE-3C78-4FA5-A759-A7512F15F62D}"/>
    <cellStyle name="Normal 8 2 4 2 6 3" xfId="11155" xr:uid="{4A5DD7D3-4501-4FAE-BFF2-EB3B89E99B71}"/>
    <cellStyle name="Normal 8 2 4 2 6 4" xfId="19596" xr:uid="{6188E288-68F7-4865-9073-C1F0851350DC}"/>
    <cellStyle name="Normal 8 2 4 2 6 5" xfId="28036" xr:uid="{51EB19D9-E663-4340-82E7-7DE5A35EF308}"/>
    <cellStyle name="Normal 8 2 4 2 7" xfId="4858" xr:uid="{00000000-0005-0000-0000-0000F71C0000}"/>
    <cellStyle name="Normal 8 2 4 2 7 2" xfId="13308" xr:uid="{BFD18A0A-B0E3-4988-B858-1663713B209B}"/>
    <cellStyle name="Normal 8 2 4 2 7 3" xfId="21748" xr:uid="{F44E557A-FA5D-42E4-9071-1365246191C4}"/>
    <cellStyle name="Normal 8 2 4 2 7 4" xfId="30188" xr:uid="{0833A3F3-E23C-4D1B-8637-546DEFE9ECA2}"/>
    <cellStyle name="Normal 8 2 4 2 8" xfId="9090" xr:uid="{9DA27A64-12DF-4DD5-85F6-D87B4E4C968A}"/>
    <cellStyle name="Normal 8 2 4 2 9" xfId="17531" xr:uid="{555021E1-FDFD-4E26-BF8C-9A855794F25B}"/>
    <cellStyle name="Normal 8 2 4 3" xfId="959" xr:uid="{00000000-0005-0000-0000-0000F81C0000}"/>
    <cellStyle name="Normal 8 2 4 3 2" xfId="3193" xr:uid="{00000000-0005-0000-0000-0000F91C0000}"/>
    <cellStyle name="Normal 8 2 4 3 2 2" xfId="7415" xr:uid="{00000000-0005-0000-0000-0000FA1C0000}"/>
    <cellStyle name="Normal 8 2 4 3 2 2 2" xfId="15865" xr:uid="{83813A89-9F8C-4438-8386-A5ABDA2E944F}"/>
    <cellStyle name="Normal 8 2 4 3 2 2 3" xfId="24305" xr:uid="{FDA5618F-74C9-4E2B-BAEA-DB66F689DA9D}"/>
    <cellStyle name="Normal 8 2 4 3 2 2 4" xfId="32745" xr:uid="{548C713E-767A-4F8E-ADB3-031067F5E322}"/>
    <cellStyle name="Normal 8 2 4 3 2 3" xfId="11647" xr:uid="{878CFCE9-3AF7-44B1-BA85-C7526A3FCE16}"/>
    <cellStyle name="Normal 8 2 4 3 2 4" xfId="20088" xr:uid="{1F5EE01F-4978-4F8B-A602-5803D317E54A}"/>
    <cellStyle name="Normal 8 2 4 3 2 5" xfId="28528" xr:uid="{0C4BDCD9-DE7C-4CDA-8116-16BD2C33C9C5}"/>
    <cellStyle name="Normal 8 2 4 3 3" xfId="5270" xr:uid="{00000000-0005-0000-0000-0000FB1C0000}"/>
    <cellStyle name="Normal 8 2 4 3 3 2" xfId="13720" xr:uid="{CFE6BC26-352B-4C6E-B55C-9CE6763D9DD9}"/>
    <cellStyle name="Normal 8 2 4 3 3 3" xfId="22160" xr:uid="{592051B2-04B5-4C72-8318-B79E3363F37D}"/>
    <cellStyle name="Normal 8 2 4 3 3 4" xfId="30600" xr:uid="{425A4072-AD1E-4E69-949C-84253F990AB1}"/>
    <cellStyle name="Normal 8 2 4 3 4" xfId="9502" xr:uid="{97DB6D98-44D5-4434-9FA3-4773FC161B25}"/>
    <cellStyle name="Normal 8 2 4 3 5" xfId="17943" xr:uid="{5B17C3C7-111A-4FE3-A346-71CC252CBE90}"/>
    <cellStyle name="Normal 8 2 4 3 6" xfId="26383" xr:uid="{F940F7BA-22AA-4951-A246-F86C57C01F71}"/>
    <cellStyle name="Normal 8 2 4 4" xfId="1376" xr:uid="{00000000-0005-0000-0000-0000FC1C0000}"/>
    <cellStyle name="Normal 8 2 4 4 2" xfId="3606" xr:uid="{00000000-0005-0000-0000-0000FD1C0000}"/>
    <cellStyle name="Normal 8 2 4 4 2 2" xfId="7828" xr:uid="{00000000-0005-0000-0000-0000FE1C0000}"/>
    <cellStyle name="Normal 8 2 4 4 2 2 2" xfId="16278" xr:uid="{5F53C7F2-8539-49F3-ADE4-E26D9F52B6F5}"/>
    <cellStyle name="Normal 8 2 4 4 2 2 3" xfId="24718" xr:uid="{3980455A-D70A-4EFA-9AF0-83F28AB14E02}"/>
    <cellStyle name="Normal 8 2 4 4 2 2 4" xfId="33158" xr:uid="{572D74F4-5CF9-4628-A4AD-D1775F6FC606}"/>
    <cellStyle name="Normal 8 2 4 4 2 3" xfId="12060" xr:uid="{0C291092-11EF-490A-B646-53405CC5F4C1}"/>
    <cellStyle name="Normal 8 2 4 4 2 4" xfId="20501" xr:uid="{BBCD28C3-D6FC-49F9-8C69-808282DD0E67}"/>
    <cellStyle name="Normal 8 2 4 4 2 5" xfId="28941" xr:uid="{7E00B86A-025C-4CFA-9BEB-2977D85526A8}"/>
    <cellStyle name="Normal 8 2 4 4 3" xfId="5683" xr:uid="{00000000-0005-0000-0000-0000FF1C0000}"/>
    <cellStyle name="Normal 8 2 4 4 3 2" xfId="14133" xr:uid="{26BDABA6-A451-4CB0-8DA9-07575274BC83}"/>
    <cellStyle name="Normal 8 2 4 4 3 3" xfId="22573" xr:uid="{295467FB-28AC-4C61-BFAE-2F9BE636C60F}"/>
    <cellStyle name="Normal 8 2 4 4 3 4" xfId="31013" xr:uid="{E3177AFC-506A-41F7-977A-73AE19A08CC6}"/>
    <cellStyle name="Normal 8 2 4 4 4" xfId="9915" xr:uid="{1576699E-B20A-48DF-B26C-4CEAF2B80228}"/>
    <cellStyle name="Normal 8 2 4 4 5" xfId="18356" xr:uid="{D60E60F5-10D2-4DEA-B7F3-81EC71EAB38B}"/>
    <cellStyle name="Normal 8 2 4 4 6" xfId="26796" xr:uid="{93EF274D-A602-492C-BA87-A4C34F35784E}"/>
    <cellStyle name="Normal 8 2 4 5" xfId="1789" xr:uid="{00000000-0005-0000-0000-0000001D0000}"/>
    <cellStyle name="Normal 8 2 4 5 2" xfId="4019" xr:uid="{00000000-0005-0000-0000-0000011D0000}"/>
    <cellStyle name="Normal 8 2 4 5 2 2" xfId="8241" xr:uid="{00000000-0005-0000-0000-0000021D0000}"/>
    <cellStyle name="Normal 8 2 4 5 2 2 2" xfId="16691" xr:uid="{8B967CF8-A694-47A0-B720-414B85603893}"/>
    <cellStyle name="Normal 8 2 4 5 2 2 3" xfId="25131" xr:uid="{5AA2DE47-F2D6-4E77-9C9F-B5A1F66D29A3}"/>
    <cellStyle name="Normal 8 2 4 5 2 2 4" xfId="33571" xr:uid="{85E1BBD8-7993-4D64-A71D-7840081E7E0B}"/>
    <cellStyle name="Normal 8 2 4 5 2 3" xfId="12473" xr:uid="{933B88DF-0E61-408A-848E-7F38D8CB73DB}"/>
    <cellStyle name="Normal 8 2 4 5 2 4" xfId="20914" xr:uid="{8461AA4C-8E4B-483F-B667-CB895219E02D}"/>
    <cellStyle name="Normal 8 2 4 5 2 5" xfId="29354" xr:uid="{D90693AB-241E-4144-AAA0-5FB5B43F8F95}"/>
    <cellStyle name="Normal 8 2 4 5 3" xfId="6096" xr:uid="{00000000-0005-0000-0000-0000031D0000}"/>
    <cellStyle name="Normal 8 2 4 5 3 2" xfId="14546" xr:uid="{B81FC1E5-62B8-48F2-AC6C-B5549C50D805}"/>
    <cellStyle name="Normal 8 2 4 5 3 3" xfId="22986" xr:uid="{B2D7250A-F2D2-4912-BA3A-90B7629E1CF8}"/>
    <cellStyle name="Normal 8 2 4 5 3 4" xfId="31426" xr:uid="{D7EFE4C3-8771-4603-B812-8A324BEC7300}"/>
    <cellStyle name="Normal 8 2 4 5 4" xfId="10328" xr:uid="{4D3473D7-14C7-441C-8777-ECFC34043642}"/>
    <cellStyle name="Normal 8 2 4 5 5" xfId="18769" xr:uid="{D52D9A47-2267-4A05-B134-D05F63DCF92D}"/>
    <cellStyle name="Normal 8 2 4 5 6" xfId="27209" xr:uid="{1AB34346-E869-4D5D-A3B5-6524D3880E7A}"/>
    <cellStyle name="Normal 8 2 4 6" xfId="2203" xr:uid="{00000000-0005-0000-0000-0000041D0000}"/>
    <cellStyle name="Normal 8 2 4 6 2" xfId="4432" xr:uid="{00000000-0005-0000-0000-0000051D0000}"/>
    <cellStyle name="Normal 8 2 4 6 2 2" xfId="8654" xr:uid="{00000000-0005-0000-0000-0000061D0000}"/>
    <cellStyle name="Normal 8 2 4 6 2 2 2" xfId="17104" xr:uid="{82719F9E-9150-49E6-BC5B-F0B6062C00F0}"/>
    <cellStyle name="Normal 8 2 4 6 2 2 3" xfId="25544" xr:uid="{8738DA22-AE8D-4BEC-B93D-76BEBF86F4C8}"/>
    <cellStyle name="Normal 8 2 4 6 2 2 4" xfId="33984" xr:uid="{1AB94372-914A-43F9-AE6B-325FCFDB83E2}"/>
    <cellStyle name="Normal 8 2 4 6 2 3" xfId="12886" xr:uid="{A73D1C8A-F48B-4F93-B0D8-3EC6D68C392F}"/>
    <cellStyle name="Normal 8 2 4 6 2 4" xfId="21327" xr:uid="{954E9A07-D5DD-49BF-9F24-FEF2F1FCF65F}"/>
    <cellStyle name="Normal 8 2 4 6 2 5" xfId="29767" xr:uid="{1AA5A5C9-DCFA-4A9D-BE01-E2828BA7DA73}"/>
    <cellStyle name="Normal 8 2 4 6 3" xfId="6509" xr:uid="{00000000-0005-0000-0000-0000071D0000}"/>
    <cellStyle name="Normal 8 2 4 6 3 2" xfId="14959" xr:uid="{35F7FF9F-B1AE-4573-9043-21D573CE1FD5}"/>
    <cellStyle name="Normal 8 2 4 6 3 3" xfId="23399" xr:uid="{3F17F34E-74DD-40F1-8630-E36A88456832}"/>
    <cellStyle name="Normal 8 2 4 6 3 4" xfId="31839" xr:uid="{84126D79-A236-4FCE-BFE2-1A37A2ACA48F}"/>
    <cellStyle name="Normal 8 2 4 6 4" xfId="10741" xr:uid="{7DB2F1BA-FE33-4ECD-8503-4C5686B25C0A}"/>
    <cellStyle name="Normal 8 2 4 6 5" xfId="19182" xr:uid="{A99DCF67-6C28-49DA-AD1B-5958F71C4473}"/>
    <cellStyle name="Normal 8 2 4 6 6" xfId="27622" xr:uid="{B7E22E8A-13B7-4EF9-A95D-B6998CE5898E}"/>
    <cellStyle name="Normal 8 2 4 7" xfId="2639" xr:uid="{00000000-0005-0000-0000-0000081D0000}"/>
    <cellStyle name="Normal 8 2 4 7 2" xfId="6922" xr:uid="{00000000-0005-0000-0000-0000091D0000}"/>
    <cellStyle name="Normal 8 2 4 7 2 2" xfId="15372" xr:uid="{64AC695B-9BFE-41FB-873B-495B14059618}"/>
    <cellStyle name="Normal 8 2 4 7 2 3" xfId="23812" xr:uid="{C209E4EF-C271-41BC-A0AC-55F605CE1D45}"/>
    <cellStyle name="Normal 8 2 4 7 2 4" xfId="32252" xr:uid="{D00EFF98-FB9E-43C7-9117-07821069CB42}"/>
    <cellStyle name="Normal 8 2 4 7 3" xfId="11154" xr:uid="{6F3E8F41-F85E-4EAE-8E46-6875F4671344}"/>
    <cellStyle name="Normal 8 2 4 7 4" xfId="19595" xr:uid="{1B003BD6-46CE-4034-BE88-9F21C8FAD664}"/>
    <cellStyle name="Normal 8 2 4 7 5" xfId="28035" xr:uid="{495B0F8A-E1FA-43A7-BCBE-E3AE2ABA7455}"/>
    <cellStyle name="Normal 8 2 4 8" xfId="4857" xr:uid="{00000000-0005-0000-0000-00000A1D0000}"/>
    <cellStyle name="Normal 8 2 4 8 2" xfId="13307" xr:uid="{D0D96217-C558-40E8-B3A5-1DB4F178AC4A}"/>
    <cellStyle name="Normal 8 2 4 8 3" xfId="21747" xr:uid="{1D5003BE-5B98-47CA-9E93-8B7C589BDDFD}"/>
    <cellStyle name="Normal 8 2 4 8 4" xfId="30187" xr:uid="{B4B480C1-3C0A-4F2D-A1CB-B81597160B07}"/>
    <cellStyle name="Normal 8 2 4 9" xfId="9089" xr:uid="{91E9BAFE-54C0-4A72-AD1D-89C36B4E19FA}"/>
    <cellStyle name="Normal 8 2 5" xfId="494" xr:uid="{00000000-0005-0000-0000-00000B1D0000}"/>
    <cellStyle name="Normal 8 2 5 10" xfId="25972" xr:uid="{7711015D-6F71-4C30-83A4-9293420A4C56}"/>
    <cellStyle name="Normal 8 2 5 2" xfId="961" xr:uid="{00000000-0005-0000-0000-00000C1D0000}"/>
    <cellStyle name="Normal 8 2 5 2 2" xfId="3195" xr:uid="{00000000-0005-0000-0000-00000D1D0000}"/>
    <cellStyle name="Normal 8 2 5 2 2 2" xfId="7417" xr:uid="{00000000-0005-0000-0000-00000E1D0000}"/>
    <cellStyle name="Normal 8 2 5 2 2 2 2" xfId="15867" xr:uid="{0AAAC5B6-A329-45FC-AD8B-2AEAE3087CC7}"/>
    <cellStyle name="Normal 8 2 5 2 2 2 3" xfId="24307" xr:uid="{113B7AC0-1710-4B2B-BA1F-40DBA6DDB178}"/>
    <cellStyle name="Normal 8 2 5 2 2 2 4" xfId="32747" xr:uid="{4F69A62A-4D13-4397-8CAF-6F6612FAE6DE}"/>
    <cellStyle name="Normal 8 2 5 2 2 3" xfId="11649" xr:uid="{3B4CFF1B-EC0D-485B-81E9-B3A4E68A7D45}"/>
    <cellStyle name="Normal 8 2 5 2 2 4" xfId="20090" xr:uid="{B671C8AA-DFE5-4E87-B2A8-8FB5D02F95C9}"/>
    <cellStyle name="Normal 8 2 5 2 2 5" xfId="28530" xr:uid="{B6D733D1-51C1-4D19-9ECB-41EBF279DE39}"/>
    <cellStyle name="Normal 8 2 5 2 3" xfId="5272" xr:uid="{00000000-0005-0000-0000-00000F1D0000}"/>
    <cellStyle name="Normal 8 2 5 2 3 2" xfId="13722" xr:uid="{E5B36BBD-D484-454C-BC92-D71D8CD0D11D}"/>
    <cellStyle name="Normal 8 2 5 2 3 3" xfId="22162" xr:uid="{A6351E1D-3B34-453E-995B-1179D262C07D}"/>
    <cellStyle name="Normal 8 2 5 2 3 4" xfId="30602" xr:uid="{42C9525A-60AB-4081-A259-6BDE77EA1CA9}"/>
    <cellStyle name="Normal 8 2 5 2 4" xfId="9504" xr:uid="{D2CB2271-9282-49BE-9DCE-10FABB3AE767}"/>
    <cellStyle name="Normal 8 2 5 2 5" xfId="17945" xr:uid="{ECA1859A-7764-40F7-93E0-51B95CFB227A}"/>
    <cellStyle name="Normal 8 2 5 2 6" xfId="26385" xr:uid="{04880DC8-9D3E-4326-B4A5-CEB47319C16E}"/>
    <cellStyle name="Normal 8 2 5 3" xfId="1378" xr:uid="{00000000-0005-0000-0000-0000101D0000}"/>
    <cellStyle name="Normal 8 2 5 3 2" xfId="3608" xr:uid="{00000000-0005-0000-0000-0000111D0000}"/>
    <cellStyle name="Normal 8 2 5 3 2 2" xfId="7830" xr:uid="{00000000-0005-0000-0000-0000121D0000}"/>
    <cellStyle name="Normal 8 2 5 3 2 2 2" xfId="16280" xr:uid="{095F1333-8592-42C6-AFF2-8ED3D7A765FE}"/>
    <cellStyle name="Normal 8 2 5 3 2 2 3" xfId="24720" xr:uid="{A03880CD-5992-4FFE-9D38-40481C735E04}"/>
    <cellStyle name="Normal 8 2 5 3 2 2 4" xfId="33160" xr:uid="{F6F00ACD-131C-493A-915D-4B2395BBBA73}"/>
    <cellStyle name="Normal 8 2 5 3 2 3" xfId="12062" xr:uid="{95E901A6-C03C-4082-9D12-4E29EF01CD5F}"/>
    <cellStyle name="Normal 8 2 5 3 2 4" xfId="20503" xr:uid="{6212FB7A-2606-4D63-BE3A-F8EA2B909014}"/>
    <cellStyle name="Normal 8 2 5 3 2 5" xfId="28943" xr:uid="{13CD520B-BED4-4DB7-983C-8701C241173F}"/>
    <cellStyle name="Normal 8 2 5 3 3" xfId="5685" xr:uid="{00000000-0005-0000-0000-0000131D0000}"/>
    <cellStyle name="Normal 8 2 5 3 3 2" xfId="14135" xr:uid="{0DE02710-AD49-4CB7-B688-A18912EB73FF}"/>
    <cellStyle name="Normal 8 2 5 3 3 3" xfId="22575" xr:uid="{A648829B-E7BF-412E-BF21-497D65C56615}"/>
    <cellStyle name="Normal 8 2 5 3 3 4" xfId="31015" xr:uid="{995D306B-6718-45B4-ADDA-F01513860133}"/>
    <cellStyle name="Normal 8 2 5 3 4" xfId="9917" xr:uid="{55704226-E825-4988-B2CB-7F5C0F909F64}"/>
    <cellStyle name="Normal 8 2 5 3 5" xfId="18358" xr:uid="{3F454051-B508-4733-8CFD-4FD6F2792754}"/>
    <cellStyle name="Normal 8 2 5 3 6" xfId="26798" xr:uid="{3142D5DE-48FF-4E22-86B4-2E69B14BF46A}"/>
    <cellStyle name="Normal 8 2 5 4" xfId="1791" xr:uid="{00000000-0005-0000-0000-0000141D0000}"/>
    <cellStyle name="Normal 8 2 5 4 2" xfId="4021" xr:uid="{00000000-0005-0000-0000-0000151D0000}"/>
    <cellStyle name="Normal 8 2 5 4 2 2" xfId="8243" xr:uid="{00000000-0005-0000-0000-0000161D0000}"/>
    <cellStyle name="Normal 8 2 5 4 2 2 2" xfId="16693" xr:uid="{7B628581-59F5-4BCA-B1A8-07878710E144}"/>
    <cellStyle name="Normal 8 2 5 4 2 2 3" xfId="25133" xr:uid="{FBDF5E4A-24FC-4A22-B4F9-B15621293AA0}"/>
    <cellStyle name="Normal 8 2 5 4 2 2 4" xfId="33573" xr:uid="{C990C23B-1998-462E-8037-03A4C1060679}"/>
    <cellStyle name="Normal 8 2 5 4 2 3" xfId="12475" xr:uid="{52939151-0E61-4485-860A-39DDB0915E7A}"/>
    <cellStyle name="Normal 8 2 5 4 2 4" xfId="20916" xr:uid="{E56885E9-B30E-43B0-B2B2-3C4205EEBD4B}"/>
    <cellStyle name="Normal 8 2 5 4 2 5" xfId="29356" xr:uid="{8B43215D-2FF7-4FF2-B27D-35BEFD1B03FB}"/>
    <cellStyle name="Normal 8 2 5 4 3" xfId="6098" xr:uid="{00000000-0005-0000-0000-0000171D0000}"/>
    <cellStyle name="Normal 8 2 5 4 3 2" xfId="14548" xr:uid="{A9F778E2-DF3E-43E2-B5C9-C2C81B8438E9}"/>
    <cellStyle name="Normal 8 2 5 4 3 3" xfId="22988" xr:uid="{7A012424-F942-4C2A-A9F4-971FC3802931}"/>
    <cellStyle name="Normal 8 2 5 4 3 4" xfId="31428" xr:uid="{7EBF4943-7CD4-4E07-96EA-3297807E2ACF}"/>
    <cellStyle name="Normal 8 2 5 4 4" xfId="10330" xr:uid="{008BE78A-8087-4066-8693-C947144F86F9}"/>
    <cellStyle name="Normal 8 2 5 4 5" xfId="18771" xr:uid="{3CF3096A-653E-4F32-A266-680992618536}"/>
    <cellStyle name="Normal 8 2 5 4 6" xfId="27211" xr:uid="{F92FC9BE-2B21-4E52-9FD2-D7B765E99803}"/>
    <cellStyle name="Normal 8 2 5 5" xfId="2205" xr:uid="{00000000-0005-0000-0000-0000181D0000}"/>
    <cellStyle name="Normal 8 2 5 5 2" xfId="4434" xr:uid="{00000000-0005-0000-0000-0000191D0000}"/>
    <cellStyle name="Normal 8 2 5 5 2 2" xfId="8656" xr:uid="{00000000-0005-0000-0000-00001A1D0000}"/>
    <cellStyle name="Normal 8 2 5 5 2 2 2" xfId="17106" xr:uid="{42D1E826-1ADA-4AC2-9F1E-B8788966B9E8}"/>
    <cellStyle name="Normal 8 2 5 5 2 2 3" xfId="25546" xr:uid="{EDA43106-64B0-4C50-B3FD-85F1F7D82E67}"/>
    <cellStyle name="Normal 8 2 5 5 2 2 4" xfId="33986" xr:uid="{F58B8B2B-D1D7-42FD-AC8E-119A0BCC62FD}"/>
    <cellStyle name="Normal 8 2 5 5 2 3" xfId="12888" xr:uid="{19D9C8E2-9152-4A61-B9A0-87A138707444}"/>
    <cellStyle name="Normal 8 2 5 5 2 4" xfId="21329" xr:uid="{D07FDDAD-F15F-4492-A434-4506AD6308E3}"/>
    <cellStyle name="Normal 8 2 5 5 2 5" xfId="29769" xr:uid="{08C9C6E6-7281-4735-A32F-C1FE84B8E880}"/>
    <cellStyle name="Normal 8 2 5 5 3" xfId="6511" xr:uid="{00000000-0005-0000-0000-00001B1D0000}"/>
    <cellStyle name="Normal 8 2 5 5 3 2" xfId="14961" xr:uid="{C690D4F9-946D-4777-B18B-74687E6D8FBB}"/>
    <cellStyle name="Normal 8 2 5 5 3 3" xfId="23401" xr:uid="{66CD8809-267F-4A49-A6CB-EDB2A049958B}"/>
    <cellStyle name="Normal 8 2 5 5 3 4" xfId="31841" xr:uid="{C2E0FD1F-31E3-4523-A659-ED9968F0AB10}"/>
    <cellStyle name="Normal 8 2 5 5 4" xfId="10743" xr:uid="{5A4ECF4E-C086-44F1-8297-EDE1F414BC2B}"/>
    <cellStyle name="Normal 8 2 5 5 5" xfId="19184" xr:uid="{4F8F21BD-36E4-4CB7-8453-22AD9C14B0DF}"/>
    <cellStyle name="Normal 8 2 5 5 6" xfId="27624" xr:uid="{45D968E7-3064-4942-836C-A5A3C3CFBF8B}"/>
    <cellStyle name="Normal 8 2 5 6" xfId="2641" xr:uid="{00000000-0005-0000-0000-00001C1D0000}"/>
    <cellStyle name="Normal 8 2 5 6 2" xfId="6924" xr:uid="{00000000-0005-0000-0000-00001D1D0000}"/>
    <cellStyle name="Normal 8 2 5 6 2 2" xfId="15374" xr:uid="{F9AC0949-821F-4AAB-AFF2-FE55BE89EADD}"/>
    <cellStyle name="Normal 8 2 5 6 2 3" xfId="23814" xr:uid="{57EB48EF-18BB-4E65-BD07-2AFD0BB67DCB}"/>
    <cellStyle name="Normal 8 2 5 6 2 4" xfId="32254" xr:uid="{288E1464-999D-4786-AF78-6470C8481D0A}"/>
    <cellStyle name="Normal 8 2 5 6 3" xfId="11156" xr:uid="{35950F74-17A2-43DE-BAFA-D8F422C76E32}"/>
    <cellStyle name="Normal 8 2 5 6 4" xfId="19597" xr:uid="{10ABD743-A3F0-46C8-95A4-5B87A3D1F27D}"/>
    <cellStyle name="Normal 8 2 5 6 5" xfId="28037" xr:uid="{77A912BB-9060-4EC3-A1FC-2241DC44979D}"/>
    <cellStyle name="Normal 8 2 5 7" xfId="4859" xr:uid="{00000000-0005-0000-0000-00001E1D0000}"/>
    <cellStyle name="Normal 8 2 5 7 2" xfId="13309" xr:uid="{05E71230-EE6F-445D-B8D0-E5A821BC8556}"/>
    <cellStyle name="Normal 8 2 5 7 3" xfId="21749" xr:uid="{6DB1DC5A-9639-4015-BBAD-14C0F387DF38}"/>
    <cellStyle name="Normal 8 2 5 7 4" xfId="30189" xr:uid="{AB78CB5B-6B03-44E0-B36E-5941F1CAA3CB}"/>
    <cellStyle name="Normal 8 2 5 8" xfId="9091" xr:uid="{90B6B628-56AE-47DA-9FB8-03D0A3BEFBC0}"/>
    <cellStyle name="Normal 8 2 5 9" xfId="17532" xr:uid="{DAE58E6A-86DD-408E-95D8-FD4255D508A1}"/>
    <cellStyle name="Normal 8 2 6" xfId="946" xr:uid="{00000000-0005-0000-0000-00001F1D0000}"/>
    <cellStyle name="Normal 8 2 6 2" xfId="3180" xr:uid="{00000000-0005-0000-0000-0000201D0000}"/>
    <cellStyle name="Normal 8 2 6 2 2" xfId="7402" xr:uid="{00000000-0005-0000-0000-0000211D0000}"/>
    <cellStyle name="Normal 8 2 6 2 2 2" xfId="15852" xr:uid="{1D1481A8-1775-4FC8-AEC5-DBC49434BE73}"/>
    <cellStyle name="Normal 8 2 6 2 2 3" xfId="24292" xr:uid="{720EBA76-AC38-4B97-BF06-419D7E334FF7}"/>
    <cellStyle name="Normal 8 2 6 2 2 4" xfId="32732" xr:uid="{64C86D6C-807B-48E9-AE11-8A1CD5CCD0E2}"/>
    <cellStyle name="Normal 8 2 6 2 3" xfId="11634" xr:uid="{92F6AD81-17E9-435D-BD83-0C15364EB6E1}"/>
    <cellStyle name="Normal 8 2 6 2 4" xfId="20075" xr:uid="{383628F6-6BA8-4982-8633-ACEC56E9AE54}"/>
    <cellStyle name="Normal 8 2 6 2 5" xfId="28515" xr:uid="{438F708D-617F-4478-9D78-20F396B40997}"/>
    <cellStyle name="Normal 8 2 6 3" xfId="5257" xr:uid="{00000000-0005-0000-0000-0000221D0000}"/>
    <cellStyle name="Normal 8 2 6 3 2" xfId="13707" xr:uid="{F17E73C1-BC9D-42B2-A5A3-DA698EBB0FB6}"/>
    <cellStyle name="Normal 8 2 6 3 3" xfId="22147" xr:uid="{59DCD713-22CC-4E60-94F2-22D862CD226E}"/>
    <cellStyle name="Normal 8 2 6 3 4" xfId="30587" xr:uid="{913EE2AB-5865-4CC4-93E1-04D159E27185}"/>
    <cellStyle name="Normal 8 2 6 4" xfId="9489" xr:uid="{AF07C843-E30A-4EDB-9ED3-961FB84F0005}"/>
    <cellStyle name="Normal 8 2 6 5" xfId="17930" xr:uid="{3401BFA7-0705-4C15-B180-995595D47BFA}"/>
    <cellStyle name="Normal 8 2 6 6" xfId="26370" xr:uid="{52E5FA0D-FD45-40FA-BBE8-A166C749C706}"/>
    <cellStyle name="Normal 8 2 7" xfId="1363" xr:uid="{00000000-0005-0000-0000-0000231D0000}"/>
    <cellStyle name="Normal 8 2 7 2" xfId="3593" xr:uid="{00000000-0005-0000-0000-0000241D0000}"/>
    <cellStyle name="Normal 8 2 7 2 2" xfId="7815" xr:uid="{00000000-0005-0000-0000-0000251D0000}"/>
    <cellStyle name="Normal 8 2 7 2 2 2" xfId="16265" xr:uid="{4B5039FA-89BD-488C-BA8C-5842783AB5D2}"/>
    <cellStyle name="Normal 8 2 7 2 2 3" xfId="24705" xr:uid="{C4F3155C-D73E-4CB8-B901-FF56EDF6C669}"/>
    <cellStyle name="Normal 8 2 7 2 2 4" xfId="33145" xr:uid="{6C96C381-59FE-413A-B7B3-D7D5C74CEDC0}"/>
    <cellStyle name="Normal 8 2 7 2 3" xfId="12047" xr:uid="{D302AE2F-B5A0-437F-B51A-6859C6D1C194}"/>
    <cellStyle name="Normal 8 2 7 2 4" xfId="20488" xr:uid="{A0D1A330-01AF-4CB9-BCA4-9A288248D868}"/>
    <cellStyle name="Normal 8 2 7 2 5" xfId="28928" xr:uid="{B6B5D336-B96D-460E-B9E7-53A5BF50A436}"/>
    <cellStyle name="Normal 8 2 7 3" xfId="5670" xr:uid="{00000000-0005-0000-0000-0000261D0000}"/>
    <cellStyle name="Normal 8 2 7 3 2" xfId="14120" xr:uid="{E5C7D2A7-0F2A-4DCB-B732-1015850F0212}"/>
    <cellStyle name="Normal 8 2 7 3 3" xfId="22560" xr:uid="{814FB88C-8A50-48E1-AFF0-18522F06A488}"/>
    <cellStyle name="Normal 8 2 7 3 4" xfId="31000" xr:uid="{F61F900E-F21A-4633-83F9-395AEB985C41}"/>
    <cellStyle name="Normal 8 2 7 4" xfId="9902" xr:uid="{3E62BC1F-86E5-465F-B955-E870DF41CD28}"/>
    <cellStyle name="Normal 8 2 7 5" xfId="18343" xr:uid="{C1897C9E-5429-4E5F-BB26-A09E540F7478}"/>
    <cellStyle name="Normal 8 2 7 6" xfId="26783" xr:uid="{24D28A3A-01C6-48FD-B6AE-5F3CD40ACDE7}"/>
    <cellStyle name="Normal 8 2 8" xfId="1776" xr:uid="{00000000-0005-0000-0000-0000271D0000}"/>
    <cellStyle name="Normal 8 2 8 2" xfId="4006" xr:uid="{00000000-0005-0000-0000-0000281D0000}"/>
    <cellStyle name="Normal 8 2 8 2 2" xfId="8228" xr:uid="{00000000-0005-0000-0000-0000291D0000}"/>
    <cellStyle name="Normal 8 2 8 2 2 2" xfId="16678" xr:uid="{ED88A0DC-6A77-4DE9-A683-B316DA389B3E}"/>
    <cellStyle name="Normal 8 2 8 2 2 3" xfId="25118" xr:uid="{4400CFCC-D3E2-483A-92EE-EA85FC093059}"/>
    <cellStyle name="Normal 8 2 8 2 2 4" xfId="33558" xr:uid="{98F9104D-18F4-48A3-9E82-4A66BC52FDD4}"/>
    <cellStyle name="Normal 8 2 8 2 3" xfId="12460" xr:uid="{9C7DFB78-6506-45D2-B8AF-C2D4F5C514AA}"/>
    <cellStyle name="Normal 8 2 8 2 4" xfId="20901" xr:uid="{338AC51C-B221-4A12-AD4F-9BACB24740D4}"/>
    <cellStyle name="Normal 8 2 8 2 5" xfId="29341" xr:uid="{3FEF4ED1-B679-47AB-8C28-22632FF4409E}"/>
    <cellStyle name="Normal 8 2 8 3" xfId="6083" xr:uid="{00000000-0005-0000-0000-00002A1D0000}"/>
    <cellStyle name="Normal 8 2 8 3 2" xfId="14533" xr:uid="{64B70CB0-B97A-4CEE-B657-05388E5E18EC}"/>
    <cellStyle name="Normal 8 2 8 3 3" xfId="22973" xr:uid="{D69B0546-3A79-406B-AEEB-E0869A94CE2B}"/>
    <cellStyle name="Normal 8 2 8 3 4" xfId="31413" xr:uid="{C5797A24-1DF4-4D41-B571-4528FC55F249}"/>
    <cellStyle name="Normal 8 2 8 4" xfId="10315" xr:uid="{5405753B-B412-45CF-A491-F279365C912B}"/>
    <cellStyle name="Normal 8 2 8 5" xfId="18756" xr:uid="{C9E7956B-C2E7-4D33-8F2B-C70354F209AD}"/>
    <cellStyle name="Normal 8 2 8 6" xfId="27196" xr:uid="{248DD11B-618A-41D8-9803-9A95455767A5}"/>
    <cellStyle name="Normal 8 2 9" xfId="2190" xr:uid="{00000000-0005-0000-0000-00002B1D0000}"/>
    <cellStyle name="Normal 8 2 9 2" xfId="4419" xr:uid="{00000000-0005-0000-0000-00002C1D0000}"/>
    <cellStyle name="Normal 8 2 9 2 2" xfId="8641" xr:uid="{00000000-0005-0000-0000-00002D1D0000}"/>
    <cellStyle name="Normal 8 2 9 2 2 2" xfId="17091" xr:uid="{38178C8A-682E-458B-91C2-3F1304065D4C}"/>
    <cellStyle name="Normal 8 2 9 2 2 3" xfId="25531" xr:uid="{E15F77F7-BC9B-42EE-A2B9-2D28B6993DAF}"/>
    <cellStyle name="Normal 8 2 9 2 2 4" xfId="33971" xr:uid="{307D3F32-9620-4426-8AAD-A21EE94DAFC2}"/>
    <cellStyle name="Normal 8 2 9 2 3" xfId="12873" xr:uid="{FAB3723E-7628-443D-923B-FEB4BE245018}"/>
    <cellStyle name="Normal 8 2 9 2 4" xfId="21314" xr:uid="{4024ED83-457E-4B8D-B877-C2E80C16DD76}"/>
    <cellStyle name="Normal 8 2 9 2 5" xfId="29754" xr:uid="{13E6F6DA-C3A9-4E1B-A2A8-2B57567FF0E5}"/>
    <cellStyle name="Normal 8 2 9 3" xfId="6496" xr:uid="{00000000-0005-0000-0000-00002E1D0000}"/>
    <cellStyle name="Normal 8 2 9 3 2" xfId="14946" xr:uid="{9EB11DB2-B04E-4B48-B587-47027A947B31}"/>
    <cellStyle name="Normal 8 2 9 3 3" xfId="23386" xr:uid="{8E790844-267E-4BDA-AB89-760A63D89BB1}"/>
    <cellStyle name="Normal 8 2 9 3 4" xfId="31826" xr:uid="{59ADEDE9-D856-4565-A561-A6671796802D}"/>
    <cellStyle name="Normal 8 2 9 4" xfId="10728" xr:uid="{BF07A7D1-36FC-4DE3-AD26-C18177552356}"/>
    <cellStyle name="Normal 8 2 9 5" xfId="19169" xr:uid="{00ACBB31-C75C-49FB-9D8E-448523A3A557}"/>
    <cellStyle name="Normal 8 2 9 6" xfId="27609" xr:uid="{64E9B9B0-8199-444E-8117-6BC7655DF808}"/>
    <cellStyle name="Normal 8 3" xfId="495" xr:uid="{00000000-0005-0000-0000-00002F1D0000}"/>
    <cellStyle name="Normal 8 3 10" xfId="4860" xr:uid="{00000000-0005-0000-0000-0000301D0000}"/>
    <cellStyle name="Normal 8 3 10 2" xfId="13310" xr:uid="{FA18FACD-CDE8-4AF1-AC50-920F528389C1}"/>
    <cellStyle name="Normal 8 3 10 3" xfId="21750" xr:uid="{96874D20-B732-42C6-8C0F-5A61ED4A5358}"/>
    <cellStyle name="Normal 8 3 10 4" xfId="30190" xr:uid="{1B78EB63-0070-424B-AFFB-EC3C56E295D3}"/>
    <cellStyle name="Normal 8 3 11" xfId="9092" xr:uid="{E33A7FC7-3797-4CD9-87E9-3CAB4AFA6486}"/>
    <cellStyle name="Normal 8 3 12" xfId="17533" xr:uid="{85840C69-C430-486F-88BC-CDA7751632BD}"/>
    <cellStyle name="Normal 8 3 13" xfId="25973" xr:uid="{8DC4F6C8-27EF-4FF5-891D-A2D6779D61E8}"/>
    <cellStyle name="Normal 8 3 2" xfId="496" xr:uid="{00000000-0005-0000-0000-0000311D0000}"/>
    <cellStyle name="Normal 8 3 2 10" xfId="9093" xr:uid="{F22A8549-354B-4315-AE7E-551919CB2511}"/>
    <cellStyle name="Normal 8 3 2 11" xfId="17534" xr:uid="{E7A892E4-3E32-4A29-85B6-5279E20064DA}"/>
    <cellStyle name="Normal 8 3 2 12" xfId="25974" xr:uid="{3BFB7BC0-FD7D-42B4-BCE9-B260285CFA95}"/>
    <cellStyle name="Normal 8 3 2 2" xfId="497" xr:uid="{00000000-0005-0000-0000-0000321D0000}"/>
    <cellStyle name="Normal 8 3 2 2 10" xfId="17535" xr:uid="{F0878A1F-6581-488C-BF1B-16BC5FF495E0}"/>
    <cellStyle name="Normal 8 3 2 2 11" xfId="25975" xr:uid="{E74362ED-DFA6-45E4-935A-51B4F7E80666}"/>
    <cellStyle name="Normal 8 3 2 2 2" xfId="498" xr:uid="{00000000-0005-0000-0000-0000331D0000}"/>
    <cellStyle name="Normal 8 3 2 2 2 10" xfId="25976" xr:uid="{65AD5BD7-2DF6-471D-9C10-9B2B9CCCE54C}"/>
    <cellStyle name="Normal 8 3 2 2 2 2" xfId="965" xr:uid="{00000000-0005-0000-0000-0000341D0000}"/>
    <cellStyle name="Normal 8 3 2 2 2 2 2" xfId="3199" xr:uid="{00000000-0005-0000-0000-0000351D0000}"/>
    <cellStyle name="Normal 8 3 2 2 2 2 2 2" xfId="7421" xr:uid="{00000000-0005-0000-0000-0000361D0000}"/>
    <cellStyle name="Normal 8 3 2 2 2 2 2 2 2" xfId="15871" xr:uid="{A6E8D5D0-66C7-4B2C-8F70-32EFC355537D}"/>
    <cellStyle name="Normal 8 3 2 2 2 2 2 2 3" xfId="24311" xr:uid="{DD8A51B4-FC30-4106-A540-87E95A302D9B}"/>
    <cellStyle name="Normal 8 3 2 2 2 2 2 2 4" xfId="32751" xr:uid="{C9D3778C-1B61-4027-8331-73266DF8BB06}"/>
    <cellStyle name="Normal 8 3 2 2 2 2 2 3" xfId="11653" xr:uid="{5AE5F2A9-5A1D-47B1-80D7-EA019EB58603}"/>
    <cellStyle name="Normal 8 3 2 2 2 2 2 4" xfId="20094" xr:uid="{1543EC7D-5304-4443-91BB-2C28BF36D747}"/>
    <cellStyle name="Normal 8 3 2 2 2 2 2 5" xfId="28534" xr:uid="{6018FDA8-512A-4C84-9876-5C0B6AB50BE6}"/>
    <cellStyle name="Normal 8 3 2 2 2 2 3" xfId="5276" xr:uid="{00000000-0005-0000-0000-0000371D0000}"/>
    <cellStyle name="Normal 8 3 2 2 2 2 3 2" xfId="13726" xr:uid="{64E6B9D7-2BE6-459A-BC3C-59A54BC4D4B9}"/>
    <cellStyle name="Normal 8 3 2 2 2 2 3 3" xfId="22166" xr:uid="{7091BC4A-7FAB-4E16-99D2-D1B7F98469C9}"/>
    <cellStyle name="Normal 8 3 2 2 2 2 3 4" xfId="30606" xr:uid="{7FF7F630-3482-4579-8423-0A3F3A44FFE0}"/>
    <cellStyle name="Normal 8 3 2 2 2 2 4" xfId="9508" xr:uid="{9F6CE65E-28CF-4251-A88A-4F670C39B222}"/>
    <cellStyle name="Normal 8 3 2 2 2 2 5" xfId="17949" xr:uid="{88F8EC16-5B1C-4171-A9BC-CB849E1B511C}"/>
    <cellStyle name="Normal 8 3 2 2 2 2 6" xfId="26389" xr:uid="{400323D0-8685-4689-B21D-897A747932A2}"/>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2 2 2" xfId="16284" xr:uid="{9D3E0D70-9331-4E00-8722-BBAA611D6A67}"/>
    <cellStyle name="Normal 8 3 2 2 2 3 2 2 3" xfId="24724" xr:uid="{3CA127D2-858B-4A17-B4E3-F6A44089575A}"/>
    <cellStyle name="Normal 8 3 2 2 2 3 2 2 4" xfId="33164" xr:uid="{1B5DB8C2-A078-44F9-84ED-829143AA3761}"/>
    <cellStyle name="Normal 8 3 2 2 2 3 2 3" xfId="12066" xr:uid="{C4B9D2DE-5BBC-4294-BB6E-592C140F0BF1}"/>
    <cellStyle name="Normal 8 3 2 2 2 3 2 4" xfId="20507" xr:uid="{4A9D6F63-A346-40A6-A624-AD633FA7F7B8}"/>
    <cellStyle name="Normal 8 3 2 2 2 3 2 5" xfId="28947" xr:uid="{ABABC4B9-71EB-42F3-9667-8207E2D8E65C}"/>
    <cellStyle name="Normal 8 3 2 2 2 3 3" xfId="5689" xr:uid="{00000000-0005-0000-0000-00003B1D0000}"/>
    <cellStyle name="Normal 8 3 2 2 2 3 3 2" xfId="14139" xr:uid="{D257838D-35D7-410E-B136-D595B71DB3F2}"/>
    <cellStyle name="Normal 8 3 2 2 2 3 3 3" xfId="22579" xr:uid="{04CA403F-5DBB-4833-AD57-B901472198D0}"/>
    <cellStyle name="Normal 8 3 2 2 2 3 3 4" xfId="31019" xr:uid="{22D68257-F06B-413F-A3C8-B6853C67E118}"/>
    <cellStyle name="Normal 8 3 2 2 2 3 4" xfId="9921" xr:uid="{EC1ACEEC-B9FE-4A30-97E0-8DEE038A5D1A}"/>
    <cellStyle name="Normal 8 3 2 2 2 3 5" xfId="18362" xr:uid="{28470BAB-E0EB-4EB0-BE25-7AB7C04E09A2}"/>
    <cellStyle name="Normal 8 3 2 2 2 3 6" xfId="26802" xr:uid="{E432F2F8-1573-43CC-B7DE-2C04C01CE644}"/>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2 2 2" xfId="16697" xr:uid="{A147BBDC-988E-4652-BFD7-919588FDA149}"/>
    <cellStyle name="Normal 8 3 2 2 2 4 2 2 3" xfId="25137" xr:uid="{6133658B-493B-4C30-9879-7CEFAC59DF31}"/>
    <cellStyle name="Normal 8 3 2 2 2 4 2 2 4" xfId="33577" xr:uid="{69D9C30B-67D4-4488-AA50-6758CF6D9705}"/>
    <cellStyle name="Normal 8 3 2 2 2 4 2 3" xfId="12479" xr:uid="{CE5EC516-EDEF-4B0C-BEA7-FCD7D1BD2228}"/>
    <cellStyle name="Normal 8 3 2 2 2 4 2 4" xfId="20920" xr:uid="{DE5C3D21-75A7-40AB-B87A-5BE1745DF2E8}"/>
    <cellStyle name="Normal 8 3 2 2 2 4 2 5" xfId="29360" xr:uid="{F7242341-BFE7-4817-A6BF-2F77692FB938}"/>
    <cellStyle name="Normal 8 3 2 2 2 4 3" xfId="6102" xr:uid="{00000000-0005-0000-0000-00003F1D0000}"/>
    <cellStyle name="Normal 8 3 2 2 2 4 3 2" xfId="14552" xr:uid="{26206ECA-2A0A-4542-8DCB-49AE67030D9A}"/>
    <cellStyle name="Normal 8 3 2 2 2 4 3 3" xfId="22992" xr:uid="{7E43C2BA-F40F-424C-8C67-D987A8246A72}"/>
    <cellStyle name="Normal 8 3 2 2 2 4 3 4" xfId="31432" xr:uid="{37779C43-AFAA-48C4-97D1-8AED122CF89F}"/>
    <cellStyle name="Normal 8 3 2 2 2 4 4" xfId="10334" xr:uid="{279B4F23-D687-4A6B-B810-919D6CDF3676}"/>
    <cellStyle name="Normal 8 3 2 2 2 4 5" xfId="18775" xr:uid="{83F906C1-5B81-42A8-81C6-5FE05D35E8FC}"/>
    <cellStyle name="Normal 8 3 2 2 2 4 6" xfId="27215" xr:uid="{59693048-B182-4729-A6F1-47B85E36C4BA}"/>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2 2 2" xfId="17110" xr:uid="{45D528C1-89B1-4E67-8A8A-32AF0DF6BDC5}"/>
    <cellStyle name="Normal 8 3 2 2 2 5 2 2 3" xfId="25550" xr:uid="{058C391C-A389-4543-8650-4E6F93155513}"/>
    <cellStyle name="Normal 8 3 2 2 2 5 2 2 4" xfId="33990" xr:uid="{9EB218FB-4740-427E-BC17-C2E118DCA073}"/>
    <cellStyle name="Normal 8 3 2 2 2 5 2 3" xfId="12892" xr:uid="{A746C1F3-BD41-434E-8375-7411B7B50E67}"/>
    <cellStyle name="Normal 8 3 2 2 2 5 2 4" xfId="21333" xr:uid="{C0AF51D1-A7DF-4B5E-ACC7-48ACC60C81AB}"/>
    <cellStyle name="Normal 8 3 2 2 2 5 2 5" xfId="29773" xr:uid="{FE919899-1C18-483A-A360-33A4A7614835}"/>
    <cellStyle name="Normal 8 3 2 2 2 5 3" xfId="6515" xr:uid="{00000000-0005-0000-0000-0000431D0000}"/>
    <cellStyle name="Normal 8 3 2 2 2 5 3 2" xfId="14965" xr:uid="{23F28EB2-CB7C-42A1-8D2A-77DD0C771126}"/>
    <cellStyle name="Normal 8 3 2 2 2 5 3 3" xfId="23405" xr:uid="{41AA3E6F-1264-4DC8-81A7-81B617E6A2AE}"/>
    <cellStyle name="Normal 8 3 2 2 2 5 3 4" xfId="31845" xr:uid="{76B0044E-124F-4805-9D6B-7496C786E59B}"/>
    <cellStyle name="Normal 8 3 2 2 2 5 4" xfId="10747" xr:uid="{1F4512B1-992D-4E4F-B2EB-796F2F501411}"/>
    <cellStyle name="Normal 8 3 2 2 2 5 5" xfId="19188" xr:uid="{DC3B9712-C43A-42FA-930C-B814EEF62015}"/>
    <cellStyle name="Normal 8 3 2 2 2 5 6" xfId="27628" xr:uid="{A4BD3F66-695F-4A7D-9B56-46092AF7CB5D}"/>
    <cellStyle name="Normal 8 3 2 2 2 6" xfId="2645" xr:uid="{00000000-0005-0000-0000-0000441D0000}"/>
    <cellStyle name="Normal 8 3 2 2 2 6 2" xfId="6928" xr:uid="{00000000-0005-0000-0000-0000451D0000}"/>
    <cellStyle name="Normal 8 3 2 2 2 6 2 2" xfId="15378" xr:uid="{9E0A5BD6-0202-4EC1-9846-B7A46E4A1705}"/>
    <cellStyle name="Normal 8 3 2 2 2 6 2 3" xfId="23818" xr:uid="{0A2D2EE3-F349-4134-AA5F-DD19DCF0A277}"/>
    <cellStyle name="Normal 8 3 2 2 2 6 2 4" xfId="32258" xr:uid="{0DE9FE30-3C7D-4DC0-AC91-1FA9919EDB57}"/>
    <cellStyle name="Normal 8 3 2 2 2 6 3" xfId="11160" xr:uid="{2951A000-89B3-4DFA-A8DC-F2F1B471191A}"/>
    <cellStyle name="Normal 8 3 2 2 2 6 4" xfId="19601" xr:uid="{6E6B65EC-91F4-49F4-9105-55118CF875E6}"/>
    <cellStyle name="Normal 8 3 2 2 2 6 5" xfId="28041" xr:uid="{3F965A52-F5EB-4CEE-9234-6E515F880A0F}"/>
    <cellStyle name="Normal 8 3 2 2 2 7" xfId="4863" xr:uid="{00000000-0005-0000-0000-0000461D0000}"/>
    <cellStyle name="Normal 8 3 2 2 2 7 2" xfId="13313" xr:uid="{786A0C65-5619-4EEF-AC36-B752699EEB9E}"/>
    <cellStyle name="Normal 8 3 2 2 2 7 3" xfId="21753" xr:uid="{3D83118D-9C30-4E2E-B934-183E1DC0DED3}"/>
    <cellStyle name="Normal 8 3 2 2 2 7 4" xfId="30193" xr:uid="{1257AF1A-E19E-4B09-BC84-17E20CD2A0EA}"/>
    <cellStyle name="Normal 8 3 2 2 2 8" xfId="9095" xr:uid="{449DB828-2823-4325-8CFD-4C455B6120E1}"/>
    <cellStyle name="Normal 8 3 2 2 2 9" xfId="17536" xr:uid="{1A5D8158-5C5F-4808-9475-5E5CF16EF5AC}"/>
    <cellStyle name="Normal 8 3 2 2 3" xfId="964" xr:uid="{00000000-0005-0000-0000-0000471D0000}"/>
    <cellStyle name="Normal 8 3 2 2 3 2" xfId="3198" xr:uid="{00000000-0005-0000-0000-0000481D0000}"/>
    <cellStyle name="Normal 8 3 2 2 3 2 2" xfId="7420" xr:uid="{00000000-0005-0000-0000-0000491D0000}"/>
    <cellStyle name="Normal 8 3 2 2 3 2 2 2" xfId="15870" xr:uid="{8D9F9963-535C-4B45-B3F9-7F4F0898B6E3}"/>
    <cellStyle name="Normal 8 3 2 2 3 2 2 3" xfId="24310" xr:uid="{68B64E32-161F-4D73-A3F5-46D0B525D461}"/>
    <cellStyle name="Normal 8 3 2 2 3 2 2 4" xfId="32750" xr:uid="{6448EFC6-37B9-4C13-BCE3-DBAA05E0692C}"/>
    <cellStyle name="Normal 8 3 2 2 3 2 3" xfId="11652" xr:uid="{C9EF4C01-C7AD-4B57-A803-F87D6FA6CC7C}"/>
    <cellStyle name="Normal 8 3 2 2 3 2 4" xfId="20093" xr:uid="{11BDCFFF-32D3-43AB-BA9D-F4A54CB420CC}"/>
    <cellStyle name="Normal 8 3 2 2 3 2 5" xfId="28533" xr:uid="{96637977-6C3A-4E68-A183-E3CBC1C38349}"/>
    <cellStyle name="Normal 8 3 2 2 3 3" xfId="5275" xr:uid="{00000000-0005-0000-0000-00004A1D0000}"/>
    <cellStyle name="Normal 8 3 2 2 3 3 2" xfId="13725" xr:uid="{8E3171C2-2DB3-43B1-809F-80F455A36DF9}"/>
    <cellStyle name="Normal 8 3 2 2 3 3 3" xfId="22165" xr:uid="{F068F99E-2892-4E1A-B8B3-40A37A06E40B}"/>
    <cellStyle name="Normal 8 3 2 2 3 3 4" xfId="30605" xr:uid="{00F22849-6B73-404E-ACCA-9D30E4E10D6F}"/>
    <cellStyle name="Normal 8 3 2 2 3 4" xfId="9507" xr:uid="{E679188F-AC70-4560-A8D2-3199896A4B45}"/>
    <cellStyle name="Normal 8 3 2 2 3 5" xfId="17948" xr:uid="{9467BDA5-90DB-4D4D-B954-D44AE4B5BC40}"/>
    <cellStyle name="Normal 8 3 2 2 3 6" xfId="26388" xr:uid="{84BF42A1-4938-4373-85D3-7A324F68B307}"/>
    <cellStyle name="Normal 8 3 2 2 4" xfId="1381" xr:uid="{00000000-0005-0000-0000-00004B1D0000}"/>
    <cellStyle name="Normal 8 3 2 2 4 2" xfId="3611" xr:uid="{00000000-0005-0000-0000-00004C1D0000}"/>
    <cellStyle name="Normal 8 3 2 2 4 2 2" xfId="7833" xr:uid="{00000000-0005-0000-0000-00004D1D0000}"/>
    <cellStyle name="Normal 8 3 2 2 4 2 2 2" xfId="16283" xr:uid="{B7D3882C-5398-47AB-A68B-BA4A23F8984B}"/>
    <cellStyle name="Normal 8 3 2 2 4 2 2 3" xfId="24723" xr:uid="{70511E28-D6B2-4E61-8511-426B24F26E00}"/>
    <cellStyle name="Normal 8 3 2 2 4 2 2 4" xfId="33163" xr:uid="{98D250A6-05C8-411E-BF92-A7A13206181F}"/>
    <cellStyle name="Normal 8 3 2 2 4 2 3" xfId="12065" xr:uid="{9D6D0E4E-F8C1-4B40-92C1-06C36DCE2D93}"/>
    <cellStyle name="Normal 8 3 2 2 4 2 4" xfId="20506" xr:uid="{2F5D221D-E467-41E2-85E6-60A57A42BED8}"/>
    <cellStyle name="Normal 8 3 2 2 4 2 5" xfId="28946" xr:uid="{D6C1830B-37E9-42CD-BDA3-235473046513}"/>
    <cellStyle name="Normal 8 3 2 2 4 3" xfId="5688" xr:uid="{00000000-0005-0000-0000-00004E1D0000}"/>
    <cellStyle name="Normal 8 3 2 2 4 3 2" xfId="14138" xr:uid="{D1A7CDBA-2203-4750-96AC-E82300D30C9F}"/>
    <cellStyle name="Normal 8 3 2 2 4 3 3" xfId="22578" xr:uid="{5B1BD257-B91A-430B-B1C4-00912402169C}"/>
    <cellStyle name="Normal 8 3 2 2 4 3 4" xfId="31018" xr:uid="{59D9D44E-5916-4793-8294-AFD5A3DB5B41}"/>
    <cellStyle name="Normal 8 3 2 2 4 4" xfId="9920" xr:uid="{A63593ED-A64C-4909-9E05-C6257E50A706}"/>
    <cellStyle name="Normal 8 3 2 2 4 5" xfId="18361" xr:uid="{F3F1CA97-6CCF-43E2-B208-85A14EE75751}"/>
    <cellStyle name="Normal 8 3 2 2 4 6" xfId="26801" xr:uid="{4B448327-ECCA-4E0C-8368-572B66940D19}"/>
    <cellStyle name="Normal 8 3 2 2 5" xfId="1794" xr:uid="{00000000-0005-0000-0000-00004F1D0000}"/>
    <cellStyle name="Normal 8 3 2 2 5 2" xfId="4024" xr:uid="{00000000-0005-0000-0000-0000501D0000}"/>
    <cellStyle name="Normal 8 3 2 2 5 2 2" xfId="8246" xr:uid="{00000000-0005-0000-0000-0000511D0000}"/>
    <cellStyle name="Normal 8 3 2 2 5 2 2 2" xfId="16696" xr:uid="{6D6E7834-1C4A-4A68-ABF6-029E720D2223}"/>
    <cellStyle name="Normal 8 3 2 2 5 2 2 3" xfId="25136" xr:uid="{23EDD399-DACD-4EE6-90D6-2945026B5123}"/>
    <cellStyle name="Normal 8 3 2 2 5 2 2 4" xfId="33576" xr:uid="{0075E17D-BDE6-4105-8E1F-1E1A914BC6BD}"/>
    <cellStyle name="Normal 8 3 2 2 5 2 3" xfId="12478" xr:uid="{F5889BA0-5942-4704-A64D-6ED577CE6E41}"/>
    <cellStyle name="Normal 8 3 2 2 5 2 4" xfId="20919" xr:uid="{1FEEE4A4-FE98-4FFF-95A8-E517DE14205F}"/>
    <cellStyle name="Normal 8 3 2 2 5 2 5" xfId="29359" xr:uid="{A4279D0E-140C-4ADF-A63D-E3D62BD7C757}"/>
    <cellStyle name="Normal 8 3 2 2 5 3" xfId="6101" xr:uid="{00000000-0005-0000-0000-0000521D0000}"/>
    <cellStyle name="Normal 8 3 2 2 5 3 2" xfId="14551" xr:uid="{CA07B048-E716-4987-B81F-F3252BEF719D}"/>
    <cellStyle name="Normal 8 3 2 2 5 3 3" xfId="22991" xr:uid="{F31E96D8-C3EB-4A23-84E4-A8810AAD9963}"/>
    <cellStyle name="Normal 8 3 2 2 5 3 4" xfId="31431" xr:uid="{50F55B12-8C00-48E7-A040-1023B4B2398B}"/>
    <cellStyle name="Normal 8 3 2 2 5 4" xfId="10333" xr:uid="{432AAF63-EC52-4912-8BD1-335B7ECC4740}"/>
    <cellStyle name="Normal 8 3 2 2 5 5" xfId="18774" xr:uid="{9349307E-7376-43C9-B67B-ECEF679A605C}"/>
    <cellStyle name="Normal 8 3 2 2 5 6" xfId="27214" xr:uid="{BA954EAC-173C-40EE-B0BE-207498428224}"/>
    <cellStyle name="Normal 8 3 2 2 6" xfId="2208" xr:uid="{00000000-0005-0000-0000-0000531D0000}"/>
    <cellStyle name="Normal 8 3 2 2 6 2" xfId="4437" xr:uid="{00000000-0005-0000-0000-0000541D0000}"/>
    <cellStyle name="Normal 8 3 2 2 6 2 2" xfId="8659" xr:uid="{00000000-0005-0000-0000-0000551D0000}"/>
    <cellStyle name="Normal 8 3 2 2 6 2 2 2" xfId="17109" xr:uid="{24C7D725-BDC6-466F-A80B-A19629339371}"/>
    <cellStyle name="Normal 8 3 2 2 6 2 2 3" xfId="25549" xr:uid="{5A0F343D-0835-4CC3-9A8B-1A6037D30EDA}"/>
    <cellStyle name="Normal 8 3 2 2 6 2 2 4" xfId="33989" xr:uid="{DF48E3B2-69D6-45D0-8968-EFE129C7A832}"/>
    <cellStyle name="Normal 8 3 2 2 6 2 3" xfId="12891" xr:uid="{63EF222A-B06F-44E5-A368-2F2DFA2B32CE}"/>
    <cellStyle name="Normal 8 3 2 2 6 2 4" xfId="21332" xr:uid="{C1405F48-EE17-487C-A857-39A974436535}"/>
    <cellStyle name="Normal 8 3 2 2 6 2 5" xfId="29772" xr:uid="{F45C25FF-E84E-47AF-88A1-7727A2517008}"/>
    <cellStyle name="Normal 8 3 2 2 6 3" xfId="6514" xr:uid="{00000000-0005-0000-0000-0000561D0000}"/>
    <cellStyle name="Normal 8 3 2 2 6 3 2" xfId="14964" xr:uid="{E4D20DDA-11D1-4DF0-9F44-34434BAB9F5C}"/>
    <cellStyle name="Normal 8 3 2 2 6 3 3" xfId="23404" xr:uid="{097164EA-8074-4991-9E96-52F03FD65579}"/>
    <cellStyle name="Normal 8 3 2 2 6 3 4" xfId="31844" xr:uid="{A2F6417E-E1A7-4E45-8BD0-BD7FCB9158A3}"/>
    <cellStyle name="Normal 8 3 2 2 6 4" xfId="10746" xr:uid="{D603B04F-E0B2-4391-989B-D5E690D61294}"/>
    <cellStyle name="Normal 8 3 2 2 6 5" xfId="19187" xr:uid="{1E517433-E35D-402E-97EF-ED9F8CCE67EF}"/>
    <cellStyle name="Normal 8 3 2 2 6 6" xfId="27627" xr:uid="{94D169DA-BC66-4205-94C6-3510F126993F}"/>
    <cellStyle name="Normal 8 3 2 2 7" xfId="2644" xr:uid="{00000000-0005-0000-0000-0000571D0000}"/>
    <cellStyle name="Normal 8 3 2 2 7 2" xfId="6927" xr:uid="{00000000-0005-0000-0000-0000581D0000}"/>
    <cellStyle name="Normal 8 3 2 2 7 2 2" xfId="15377" xr:uid="{3444A8CC-BA93-406A-BBE5-566C779E300F}"/>
    <cellStyle name="Normal 8 3 2 2 7 2 3" xfId="23817" xr:uid="{59BF0CD5-EF82-4D29-8190-CBCD6CAA5EDE}"/>
    <cellStyle name="Normal 8 3 2 2 7 2 4" xfId="32257" xr:uid="{BFF27BAF-F9A7-45A6-AC44-4D814423D021}"/>
    <cellStyle name="Normal 8 3 2 2 7 3" xfId="11159" xr:uid="{84BFFF0A-91BE-4671-99A5-32311E677E11}"/>
    <cellStyle name="Normal 8 3 2 2 7 4" xfId="19600" xr:uid="{05E0FDE9-41E2-45AE-9A4F-3B584D23EE60}"/>
    <cellStyle name="Normal 8 3 2 2 7 5" xfId="28040" xr:uid="{2B9240DB-CA7B-4EC7-97D7-57A632E9B58D}"/>
    <cellStyle name="Normal 8 3 2 2 8" xfId="4862" xr:uid="{00000000-0005-0000-0000-0000591D0000}"/>
    <cellStyle name="Normal 8 3 2 2 8 2" xfId="13312" xr:uid="{9BE8E4E5-44B7-4296-8F81-E7E94B6678FA}"/>
    <cellStyle name="Normal 8 3 2 2 8 3" xfId="21752" xr:uid="{F417D28B-3030-4C7C-AEF0-76DDD14F3BFA}"/>
    <cellStyle name="Normal 8 3 2 2 8 4" xfId="30192" xr:uid="{E561852F-758C-4FA3-BDD3-CF6A451F24BC}"/>
    <cellStyle name="Normal 8 3 2 2 9" xfId="9094" xr:uid="{B82A9985-679C-483F-B9DA-DA4EDCDCD776}"/>
    <cellStyle name="Normal 8 3 2 3" xfId="499" xr:uid="{00000000-0005-0000-0000-00005A1D0000}"/>
    <cellStyle name="Normal 8 3 2 3 10" xfId="25977" xr:uid="{EE595D23-77EB-49B9-BF90-C56A145D4AAF}"/>
    <cellStyle name="Normal 8 3 2 3 2" xfId="966" xr:uid="{00000000-0005-0000-0000-00005B1D0000}"/>
    <cellStyle name="Normal 8 3 2 3 2 2" xfId="3200" xr:uid="{00000000-0005-0000-0000-00005C1D0000}"/>
    <cellStyle name="Normal 8 3 2 3 2 2 2" xfId="7422" xr:uid="{00000000-0005-0000-0000-00005D1D0000}"/>
    <cellStyle name="Normal 8 3 2 3 2 2 2 2" xfId="15872" xr:uid="{5DDBF1AB-9AB8-4A2A-B0A9-766F7F65DF68}"/>
    <cellStyle name="Normal 8 3 2 3 2 2 2 3" xfId="24312" xr:uid="{2BBB858F-C439-49C7-9F80-C3A9600C6D65}"/>
    <cellStyle name="Normal 8 3 2 3 2 2 2 4" xfId="32752" xr:uid="{09688647-398F-4EE4-A237-69898A658826}"/>
    <cellStyle name="Normal 8 3 2 3 2 2 3" xfId="11654" xr:uid="{3BA59115-9C12-41B2-A8C5-2E8A7ED110A6}"/>
    <cellStyle name="Normal 8 3 2 3 2 2 4" xfId="20095" xr:uid="{F06283A6-B713-443E-9B99-A8A9A712D3FF}"/>
    <cellStyle name="Normal 8 3 2 3 2 2 5" xfId="28535" xr:uid="{39A203EA-EDCC-403E-B1FB-1F2FE21623E1}"/>
    <cellStyle name="Normal 8 3 2 3 2 3" xfId="5277" xr:uid="{00000000-0005-0000-0000-00005E1D0000}"/>
    <cellStyle name="Normal 8 3 2 3 2 3 2" xfId="13727" xr:uid="{EF2EBB6F-6DA3-4C56-9606-C5678735AB94}"/>
    <cellStyle name="Normal 8 3 2 3 2 3 3" xfId="22167" xr:uid="{EC61A96D-815B-4FB6-A3F6-B009E05D0572}"/>
    <cellStyle name="Normal 8 3 2 3 2 3 4" xfId="30607" xr:uid="{005132A2-2E5E-449D-93AA-4875CFE200BE}"/>
    <cellStyle name="Normal 8 3 2 3 2 4" xfId="9509" xr:uid="{AE76653A-DD41-4F04-A300-660C398F3284}"/>
    <cellStyle name="Normal 8 3 2 3 2 5" xfId="17950" xr:uid="{15157AF5-B841-451C-8F20-10C3859AA4EA}"/>
    <cellStyle name="Normal 8 3 2 3 2 6" xfId="26390" xr:uid="{28B60C55-A423-4B18-9F02-F77B2049B072}"/>
    <cellStyle name="Normal 8 3 2 3 3" xfId="1383" xr:uid="{00000000-0005-0000-0000-00005F1D0000}"/>
    <cellStyle name="Normal 8 3 2 3 3 2" xfId="3613" xr:uid="{00000000-0005-0000-0000-0000601D0000}"/>
    <cellStyle name="Normal 8 3 2 3 3 2 2" xfId="7835" xr:uid="{00000000-0005-0000-0000-0000611D0000}"/>
    <cellStyle name="Normal 8 3 2 3 3 2 2 2" xfId="16285" xr:uid="{EDF9EA34-A099-4291-A1AA-24D9D42B7F98}"/>
    <cellStyle name="Normal 8 3 2 3 3 2 2 3" xfId="24725" xr:uid="{3D0A0A0F-448D-426A-AD19-BEFB540A182E}"/>
    <cellStyle name="Normal 8 3 2 3 3 2 2 4" xfId="33165" xr:uid="{CADE4BC7-DDFD-4C86-8C61-7F1760ED96C5}"/>
    <cellStyle name="Normal 8 3 2 3 3 2 3" xfId="12067" xr:uid="{C6AB6022-23EA-4CC2-AE55-0F4579E41131}"/>
    <cellStyle name="Normal 8 3 2 3 3 2 4" xfId="20508" xr:uid="{7F318B70-4AA6-4AB8-A9A7-C1E66AB5A8BB}"/>
    <cellStyle name="Normal 8 3 2 3 3 2 5" xfId="28948" xr:uid="{13521E20-F787-4781-B749-9CF318A5618D}"/>
    <cellStyle name="Normal 8 3 2 3 3 3" xfId="5690" xr:uid="{00000000-0005-0000-0000-0000621D0000}"/>
    <cellStyle name="Normal 8 3 2 3 3 3 2" xfId="14140" xr:uid="{03D83B90-ABE2-4F7B-97A3-D57C5DE0D884}"/>
    <cellStyle name="Normal 8 3 2 3 3 3 3" xfId="22580" xr:uid="{A8E882B2-D781-41A8-A902-A8C4D787561D}"/>
    <cellStyle name="Normal 8 3 2 3 3 3 4" xfId="31020" xr:uid="{BBDC2844-8471-48C5-9E6B-806623A687D6}"/>
    <cellStyle name="Normal 8 3 2 3 3 4" xfId="9922" xr:uid="{7C2BC0A5-C30D-48CD-9F4E-C905ABB4E202}"/>
    <cellStyle name="Normal 8 3 2 3 3 5" xfId="18363" xr:uid="{8D586DF1-74A8-4849-A6F8-1FB456A5C8DA}"/>
    <cellStyle name="Normal 8 3 2 3 3 6" xfId="26803" xr:uid="{EF9C8B5B-B9CB-45A1-86EC-A956D5E06BDE}"/>
    <cellStyle name="Normal 8 3 2 3 4" xfId="1796" xr:uid="{00000000-0005-0000-0000-0000631D0000}"/>
    <cellStyle name="Normal 8 3 2 3 4 2" xfId="4026" xr:uid="{00000000-0005-0000-0000-0000641D0000}"/>
    <cellStyle name="Normal 8 3 2 3 4 2 2" xfId="8248" xr:uid="{00000000-0005-0000-0000-0000651D0000}"/>
    <cellStyle name="Normal 8 3 2 3 4 2 2 2" xfId="16698" xr:uid="{55997AC8-E33F-4218-A617-49C6AA97C814}"/>
    <cellStyle name="Normal 8 3 2 3 4 2 2 3" xfId="25138" xr:uid="{6600D60C-653E-4986-BC75-5EC14EDFA9FD}"/>
    <cellStyle name="Normal 8 3 2 3 4 2 2 4" xfId="33578" xr:uid="{B9F80E13-8BAC-46B1-99DF-0E38439BF209}"/>
    <cellStyle name="Normal 8 3 2 3 4 2 3" xfId="12480" xr:uid="{2E42D5DD-2BBA-4CB8-952E-C3A6559F7247}"/>
    <cellStyle name="Normal 8 3 2 3 4 2 4" xfId="20921" xr:uid="{6DDF1ECF-DDBD-45A1-BBE1-1693E613E5B5}"/>
    <cellStyle name="Normal 8 3 2 3 4 2 5" xfId="29361" xr:uid="{B73EBDB8-E356-4391-9432-753A7BAC7279}"/>
    <cellStyle name="Normal 8 3 2 3 4 3" xfId="6103" xr:uid="{00000000-0005-0000-0000-0000661D0000}"/>
    <cellStyle name="Normal 8 3 2 3 4 3 2" xfId="14553" xr:uid="{D6F6900B-B135-47F6-B5CC-C513EFCA08D9}"/>
    <cellStyle name="Normal 8 3 2 3 4 3 3" xfId="22993" xr:uid="{E489D753-41D0-46C3-9F08-68337A6B4055}"/>
    <cellStyle name="Normal 8 3 2 3 4 3 4" xfId="31433" xr:uid="{656E84CD-ADF9-4EB0-98AF-222C9A61D9B4}"/>
    <cellStyle name="Normal 8 3 2 3 4 4" xfId="10335" xr:uid="{909E5634-164C-44C2-9488-DB6C1F1E6F24}"/>
    <cellStyle name="Normal 8 3 2 3 4 5" xfId="18776" xr:uid="{C6A5D10F-4E98-4AA4-95AB-43C9E5B6063E}"/>
    <cellStyle name="Normal 8 3 2 3 4 6" xfId="27216" xr:uid="{3580097E-AD25-4F0B-81B2-B681EA4AF9D9}"/>
    <cellStyle name="Normal 8 3 2 3 5" xfId="2210" xr:uid="{00000000-0005-0000-0000-0000671D0000}"/>
    <cellStyle name="Normal 8 3 2 3 5 2" xfId="4439" xr:uid="{00000000-0005-0000-0000-0000681D0000}"/>
    <cellStyle name="Normal 8 3 2 3 5 2 2" xfId="8661" xr:uid="{00000000-0005-0000-0000-0000691D0000}"/>
    <cellStyle name="Normal 8 3 2 3 5 2 2 2" xfId="17111" xr:uid="{136D3091-9872-4423-94CC-78832491E112}"/>
    <cellStyle name="Normal 8 3 2 3 5 2 2 3" xfId="25551" xr:uid="{41A03F4A-CED3-4978-815D-71F2C1ABD283}"/>
    <cellStyle name="Normal 8 3 2 3 5 2 2 4" xfId="33991" xr:uid="{4382ADD8-4798-4337-A0D0-1E0F5D3EC77D}"/>
    <cellStyle name="Normal 8 3 2 3 5 2 3" xfId="12893" xr:uid="{70A1818F-1361-40E4-BD17-1A08B4D09F09}"/>
    <cellStyle name="Normal 8 3 2 3 5 2 4" xfId="21334" xr:uid="{2584AFA6-2B17-4370-82E8-B270DD077D8B}"/>
    <cellStyle name="Normal 8 3 2 3 5 2 5" xfId="29774" xr:uid="{95E7EF0D-D37F-46E2-9F77-627A1B253066}"/>
    <cellStyle name="Normal 8 3 2 3 5 3" xfId="6516" xr:uid="{00000000-0005-0000-0000-00006A1D0000}"/>
    <cellStyle name="Normal 8 3 2 3 5 3 2" xfId="14966" xr:uid="{79BC2548-144D-412A-81D9-3D2E7D29CD0F}"/>
    <cellStyle name="Normal 8 3 2 3 5 3 3" xfId="23406" xr:uid="{9EC04A27-6AB8-4171-B4C3-64F274D36347}"/>
    <cellStyle name="Normal 8 3 2 3 5 3 4" xfId="31846" xr:uid="{E12B86BC-53F6-423F-9E28-C0CA19192217}"/>
    <cellStyle name="Normal 8 3 2 3 5 4" xfId="10748" xr:uid="{D50EE580-E15E-45FD-B1AF-28C01A5626F0}"/>
    <cellStyle name="Normal 8 3 2 3 5 5" xfId="19189" xr:uid="{340BE629-2C3D-4E1C-A68B-03B38F661710}"/>
    <cellStyle name="Normal 8 3 2 3 5 6" xfId="27629" xr:uid="{AA0E79D3-994B-4BE0-A9C8-B1A27EE94EEF}"/>
    <cellStyle name="Normal 8 3 2 3 6" xfId="2646" xr:uid="{00000000-0005-0000-0000-00006B1D0000}"/>
    <cellStyle name="Normal 8 3 2 3 6 2" xfId="6929" xr:uid="{00000000-0005-0000-0000-00006C1D0000}"/>
    <cellStyle name="Normal 8 3 2 3 6 2 2" xfId="15379" xr:uid="{1F454CEA-09AD-4C98-B48A-D7D94EDF24FD}"/>
    <cellStyle name="Normal 8 3 2 3 6 2 3" xfId="23819" xr:uid="{B2A33AF5-A996-49A3-924E-8F5A6E53B634}"/>
    <cellStyle name="Normal 8 3 2 3 6 2 4" xfId="32259" xr:uid="{83FE88BF-7CBC-4732-A169-8F2C222FAD64}"/>
    <cellStyle name="Normal 8 3 2 3 6 3" xfId="11161" xr:uid="{0CD4EE5D-E4E6-4B8B-B1DC-DAC293495860}"/>
    <cellStyle name="Normal 8 3 2 3 6 4" xfId="19602" xr:uid="{6D8B087F-A90C-434F-B77D-889F4F0B5265}"/>
    <cellStyle name="Normal 8 3 2 3 6 5" xfId="28042" xr:uid="{E000F8A5-9892-46E4-8596-00DE9278ED3E}"/>
    <cellStyle name="Normal 8 3 2 3 7" xfId="4864" xr:uid="{00000000-0005-0000-0000-00006D1D0000}"/>
    <cellStyle name="Normal 8 3 2 3 7 2" xfId="13314" xr:uid="{9FB0679B-B511-47EA-8700-D831E57E3DF8}"/>
    <cellStyle name="Normal 8 3 2 3 7 3" xfId="21754" xr:uid="{762EA20B-9BAE-4E0C-BBBC-FD5E2B824A5E}"/>
    <cellStyle name="Normal 8 3 2 3 7 4" xfId="30194" xr:uid="{8B7A4AD4-8D77-48C6-AEC8-6D6BB93DAC42}"/>
    <cellStyle name="Normal 8 3 2 3 8" xfId="9096" xr:uid="{A1D3828F-B3B2-42AF-B77F-4533DFBBD202}"/>
    <cellStyle name="Normal 8 3 2 3 9" xfId="17537" xr:uid="{917185D5-C877-4A4C-BA04-00486ACD1F1A}"/>
    <cellStyle name="Normal 8 3 2 4" xfId="963" xr:uid="{00000000-0005-0000-0000-00006E1D0000}"/>
    <cellStyle name="Normal 8 3 2 4 2" xfId="3197" xr:uid="{00000000-0005-0000-0000-00006F1D0000}"/>
    <cellStyle name="Normal 8 3 2 4 2 2" xfId="7419" xr:uid="{00000000-0005-0000-0000-0000701D0000}"/>
    <cellStyle name="Normal 8 3 2 4 2 2 2" xfId="15869" xr:uid="{05A0E11A-E050-4DAE-A808-F117A8A7AD64}"/>
    <cellStyle name="Normal 8 3 2 4 2 2 3" xfId="24309" xr:uid="{C8D06ADA-8472-44C4-BBF2-D746017136AC}"/>
    <cellStyle name="Normal 8 3 2 4 2 2 4" xfId="32749" xr:uid="{5498F534-644C-47E9-A7BC-C26B2E101B30}"/>
    <cellStyle name="Normal 8 3 2 4 2 3" xfId="11651" xr:uid="{6C3E8FBD-7746-4D3B-9FA5-0051E559EC0B}"/>
    <cellStyle name="Normal 8 3 2 4 2 4" xfId="20092" xr:uid="{025775C6-F7BA-467A-8E42-AE2303F1AB70}"/>
    <cellStyle name="Normal 8 3 2 4 2 5" xfId="28532" xr:uid="{4E86E870-E1F3-42B5-8A58-DE29987DC078}"/>
    <cellStyle name="Normal 8 3 2 4 3" xfId="5274" xr:uid="{00000000-0005-0000-0000-0000711D0000}"/>
    <cellStyle name="Normal 8 3 2 4 3 2" xfId="13724" xr:uid="{547DFD30-4B89-4F05-B694-7E8A73F3F3BC}"/>
    <cellStyle name="Normal 8 3 2 4 3 3" xfId="22164" xr:uid="{3F117BFA-BFF8-4F93-BF16-093AD2AFFE39}"/>
    <cellStyle name="Normal 8 3 2 4 3 4" xfId="30604" xr:uid="{D6516D0D-630D-4D16-B0ED-3866422108F3}"/>
    <cellStyle name="Normal 8 3 2 4 4" xfId="9506" xr:uid="{67502422-048C-4E04-B378-B3FFD2890D1F}"/>
    <cellStyle name="Normal 8 3 2 4 5" xfId="17947" xr:uid="{1C7A8336-38CF-47C0-A7C0-9DB0DC1044F6}"/>
    <cellStyle name="Normal 8 3 2 4 6" xfId="26387" xr:uid="{128417F0-D6FB-4232-8964-9322196806D9}"/>
    <cellStyle name="Normal 8 3 2 5" xfId="1380" xr:uid="{00000000-0005-0000-0000-0000721D0000}"/>
    <cellStyle name="Normal 8 3 2 5 2" xfId="3610" xr:uid="{00000000-0005-0000-0000-0000731D0000}"/>
    <cellStyle name="Normal 8 3 2 5 2 2" xfId="7832" xr:uid="{00000000-0005-0000-0000-0000741D0000}"/>
    <cellStyle name="Normal 8 3 2 5 2 2 2" xfId="16282" xr:uid="{D0EFEB97-8AB0-4A05-961A-189C965F5EC8}"/>
    <cellStyle name="Normal 8 3 2 5 2 2 3" xfId="24722" xr:uid="{570E625D-FB9A-45D3-A6DA-D2E671F420CC}"/>
    <cellStyle name="Normal 8 3 2 5 2 2 4" xfId="33162" xr:uid="{6885652B-9C71-4498-B6F1-11FCC2645DC2}"/>
    <cellStyle name="Normal 8 3 2 5 2 3" xfId="12064" xr:uid="{ECF06F5B-30D2-4D50-9FDE-806C42C50DDE}"/>
    <cellStyle name="Normal 8 3 2 5 2 4" xfId="20505" xr:uid="{700CCB9D-3B1E-4FDD-BCA4-BFE0C3F9DD0E}"/>
    <cellStyle name="Normal 8 3 2 5 2 5" xfId="28945" xr:uid="{6D395F13-A28B-4074-9688-79AE349859CB}"/>
    <cellStyle name="Normal 8 3 2 5 3" xfId="5687" xr:uid="{00000000-0005-0000-0000-0000751D0000}"/>
    <cellStyle name="Normal 8 3 2 5 3 2" xfId="14137" xr:uid="{366B341D-5C82-406A-8718-77DB313062CF}"/>
    <cellStyle name="Normal 8 3 2 5 3 3" xfId="22577" xr:uid="{AA22F6A5-4651-4069-B97A-60A51F0E9A9C}"/>
    <cellStyle name="Normal 8 3 2 5 3 4" xfId="31017" xr:uid="{450C8C13-4CD5-452E-813E-E884959BBD9D}"/>
    <cellStyle name="Normal 8 3 2 5 4" xfId="9919" xr:uid="{BE92F647-804A-4B62-85DC-FC730D2D2D87}"/>
    <cellStyle name="Normal 8 3 2 5 5" xfId="18360" xr:uid="{52B07FE8-E3F2-4B5F-98C0-E5A483BEF77D}"/>
    <cellStyle name="Normal 8 3 2 5 6" xfId="26800" xr:uid="{9AC8E628-D329-419E-A70B-D71B08536871}"/>
    <cellStyle name="Normal 8 3 2 6" xfId="1793" xr:uid="{00000000-0005-0000-0000-0000761D0000}"/>
    <cellStyle name="Normal 8 3 2 6 2" xfId="4023" xr:uid="{00000000-0005-0000-0000-0000771D0000}"/>
    <cellStyle name="Normal 8 3 2 6 2 2" xfId="8245" xr:uid="{00000000-0005-0000-0000-0000781D0000}"/>
    <cellStyle name="Normal 8 3 2 6 2 2 2" xfId="16695" xr:uid="{1587D546-3BC5-4151-AF8D-A887606CD846}"/>
    <cellStyle name="Normal 8 3 2 6 2 2 3" xfId="25135" xr:uid="{70CF03BF-9D97-4433-B4C4-09A3CC9B3D5A}"/>
    <cellStyle name="Normal 8 3 2 6 2 2 4" xfId="33575" xr:uid="{5E78B42B-3F1C-4D7E-8A44-6AC8467C82AD}"/>
    <cellStyle name="Normal 8 3 2 6 2 3" xfId="12477" xr:uid="{21F7DDA7-92F7-4748-80A5-293D7439749F}"/>
    <cellStyle name="Normal 8 3 2 6 2 4" xfId="20918" xr:uid="{BB9D5A87-E6E3-4E75-8906-C6375F3D5132}"/>
    <cellStyle name="Normal 8 3 2 6 2 5" xfId="29358" xr:uid="{4A4FF838-6A05-4603-A2EA-CC9810EE486E}"/>
    <cellStyle name="Normal 8 3 2 6 3" xfId="6100" xr:uid="{00000000-0005-0000-0000-0000791D0000}"/>
    <cellStyle name="Normal 8 3 2 6 3 2" xfId="14550" xr:uid="{1DFA0F8E-C968-45D2-9584-CE74C708AC73}"/>
    <cellStyle name="Normal 8 3 2 6 3 3" xfId="22990" xr:uid="{2031A5AF-DAEA-4030-8BDE-451843A99AEC}"/>
    <cellStyle name="Normal 8 3 2 6 3 4" xfId="31430" xr:uid="{9C3E558E-0159-45C5-B172-93F00922C1B8}"/>
    <cellStyle name="Normal 8 3 2 6 4" xfId="10332" xr:uid="{1A854D53-3C93-4EEC-8252-79F95BC0FFF6}"/>
    <cellStyle name="Normal 8 3 2 6 5" xfId="18773" xr:uid="{3921F6CB-ED00-4F45-85FE-DCEEBB7EF2DB}"/>
    <cellStyle name="Normal 8 3 2 6 6" xfId="27213" xr:uid="{BABACE04-23EB-436F-A90A-7BA41E311F02}"/>
    <cellStyle name="Normal 8 3 2 7" xfId="2207" xr:uid="{00000000-0005-0000-0000-00007A1D0000}"/>
    <cellStyle name="Normal 8 3 2 7 2" xfId="4436" xr:uid="{00000000-0005-0000-0000-00007B1D0000}"/>
    <cellStyle name="Normal 8 3 2 7 2 2" xfId="8658" xr:uid="{00000000-0005-0000-0000-00007C1D0000}"/>
    <cellStyle name="Normal 8 3 2 7 2 2 2" xfId="17108" xr:uid="{DB02960D-46DB-4363-9D65-68A17E0C58A1}"/>
    <cellStyle name="Normal 8 3 2 7 2 2 3" xfId="25548" xr:uid="{D4C45FB2-7491-4EC8-84B0-DA01B2FCC9AC}"/>
    <cellStyle name="Normal 8 3 2 7 2 2 4" xfId="33988" xr:uid="{7E8EEDC4-561D-41D3-92D5-9CD10FCE117B}"/>
    <cellStyle name="Normal 8 3 2 7 2 3" xfId="12890" xr:uid="{E40D3220-3E60-445A-A717-50F20FAEC217}"/>
    <cellStyle name="Normal 8 3 2 7 2 4" xfId="21331" xr:uid="{A1DCA54C-82E7-4260-B83D-C3CCBCE3FB35}"/>
    <cellStyle name="Normal 8 3 2 7 2 5" xfId="29771" xr:uid="{BA62901B-5030-46DE-8F74-74AF4C5EB33E}"/>
    <cellStyle name="Normal 8 3 2 7 3" xfId="6513" xr:uid="{00000000-0005-0000-0000-00007D1D0000}"/>
    <cellStyle name="Normal 8 3 2 7 3 2" xfId="14963" xr:uid="{0E47D70A-858A-4100-90AE-F7EE8EA6C824}"/>
    <cellStyle name="Normal 8 3 2 7 3 3" xfId="23403" xr:uid="{91683B9E-34A1-4C94-B987-2BD2B562D1BB}"/>
    <cellStyle name="Normal 8 3 2 7 3 4" xfId="31843" xr:uid="{CA959215-9043-4131-B641-F01494396019}"/>
    <cellStyle name="Normal 8 3 2 7 4" xfId="10745" xr:uid="{434707DD-735D-48D4-A0B3-55D1C6100702}"/>
    <cellStyle name="Normal 8 3 2 7 5" xfId="19186" xr:uid="{211E1418-DE34-46E2-B8BA-8CA90B11F326}"/>
    <cellStyle name="Normal 8 3 2 7 6" xfId="27626" xr:uid="{555F1226-737E-40F6-9DB9-D80F597CFF4F}"/>
    <cellStyle name="Normal 8 3 2 8" xfId="2643" xr:uid="{00000000-0005-0000-0000-00007E1D0000}"/>
    <cellStyle name="Normal 8 3 2 8 2" xfId="6926" xr:uid="{00000000-0005-0000-0000-00007F1D0000}"/>
    <cellStyle name="Normal 8 3 2 8 2 2" xfId="15376" xr:uid="{8EE7722B-38B9-4550-A763-D4A4A6542118}"/>
    <cellStyle name="Normal 8 3 2 8 2 3" xfId="23816" xr:uid="{5095DB5D-80DB-45DC-A88A-18D29FC83506}"/>
    <cellStyle name="Normal 8 3 2 8 2 4" xfId="32256" xr:uid="{0750D63A-5848-40CE-8AB9-40394F7FD0F6}"/>
    <cellStyle name="Normal 8 3 2 8 3" xfId="11158" xr:uid="{CF46E122-E5C7-41F5-B8A8-CC8FDF8942D3}"/>
    <cellStyle name="Normal 8 3 2 8 4" xfId="19599" xr:uid="{841702CF-2C94-4E7F-98F9-B039F4A11834}"/>
    <cellStyle name="Normal 8 3 2 8 5" xfId="28039" xr:uid="{F34A89C8-A5F7-43A3-8018-6109F952C4E9}"/>
    <cellStyle name="Normal 8 3 2 9" xfId="4861" xr:uid="{00000000-0005-0000-0000-0000801D0000}"/>
    <cellStyle name="Normal 8 3 2 9 2" xfId="13311" xr:uid="{D86A4604-7867-46A3-B750-02013E1D282F}"/>
    <cellStyle name="Normal 8 3 2 9 3" xfId="21751" xr:uid="{02BCEC2B-C3C9-4D3F-AD71-FE04D795FD56}"/>
    <cellStyle name="Normal 8 3 2 9 4" xfId="30191" xr:uid="{8BF453FC-5E41-448A-AFAD-63113ADE2553}"/>
    <cellStyle name="Normal 8 3 3" xfId="500" xr:uid="{00000000-0005-0000-0000-0000811D0000}"/>
    <cellStyle name="Normal 8 3 3 10" xfId="17538" xr:uid="{D489448A-373B-475D-9C50-52DBA91C7514}"/>
    <cellStyle name="Normal 8 3 3 11" xfId="25978" xr:uid="{280F87BD-B348-4AB3-9FB0-61037C47015C}"/>
    <cellStyle name="Normal 8 3 3 2" xfId="501" xr:uid="{00000000-0005-0000-0000-0000821D0000}"/>
    <cellStyle name="Normal 8 3 3 2 10" xfId="25979" xr:uid="{78BBBFA1-C197-4AFD-960F-BEF1F69923FA}"/>
    <cellStyle name="Normal 8 3 3 2 2" xfId="968" xr:uid="{00000000-0005-0000-0000-0000831D0000}"/>
    <cellStyle name="Normal 8 3 3 2 2 2" xfId="3202" xr:uid="{00000000-0005-0000-0000-0000841D0000}"/>
    <cellStyle name="Normal 8 3 3 2 2 2 2" xfId="7424" xr:uid="{00000000-0005-0000-0000-0000851D0000}"/>
    <cellStyle name="Normal 8 3 3 2 2 2 2 2" xfId="15874" xr:uid="{8029B319-A05A-42E7-9F2B-E193B0801CCC}"/>
    <cellStyle name="Normal 8 3 3 2 2 2 2 3" xfId="24314" xr:uid="{71E3203E-8A42-4BE3-9287-F45C7B88BB90}"/>
    <cellStyle name="Normal 8 3 3 2 2 2 2 4" xfId="32754" xr:uid="{4C71D2F9-4F09-4214-BCF4-80C0966B0DF3}"/>
    <cellStyle name="Normal 8 3 3 2 2 2 3" xfId="11656" xr:uid="{12549410-032E-4A34-A9D7-F77D6BEB11A0}"/>
    <cellStyle name="Normal 8 3 3 2 2 2 4" xfId="20097" xr:uid="{51276A37-F860-4518-B610-561267676E26}"/>
    <cellStyle name="Normal 8 3 3 2 2 2 5" xfId="28537" xr:uid="{31B202C2-6F6D-4B9C-B38D-A9EE1513AAC8}"/>
    <cellStyle name="Normal 8 3 3 2 2 3" xfId="5279" xr:uid="{00000000-0005-0000-0000-0000861D0000}"/>
    <cellStyle name="Normal 8 3 3 2 2 3 2" xfId="13729" xr:uid="{56618992-6F51-48DF-8F56-BD05DFABF05F}"/>
    <cellStyle name="Normal 8 3 3 2 2 3 3" xfId="22169" xr:uid="{2E01440E-6850-4837-9294-86DB0604DF5A}"/>
    <cellStyle name="Normal 8 3 3 2 2 3 4" xfId="30609" xr:uid="{C6FB52B7-3107-4E64-AA02-7CA157FE0AD5}"/>
    <cellStyle name="Normal 8 3 3 2 2 4" xfId="9511" xr:uid="{3BC8FAEE-80CA-4D6D-8D31-D370B2288210}"/>
    <cellStyle name="Normal 8 3 3 2 2 5" xfId="17952" xr:uid="{3A70BA6B-AA7F-4316-86D9-E5082A402938}"/>
    <cellStyle name="Normal 8 3 3 2 2 6" xfId="26392" xr:uid="{839CF1CA-5827-42BA-B8C3-C740CB83883B}"/>
    <cellStyle name="Normal 8 3 3 2 3" xfId="1385" xr:uid="{00000000-0005-0000-0000-0000871D0000}"/>
    <cellStyle name="Normal 8 3 3 2 3 2" xfId="3615" xr:uid="{00000000-0005-0000-0000-0000881D0000}"/>
    <cellStyle name="Normal 8 3 3 2 3 2 2" xfId="7837" xr:uid="{00000000-0005-0000-0000-0000891D0000}"/>
    <cellStyle name="Normal 8 3 3 2 3 2 2 2" xfId="16287" xr:uid="{74095EFB-C6CC-48B9-A018-C35686A47B4F}"/>
    <cellStyle name="Normal 8 3 3 2 3 2 2 3" xfId="24727" xr:uid="{1B9CD340-18D0-43F8-8C93-9CF62D1FBC9C}"/>
    <cellStyle name="Normal 8 3 3 2 3 2 2 4" xfId="33167" xr:uid="{D7C556B0-17D5-4134-B42E-D380DCE6FBE3}"/>
    <cellStyle name="Normal 8 3 3 2 3 2 3" xfId="12069" xr:uid="{11D7DC00-FF1E-41D1-830E-2A9475C2AEE8}"/>
    <cellStyle name="Normal 8 3 3 2 3 2 4" xfId="20510" xr:uid="{E34DEBC8-B214-48E7-B9DE-8B35816EFBB4}"/>
    <cellStyle name="Normal 8 3 3 2 3 2 5" xfId="28950" xr:uid="{D0232213-A3D3-446A-89B1-4F955E43FE82}"/>
    <cellStyle name="Normal 8 3 3 2 3 3" xfId="5692" xr:uid="{00000000-0005-0000-0000-00008A1D0000}"/>
    <cellStyle name="Normal 8 3 3 2 3 3 2" xfId="14142" xr:uid="{871C28A1-3E26-4CB0-922B-245EE37CB7BE}"/>
    <cellStyle name="Normal 8 3 3 2 3 3 3" xfId="22582" xr:uid="{59871426-A8AE-4C95-B216-0AE9CCB46B05}"/>
    <cellStyle name="Normal 8 3 3 2 3 3 4" xfId="31022" xr:uid="{5A1F38CC-5098-4D02-833A-5867A5E489D2}"/>
    <cellStyle name="Normal 8 3 3 2 3 4" xfId="9924" xr:uid="{4A179380-1DAA-4E3A-B0AF-950336CCDA2C}"/>
    <cellStyle name="Normal 8 3 3 2 3 5" xfId="18365" xr:uid="{E1212E3A-D702-4043-8229-544087E91B13}"/>
    <cellStyle name="Normal 8 3 3 2 3 6" xfId="26805" xr:uid="{5FFD61C5-C0E1-44E5-8D23-1F645BDFF44F}"/>
    <cellStyle name="Normal 8 3 3 2 4" xfId="1798" xr:uid="{00000000-0005-0000-0000-00008B1D0000}"/>
    <cellStyle name="Normal 8 3 3 2 4 2" xfId="4028" xr:uid="{00000000-0005-0000-0000-00008C1D0000}"/>
    <cellStyle name="Normal 8 3 3 2 4 2 2" xfId="8250" xr:uid="{00000000-0005-0000-0000-00008D1D0000}"/>
    <cellStyle name="Normal 8 3 3 2 4 2 2 2" xfId="16700" xr:uid="{407E6A71-C86C-43DE-A3F0-80E7F9A2A967}"/>
    <cellStyle name="Normal 8 3 3 2 4 2 2 3" xfId="25140" xr:uid="{3C20F356-8181-463B-B61B-E371DFE35922}"/>
    <cellStyle name="Normal 8 3 3 2 4 2 2 4" xfId="33580" xr:uid="{14221ECA-3E77-422F-88C4-92F557A1B348}"/>
    <cellStyle name="Normal 8 3 3 2 4 2 3" xfId="12482" xr:uid="{C836DE3D-5AA2-485A-AADF-CB8E801D5C1C}"/>
    <cellStyle name="Normal 8 3 3 2 4 2 4" xfId="20923" xr:uid="{97F78F3F-D393-4A88-8F4D-A20C165E8481}"/>
    <cellStyle name="Normal 8 3 3 2 4 2 5" xfId="29363" xr:uid="{E8072CB1-72AA-4CFB-A205-5FC48974324C}"/>
    <cellStyle name="Normal 8 3 3 2 4 3" xfId="6105" xr:uid="{00000000-0005-0000-0000-00008E1D0000}"/>
    <cellStyle name="Normal 8 3 3 2 4 3 2" xfId="14555" xr:uid="{DD677DAB-FCBF-4C6F-B677-E0CF6517C250}"/>
    <cellStyle name="Normal 8 3 3 2 4 3 3" xfId="22995" xr:uid="{17D90858-3042-48A0-8DE0-4B8C8E2912F9}"/>
    <cellStyle name="Normal 8 3 3 2 4 3 4" xfId="31435" xr:uid="{F492966C-8B8A-4641-B550-3873535A73E5}"/>
    <cellStyle name="Normal 8 3 3 2 4 4" xfId="10337" xr:uid="{A77B9D33-2744-45D6-8156-682481F9B88B}"/>
    <cellStyle name="Normal 8 3 3 2 4 5" xfId="18778" xr:uid="{B26CE686-0563-4A45-8740-520DDE647AAA}"/>
    <cellStyle name="Normal 8 3 3 2 4 6" xfId="27218" xr:uid="{EA8C7134-DB54-45AE-9B81-3254272BE740}"/>
    <cellStyle name="Normal 8 3 3 2 5" xfId="2212" xr:uid="{00000000-0005-0000-0000-00008F1D0000}"/>
    <cellStyle name="Normal 8 3 3 2 5 2" xfId="4441" xr:uid="{00000000-0005-0000-0000-0000901D0000}"/>
    <cellStyle name="Normal 8 3 3 2 5 2 2" xfId="8663" xr:uid="{00000000-0005-0000-0000-0000911D0000}"/>
    <cellStyle name="Normal 8 3 3 2 5 2 2 2" xfId="17113" xr:uid="{E53EBD36-0EAE-4609-8EC5-4DD67FEE8225}"/>
    <cellStyle name="Normal 8 3 3 2 5 2 2 3" xfId="25553" xr:uid="{4973231C-978B-40CC-A9F5-B056FB233372}"/>
    <cellStyle name="Normal 8 3 3 2 5 2 2 4" xfId="33993" xr:uid="{FCED761D-0516-4791-B0E7-CE9C30C32101}"/>
    <cellStyle name="Normal 8 3 3 2 5 2 3" xfId="12895" xr:uid="{60BF29D9-AF74-433B-B7A9-CABBDE1283FF}"/>
    <cellStyle name="Normal 8 3 3 2 5 2 4" xfId="21336" xr:uid="{7FC168D8-5B65-4E76-BDBF-EDF1A2E10269}"/>
    <cellStyle name="Normal 8 3 3 2 5 2 5" xfId="29776" xr:uid="{148113AE-0D27-47A0-9796-5C7FC6580614}"/>
    <cellStyle name="Normal 8 3 3 2 5 3" xfId="6518" xr:uid="{00000000-0005-0000-0000-0000921D0000}"/>
    <cellStyle name="Normal 8 3 3 2 5 3 2" xfId="14968" xr:uid="{8B63D02E-3F1D-4E72-9FB0-0A854E478D29}"/>
    <cellStyle name="Normal 8 3 3 2 5 3 3" xfId="23408" xr:uid="{AEDD7A0B-AA1C-42C6-AE7A-979229A73226}"/>
    <cellStyle name="Normal 8 3 3 2 5 3 4" xfId="31848" xr:uid="{BDCD81A4-BFC9-41C9-9C0B-C45D97097866}"/>
    <cellStyle name="Normal 8 3 3 2 5 4" xfId="10750" xr:uid="{BA56AC56-5D77-4420-A703-ACF772EA009F}"/>
    <cellStyle name="Normal 8 3 3 2 5 5" xfId="19191" xr:uid="{E60DFE2C-831A-4E8F-9731-00C107C313BE}"/>
    <cellStyle name="Normal 8 3 3 2 5 6" xfId="27631" xr:uid="{4EDF7CDF-49D5-4552-A71F-4A425779C854}"/>
    <cellStyle name="Normal 8 3 3 2 6" xfId="2648" xr:uid="{00000000-0005-0000-0000-0000931D0000}"/>
    <cellStyle name="Normal 8 3 3 2 6 2" xfId="6931" xr:uid="{00000000-0005-0000-0000-0000941D0000}"/>
    <cellStyle name="Normal 8 3 3 2 6 2 2" xfId="15381" xr:uid="{F2E239F0-B302-4DE9-93AB-19F931E9178E}"/>
    <cellStyle name="Normal 8 3 3 2 6 2 3" xfId="23821" xr:uid="{1A678AC6-300A-4AE0-A73E-B6BB838D6E48}"/>
    <cellStyle name="Normal 8 3 3 2 6 2 4" xfId="32261" xr:uid="{147B228B-B50A-4F20-96C6-FED6E53C6CFB}"/>
    <cellStyle name="Normal 8 3 3 2 6 3" xfId="11163" xr:uid="{9E4BBE1F-2EF8-486D-8693-5E23A74EF067}"/>
    <cellStyle name="Normal 8 3 3 2 6 4" xfId="19604" xr:uid="{26687B11-38ED-4307-92FA-2A11FB746B37}"/>
    <cellStyle name="Normal 8 3 3 2 6 5" xfId="28044" xr:uid="{967FAF58-79E8-4A20-BAC4-B9CC5B7FC91C}"/>
    <cellStyle name="Normal 8 3 3 2 7" xfId="4866" xr:uid="{00000000-0005-0000-0000-0000951D0000}"/>
    <cellStyle name="Normal 8 3 3 2 7 2" xfId="13316" xr:uid="{A641385A-EC3E-491B-8401-BECBA55D431B}"/>
    <cellStyle name="Normal 8 3 3 2 7 3" xfId="21756" xr:uid="{FB5080CA-3BED-4493-88F9-CE64A500D6C2}"/>
    <cellStyle name="Normal 8 3 3 2 7 4" xfId="30196" xr:uid="{0F0C6DAF-6AFF-438F-AD0F-9C6F25AF74D9}"/>
    <cellStyle name="Normal 8 3 3 2 8" xfId="9098" xr:uid="{537834CC-B154-4341-A791-E8CF45181206}"/>
    <cellStyle name="Normal 8 3 3 2 9" xfId="17539" xr:uid="{5AFD54AB-9F22-45C0-B90A-F883EB0D77DA}"/>
    <cellStyle name="Normal 8 3 3 3" xfId="967" xr:uid="{00000000-0005-0000-0000-0000961D0000}"/>
    <cellStyle name="Normal 8 3 3 3 2" xfId="3201" xr:uid="{00000000-0005-0000-0000-0000971D0000}"/>
    <cellStyle name="Normal 8 3 3 3 2 2" xfId="7423" xr:uid="{00000000-0005-0000-0000-0000981D0000}"/>
    <cellStyle name="Normal 8 3 3 3 2 2 2" xfId="15873" xr:uid="{A325D4C0-4B4B-47B1-9ACA-D7C46C42B765}"/>
    <cellStyle name="Normal 8 3 3 3 2 2 3" xfId="24313" xr:uid="{989015BF-705F-40CA-AEA3-F78553C2ED9F}"/>
    <cellStyle name="Normal 8 3 3 3 2 2 4" xfId="32753" xr:uid="{517B001C-1423-4EB6-AC82-BE98705886D4}"/>
    <cellStyle name="Normal 8 3 3 3 2 3" xfId="11655" xr:uid="{2E6F6710-CB87-4D6A-B162-C49BEA0C42D8}"/>
    <cellStyle name="Normal 8 3 3 3 2 4" xfId="20096" xr:uid="{81F1F16C-FB79-4F0F-A741-32D963025F38}"/>
    <cellStyle name="Normal 8 3 3 3 2 5" xfId="28536" xr:uid="{D487489A-1493-47B0-9B29-D5F809F2FEEE}"/>
    <cellStyle name="Normal 8 3 3 3 3" xfId="5278" xr:uid="{00000000-0005-0000-0000-0000991D0000}"/>
    <cellStyle name="Normal 8 3 3 3 3 2" xfId="13728" xr:uid="{1CFD659B-EC0D-4A60-9298-5A5D3848EFD2}"/>
    <cellStyle name="Normal 8 3 3 3 3 3" xfId="22168" xr:uid="{70616471-93D0-4966-80A3-0973D2705777}"/>
    <cellStyle name="Normal 8 3 3 3 3 4" xfId="30608" xr:uid="{0E19948C-DF2D-493B-88C9-930F075168A4}"/>
    <cellStyle name="Normal 8 3 3 3 4" xfId="9510" xr:uid="{1A757C25-33E4-463B-BCC4-8E32C40D56B5}"/>
    <cellStyle name="Normal 8 3 3 3 5" xfId="17951" xr:uid="{9DB07089-E2D9-4FE2-A867-2BBBD7A81221}"/>
    <cellStyle name="Normal 8 3 3 3 6" xfId="26391" xr:uid="{5D0691F0-0ED8-4139-A3C2-361D6F4E1EFA}"/>
    <cellStyle name="Normal 8 3 3 4" xfId="1384" xr:uid="{00000000-0005-0000-0000-00009A1D0000}"/>
    <cellStyle name="Normal 8 3 3 4 2" xfId="3614" xr:uid="{00000000-0005-0000-0000-00009B1D0000}"/>
    <cellStyle name="Normal 8 3 3 4 2 2" xfId="7836" xr:uid="{00000000-0005-0000-0000-00009C1D0000}"/>
    <cellStyle name="Normal 8 3 3 4 2 2 2" xfId="16286" xr:uid="{7BA29FCA-7EB8-4D77-87FD-D2BDA69DAC71}"/>
    <cellStyle name="Normal 8 3 3 4 2 2 3" xfId="24726" xr:uid="{646ECC14-3A71-484F-B04F-9588CFBA00A9}"/>
    <cellStyle name="Normal 8 3 3 4 2 2 4" xfId="33166" xr:uid="{9688E8DA-04CD-4749-8CE4-415FBBA24416}"/>
    <cellStyle name="Normal 8 3 3 4 2 3" xfId="12068" xr:uid="{6D972118-3A8B-4CF2-9DC2-F819A3E02176}"/>
    <cellStyle name="Normal 8 3 3 4 2 4" xfId="20509" xr:uid="{5E58FA91-796F-42F4-85C6-39C6A48E3BD4}"/>
    <cellStyle name="Normal 8 3 3 4 2 5" xfId="28949" xr:uid="{1FB8DDBB-5C94-46CE-AC79-C910B166DA25}"/>
    <cellStyle name="Normal 8 3 3 4 3" xfId="5691" xr:uid="{00000000-0005-0000-0000-00009D1D0000}"/>
    <cellStyle name="Normal 8 3 3 4 3 2" xfId="14141" xr:uid="{C143EA99-424F-4B79-BDC2-E6315F4F0925}"/>
    <cellStyle name="Normal 8 3 3 4 3 3" xfId="22581" xr:uid="{0BF301C5-1B58-49E7-97AA-A90802E2F835}"/>
    <cellStyle name="Normal 8 3 3 4 3 4" xfId="31021" xr:uid="{1A7D390C-EEBC-4F16-86BA-150F2D059156}"/>
    <cellStyle name="Normal 8 3 3 4 4" xfId="9923" xr:uid="{4D29C1E3-BE59-47A2-9F62-141E36769855}"/>
    <cellStyle name="Normal 8 3 3 4 5" xfId="18364" xr:uid="{3FB22B52-75F5-43AC-9C6B-F3D83EE4E37B}"/>
    <cellStyle name="Normal 8 3 3 4 6" xfId="26804" xr:uid="{BC59CF1F-F350-478C-B286-14C35999F7C1}"/>
    <cellStyle name="Normal 8 3 3 5" xfId="1797" xr:uid="{00000000-0005-0000-0000-00009E1D0000}"/>
    <cellStyle name="Normal 8 3 3 5 2" xfId="4027" xr:uid="{00000000-0005-0000-0000-00009F1D0000}"/>
    <cellStyle name="Normal 8 3 3 5 2 2" xfId="8249" xr:uid="{00000000-0005-0000-0000-0000A01D0000}"/>
    <cellStyle name="Normal 8 3 3 5 2 2 2" xfId="16699" xr:uid="{10A3691F-6731-43D0-816C-0CE3B398760B}"/>
    <cellStyle name="Normal 8 3 3 5 2 2 3" xfId="25139" xr:uid="{20919971-B48E-4774-9291-10DDD7CA3175}"/>
    <cellStyle name="Normal 8 3 3 5 2 2 4" xfId="33579" xr:uid="{C8B2E35C-2CE3-40CA-9852-6DFB57786F41}"/>
    <cellStyle name="Normal 8 3 3 5 2 3" xfId="12481" xr:uid="{16A81AD5-2CFD-4C6C-AA58-5F23A564138D}"/>
    <cellStyle name="Normal 8 3 3 5 2 4" xfId="20922" xr:uid="{7792E3D9-FE50-4280-8057-390781214C93}"/>
    <cellStyle name="Normal 8 3 3 5 2 5" xfId="29362" xr:uid="{B85E1F9C-5C55-46A2-92F3-2CFC1A0455CC}"/>
    <cellStyle name="Normal 8 3 3 5 3" xfId="6104" xr:uid="{00000000-0005-0000-0000-0000A11D0000}"/>
    <cellStyle name="Normal 8 3 3 5 3 2" xfId="14554" xr:uid="{AD49DCE0-FCB0-4380-A884-FCDCFCD71DDB}"/>
    <cellStyle name="Normal 8 3 3 5 3 3" xfId="22994" xr:uid="{0D748D6B-A263-4053-8318-684F3A49C278}"/>
    <cellStyle name="Normal 8 3 3 5 3 4" xfId="31434" xr:uid="{A445B0E6-2DD7-4CC5-97E6-EAA3D9961111}"/>
    <cellStyle name="Normal 8 3 3 5 4" xfId="10336" xr:uid="{8A2EE9B5-334A-470B-9FCE-EBBCB7030E5F}"/>
    <cellStyle name="Normal 8 3 3 5 5" xfId="18777" xr:uid="{9A57ED44-AF46-4344-919A-A50F1EBB7658}"/>
    <cellStyle name="Normal 8 3 3 5 6" xfId="27217" xr:uid="{03A9DE10-3FEB-480E-B5B9-5E42935E1844}"/>
    <cellStyle name="Normal 8 3 3 6" xfId="2211" xr:uid="{00000000-0005-0000-0000-0000A21D0000}"/>
    <cellStyle name="Normal 8 3 3 6 2" xfId="4440" xr:uid="{00000000-0005-0000-0000-0000A31D0000}"/>
    <cellStyle name="Normal 8 3 3 6 2 2" xfId="8662" xr:uid="{00000000-0005-0000-0000-0000A41D0000}"/>
    <cellStyle name="Normal 8 3 3 6 2 2 2" xfId="17112" xr:uid="{35065123-E0C2-4875-AAC4-8F93615D2A7E}"/>
    <cellStyle name="Normal 8 3 3 6 2 2 3" xfId="25552" xr:uid="{B0E11971-2FB4-4A20-9D96-BE27D547885A}"/>
    <cellStyle name="Normal 8 3 3 6 2 2 4" xfId="33992" xr:uid="{876CC77E-D6D1-4757-8EA9-9A97A0EA26E2}"/>
    <cellStyle name="Normal 8 3 3 6 2 3" xfId="12894" xr:uid="{7A2F0C66-7ED4-46F1-A4CE-552AA36839B7}"/>
    <cellStyle name="Normal 8 3 3 6 2 4" xfId="21335" xr:uid="{0EF8D33F-2079-4272-859B-80039190DA8E}"/>
    <cellStyle name="Normal 8 3 3 6 2 5" xfId="29775" xr:uid="{D5CB5529-01ED-4073-98DA-C71AD63CE81D}"/>
    <cellStyle name="Normal 8 3 3 6 3" xfId="6517" xr:uid="{00000000-0005-0000-0000-0000A51D0000}"/>
    <cellStyle name="Normal 8 3 3 6 3 2" xfId="14967" xr:uid="{29CB39F8-BDAE-4FB6-8970-750DDD972000}"/>
    <cellStyle name="Normal 8 3 3 6 3 3" xfId="23407" xr:uid="{416377C6-92DD-46A2-8F5A-5141BCE3570F}"/>
    <cellStyle name="Normal 8 3 3 6 3 4" xfId="31847" xr:uid="{D8B4F1C6-2CA0-41DA-A322-D09FE3BD7932}"/>
    <cellStyle name="Normal 8 3 3 6 4" xfId="10749" xr:uid="{B680A543-73D8-4323-ABD0-C3DA84443430}"/>
    <cellStyle name="Normal 8 3 3 6 5" xfId="19190" xr:uid="{5B25DFFA-3D9E-4204-A36F-F2E32C036421}"/>
    <cellStyle name="Normal 8 3 3 6 6" xfId="27630" xr:uid="{7FE639C5-9207-4801-A1E6-B7E778C80848}"/>
    <cellStyle name="Normal 8 3 3 7" xfId="2647" xr:uid="{00000000-0005-0000-0000-0000A61D0000}"/>
    <cellStyle name="Normal 8 3 3 7 2" xfId="6930" xr:uid="{00000000-0005-0000-0000-0000A71D0000}"/>
    <cellStyle name="Normal 8 3 3 7 2 2" xfId="15380" xr:uid="{616641BC-8805-4F47-8937-78F951C6D9BE}"/>
    <cellStyle name="Normal 8 3 3 7 2 3" xfId="23820" xr:uid="{04BF4952-0948-4DA9-9780-D91D5DCEC379}"/>
    <cellStyle name="Normal 8 3 3 7 2 4" xfId="32260" xr:uid="{3576C465-278D-4431-A509-63C71A218F17}"/>
    <cellStyle name="Normal 8 3 3 7 3" xfId="11162" xr:uid="{B30D3BC7-9109-435E-9E0A-2DFD1ADC544A}"/>
    <cellStyle name="Normal 8 3 3 7 4" xfId="19603" xr:uid="{800C7D70-FF18-4946-B487-8851516E5EEE}"/>
    <cellStyle name="Normal 8 3 3 7 5" xfId="28043" xr:uid="{28F66D4A-C6A3-4355-B2B9-228C4BAC2D8F}"/>
    <cellStyle name="Normal 8 3 3 8" xfId="4865" xr:uid="{00000000-0005-0000-0000-0000A81D0000}"/>
    <cellStyle name="Normal 8 3 3 8 2" xfId="13315" xr:uid="{3155805A-F0D6-4C16-B0B2-24F0976134DF}"/>
    <cellStyle name="Normal 8 3 3 8 3" xfId="21755" xr:uid="{4B5E10DC-4DAC-4028-8DEC-4CA71CAD6362}"/>
    <cellStyle name="Normal 8 3 3 8 4" xfId="30195" xr:uid="{4297A7D3-1B9C-4934-B2CA-889525A20441}"/>
    <cellStyle name="Normal 8 3 3 9" xfId="9097" xr:uid="{A5381CFC-1125-4395-AC5E-37D7F01066E8}"/>
    <cellStyle name="Normal 8 3 4" xfId="502" xr:uid="{00000000-0005-0000-0000-0000A91D0000}"/>
    <cellStyle name="Normal 8 3 4 10" xfId="25980" xr:uid="{09F6AF24-50C1-4DCB-8A38-D72FA3DE5F63}"/>
    <cellStyle name="Normal 8 3 4 2" xfId="969" xr:uid="{00000000-0005-0000-0000-0000AA1D0000}"/>
    <cellStyle name="Normal 8 3 4 2 2" xfId="3203" xr:uid="{00000000-0005-0000-0000-0000AB1D0000}"/>
    <cellStyle name="Normal 8 3 4 2 2 2" xfId="7425" xr:uid="{00000000-0005-0000-0000-0000AC1D0000}"/>
    <cellStyle name="Normal 8 3 4 2 2 2 2" xfId="15875" xr:uid="{74630AC6-517A-443C-B18F-8AC4AD47031D}"/>
    <cellStyle name="Normal 8 3 4 2 2 2 3" xfId="24315" xr:uid="{683FD231-DE97-4DF9-82B9-D55C4BCABD8C}"/>
    <cellStyle name="Normal 8 3 4 2 2 2 4" xfId="32755" xr:uid="{81CF18D7-724C-44C8-B68A-116B13D90383}"/>
    <cellStyle name="Normal 8 3 4 2 2 3" xfId="11657" xr:uid="{49F5662A-1BF5-4E07-A7F4-5E7275E04C36}"/>
    <cellStyle name="Normal 8 3 4 2 2 4" xfId="20098" xr:uid="{EFA32349-5E15-4B89-8262-612D7087754E}"/>
    <cellStyle name="Normal 8 3 4 2 2 5" xfId="28538" xr:uid="{199CEF7F-BE07-4744-92A5-CCED0F067ECB}"/>
    <cellStyle name="Normal 8 3 4 2 3" xfId="5280" xr:uid="{00000000-0005-0000-0000-0000AD1D0000}"/>
    <cellStyle name="Normal 8 3 4 2 3 2" xfId="13730" xr:uid="{56645963-E216-490D-97FB-02F8882782DE}"/>
    <cellStyle name="Normal 8 3 4 2 3 3" xfId="22170" xr:uid="{0631AAF9-306A-4D86-80AC-92F7BCB465FE}"/>
    <cellStyle name="Normal 8 3 4 2 3 4" xfId="30610" xr:uid="{0968E1AB-7791-45B9-87C8-3477E77C1533}"/>
    <cellStyle name="Normal 8 3 4 2 4" xfId="9512" xr:uid="{8E7A54C7-B608-405C-9651-20AC1DFA2AB5}"/>
    <cellStyle name="Normal 8 3 4 2 5" xfId="17953" xr:uid="{D72B3385-1FD0-4F4D-B588-074389B9B7AD}"/>
    <cellStyle name="Normal 8 3 4 2 6" xfId="26393" xr:uid="{12FA134E-85E7-4A62-9CEB-7DD9968B6567}"/>
    <cellStyle name="Normal 8 3 4 3" xfId="1386" xr:uid="{00000000-0005-0000-0000-0000AE1D0000}"/>
    <cellStyle name="Normal 8 3 4 3 2" xfId="3616" xr:uid="{00000000-0005-0000-0000-0000AF1D0000}"/>
    <cellStyle name="Normal 8 3 4 3 2 2" xfId="7838" xr:uid="{00000000-0005-0000-0000-0000B01D0000}"/>
    <cellStyle name="Normal 8 3 4 3 2 2 2" xfId="16288" xr:uid="{8B9B2493-C2D8-4153-B3B4-10098F8D5804}"/>
    <cellStyle name="Normal 8 3 4 3 2 2 3" xfId="24728" xr:uid="{76760680-9DDD-4DAD-AAA8-270C92AB05F0}"/>
    <cellStyle name="Normal 8 3 4 3 2 2 4" xfId="33168" xr:uid="{841AC48C-912F-4F11-B3EC-5BE92308BC12}"/>
    <cellStyle name="Normal 8 3 4 3 2 3" xfId="12070" xr:uid="{F5132EF1-E2D9-4372-A798-A496BEBB1E76}"/>
    <cellStyle name="Normal 8 3 4 3 2 4" xfId="20511" xr:uid="{20E43BA9-D36D-4B7D-BA67-48ACBF11F33D}"/>
    <cellStyle name="Normal 8 3 4 3 2 5" xfId="28951" xr:uid="{D02FC3EB-2A6D-4F86-A823-A3E3DEDDF39F}"/>
    <cellStyle name="Normal 8 3 4 3 3" xfId="5693" xr:uid="{00000000-0005-0000-0000-0000B11D0000}"/>
    <cellStyle name="Normal 8 3 4 3 3 2" xfId="14143" xr:uid="{8437E3E4-E03C-4A56-BEC4-100A8EAA6461}"/>
    <cellStyle name="Normal 8 3 4 3 3 3" xfId="22583" xr:uid="{D60E2AF8-BBD3-44D7-A1FD-9D8A56052ABE}"/>
    <cellStyle name="Normal 8 3 4 3 3 4" xfId="31023" xr:uid="{CF7E385B-E36B-47C2-B0EB-60AE2F74DB0E}"/>
    <cellStyle name="Normal 8 3 4 3 4" xfId="9925" xr:uid="{4D7D5052-FDC6-4390-99AB-F1C51E249744}"/>
    <cellStyle name="Normal 8 3 4 3 5" xfId="18366" xr:uid="{B87468C8-09EE-4DFF-86A9-EFE3089F219B}"/>
    <cellStyle name="Normal 8 3 4 3 6" xfId="26806" xr:uid="{CDEDC02A-6344-48CD-9278-0E74A26CC9B8}"/>
    <cellStyle name="Normal 8 3 4 4" xfId="1799" xr:uid="{00000000-0005-0000-0000-0000B21D0000}"/>
    <cellStyle name="Normal 8 3 4 4 2" xfId="4029" xr:uid="{00000000-0005-0000-0000-0000B31D0000}"/>
    <cellStyle name="Normal 8 3 4 4 2 2" xfId="8251" xr:uid="{00000000-0005-0000-0000-0000B41D0000}"/>
    <cellStyle name="Normal 8 3 4 4 2 2 2" xfId="16701" xr:uid="{AC3D3662-6E1B-4D6A-AF38-97EBD6E62A97}"/>
    <cellStyle name="Normal 8 3 4 4 2 2 3" xfId="25141" xr:uid="{FD9AE545-0CE4-4C00-88AE-CA0244294022}"/>
    <cellStyle name="Normal 8 3 4 4 2 2 4" xfId="33581" xr:uid="{57AA0524-A962-405D-8C73-7687F9F2D385}"/>
    <cellStyle name="Normal 8 3 4 4 2 3" xfId="12483" xr:uid="{B7755938-E764-4500-B2F0-74DB1F4C444B}"/>
    <cellStyle name="Normal 8 3 4 4 2 4" xfId="20924" xr:uid="{216E2F5D-BB58-45AA-8AD5-51B3140C8797}"/>
    <cellStyle name="Normal 8 3 4 4 2 5" xfId="29364" xr:uid="{371BB88C-B234-4968-A89A-25830F7ABFCE}"/>
    <cellStyle name="Normal 8 3 4 4 3" xfId="6106" xr:uid="{00000000-0005-0000-0000-0000B51D0000}"/>
    <cellStyle name="Normal 8 3 4 4 3 2" xfId="14556" xr:uid="{5006347D-50C5-4688-B703-45B75CD49D65}"/>
    <cellStyle name="Normal 8 3 4 4 3 3" xfId="22996" xr:uid="{8422C2CC-A060-4C99-8322-6613C300C149}"/>
    <cellStyle name="Normal 8 3 4 4 3 4" xfId="31436" xr:uid="{1FB9F9A0-C169-4716-8855-609F83F52D78}"/>
    <cellStyle name="Normal 8 3 4 4 4" xfId="10338" xr:uid="{BD5016A9-EB32-4E06-BE49-8A6A019938C7}"/>
    <cellStyle name="Normal 8 3 4 4 5" xfId="18779" xr:uid="{735B9EB9-5F31-4A2E-A3B8-87873C806F7F}"/>
    <cellStyle name="Normal 8 3 4 4 6" xfId="27219" xr:uid="{431F8B36-CAEB-4366-9C5B-D47924685A4C}"/>
    <cellStyle name="Normal 8 3 4 5" xfId="2213" xr:uid="{00000000-0005-0000-0000-0000B61D0000}"/>
    <cellStyle name="Normal 8 3 4 5 2" xfId="4442" xr:uid="{00000000-0005-0000-0000-0000B71D0000}"/>
    <cellStyle name="Normal 8 3 4 5 2 2" xfId="8664" xr:uid="{00000000-0005-0000-0000-0000B81D0000}"/>
    <cellStyle name="Normal 8 3 4 5 2 2 2" xfId="17114" xr:uid="{69CF9028-9F9E-4584-A930-9055D731C914}"/>
    <cellStyle name="Normal 8 3 4 5 2 2 3" xfId="25554" xr:uid="{277AF84D-836C-4D89-BF35-6BB75314B941}"/>
    <cellStyle name="Normal 8 3 4 5 2 2 4" xfId="33994" xr:uid="{9CD21832-37FD-4CC0-8DC8-45AB0EAA4A24}"/>
    <cellStyle name="Normal 8 3 4 5 2 3" xfId="12896" xr:uid="{D21F7219-1171-45DF-9E1C-5D4A7FFE54EA}"/>
    <cellStyle name="Normal 8 3 4 5 2 4" xfId="21337" xr:uid="{82FB7F7F-D18D-4C2C-8877-38C5EA0F4191}"/>
    <cellStyle name="Normal 8 3 4 5 2 5" xfId="29777" xr:uid="{F1516DE6-CC97-4380-AB6F-6496EB894EE8}"/>
    <cellStyle name="Normal 8 3 4 5 3" xfId="6519" xr:uid="{00000000-0005-0000-0000-0000B91D0000}"/>
    <cellStyle name="Normal 8 3 4 5 3 2" xfId="14969" xr:uid="{8F47EB10-0864-4B8B-BF3E-D0EAF2F75310}"/>
    <cellStyle name="Normal 8 3 4 5 3 3" xfId="23409" xr:uid="{56D82358-1238-4871-95E4-C52BD4523C47}"/>
    <cellStyle name="Normal 8 3 4 5 3 4" xfId="31849" xr:uid="{EBE33C64-99B6-42BC-B267-30D40F319A76}"/>
    <cellStyle name="Normal 8 3 4 5 4" xfId="10751" xr:uid="{D0015300-DF14-4BF0-8FAF-B5DB9C40CCC8}"/>
    <cellStyle name="Normal 8 3 4 5 5" xfId="19192" xr:uid="{86491BB1-74D3-46E1-9E94-4CB59DC81F91}"/>
    <cellStyle name="Normal 8 3 4 5 6" xfId="27632" xr:uid="{4616159F-D0AC-41EE-BA35-629B57A5F9E1}"/>
    <cellStyle name="Normal 8 3 4 6" xfId="2649" xr:uid="{00000000-0005-0000-0000-0000BA1D0000}"/>
    <cellStyle name="Normal 8 3 4 6 2" xfId="6932" xr:uid="{00000000-0005-0000-0000-0000BB1D0000}"/>
    <cellStyle name="Normal 8 3 4 6 2 2" xfId="15382" xr:uid="{2705984B-A2BC-45B9-9156-898170DB7BC4}"/>
    <cellStyle name="Normal 8 3 4 6 2 3" xfId="23822" xr:uid="{D771311F-2880-4F5C-9599-50F5E6EA11CD}"/>
    <cellStyle name="Normal 8 3 4 6 2 4" xfId="32262" xr:uid="{7F87FC16-6942-4584-B52A-1B983876D86C}"/>
    <cellStyle name="Normal 8 3 4 6 3" xfId="11164" xr:uid="{FAC418C4-123E-4DC5-93D0-2A013DE4945C}"/>
    <cellStyle name="Normal 8 3 4 6 4" xfId="19605" xr:uid="{1F1409F0-E828-414F-978E-A922C855E813}"/>
    <cellStyle name="Normal 8 3 4 6 5" xfId="28045" xr:uid="{8AA93F25-F018-4590-A2A0-32E1161EAD71}"/>
    <cellStyle name="Normal 8 3 4 7" xfId="4867" xr:uid="{00000000-0005-0000-0000-0000BC1D0000}"/>
    <cellStyle name="Normal 8 3 4 7 2" xfId="13317" xr:uid="{03639464-4DAE-40CE-8670-CB5EFEA469F7}"/>
    <cellStyle name="Normal 8 3 4 7 3" xfId="21757" xr:uid="{8DA26ADC-58FE-4E05-8C69-8CDF6272D105}"/>
    <cellStyle name="Normal 8 3 4 7 4" xfId="30197" xr:uid="{F0D17DAC-B2D7-44B4-8079-9DE91CEFBD29}"/>
    <cellStyle name="Normal 8 3 4 8" xfId="9099" xr:uid="{4FF63B77-DEB1-4B59-9158-1426D3EAD569}"/>
    <cellStyle name="Normal 8 3 4 9" xfId="17540" xr:uid="{5C9A96D4-0142-474C-8DA6-C1583CF55DF7}"/>
    <cellStyle name="Normal 8 3 5" xfId="962" xr:uid="{00000000-0005-0000-0000-0000BD1D0000}"/>
    <cellStyle name="Normal 8 3 5 2" xfId="3196" xr:uid="{00000000-0005-0000-0000-0000BE1D0000}"/>
    <cellStyle name="Normal 8 3 5 2 2" xfId="7418" xr:uid="{00000000-0005-0000-0000-0000BF1D0000}"/>
    <cellStyle name="Normal 8 3 5 2 2 2" xfId="15868" xr:uid="{04D4DAFF-574C-481E-B622-34E7106198B2}"/>
    <cellStyle name="Normal 8 3 5 2 2 3" xfId="24308" xr:uid="{B8054AE1-6555-46A6-AE6F-04C6BAAB4A0F}"/>
    <cellStyle name="Normal 8 3 5 2 2 4" xfId="32748" xr:uid="{EC1799A2-F723-4BF3-A028-42937BC4A231}"/>
    <cellStyle name="Normal 8 3 5 2 3" xfId="11650" xr:uid="{4380F4D5-0FAF-4DD9-8996-D3A9ADBDFC5C}"/>
    <cellStyle name="Normal 8 3 5 2 4" xfId="20091" xr:uid="{82CE0523-572A-4EFB-952A-609A4509C49E}"/>
    <cellStyle name="Normal 8 3 5 2 5" xfId="28531" xr:uid="{6E085440-95B1-458C-B993-E676AF2B085B}"/>
    <cellStyle name="Normal 8 3 5 3" xfId="5273" xr:uid="{00000000-0005-0000-0000-0000C01D0000}"/>
    <cellStyle name="Normal 8 3 5 3 2" xfId="13723" xr:uid="{1CBD3D22-101F-4AFC-AA45-0121F7970FE9}"/>
    <cellStyle name="Normal 8 3 5 3 3" xfId="22163" xr:uid="{7C94B934-D808-4D87-907A-8594F3A21075}"/>
    <cellStyle name="Normal 8 3 5 3 4" xfId="30603" xr:uid="{59AC44C2-A6BA-4D3D-BD13-02D51427EBEF}"/>
    <cellStyle name="Normal 8 3 5 4" xfId="9505" xr:uid="{050BF9E6-F24F-4D49-9C31-2AC55C41BB14}"/>
    <cellStyle name="Normal 8 3 5 5" xfId="17946" xr:uid="{4EA09F8B-C4BB-41E6-8AD4-3036866F5D58}"/>
    <cellStyle name="Normal 8 3 5 6" xfId="26386" xr:uid="{660B4C2F-858F-409D-917E-96F1DA04D69B}"/>
    <cellStyle name="Normal 8 3 6" xfId="1379" xr:uid="{00000000-0005-0000-0000-0000C11D0000}"/>
    <cellStyle name="Normal 8 3 6 2" xfId="3609" xr:uid="{00000000-0005-0000-0000-0000C21D0000}"/>
    <cellStyle name="Normal 8 3 6 2 2" xfId="7831" xr:uid="{00000000-0005-0000-0000-0000C31D0000}"/>
    <cellStyle name="Normal 8 3 6 2 2 2" xfId="16281" xr:uid="{7AE16332-BE62-413E-8DBC-DAF98AF881F6}"/>
    <cellStyle name="Normal 8 3 6 2 2 3" xfId="24721" xr:uid="{A2AC435D-9152-4A9E-864D-43251D30ED8C}"/>
    <cellStyle name="Normal 8 3 6 2 2 4" xfId="33161" xr:uid="{5E66AFE1-0553-48DE-BA46-1AC5A04A4920}"/>
    <cellStyle name="Normal 8 3 6 2 3" xfId="12063" xr:uid="{CB8BB946-DF3A-44BB-AC9B-6756FA8975A5}"/>
    <cellStyle name="Normal 8 3 6 2 4" xfId="20504" xr:uid="{0EDEAC8F-CA74-473D-9990-7E24D0198A85}"/>
    <cellStyle name="Normal 8 3 6 2 5" xfId="28944" xr:uid="{B63C13D0-F2E4-4778-8B4C-EF3CC78485C1}"/>
    <cellStyle name="Normal 8 3 6 3" xfId="5686" xr:uid="{00000000-0005-0000-0000-0000C41D0000}"/>
    <cellStyle name="Normal 8 3 6 3 2" xfId="14136" xr:uid="{B44A4457-C49E-4E5A-BB9F-B3989B8E3E38}"/>
    <cellStyle name="Normal 8 3 6 3 3" xfId="22576" xr:uid="{6C89886E-8156-47D4-A8DD-A7F21598A748}"/>
    <cellStyle name="Normal 8 3 6 3 4" xfId="31016" xr:uid="{3ACF3C35-8D30-4D4A-B2E5-B74552CD8830}"/>
    <cellStyle name="Normal 8 3 6 4" xfId="9918" xr:uid="{96C5C575-5A34-4F3B-A66C-29915BCDBBD5}"/>
    <cellStyle name="Normal 8 3 6 5" xfId="18359" xr:uid="{01826C44-B4A6-4553-B51B-9D7C7832D07D}"/>
    <cellStyle name="Normal 8 3 6 6" xfId="26799" xr:uid="{4277BC67-C56F-49FB-9DBE-CDCDF2B2DC79}"/>
    <cellStyle name="Normal 8 3 7" xfId="1792" xr:uid="{00000000-0005-0000-0000-0000C51D0000}"/>
    <cellStyle name="Normal 8 3 7 2" xfId="4022" xr:uid="{00000000-0005-0000-0000-0000C61D0000}"/>
    <cellStyle name="Normal 8 3 7 2 2" xfId="8244" xr:uid="{00000000-0005-0000-0000-0000C71D0000}"/>
    <cellStyle name="Normal 8 3 7 2 2 2" xfId="16694" xr:uid="{A54EB1A5-FED0-4826-8235-EBD79CEC5ABA}"/>
    <cellStyle name="Normal 8 3 7 2 2 3" xfId="25134" xr:uid="{80C6B413-DFCB-4F9D-905E-7D55E0FC5142}"/>
    <cellStyle name="Normal 8 3 7 2 2 4" xfId="33574" xr:uid="{2A5CC068-5214-4DDB-946D-7E29857C1769}"/>
    <cellStyle name="Normal 8 3 7 2 3" xfId="12476" xr:uid="{9687C1B3-CFBD-4F4E-B2A1-1FB8B913B1C9}"/>
    <cellStyle name="Normal 8 3 7 2 4" xfId="20917" xr:uid="{A36EE989-525F-4CF9-B96B-42B17D4BA91A}"/>
    <cellStyle name="Normal 8 3 7 2 5" xfId="29357" xr:uid="{A2325DA0-C348-4F7F-9377-3FD706A170D9}"/>
    <cellStyle name="Normal 8 3 7 3" xfId="6099" xr:uid="{00000000-0005-0000-0000-0000C81D0000}"/>
    <cellStyle name="Normal 8 3 7 3 2" xfId="14549" xr:uid="{2EB15BD4-802E-4071-9C8E-3C4688359CDD}"/>
    <cellStyle name="Normal 8 3 7 3 3" xfId="22989" xr:uid="{DF46B5E6-5204-4993-A279-1AC9EB5458CD}"/>
    <cellStyle name="Normal 8 3 7 3 4" xfId="31429" xr:uid="{3A3FC1B1-D9C7-418F-A9DD-3ADD35164542}"/>
    <cellStyle name="Normal 8 3 7 4" xfId="10331" xr:uid="{72708C0D-BBE6-4A22-8597-95BA8A9C7E1C}"/>
    <cellStyle name="Normal 8 3 7 5" xfId="18772" xr:uid="{B0311F91-A53C-4459-9931-12E6800DC2AE}"/>
    <cellStyle name="Normal 8 3 7 6" xfId="27212" xr:uid="{B7569D3E-72A3-4299-B3CE-B6CBA8D2BDB3}"/>
    <cellStyle name="Normal 8 3 8" xfId="2206" xr:uid="{00000000-0005-0000-0000-0000C91D0000}"/>
    <cellStyle name="Normal 8 3 8 2" xfId="4435" xr:uid="{00000000-0005-0000-0000-0000CA1D0000}"/>
    <cellStyle name="Normal 8 3 8 2 2" xfId="8657" xr:uid="{00000000-0005-0000-0000-0000CB1D0000}"/>
    <cellStyle name="Normal 8 3 8 2 2 2" xfId="17107" xr:uid="{24DBDDE7-74E2-490E-9B38-B03F46090E54}"/>
    <cellStyle name="Normal 8 3 8 2 2 3" xfId="25547" xr:uid="{26D927B3-A5CF-4029-AE7D-E2D22D5022E6}"/>
    <cellStyle name="Normal 8 3 8 2 2 4" xfId="33987" xr:uid="{0D5E527E-28FF-4F21-83F9-31C94AA6CF27}"/>
    <cellStyle name="Normal 8 3 8 2 3" xfId="12889" xr:uid="{8904870B-6C10-4972-B8F1-364C6814CCA0}"/>
    <cellStyle name="Normal 8 3 8 2 4" xfId="21330" xr:uid="{76ECC173-E70B-455B-B9FA-489DCF5C3738}"/>
    <cellStyle name="Normal 8 3 8 2 5" xfId="29770" xr:uid="{8B69D9F5-23A3-405A-930D-924C21E3E1BA}"/>
    <cellStyle name="Normal 8 3 8 3" xfId="6512" xr:uid="{00000000-0005-0000-0000-0000CC1D0000}"/>
    <cellStyle name="Normal 8 3 8 3 2" xfId="14962" xr:uid="{F101F3ED-9F18-44D8-AD54-04B5F58EA06D}"/>
    <cellStyle name="Normal 8 3 8 3 3" xfId="23402" xr:uid="{8B1D780C-9D36-48BB-ACDF-1BD7F31F67B0}"/>
    <cellStyle name="Normal 8 3 8 3 4" xfId="31842" xr:uid="{4DAB575D-E6BE-47F5-89CB-44ABC29BB556}"/>
    <cellStyle name="Normal 8 3 8 4" xfId="10744" xr:uid="{8FB74092-D2E0-4400-B710-C14DCAAE6865}"/>
    <cellStyle name="Normal 8 3 8 5" xfId="19185" xr:uid="{E38F9FC9-6C7D-4305-9A8F-8264CBAA9122}"/>
    <cellStyle name="Normal 8 3 8 6" xfId="27625" xr:uid="{89A1F03D-D0D9-495C-8A29-0BCA0D8B61ED}"/>
    <cellStyle name="Normal 8 3 9" xfId="2642" xr:uid="{00000000-0005-0000-0000-0000CD1D0000}"/>
    <cellStyle name="Normal 8 3 9 2" xfId="6925" xr:uid="{00000000-0005-0000-0000-0000CE1D0000}"/>
    <cellStyle name="Normal 8 3 9 2 2" xfId="15375" xr:uid="{F131FF02-7D6C-4C42-8B05-4BE5C185066E}"/>
    <cellStyle name="Normal 8 3 9 2 3" xfId="23815" xr:uid="{152C5B51-03F3-4F33-820D-9248EE08CDF0}"/>
    <cellStyle name="Normal 8 3 9 2 4" xfId="32255" xr:uid="{85B2550E-1E4A-43E1-A7AA-227227167B2B}"/>
    <cellStyle name="Normal 8 3 9 3" xfId="11157" xr:uid="{FBB6D024-3181-48A4-9562-57E8481D765F}"/>
    <cellStyle name="Normal 8 3 9 4" xfId="19598" xr:uid="{F0436D77-4812-474E-A3D6-217D97DBA6E1}"/>
    <cellStyle name="Normal 8 3 9 5" xfId="28038" xr:uid="{B54FD729-2586-42C7-9CDB-C1C46E370F19}"/>
    <cellStyle name="Normal 8 4" xfId="503" xr:uid="{00000000-0005-0000-0000-0000CF1D0000}"/>
    <cellStyle name="Normal 8 4 10" xfId="9100" xr:uid="{5B170EEE-5748-4AAC-9C0B-548CCCC69D12}"/>
    <cellStyle name="Normal 8 4 11" xfId="17541" xr:uid="{AB22E814-E6A4-49E8-98CD-4A184F31AF37}"/>
    <cellStyle name="Normal 8 4 12" xfId="25981" xr:uid="{88630336-20FD-4385-9588-7AB8FD0A49A4}"/>
    <cellStyle name="Normal 8 4 2" xfId="504" xr:uid="{00000000-0005-0000-0000-0000D01D0000}"/>
    <cellStyle name="Normal 8 4 2 10" xfId="17542" xr:uid="{F3574979-A196-42EA-8C1D-025AB9C4FD51}"/>
    <cellStyle name="Normal 8 4 2 11" xfId="25982" xr:uid="{62442CC4-7D7A-4F83-AD52-3B4950A9C3E3}"/>
    <cellStyle name="Normal 8 4 2 2" xfId="505" xr:uid="{00000000-0005-0000-0000-0000D11D0000}"/>
    <cellStyle name="Normal 8 4 2 2 10" xfId="25983" xr:uid="{4744275C-490E-4344-AAD9-81AE02665EB3}"/>
    <cellStyle name="Normal 8 4 2 2 2" xfId="972" xr:uid="{00000000-0005-0000-0000-0000D21D0000}"/>
    <cellStyle name="Normal 8 4 2 2 2 2" xfId="3206" xr:uid="{00000000-0005-0000-0000-0000D31D0000}"/>
    <cellStyle name="Normal 8 4 2 2 2 2 2" xfId="7428" xr:uid="{00000000-0005-0000-0000-0000D41D0000}"/>
    <cellStyle name="Normal 8 4 2 2 2 2 2 2" xfId="15878" xr:uid="{EDCE5470-CDDA-4066-816B-1812CF3D3D35}"/>
    <cellStyle name="Normal 8 4 2 2 2 2 2 3" xfId="24318" xr:uid="{FEFB122A-FA6C-46DF-9162-34192F13B88B}"/>
    <cellStyle name="Normal 8 4 2 2 2 2 2 4" xfId="32758" xr:uid="{C9109EB4-309E-44C4-9FD1-D1FF939AB60B}"/>
    <cellStyle name="Normal 8 4 2 2 2 2 3" xfId="11660" xr:uid="{DBC678F3-C9FB-47E6-83C7-700B322CE094}"/>
    <cellStyle name="Normal 8 4 2 2 2 2 4" xfId="20101" xr:uid="{FAC49470-01BF-422F-A204-44D0A215B969}"/>
    <cellStyle name="Normal 8 4 2 2 2 2 5" xfId="28541" xr:uid="{D7132A01-D169-4746-9491-61C6DF2A9751}"/>
    <cellStyle name="Normal 8 4 2 2 2 3" xfId="5283" xr:uid="{00000000-0005-0000-0000-0000D51D0000}"/>
    <cellStyle name="Normal 8 4 2 2 2 3 2" xfId="13733" xr:uid="{E9BEDFF0-1684-41C4-BC8F-C0CF294FF4CC}"/>
    <cellStyle name="Normal 8 4 2 2 2 3 3" xfId="22173" xr:uid="{CA74FE25-5863-4EF4-B5D1-7EE57E668593}"/>
    <cellStyle name="Normal 8 4 2 2 2 3 4" xfId="30613" xr:uid="{856ADF93-1C9E-49A6-BC15-7F2B11F16968}"/>
    <cellStyle name="Normal 8 4 2 2 2 4" xfId="9515" xr:uid="{C4508F87-DC11-4517-8843-48ED0F7CDA1C}"/>
    <cellStyle name="Normal 8 4 2 2 2 5" xfId="17956" xr:uid="{76A1D588-8E76-4D53-A86B-328919589BEB}"/>
    <cellStyle name="Normal 8 4 2 2 2 6" xfId="26396" xr:uid="{80D2025F-6861-46CD-BD36-18537B680AC7}"/>
    <cellStyle name="Normal 8 4 2 2 3" xfId="1389" xr:uid="{00000000-0005-0000-0000-0000D61D0000}"/>
    <cellStyle name="Normal 8 4 2 2 3 2" xfId="3619" xr:uid="{00000000-0005-0000-0000-0000D71D0000}"/>
    <cellStyle name="Normal 8 4 2 2 3 2 2" xfId="7841" xr:uid="{00000000-0005-0000-0000-0000D81D0000}"/>
    <cellStyle name="Normal 8 4 2 2 3 2 2 2" xfId="16291" xr:uid="{35A8135F-A98E-49B9-A237-B2434996A2BD}"/>
    <cellStyle name="Normal 8 4 2 2 3 2 2 3" xfId="24731" xr:uid="{A5DF6169-F67C-48B1-9AE4-B8A91BDB7E0E}"/>
    <cellStyle name="Normal 8 4 2 2 3 2 2 4" xfId="33171" xr:uid="{40137E61-48F3-478A-B133-05F599BB728E}"/>
    <cellStyle name="Normal 8 4 2 2 3 2 3" xfId="12073" xr:uid="{E178603D-237B-4DE0-9D7D-6DD127585992}"/>
    <cellStyle name="Normal 8 4 2 2 3 2 4" xfId="20514" xr:uid="{ECAB215C-2866-476C-A223-A2C754736825}"/>
    <cellStyle name="Normal 8 4 2 2 3 2 5" xfId="28954" xr:uid="{C5542B57-F5AC-460D-9AF5-F7AA3E8DD7EA}"/>
    <cellStyle name="Normal 8 4 2 2 3 3" xfId="5696" xr:uid="{00000000-0005-0000-0000-0000D91D0000}"/>
    <cellStyle name="Normal 8 4 2 2 3 3 2" xfId="14146" xr:uid="{03A1284F-7F9C-4830-9C34-143880EFF905}"/>
    <cellStyle name="Normal 8 4 2 2 3 3 3" xfId="22586" xr:uid="{B2840D0E-3CDE-460F-B076-C66CCC61F72C}"/>
    <cellStyle name="Normal 8 4 2 2 3 3 4" xfId="31026" xr:uid="{2B62385F-CDA7-4DEE-87C1-02E89AE18C4A}"/>
    <cellStyle name="Normal 8 4 2 2 3 4" xfId="9928" xr:uid="{E5F700B3-066D-44E3-8699-64BC312DABD4}"/>
    <cellStyle name="Normal 8 4 2 2 3 5" xfId="18369" xr:uid="{55745485-8DB1-43D0-ABF2-51D568E45C82}"/>
    <cellStyle name="Normal 8 4 2 2 3 6" xfId="26809" xr:uid="{A9C6CAD1-02D0-47BA-8B66-E0D01DB4FD13}"/>
    <cellStyle name="Normal 8 4 2 2 4" xfId="1802" xr:uid="{00000000-0005-0000-0000-0000DA1D0000}"/>
    <cellStyle name="Normal 8 4 2 2 4 2" xfId="4032" xr:uid="{00000000-0005-0000-0000-0000DB1D0000}"/>
    <cellStyle name="Normal 8 4 2 2 4 2 2" xfId="8254" xr:uid="{00000000-0005-0000-0000-0000DC1D0000}"/>
    <cellStyle name="Normal 8 4 2 2 4 2 2 2" xfId="16704" xr:uid="{E4D25FAA-9EBF-4714-A8B7-80667A5AE94D}"/>
    <cellStyle name="Normal 8 4 2 2 4 2 2 3" xfId="25144" xr:uid="{DBE34114-0095-4237-82B7-05CA2E6144F6}"/>
    <cellStyle name="Normal 8 4 2 2 4 2 2 4" xfId="33584" xr:uid="{2968A622-B7E5-48B7-8B51-0879C1CB9E44}"/>
    <cellStyle name="Normal 8 4 2 2 4 2 3" xfId="12486" xr:uid="{24648592-4F2B-494C-BDF4-C036FECB4C59}"/>
    <cellStyle name="Normal 8 4 2 2 4 2 4" xfId="20927" xr:uid="{406FF30B-02F9-4E1F-84B3-1917A9B1E61C}"/>
    <cellStyle name="Normal 8 4 2 2 4 2 5" xfId="29367" xr:uid="{6FD890D3-111B-4A1E-88B1-B7E0E871670D}"/>
    <cellStyle name="Normal 8 4 2 2 4 3" xfId="6109" xr:uid="{00000000-0005-0000-0000-0000DD1D0000}"/>
    <cellStyle name="Normal 8 4 2 2 4 3 2" xfId="14559" xr:uid="{BE08675E-6933-4106-8C5E-23801F11BD9C}"/>
    <cellStyle name="Normal 8 4 2 2 4 3 3" xfId="22999" xr:uid="{C038D712-622C-47E3-A597-C4D89B19BA1A}"/>
    <cellStyle name="Normal 8 4 2 2 4 3 4" xfId="31439" xr:uid="{80331C76-CDD4-4903-BEEF-F970669EFDE7}"/>
    <cellStyle name="Normal 8 4 2 2 4 4" xfId="10341" xr:uid="{84FBEFE2-0C98-4BDB-A274-441CDAF7FCF6}"/>
    <cellStyle name="Normal 8 4 2 2 4 5" xfId="18782" xr:uid="{562283EB-3776-4A1B-BB0C-A552D0FC7F0A}"/>
    <cellStyle name="Normal 8 4 2 2 4 6" xfId="27222" xr:uid="{BD0BFCFD-1374-4F16-8325-3C6C2541BCC6}"/>
    <cellStyle name="Normal 8 4 2 2 5" xfId="2216" xr:uid="{00000000-0005-0000-0000-0000DE1D0000}"/>
    <cellStyle name="Normal 8 4 2 2 5 2" xfId="4445" xr:uid="{00000000-0005-0000-0000-0000DF1D0000}"/>
    <cellStyle name="Normal 8 4 2 2 5 2 2" xfId="8667" xr:uid="{00000000-0005-0000-0000-0000E01D0000}"/>
    <cellStyle name="Normal 8 4 2 2 5 2 2 2" xfId="17117" xr:uid="{4772F21F-B46D-464F-98CD-7839C620C928}"/>
    <cellStyle name="Normal 8 4 2 2 5 2 2 3" xfId="25557" xr:uid="{DEC49C2D-9EE1-4738-8112-E23E69A312CC}"/>
    <cellStyle name="Normal 8 4 2 2 5 2 2 4" xfId="33997" xr:uid="{D7EA870F-B3AE-42A8-88DB-601844824605}"/>
    <cellStyle name="Normal 8 4 2 2 5 2 3" xfId="12899" xr:uid="{7F860EE8-2889-43D6-8739-65D1080B6223}"/>
    <cellStyle name="Normal 8 4 2 2 5 2 4" xfId="21340" xr:uid="{9128EFED-92DC-45D4-912B-D3DD68A21185}"/>
    <cellStyle name="Normal 8 4 2 2 5 2 5" xfId="29780" xr:uid="{05BDCA5D-1DCD-4C44-B25D-DF563C00FCE5}"/>
    <cellStyle name="Normal 8 4 2 2 5 3" xfId="6522" xr:uid="{00000000-0005-0000-0000-0000E11D0000}"/>
    <cellStyle name="Normal 8 4 2 2 5 3 2" xfId="14972" xr:uid="{BF9B62BA-773A-4706-B170-156AA2F610A6}"/>
    <cellStyle name="Normal 8 4 2 2 5 3 3" xfId="23412" xr:uid="{BC40E4CD-B9E8-4E68-A760-88E5ACC58A45}"/>
    <cellStyle name="Normal 8 4 2 2 5 3 4" xfId="31852" xr:uid="{E9081D1D-898A-4805-833E-50FA25394E5E}"/>
    <cellStyle name="Normal 8 4 2 2 5 4" xfId="10754" xr:uid="{B3736C1E-C2BF-4FEE-92EA-15474BFDFB2E}"/>
    <cellStyle name="Normal 8 4 2 2 5 5" xfId="19195" xr:uid="{763C3548-56F7-4109-9569-2E3EA68C7674}"/>
    <cellStyle name="Normal 8 4 2 2 5 6" xfId="27635" xr:uid="{AC27054B-6B1F-4D55-BB7E-9AC13D5F02DA}"/>
    <cellStyle name="Normal 8 4 2 2 6" xfId="2652" xr:uid="{00000000-0005-0000-0000-0000E21D0000}"/>
    <cellStyle name="Normal 8 4 2 2 6 2" xfId="6935" xr:uid="{00000000-0005-0000-0000-0000E31D0000}"/>
    <cellStyle name="Normal 8 4 2 2 6 2 2" xfId="15385" xr:uid="{E96BBAD7-1037-401D-8E7B-4EC07E1A9A5F}"/>
    <cellStyle name="Normal 8 4 2 2 6 2 3" xfId="23825" xr:uid="{788039A4-DDF0-4DEC-B315-3F1AEF727F13}"/>
    <cellStyle name="Normal 8 4 2 2 6 2 4" xfId="32265" xr:uid="{3F88BBDC-4E15-46D1-824D-B61EE8AA28FC}"/>
    <cellStyle name="Normal 8 4 2 2 6 3" xfId="11167" xr:uid="{1FE44404-4B1C-4A21-A087-A49802B557E4}"/>
    <cellStyle name="Normal 8 4 2 2 6 4" xfId="19608" xr:uid="{47877D07-7413-467C-9BA9-700FA57C600A}"/>
    <cellStyle name="Normal 8 4 2 2 6 5" xfId="28048" xr:uid="{20932BD5-DAA4-4011-9807-ACCCD161B1A4}"/>
    <cellStyle name="Normal 8 4 2 2 7" xfId="4870" xr:uid="{00000000-0005-0000-0000-0000E41D0000}"/>
    <cellStyle name="Normal 8 4 2 2 7 2" xfId="13320" xr:uid="{17054EB7-2C0D-48CF-AAFE-C6D5C3DD537D}"/>
    <cellStyle name="Normal 8 4 2 2 7 3" xfId="21760" xr:uid="{61F26F47-C74F-42E4-942C-641A87E2EA5E}"/>
    <cellStyle name="Normal 8 4 2 2 7 4" xfId="30200" xr:uid="{736FC388-4747-4C54-8D71-CFBEABD125F7}"/>
    <cellStyle name="Normal 8 4 2 2 8" xfId="9102" xr:uid="{3EE78D78-AE42-460D-898B-2A51C9E65203}"/>
    <cellStyle name="Normal 8 4 2 2 9" xfId="17543" xr:uid="{22D92B92-D4BE-460F-8CFE-97F0EC90366F}"/>
    <cellStyle name="Normal 8 4 2 3" xfId="971" xr:uid="{00000000-0005-0000-0000-0000E51D0000}"/>
    <cellStyle name="Normal 8 4 2 3 2" xfId="3205" xr:uid="{00000000-0005-0000-0000-0000E61D0000}"/>
    <cellStyle name="Normal 8 4 2 3 2 2" xfId="7427" xr:uid="{00000000-0005-0000-0000-0000E71D0000}"/>
    <cellStyle name="Normal 8 4 2 3 2 2 2" xfId="15877" xr:uid="{0C939431-1812-4E20-84DE-37F6C1C87C39}"/>
    <cellStyle name="Normal 8 4 2 3 2 2 3" xfId="24317" xr:uid="{5715FB1F-52F4-4F42-B239-921506DC61D5}"/>
    <cellStyle name="Normal 8 4 2 3 2 2 4" xfId="32757" xr:uid="{DBB4C0D7-D22A-4C43-9076-BB5C0B941540}"/>
    <cellStyle name="Normal 8 4 2 3 2 3" xfId="11659" xr:uid="{3CA112A6-9E72-4C47-9C85-64DA23AC972F}"/>
    <cellStyle name="Normal 8 4 2 3 2 4" xfId="20100" xr:uid="{9C0A6D96-8932-4344-92E9-E9080D3D45B4}"/>
    <cellStyle name="Normal 8 4 2 3 2 5" xfId="28540" xr:uid="{57F9592C-6E7D-4978-83B4-D8B8BE321631}"/>
    <cellStyle name="Normal 8 4 2 3 3" xfId="5282" xr:uid="{00000000-0005-0000-0000-0000E81D0000}"/>
    <cellStyle name="Normal 8 4 2 3 3 2" xfId="13732" xr:uid="{505ADB54-DD0D-494E-9CE7-427768C8DE8A}"/>
    <cellStyle name="Normal 8 4 2 3 3 3" xfId="22172" xr:uid="{47C8F84F-2B2B-491E-B2D4-CEE093DC588F}"/>
    <cellStyle name="Normal 8 4 2 3 3 4" xfId="30612" xr:uid="{BDA98461-35BF-48EC-874E-7336D39034A0}"/>
    <cellStyle name="Normal 8 4 2 3 4" xfId="9514" xr:uid="{6393AEF8-F566-4404-9508-905DB5A63E30}"/>
    <cellStyle name="Normal 8 4 2 3 5" xfId="17955" xr:uid="{20905F45-86CF-40D9-8881-A26B0AC35765}"/>
    <cellStyle name="Normal 8 4 2 3 6" xfId="26395" xr:uid="{2564605A-53F9-4560-BB1D-BA4C698C861C}"/>
    <cellStyle name="Normal 8 4 2 4" xfId="1388" xr:uid="{00000000-0005-0000-0000-0000E91D0000}"/>
    <cellStyle name="Normal 8 4 2 4 2" xfId="3618" xr:uid="{00000000-0005-0000-0000-0000EA1D0000}"/>
    <cellStyle name="Normal 8 4 2 4 2 2" xfId="7840" xr:uid="{00000000-0005-0000-0000-0000EB1D0000}"/>
    <cellStyle name="Normal 8 4 2 4 2 2 2" xfId="16290" xr:uid="{5E906311-C42E-4919-8B75-EFBE17497121}"/>
    <cellStyle name="Normal 8 4 2 4 2 2 3" xfId="24730" xr:uid="{C731041A-B641-40F9-9389-11307FF2EB84}"/>
    <cellStyle name="Normal 8 4 2 4 2 2 4" xfId="33170" xr:uid="{73D44C25-C264-47B4-BCE6-EC02B5EEE44E}"/>
    <cellStyle name="Normal 8 4 2 4 2 3" xfId="12072" xr:uid="{A0362FF5-A6DF-4D02-9B52-1A4DB0583AC3}"/>
    <cellStyle name="Normal 8 4 2 4 2 4" xfId="20513" xr:uid="{6187FABF-F4D5-4D01-B421-9FACF751D278}"/>
    <cellStyle name="Normal 8 4 2 4 2 5" xfId="28953" xr:uid="{E4C43492-3F7E-4DA4-9D43-E3AECB9F17B8}"/>
    <cellStyle name="Normal 8 4 2 4 3" xfId="5695" xr:uid="{00000000-0005-0000-0000-0000EC1D0000}"/>
    <cellStyle name="Normal 8 4 2 4 3 2" xfId="14145" xr:uid="{CA3D4AA9-B1DC-4F63-AE32-3A7F7A4EC5EB}"/>
    <cellStyle name="Normal 8 4 2 4 3 3" xfId="22585" xr:uid="{F6826757-7B36-4D10-BCE8-FEA0D2468337}"/>
    <cellStyle name="Normal 8 4 2 4 3 4" xfId="31025" xr:uid="{379F4107-DE92-47D3-839C-BCC6558C27D5}"/>
    <cellStyle name="Normal 8 4 2 4 4" xfId="9927" xr:uid="{33E136DB-3401-45BD-8015-DD22908979A3}"/>
    <cellStyle name="Normal 8 4 2 4 5" xfId="18368" xr:uid="{3DE810F5-264A-49D8-9AB1-7D25D41F320A}"/>
    <cellStyle name="Normal 8 4 2 4 6" xfId="26808" xr:uid="{01323676-286D-4E34-90E6-D7AD96145F6F}"/>
    <cellStyle name="Normal 8 4 2 5" xfId="1801" xr:uid="{00000000-0005-0000-0000-0000ED1D0000}"/>
    <cellStyle name="Normal 8 4 2 5 2" xfId="4031" xr:uid="{00000000-0005-0000-0000-0000EE1D0000}"/>
    <cellStyle name="Normal 8 4 2 5 2 2" xfId="8253" xr:uid="{00000000-0005-0000-0000-0000EF1D0000}"/>
    <cellStyle name="Normal 8 4 2 5 2 2 2" xfId="16703" xr:uid="{498EAAFE-5094-40AB-9330-2FFD8241990E}"/>
    <cellStyle name="Normal 8 4 2 5 2 2 3" xfId="25143" xr:uid="{AA3E4049-6F90-497D-B603-5DF5E99DBA9C}"/>
    <cellStyle name="Normal 8 4 2 5 2 2 4" xfId="33583" xr:uid="{D599D3E4-6B0F-4F54-94F5-CDB82D915DDB}"/>
    <cellStyle name="Normal 8 4 2 5 2 3" xfId="12485" xr:uid="{AD44BACF-D085-45FF-B3F0-A5B8AFF0D816}"/>
    <cellStyle name="Normal 8 4 2 5 2 4" xfId="20926" xr:uid="{5FF6936D-29A5-4C92-81D4-BE13C00973BF}"/>
    <cellStyle name="Normal 8 4 2 5 2 5" xfId="29366" xr:uid="{FD0CBAD1-295B-4BC0-A2EE-E4346F2CBC0E}"/>
    <cellStyle name="Normal 8 4 2 5 3" xfId="6108" xr:uid="{00000000-0005-0000-0000-0000F01D0000}"/>
    <cellStyle name="Normal 8 4 2 5 3 2" xfId="14558" xr:uid="{8FA53623-9E26-455D-9E0B-D9F6A32EED70}"/>
    <cellStyle name="Normal 8 4 2 5 3 3" xfId="22998" xr:uid="{E9AC2167-4879-4C79-BD91-B0131DD0C8A3}"/>
    <cellStyle name="Normal 8 4 2 5 3 4" xfId="31438" xr:uid="{F00ACFE9-DA5E-4028-973C-8CB3AF36C609}"/>
    <cellStyle name="Normal 8 4 2 5 4" xfId="10340" xr:uid="{B7854446-174F-414F-B585-6C7B305F93A6}"/>
    <cellStyle name="Normal 8 4 2 5 5" xfId="18781" xr:uid="{B6D6F022-5E68-4738-B36E-0092E06CD13A}"/>
    <cellStyle name="Normal 8 4 2 5 6" xfId="27221" xr:uid="{E296CE65-1A7B-40D6-B5CE-A1EB4FC02DBE}"/>
    <cellStyle name="Normal 8 4 2 6" xfId="2215" xr:uid="{00000000-0005-0000-0000-0000F11D0000}"/>
    <cellStyle name="Normal 8 4 2 6 2" xfId="4444" xr:uid="{00000000-0005-0000-0000-0000F21D0000}"/>
    <cellStyle name="Normal 8 4 2 6 2 2" xfId="8666" xr:uid="{00000000-0005-0000-0000-0000F31D0000}"/>
    <cellStyle name="Normal 8 4 2 6 2 2 2" xfId="17116" xr:uid="{9B280975-5186-496B-9AC7-58BD7E525C91}"/>
    <cellStyle name="Normal 8 4 2 6 2 2 3" xfId="25556" xr:uid="{69ED98C5-35DE-4BF5-80C1-7E63A3C7E877}"/>
    <cellStyle name="Normal 8 4 2 6 2 2 4" xfId="33996" xr:uid="{E898CC94-58B8-434A-BFEF-FCC62D9B96EE}"/>
    <cellStyle name="Normal 8 4 2 6 2 3" xfId="12898" xr:uid="{A042EB7F-4C80-41B5-9F41-635741C8E039}"/>
    <cellStyle name="Normal 8 4 2 6 2 4" xfId="21339" xr:uid="{C28A05E1-FBCF-4755-9CE0-3A4841323528}"/>
    <cellStyle name="Normal 8 4 2 6 2 5" xfId="29779" xr:uid="{6EA269DE-C6BC-493D-B0D6-7C37F937B989}"/>
    <cellStyle name="Normal 8 4 2 6 3" xfId="6521" xr:uid="{00000000-0005-0000-0000-0000F41D0000}"/>
    <cellStyle name="Normal 8 4 2 6 3 2" xfId="14971" xr:uid="{A64C7F0E-6F43-4F05-9E04-B28D2F9ECF1E}"/>
    <cellStyle name="Normal 8 4 2 6 3 3" xfId="23411" xr:uid="{BB4BF3E2-27A7-4367-A36E-E4852E16B26D}"/>
    <cellStyle name="Normal 8 4 2 6 3 4" xfId="31851" xr:uid="{85C08324-64BD-414E-9812-62F36ED2CB97}"/>
    <cellStyle name="Normal 8 4 2 6 4" xfId="10753" xr:uid="{FFFF4392-B412-4CB6-BF82-0883ED7A6B97}"/>
    <cellStyle name="Normal 8 4 2 6 5" xfId="19194" xr:uid="{5079D115-D553-4DDD-9471-E29DB25DC4C2}"/>
    <cellStyle name="Normal 8 4 2 6 6" xfId="27634" xr:uid="{960DE455-C841-4C69-B288-13029BA5FAD4}"/>
    <cellStyle name="Normal 8 4 2 7" xfId="2651" xr:uid="{00000000-0005-0000-0000-0000F51D0000}"/>
    <cellStyle name="Normal 8 4 2 7 2" xfId="6934" xr:uid="{00000000-0005-0000-0000-0000F61D0000}"/>
    <cellStyle name="Normal 8 4 2 7 2 2" xfId="15384" xr:uid="{D976E4DB-C3F8-4EB9-958B-F7908B7853AC}"/>
    <cellStyle name="Normal 8 4 2 7 2 3" xfId="23824" xr:uid="{E3AABB39-6A94-4EF8-84BA-566B3F9E7636}"/>
    <cellStyle name="Normal 8 4 2 7 2 4" xfId="32264" xr:uid="{BBEDFEB0-137A-40B1-BE16-ADDCF419473D}"/>
    <cellStyle name="Normal 8 4 2 7 3" xfId="11166" xr:uid="{45DDCD41-FA5C-47BE-8F6F-7AB72B1F7799}"/>
    <cellStyle name="Normal 8 4 2 7 4" xfId="19607" xr:uid="{3226E6AE-919A-4B8E-AE53-DEDF64C703B5}"/>
    <cellStyle name="Normal 8 4 2 7 5" xfId="28047" xr:uid="{9A693865-71BD-474A-BC90-F5E10B44F832}"/>
    <cellStyle name="Normal 8 4 2 8" xfId="4869" xr:uid="{00000000-0005-0000-0000-0000F71D0000}"/>
    <cellStyle name="Normal 8 4 2 8 2" xfId="13319" xr:uid="{E48F3F66-E0C4-4CEE-97FD-0B8770DBB82B}"/>
    <cellStyle name="Normal 8 4 2 8 3" xfId="21759" xr:uid="{A28923CF-660E-48F3-A173-2E0AFB8D8F3E}"/>
    <cellStyle name="Normal 8 4 2 8 4" xfId="30199" xr:uid="{B48FF58B-201A-48F9-AAB4-3ECAAF1AA03C}"/>
    <cellStyle name="Normal 8 4 2 9" xfId="9101" xr:uid="{A2787FD6-6377-4545-9C8C-636DF1EE2756}"/>
    <cellStyle name="Normal 8 4 3" xfId="506" xr:uid="{00000000-0005-0000-0000-0000F81D0000}"/>
    <cellStyle name="Normal 8 4 3 10" xfId="25984" xr:uid="{6ECA5FE6-2284-4C1C-B974-6E15BBDE8736}"/>
    <cellStyle name="Normal 8 4 3 2" xfId="973" xr:uid="{00000000-0005-0000-0000-0000F91D0000}"/>
    <cellStyle name="Normal 8 4 3 2 2" xfId="3207" xr:uid="{00000000-0005-0000-0000-0000FA1D0000}"/>
    <cellStyle name="Normal 8 4 3 2 2 2" xfId="7429" xr:uid="{00000000-0005-0000-0000-0000FB1D0000}"/>
    <cellStyle name="Normal 8 4 3 2 2 2 2" xfId="15879" xr:uid="{109A6308-D175-4689-84BF-1527747B17CF}"/>
    <cellStyle name="Normal 8 4 3 2 2 2 3" xfId="24319" xr:uid="{0E691E87-0A4E-4EFC-986E-914131B3553A}"/>
    <cellStyle name="Normal 8 4 3 2 2 2 4" xfId="32759" xr:uid="{753FE51F-DE96-43F3-BF43-620C1E444193}"/>
    <cellStyle name="Normal 8 4 3 2 2 3" xfId="11661" xr:uid="{B13197C7-5616-45EC-A118-E0E5A3A5E505}"/>
    <cellStyle name="Normal 8 4 3 2 2 4" xfId="20102" xr:uid="{33FC5E87-83F7-46C3-BAE4-0244E8A1FF9B}"/>
    <cellStyle name="Normal 8 4 3 2 2 5" xfId="28542" xr:uid="{F7B89FD6-1152-45D7-A5B6-742912CC57EC}"/>
    <cellStyle name="Normal 8 4 3 2 3" xfId="5284" xr:uid="{00000000-0005-0000-0000-0000FC1D0000}"/>
    <cellStyle name="Normal 8 4 3 2 3 2" xfId="13734" xr:uid="{164E9A4D-C7C9-4C9E-A12A-9DEACAE8E72D}"/>
    <cellStyle name="Normal 8 4 3 2 3 3" xfId="22174" xr:uid="{9ECA050A-F7F4-4C9A-9AD3-EC1A9ECB6C71}"/>
    <cellStyle name="Normal 8 4 3 2 3 4" xfId="30614" xr:uid="{C47D076F-497B-492B-A823-6949141A3ED2}"/>
    <cellStyle name="Normal 8 4 3 2 4" xfId="9516" xr:uid="{EBDFF593-FB0F-462B-BA8A-7A08098F6A73}"/>
    <cellStyle name="Normal 8 4 3 2 5" xfId="17957" xr:uid="{13DD6480-D035-45E1-9C47-E40E168F1BE0}"/>
    <cellStyle name="Normal 8 4 3 2 6" xfId="26397" xr:uid="{BB8300FC-9CEF-4597-909C-A60BFEAC360C}"/>
    <cellStyle name="Normal 8 4 3 3" xfId="1390" xr:uid="{00000000-0005-0000-0000-0000FD1D0000}"/>
    <cellStyle name="Normal 8 4 3 3 2" xfId="3620" xr:uid="{00000000-0005-0000-0000-0000FE1D0000}"/>
    <cellStyle name="Normal 8 4 3 3 2 2" xfId="7842" xr:uid="{00000000-0005-0000-0000-0000FF1D0000}"/>
    <cellStyle name="Normal 8 4 3 3 2 2 2" xfId="16292" xr:uid="{E0EA0107-F807-46C6-B124-AB9EB99DE0A2}"/>
    <cellStyle name="Normal 8 4 3 3 2 2 3" xfId="24732" xr:uid="{E64DB297-EC0A-4F00-965E-7BC6A1A87A2A}"/>
    <cellStyle name="Normal 8 4 3 3 2 2 4" xfId="33172" xr:uid="{FB4D4E76-DB65-453B-93FE-3744468044E2}"/>
    <cellStyle name="Normal 8 4 3 3 2 3" xfId="12074" xr:uid="{D27906C7-E098-450A-A59E-FD557BD63C58}"/>
    <cellStyle name="Normal 8 4 3 3 2 4" xfId="20515" xr:uid="{FDB38AAB-C863-4B38-BFC5-5967BC7743DA}"/>
    <cellStyle name="Normal 8 4 3 3 2 5" xfId="28955" xr:uid="{A7087F89-D02D-4D65-BEBE-6FBA63AFF704}"/>
    <cellStyle name="Normal 8 4 3 3 3" xfId="5697" xr:uid="{00000000-0005-0000-0000-0000001E0000}"/>
    <cellStyle name="Normal 8 4 3 3 3 2" xfId="14147" xr:uid="{F032CDD8-7894-4D7A-8967-2EFE80474FA3}"/>
    <cellStyle name="Normal 8 4 3 3 3 3" xfId="22587" xr:uid="{6A922865-F40D-4E45-8544-6422641DF04E}"/>
    <cellStyle name="Normal 8 4 3 3 3 4" xfId="31027" xr:uid="{CA3744B4-DF41-48A4-9A53-57758FF8BE36}"/>
    <cellStyle name="Normal 8 4 3 3 4" xfId="9929" xr:uid="{965B5965-02DD-40CE-BFB4-165292845CB8}"/>
    <cellStyle name="Normal 8 4 3 3 5" xfId="18370" xr:uid="{9F1F94CB-C81C-4549-AF13-35EC34357E7A}"/>
    <cellStyle name="Normal 8 4 3 3 6" xfId="26810" xr:uid="{40760F8D-789C-475F-B940-892C04213088}"/>
    <cellStyle name="Normal 8 4 3 4" xfId="1803" xr:uid="{00000000-0005-0000-0000-0000011E0000}"/>
    <cellStyle name="Normal 8 4 3 4 2" xfId="4033" xr:uid="{00000000-0005-0000-0000-0000021E0000}"/>
    <cellStyle name="Normal 8 4 3 4 2 2" xfId="8255" xr:uid="{00000000-0005-0000-0000-0000031E0000}"/>
    <cellStyle name="Normal 8 4 3 4 2 2 2" xfId="16705" xr:uid="{EC297EED-1D04-448B-96CE-E95151572ACF}"/>
    <cellStyle name="Normal 8 4 3 4 2 2 3" xfId="25145" xr:uid="{E7E55BC2-7564-450F-881A-70F90C0DBC80}"/>
    <cellStyle name="Normal 8 4 3 4 2 2 4" xfId="33585" xr:uid="{950F91A1-72E5-4BCB-99DA-3FBB4BBFBFBF}"/>
    <cellStyle name="Normal 8 4 3 4 2 3" xfId="12487" xr:uid="{7C4CD151-60FF-4A9E-8A85-964859FD25B1}"/>
    <cellStyle name="Normal 8 4 3 4 2 4" xfId="20928" xr:uid="{71DC8709-A7B8-4EB7-AA8D-5DE8AB6BDB49}"/>
    <cellStyle name="Normal 8 4 3 4 2 5" xfId="29368" xr:uid="{677A3546-0F09-48DA-94BB-F2592A712BA1}"/>
    <cellStyle name="Normal 8 4 3 4 3" xfId="6110" xr:uid="{00000000-0005-0000-0000-0000041E0000}"/>
    <cellStyle name="Normal 8 4 3 4 3 2" xfId="14560" xr:uid="{3AA7BA79-A693-4277-AE89-C01389E9A5FA}"/>
    <cellStyle name="Normal 8 4 3 4 3 3" xfId="23000" xr:uid="{1CA63B4B-79D8-4E63-ABFA-29F25ACB5017}"/>
    <cellStyle name="Normal 8 4 3 4 3 4" xfId="31440" xr:uid="{11FFC064-EBFA-4FA6-97C3-F42EF760AAAE}"/>
    <cellStyle name="Normal 8 4 3 4 4" xfId="10342" xr:uid="{26939535-8078-4FB1-B74F-FF363AE9F02B}"/>
    <cellStyle name="Normal 8 4 3 4 5" xfId="18783" xr:uid="{111DB989-2FE4-4E78-B55B-2184E1907F0B}"/>
    <cellStyle name="Normal 8 4 3 4 6" xfId="27223" xr:uid="{78A53E38-C5F0-46D7-B027-FD2728806431}"/>
    <cellStyle name="Normal 8 4 3 5" xfId="2217" xr:uid="{00000000-0005-0000-0000-0000051E0000}"/>
    <cellStyle name="Normal 8 4 3 5 2" xfId="4446" xr:uid="{00000000-0005-0000-0000-0000061E0000}"/>
    <cellStyle name="Normal 8 4 3 5 2 2" xfId="8668" xr:uid="{00000000-0005-0000-0000-0000071E0000}"/>
    <cellStyle name="Normal 8 4 3 5 2 2 2" xfId="17118" xr:uid="{B7705EE0-4E23-420F-AFDA-C489E6C49EFE}"/>
    <cellStyle name="Normal 8 4 3 5 2 2 3" xfId="25558" xr:uid="{4608FE7D-9D64-415B-9790-86E0C38A7F88}"/>
    <cellStyle name="Normal 8 4 3 5 2 2 4" xfId="33998" xr:uid="{6CCB0DF0-C36C-4FA7-A4B6-057C27C16D55}"/>
    <cellStyle name="Normal 8 4 3 5 2 3" xfId="12900" xr:uid="{B29E1674-4A84-4436-8D41-21B1A5E2987A}"/>
    <cellStyle name="Normal 8 4 3 5 2 4" xfId="21341" xr:uid="{3BF63C6C-3C9C-44E4-899D-F43DEB659E18}"/>
    <cellStyle name="Normal 8 4 3 5 2 5" xfId="29781" xr:uid="{C0BB0CE1-93F7-4FCD-9294-6CD4075E5A91}"/>
    <cellStyle name="Normal 8 4 3 5 3" xfId="6523" xr:uid="{00000000-0005-0000-0000-0000081E0000}"/>
    <cellStyle name="Normal 8 4 3 5 3 2" xfId="14973" xr:uid="{62903ABD-864D-48F7-ADA9-0792AABE7B47}"/>
    <cellStyle name="Normal 8 4 3 5 3 3" xfId="23413" xr:uid="{8A4905DE-B0E9-4930-8060-48A2E082C1DB}"/>
    <cellStyle name="Normal 8 4 3 5 3 4" xfId="31853" xr:uid="{BCE960B7-BD22-455D-A258-5C6B12E6B26C}"/>
    <cellStyle name="Normal 8 4 3 5 4" xfId="10755" xr:uid="{F700C883-2501-4650-9F2D-2FDFCC598EE8}"/>
    <cellStyle name="Normal 8 4 3 5 5" xfId="19196" xr:uid="{791DF1A5-0B69-4D3D-9DC2-037632851731}"/>
    <cellStyle name="Normal 8 4 3 5 6" xfId="27636" xr:uid="{6F82B7DB-5B25-4400-A63C-DB1F96734E51}"/>
    <cellStyle name="Normal 8 4 3 6" xfId="2653" xr:uid="{00000000-0005-0000-0000-0000091E0000}"/>
    <cellStyle name="Normal 8 4 3 6 2" xfId="6936" xr:uid="{00000000-0005-0000-0000-00000A1E0000}"/>
    <cellStyle name="Normal 8 4 3 6 2 2" xfId="15386" xr:uid="{C27D270E-761F-421D-BB6C-ACFBEB4327EE}"/>
    <cellStyle name="Normal 8 4 3 6 2 3" xfId="23826" xr:uid="{2B22FA9E-28F5-4E09-8AFE-C8A041EFF288}"/>
    <cellStyle name="Normal 8 4 3 6 2 4" xfId="32266" xr:uid="{DA66D20E-5DA4-4884-BA67-DE152990A483}"/>
    <cellStyle name="Normal 8 4 3 6 3" xfId="11168" xr:uid="{112FFC29-95BD-43DB-ACA3-4EFEC8427C87}"/>
    <cellStyle name="Normal 8 4 3 6 4" xfId="19609" xr:uid="{5DC18E59-40C9-4A58-9C30-F6D8D18E1B29}"/>
    <cellStyle name="Normal 8 4 3 6 5" xfId="28049" xr:uid="{11075EEB-7E09-4E69-BA72-0D85DDEFABA0}"/>
    <cellStyle name="Normal 8 4 3 7" xfId="4871" xr:uid="{00000000-0005-0000-0000-00000B1E0000}"/>
    <cellStyle name="Normal 8 4 3 7 2" xfId="13321" xr:uid="{E3E7D5F2-D3E7-422E-8F7E-20B1CD278C39}"/>
    <cellStyle name="Normal 8 4 3 7 3" xfId="21761" xr:uid="{6F6A986E-0CB2-4E2B-AF07-ECC703B06DA4}"/>
    <cellStyle name="Normal 8 4 3 7 4" xfId="30201" xr:uid="{B656AA5D-EA16-49D9-8836-A01A755CA7E2}"/>
    <cellStyle name="Normal 8 4 3 8" xfId="9103" xr:uid="{78A9F634-FD57-4746-B391-A2EF9DE8E435}"/>
    <cellStyle name="Normal 8 4 3 9" xfId="17544" xr:uid="{CFA351DA-EE5D-4A7F-941F-DD6CAF656753}"/>
    <cellStyle name="Normal 8 4 4" xfId="970" xr:uid="{00000000-0005-0000-0000-00000C1E0000}"/>
    <cellStyle name="Normal 8 4 4 2" xfId="3204" xr:uid="{00000000-0005-0000-0000-00000D1E0000}"/>
    <cellStyle name="Normal 8 4 4 2 2" xfId="7426" xr:uid="{00000000-0005-0000-0000-00000E1E0000}"/>
    <cellStyle name="Normal 8 4 4 2 2 2" xfId="15876" xr:uid="{0286B16C-BD5D-4C04-BD26-2D8C6CFF0560}"/>
    <cellStyle name="Normal 8 4 4 2 2 3" xfId="24316" xr:uid="{E43A3500-2C74-4B44-9BEA-6AD3CCDE06CE}"/>
    <cellStyle name="Normal 8 4 4 2 2 4" xfId="32756" xr:uid="{05D7A594-8BFF-40FD-B694-66A134EC4414}"/>
    <cellStyle name="Normal 8 4 4 2 3" xfId="11658" xr:uid="{88260B90-3935-42D5-B365-0699AE4F4119}"/>
    <cellStyle name="Normal 8 4 4 2 4" xfId="20099" xr:uid="{2EE4926B-4D8E-4B17-B274-EE16E3648FBD}"/>
    <cellStyle name="Normal 8 4 4 2 5" xfId="28539" xr:uid="{A698A368-CFDA-46BF-94AC-A6419DA8674B}"/>
    <cellStyle name="Normal 8 4 4 3" xfId="5281" xr:uid="{00000000-0005-0000-0000-00000F1E0000}"/>
    <cellStyle name="Normal 8 4 4 3 2" xfId="13731" xr:uid="{6410245B-7F48-478D-ADE8-8934F41A5997}"/>
    <cellStyle name="Normal 8 4 4 3 3" xfId="22171" xr:uid="{199C3DE1-9686-4BDB-B9B8-75805B4ADE50}"/>
    <cellStyle name="Normal 8 4 4 3 4" xfId="30611" xr:uid="{35217B9B-790F-4A81-A962-9785CF1EA209}"/>
    <cellStyle name="Normal 8 4 4 4" xfId="9513" xr:uid="{CB71B55E-1BFA-4FB7-BAAE-19C5EB05E2CB}"/>
    <cellStyle name="Normal 8 4 4 5" xfId="17954" xr:uid="{7FD620ED-B510-4C6E-898F-C4F2B2A6D79D}"/>
    <cellStyle name="Normal 8 4 4 6" xfId="26394" xr:uid="{70F3A2F0-AEB9-4699-80C5-49CEF9F0CF0F}"/>
    <cellStyle name="Normal 8 4 5" xfId="1387" xr:uid="{00000000-0005-0000-0000-0000101E0000}"/>
    <cellStyle name="Normal 8 4 5 2" xfId="3617" xr:uid="{00000000-0005-0000-0000-0000111E0000}"/>
    <cellStyle name="Normal 8 4 5 2 2" xfId="7839" xr:uid="{00000000-0005-0000-0000-0000121E0000}"/>
    <cellStyle name="Normal 8 4 5 2 2 2" xfId="16289" xr:uid="{D7985AC3-0A50-4A01-A7C8-8ABAA9E60B86}"/>
    <cellStyle name="Normal 8 4 5 2 2 3" xfId="24729" xr:uid="{81331614-63EF-46DA-A0A6-791D191CB609}"/>
    <cellStyle name="Normal 8 4 5 2 2 4" xfId="33169" xr:uid="{474CBDEA-B2B1-4C39-B13A-66005344C240}"/>
    <cellStyle name="Normal 8 4 5 2 3" xfId="12071" xr:uid="{2DE57FE2-37B4-451B-943E-9F48DF677144}"/>
    <cellStyle name="Normal 8 4 5 2 4" xfId="20512" xr:uid="{F98F9F63-2508-4124-ABA9-A66ED76927B7}"/>
    <cellStyle name="Normal 8 4 5 2 5" xfId="28952" xr:uid="{B85D02CE-E8A3-4A4A-9ADE-06933D1FC925}"/>
    <cellStyle name="Normal 8 4 5 3" xfId="5694" xr:uid="{00000000-0005-0000-0000-0000131E0000}"/>
    <cellStyle name="Normal 8 4 5 3 2" xfId="14144" xr:uid="{7DAB940C-FA88-4343-8C35-08DCAEA9C5FC}"/>
    <cellStyle name="Normal 8 4 5 3 3" xfId="22584" xr:uid="{F95FC75E-1003-47D8-8306-24CCF55668C0}"/>
    <cellStyle name="Normal 8 4 5 3 4" xfId="31024" xr:uid="{5EC07199-44F9-43CF-8A98-3193D2BC8692}"/>
    <cellStyle name="Normal 8 4 5 4" xfId="9926" xr:uid="{7536DACB-614C-483F-9B09-6C980C9F5AC7}"/>
    <cellStyle name="Normal 8 4 5 5" xfId="18367" xr:uid="{C5AFE1A4-816C-4AD3-87FD-EC239B573763}"/>
    <cellStyle name="Normal 8 4 5 6" xfId="26807" xr:uid="{1A4B701E-B4B5-42D7-9E60-FD07D1F151A3}"/>
    <cellStyle name="Normal 8 4 6" xfId="1800" xr:uid="{00000000-0005-0000-0000-0000141E0000}"/>
    <cellStyle name="Normal 8 4 6 2" xfId="4030" xr:uid="{00000000-0005-0000-0000-0000151E0000}"/>
    <cellStyle name="Normal 8 4 6 2 2" xfId="8252" xr:uid="{00000000-0005-0000-0000-0000161E0000}"/>
    <cellStyle name="Normal 8 4 6 2 2 2" xfId="16702" xr:uid="{D3A0E7D7-2BCF-4548-A3F0-57D9D3423A0F}"/>
    <cellStyle name="Normal 8 4 6 2 2 3" xfId="25142" xr:uid="{80B1AD19-56B3-4FD0-97BA-B5F01FA3C25F}"/>
    <cellStyle name="Normal 8 4 6 2 2 4" xfId="33582" xr:uid="{F5DB2996-6E19-4C09-9DD8-7456868A998B}"/>
    <cellStyle name="Normal 8 4 6 2 3" xfId="12484" xr:uid="{F6259269-DA33-488C-AF60-F37FDB03DB9C}"/>
    <cellStyle name="Normal 8 4 6 2 4" xfId="20925" xr:uid="{0BD023F5-8572-4654-A4F6-B1A6A7FEEC2D}"/>
    <cellStyle name="Normal 8 4 6 2 5" xfId="29365" xr:uid="{C41ABA49-CA10-47CE-A3E5-3F39223A6803}"/>
    <cellStyle name="Normal 8 4 6 3" xfId="6107" xr:uid="{00000000-0005-0000-0000-0000171E0000}"/>
    <cellStyle name="Normal 8 4 6 3 2" xfId="14557" xr:uid="{22206F13-F070-44C4-B510-B484AEF3944E}"/>
    <cellStyle name="Normal 8 4 6 3 3" xfId="22997" xr:uid="{AB8A32DD-0136-48A8-AAB1-06DBBF14176F}"/>
    <cellStyle name="Normal 8 4 6 3 4" xfId="31437" xr:uid="{E3180EB8-01F3-42C3-B0DD-D3C0F92A66FC}"/>
    <cellStyle name="Normal 8 4 6 4" xfId="10339" xr:uid="{1B9AAEC3-55F4-420F-A986-E1648DFA9C9C}"/>
    <cellStyle name="Normal 8 4 6 5" xfId="18780" xr:uid="{CF319F08-3547-4915-BC99-66687762D03E}"/>
    <cellStyle name="Normal 8 4 6 6" xfId="27220" xr:uid="{F0F3697A-FD45-487E-84A4-A3C1ECA8A0BC}"/>
    <cellStyle name="Normal 8 4 7" xfId="2214" xr:uid="{00000000-0005-0000-0000-0000181E0000}"/>
    <cellStyle name="Normal 8 4 7 2" xfId="4443" xr:uid="{00000000-0005-0000-0000-0000191E0000}"/>
    <cellStyle name="Normal 8 4 7 2 2" xfId="8665" xr:uid="{00000000-0005-0000-0000-00001A1E0000}"/>
    <cellStyle name="Normal 8 4 7 2 2 2" xfId="17115" xr:uid="{C457D973-1E12-4824-86C2-978732B51CF6}"/>
    <cellStyle name="Normal 8 4 7 2 2 3" xfId="25555" xr:uid="{CC862EC7-3D35-45B7-95F9-6A5C9A0AF671}"/>
    <cellStyle name="Normal 8 4 7 2 2 4" xfId="33995" xr:uid="{BDD8AD05-7C71-4ED3-9AB9-1FDE79D5164D}"/>
    <cellStyle name="Normal 8 4 7 2 3" xfId="12897" xr:uid="{1756A416-4970-48C8-A0FE-7604A0B85192}"/>
    <cellStyle name="Normal 8 4 7 2 4" xfId="21338" xr:uid="{B4C8FC93-4A49-44B9-98EA-E2827F5FAD26}"/>
    <cellStyle name="Normal 8 4 7 2 5" xfId="29778" xr:uid="{23708202-B912-4F38-91DE-759DB527F7F4}"/>
    <cellStyle name="Normal 8 4 7 3" xfId="6520" xr:uid="{00000000-0005-0000-0000-00001B1E0000}"/>
    <cellStyle name="Normal 8 4 7 3 2" xfId="14970" xr:uid="{EC18629C-AF3E-488E-A9B5-88D5BC81A06F}"/>
    <cellStyle name="Normal 8 4 7 3 3" xfId="23410" xr:uid="{9A08551D-5A40-4C85-BC65-33081AE60991}"/>
    <cellStyle name="Normal 8 4 7 3 4" xfId="31850" xr:uid="{84428B6A-BAAC-4382-8C6F-6AB854CBB4EE}"/>
    <cellStyle name="Normal 8 4 7 4" xfId="10752" xr:uid="{CB8C7C60-95F1-4FD6-84C6-8E8E9209BA09}"/>
    <cellStyle name="Normal 8 4 7 5" xfId="19193" xr:uid="{C148440B-1D0E-4BA4-90A1-5D3A85487FAA}"/>
    <cellStyle name="Normal 8 4 7 6" xfId="27633" xr:uid="{A49CF456-AEAA-4930-8161-0C54AB544550}"/>
    <cellStyle name="Normal 8 4 8" xfId="2650" xr:uid="{00000000-0005-0000-0000-00001C1E0000}"/>
    <cellStyle name="Normal 8 4 8 2" xfId="6933" xr:uid="{00000000-0005-0000-0000-00001D1E0000}"/>
    <cellStyle name="Normal 8 4 8 2 2" xfId="15383" xr:uid="{BCFB4061-D4FC-46EB-A387-9AE3159A9790}"/>
    <cellStyle name="Normal 8 4 8 2 3" xfId="23823" xr:uid="{CE6ED35A-EF01-4C1D-8685-6ADBC5F8127F}"/>
    <cellStyle name="Normal 8 4 8 2 4" xfId="32263" xr:uid="{8F6721A4-51BF-4DDA-98FE-FDEA2C804A98}"/>
    <cellStyle name="Normal 8 4 8 3" xfId="11165" xr:uid="{EB5DAD13-4EA2-4C25-B858-54991B065677}"/>
    <cellStyle name="Normal 8 4 8 4" xfId="19606" xr:uid="{7D5570F2-5C05-43CA-AC7F-F847DDA01984}"/>
    <cellStyle name="Normal 8 4 8 5" xfId="28046" xr:uid="{254619C0-043B-41F0-9C2E-78953CFB0712}"/>
    <cellStyle name="Normal 8 4 9" xfId="4868" xr:uid="{00000000-0005-0000-0000-00001E1E0000}"/>
    <cellStyle name="Normal 8 4 9 2" xfId="13318" xr:uid="{9FF818D3-2A16-49D1-8468-524B612D596D}"/>
    <cellStyle name="Normal 8 4 9 3" xfId="21758" xr:uid="{67D704FA-1BE8-4DA3-A6FA-0F1EAB0A511C}"/>
    <cellStyle name="Normal 8 4 9 4" xfId="30198" xr:uid="{2FCC422B-E752-475D-B059-2BE583A1642F}"/>
    <cellStyle name="Normal 8 5" xfId="507" xr:uid="{00000000-0005-0000-0000-00001F1E0000}"/>
    <cellStyle name="Normal 8 5 10" xfId="17545" xr:uid="{8EDD4628-8490-40D8-AAA5-40714BB44D20}"/>
    <cellStyle name="Normal 8 5 11" xfId="25985" xr:uid="{49A0EB6C-848B-4940-9BAA-1FAB312DD45B}"/>
    <cellStyle name="Normal 8 5 2" xfId="508" xr:uid="{00000000-0005-0000-0000-0000201E0000}"/>
    <cellStyle name="Normal 8 5 2 10" xfId="25986" xr:uid="{83F57F90-11A1-444F-A0D4-89CF9A416F43}"/>
    <cellStyle name="Normal 8 5 2 2" xfId="975" xr:uid="{00000000-0005-0000-0000-0000211E0000}"/>
    <cellStyle name="Normal 8 5 2 2 2" xfId="3209" xr:uid="{00000000-0005-0000-0000-0000221E0000}"/>
    <cellStyle name="Normal 8 5 2 2 2 2" xfId="7431" xr:uid="{00000000-0005-0000-0000-0000231E0000}"/>
    <cellStyle name="Normal 8 5 2 2 2 2 2" xfId="15881" xr:uid="{1BE31D8A-ECA6-401A-AAA9-6411BB646A94}"/>
    <cellStyle name="Normal 8 5 2 2 2 2 3" xfId="24321" xr:uid="{D8C77BDE-AE19-4846-8F01-2B3D16F29F89}"/>
    <cellStyle name="Normal 8 5 2 2 2 2 4" xfId="32761" xr:uid="{616A1F30-23C3-4919-BB2F-4385C8937195}"/>
    <cellStyle name="Normal 8 5 2 2 2 3" xfId="11663" xr:uid="{391B2830-34FA-46E1-A4EA-796A654FC235}"/>
    <cellStyle name="Normal 8 5 2 2 2 4" xfId="20104" xr:uid="{6CAF91A8-43B0-443D-B227-61BD04B39D7E}"/>
    <cellStyle name="Normal 8 5 2 2 2 5" xfId="28544" xr:uid="{C06F352A-93AA-4312-85FE-AECBC37D826C}"/>
    <cellStyle name="Normal 8 5 2 2 3" xfId="5286" xr:uid="{00000000-0005-0000-0000-0000241E0000}"/>
    <cellStyle name="Normal 8 5 2 2 3 2" xfId="13736" xr:uid="{BC7E1C86-F67C-465B-83EB-78381D1E8571}"/>
    <cellStyle name="Normal 8 5 2 2 3 3" xfId="22176" xr:uid="{203B4927-3075-4C64-9794-B634926107A8}"/>
    <cellStyle name="Normal 8 5 2 2 3 4" xfId="30616" xr:uid="{A1042B58-FBE6-436C-9C96-529669C8005E}"/>
    <cellStyle name="Normal 8 5 2 2 4" xfId="9518" xr:uid="{94881A27-8E1C-4987-B7CA-71FE2977F679}"/>
    <cellStyle name="Normal 8 5 2 2 5" xfId="17959" xr:uid="{42BFE238-DDED-4E50-9AD9-3A9ACC6EBA1F}"/>
    <cellStyle name="Normal 8 5 2 2 6" xfId="26399" xr:uid="{5F87B3E2-7B71-49C7-96E1-EE7AC26225B0}"/>
    <cellStyle name="Normal 8 5 2 3" xfId="1392" xr:uid="{00000000-0005-0000-0000-0000251E0000}"/>
    <cellStyle name="Normal 8 5 2 3 2" xfId="3622" xr:uid="{00000000-0005-0000-0000-0000261E0000}"/>
    <cellStyle name="Normal 8 5 2 3 2 2" xfId="7844" xr:uid="{00000000-0005-0000-0000-0000271E0000}"/>
    <cellStyle name="Normal 8 5 2 3 2 2 2" xfId="16294" xr:uid="{77506E65-B41B-4A5E-915C-2E71B01065F5}"/>
    <cellStyle name="Normal 8 5 2 3 2 2 3" xfId="24734" xr:uid="{E0FC7EDA-C43C-4506-B6D5-10856DE7778F}"/>
    <cellStyle name="Normal 8 5 2 3 2 2 4" xfId="33174" xr:uid="{61220757-DA8A-4386-AD66-FED01FFA01D5}"/>
    <cellStyle name="Normal 8 5 2 3 2 3" xfId="12076" xr:uid="{858FE530-93AD-4FF5-BD36-596E0BA38D8F}"/>
    <cellStyle name="Normal 8 5 2 3 2 4" xfId="20517" xr:uid="{56191143-E7A4-473C-A9E9-D9F8B6398374}"/>
    <cellStyle name="Normal 8 5 2 3 2 5" xfId="28957" xr:uid="{81685A2C-8943-4C31-A3DA-D5FCD492791C}"/>
    <cellStyle name="Normal 8 5 2 3 3" xfId="5699" xr:uid="{00000000-0005-0000-0000-0000281E0000}"/>
    <cellStyle name="Normal 8 5 2 3 3 2" xfId="14149" xr:uid="{21924603-47A2-4993-9B0C-70EC6A97905D}"/>
    <cellStyle name="Normal 8 5 2 3 3 3" xfId="22589" xr:uid="{B34E83DA-BEEE-4D9A-A4A1-E486B67470DF}"/>
    <cellStyle name="Normal 8 5 2 3 3 4" xfId="31029" xr:uid="{4A4C8D54-94A7-4882-B16F-FA6DFB367F18}"/>
    <cellStyle name="Normal 8 5 2 3 4" xfId="9931" xr:uid="{C592683D-8D6F-44C2-8DAE-771BB8FCDF5B}"/>
    <cellStyle name="Normal 8 5 2 3 5" xfId="18372" xr:uid="{0209E98B-E764-4231-A046-076FD14CB0DF}"/>
    <cellStyle name="Normal 8 5 2 3 6" xfId="26812" xr:uid="{7B1D47CB-91EA-4AF0-933A-EA87BDAAECF7}"/>
    <cellStyle name="Normal 8 5 2 4" xfId="1805" xr:uid="{00000000-0005-0000-0000-0000291E0000}"/>
    <cellStyle name="Normal 8 5 2 4 2" xfId="4035" xr:uid="{00000000-0005-0000-0000-00002A1E0000}"/>
    <cellStyle name="Normal 8 5 2 4 2 2" xfId="8257" xr:uid="{00000000-0005-0000-0000-00002B1E0000}"/>
    <cellStyle name="Normal 8 5 2 4 2 2 2" xfId="16707" xr:uid="{90E2A3B1-E5FC-4F1F-B605-6BA279939CAB}"/>
    <cellStyle name="Normal 8 5 2 4 2 2 3" xfId="25147" xr:uid="{E5982930-47AA-4AB2-AA79-ED08B21EDAA6}"/>
    <cellStyle name="Normal 8 5 2 4 2 2 4" xfId="33587" xr:uid="{55ABE8B3-A9EE-4054-A015-D008F8260AF7}"/>
    <cellStyle name="Normal 8 5 2 4 2 3" xfId="12489" xr:uid="{565BCBC2-84F8-4250-9EF8-746561D5C850}"/>
    <cellStyle name="Normal 8 5 2 4 2 4" xfId="20930" xr:uid="{AD353A1D-FF96-4EEC-8293-EEE15373F2A9}"/>
    <cellStyle name="Normal 8 5 2 4 2 5" xfId="29370" xr:uid="{0FCDF99E-D256-4203-9D99-CF80C18D3929}"/>
    <cellStyle name="Normal 8 5 2 4 3" xfId="6112" xr:uid="{00000000-0005-0000-0000-00002C1E0000}"/>
    <cellStyle name="Normal 8 5 2 4 3 2" xfId="14562" xr:uid="{F17DBCEB-4FF1-4C42-8F55-2695FA30D516}"/>
    <cellStyle name="Normal 8 5 2 4 3 3" xfId="23002" xr:uid="{B9BAAB6B-274E-4355-A8C0-91D9A94C2300}"/>
    <cellStyle name="Normal 8 5 2 4 3 4" xfId="31442" xr:uid="{642E415F-8DF9-4951-A601-D812DDC92C40}"/>
    <cellStyle name="Normal 8 5 2 4 4" xfId="10344" xr:uid="{1542A9C9-B297-4003-B555-E01C7E6EFE3D}"/>
    <cellStyle name="Normal 8 5 2 4 5" xfId="18785" xr:uid="{86E818B2-8A93-476D-B275-7BFDD6DB8AFD}"/>
    <cellStyle name="Normal 8 5 2 4 6" xfId="27225" xr:uid="{16FB1D1D-A731-439B-A859-AE984299BFB5}"/>
    <cellStyle name="Normal 8 5 2 5" xfId="2219" xr:uid="{00000000-0005-0000-0000-00002D1E0000}"/>
    <cellStyle name="Normal 8 5 2 5 2" xfId="4448" xr:uid="{00000000-0005-0000-0000-00002E1E0000}"/>
    <cellStyle name="Normal 8 5 2 5 2 2" xfId="8670" xr:uid="{00000000-0005-0000-0000-00002F1E0000}"/>
    <cellStyle name="Normal 8 5 2 5 2 2 2" xfId="17120" xr:uid="{C9FB6D50-0D9A-4421-AD23-DE0C0905262D}"/>
    <cellStyle name="Normal 8 5 2 5 2 2 3" xfId="25560" xr:uid="{B8606BFF-E02B-47ED-9FDE-07D4D625F288}"/>
    <cellStyle name="Normal 8 5 2 5 2 2 4" xfId="34000" xr:uid="{B6FD7A3C-9AC0-47A1-8A03-11F6217F87F0}"/>
    <cellStyle name="Normal 8 5 2 5 2 3" xfId="12902" xr:uid="{ED15C28D-3CFD-432C-BCC6-08F122949929}"/>
    <cellStyle name="Normal 8 5 2 5 2 4" xfId="21343" xr:uid="{A30A7FB6-251D-431F-8938-08C902112D5B}"/>
    <cellStyle name="Normal 8 5 2 5 2 5" xfId="29783" xr:uid="{7F6364EB-4876-4B51-8D65-C8A626FAA35D}"/>
    <cellStyle name="Normal 8 5 2 5 3" xfId="6525" xr:uid="{00000000-0005-0000-0000-0000301E0000}"/>
    <cellStyle name="Normal 8 5 2 5 3 2" xfId="14975" xr:uid="{10E0B8D2-79FB-4BC8-8789-9C75E4F1927B}"/>
    <cellStyle name="Normal 8 5 2 5 3 3" xfId="23415" xr:uid="{92FF8D8C-76F0-4507-82D5-ED5E99C9F8A2}"/>
    <cellStyle name="Normal 8 5 2 5 3 4" xfId="31855" xr:uid="{3FBDCAE5-FF8B-4634-AD54-67D36FEC17DA}"/>
    <cellStyle name="Normal 8 5 2 5 4" xfId="10757" xr:uid="{663FB659-7BA3-46B3-B960-BEE36A88D145}"/>
    <cellStyle name="Normal 8 5 2 5 5" xfId="19198" xr:uid="{54B09021-E8F8-4A34-AD10-B216FAD955C2}"/>
    <cellStyle name="Normal 8 5 2 5 6" xfId="27638" xr:uid="{58D10413-8D71-4134-B417-F212FFA84335}"/>
    <cellStyle name="Normal 8 5 2 6" xfId="2655" xr:uid="{00000000-0005-0000-0000-0000311E0000}"/>
    <cellStyle name="Normal 8 5 2 6 2" xfId="6938" xr:uid="{00000000-0005-0000-0000-0000321E0000}"/>
    <cellStyle name="Normal 8 5 2 6 2 2" xfId="15388" xr:uid="{E3DE6C72-B98E-438C-B235-A1C2D0E3991B}"/>
    <cellStyle name="Normal 8 5 2 6 2 3" xfId="23828" xr:uid="{D11287E4-1D69-4F9F-918F-3F9C29A62501}"/>
    <cellStyle name="Normal 8 5 2 6 2 4" xfId="32268" xr:uid="{DCDAF225-B894-44B5-94C9-780EFAD4D761}"/>
    <cellStyle name="Normal 8 5 2 6 3" xfId="11170" xr:uid="{1DF8817D-F1AE-4634-BAE3-4438C2D5FD69}"/>
    <cellStyle name="Normal 8 5 2 6 4" xfId="19611" xr:uid="{ADB25111-C8B5-4ABA-8FFC-DCC9F3E1BD4F}"/>
    <cellStyle name="Normal 8 5 2 6 5" xfId="28051" xr:uid="{34DD8CE8-B204-4242-9590-8D9CF9BC3778}"/>
    <cellStyle name="Normal 8 5 2 7" xfId="4873" xr:uid="{00000000-0005-0000-0000-0000331E0000}"/>
    <cellStyle name="Normal 8 5 2 7 2" xfId="13323" xr:uid="{0DB0A1E1-EB78-4EF2-838C-F0E2E22EE29F}"/>
    <cellStyle name="Normal 8 5 2 7 3" xfId="21763" xr:uid="{BDA49A5A-FADF-416A-A7FD-BC07C5F2956E}"/>
    <cellStyle name="Normal 8 5 2 7 4" xfId="30203" xr:uid="{C81626B2-A6EB-4810-99E4-742D6D2A1FC7}"/>
    <cellStyle name="Normal 8 5 2 8" xfId="9105" xr:uid="{AA47A225-59FD-424B-AF12-AFBAF92C4068}"/>
    <cellStyle name="Normal 8 5 2 9" xfId="17546" xr:uid="{1844E1F9-829D-4085-B03F-D982021981F8}"/>
    <cellStyle name="Normal 8 5 3" xfId="974" xr:uid="{00000000-0005-0000-0000-0000341E0000}"/>
    <cellStyle name="Normal 8 5 3 2" xfId="3208" xr:uid="{00000000-0005-0000-0000-0000351E0000}"/>
    <cellStyle name="Normal 8 5 3 2 2" xfId="7430" xr:uid="{00000000-0005-0000-0000-0000361E0000}"/>
    <cellStyle name="Normal 8 5 3 2 2 2" xfId="15880" xr:uid="{14D72A1E-2444-40F2-BF9C-E63D16AC3BC5}"/>
    <cellStyle name="Normal 8 5 3 2 2 3" xfId="24320" xr:uid="{7E6AB4E2-C4FB-456F-8ADF-8D74086D1648}"/>
    <cellStyle name="Normal 8 5 3 2 2 4" xfId="32760" xr:uid="{6D846A99-5FF0-4525-864B-3C7D7EE52447}"/>
    <cellStyle name="Normal 8 5 3 2 3" xfId="11662" xr:uid="{234AFB32-DBB3-420A-A6CC-3040C63E8D9B}"/>
    <cellStyle name="Normal 8 5 3 2 4" xfId="20103" xr:uid="{8728F5C3-48CF-4968-A7B8-13FD1AEC3CB5}"/>
    <cellStyle name="Normal 8 5 3 2 5" xfId="28543" xr:uid="{E56F460C-6885-41DE-B292-D8D51477E471}"/>
    <cellStyle name="Normal 8 5 3 3" xfId="5285" xr:uid="{00000000-0005-0000-0000-0000371E0000}"/>
    <cellStyle name="Normal 8 5 3 3 2" xfId="13735" xr:uid="{742FA048-A397-4B9B-93FC-239445C11F8A}"/>
    <cellStyle name="Normal 8 5 3 3 3" xfId="22175" xr:uid="{5AE27B7B-3FEA-4291-BF64-7D35CC76280C}"/>
    <cellStyle name="Normal 8 5 3 3 4" xfId="30615" xr:uid="{8D353DDA-6773-441B-8895-B3634DD00D5E}"/>
    <cellStyle name="Normal 8 5 3 4" xfId="9517" xr:uid="{401F7285-97B2-4A55-B683-4D498ECB1325}"/>
    <cellStyle name="Normal 8 5 3 5" xfId="17958" xr:uid="{914F677A-3810-40AD-8AF2-6DB80E54A917}"/>
    <cellStyle name="Normal 8 5 3 6" xfId="26398" xr:uid="{B03BB0BB-EEB4-4CA3-9703-76970C3D6044}"/>
    <cellStyle name="Normal 8 5 4" xfId="1391" xr:uid="{00000000-0005-0000-0000-0000381E0000}"/>
    <cellStyle name="Normal 8 5 4 2" xfId="3621" xr:uid="{00000000-0005-0000-0000-0000391E0000}"/>
    <cellStyle name="Normal 8 5 4 2 2" xfId="7843" xr:uid="{00000000-0005-0000-0000-00003A1E0000}"/>
    <cellStyle name="Normal 8 5 4 2 2 2" xfId="16293" xr:uid="{85D1ED4F-6AAD-4D66-AE3E-052BECB4C3D9}"/>
    <cellStyle name="Normal 8 5 4 2 2 3" xfId="24733" xr:uid="{38715D04-232E-4288-AFE1-786E63A37687}"/>
    <cellStyle name="Normal 8 5 4 2 2 4" xfId="33173" xr:uid="{F49A3216-0A34-4C2A-966A-6AE3BC920E32}"/>
    <cellStyle name="Normal 8 5 4 2 3" xfId="12075" xr:uid="{6809D91B-58CE-4FD7-816F-40E570CFFAA5}"/>
    <cellStyle name="Normal 8 5 4 2 4" xfId="20516" xr:uid="{CDAE4E76-9ADF-48C4-AC5C-89742C6DC5DD}"/>
    <cellStyle name="Normal 8 5 4 2 5" xfId="28956" xr:uid="{F950E7A0-A242-4744-BA53-0472B1B8066A}"/>
    <cellStyle name="Normal 8 5 4 3" xfId="5698" xr:uid="{00000000-0005-0000-0000-00003B1E0000}"/>
    <cellStyle name="Normal 8 5 4 3 2" xfId="14148" xr:uid="{015FAFD8-E604-4D9B-AA86-7B11338F9FF2}"/>
    <cellStyle name="Normal 8 5 4 3 3" xfId="22588" xr:uid="{BEB603C6-C643-423E-8BC5-4445AD822D48}"/>
    <cellStyle name="Normal 8 5 4 3 4" xfId="31028" xr:uid="{4AE22C23-F09E-462E-99B7-70672C18303E}"/>
    <cellStyle name="Normal 8 5 4 4" xfId="9930" xr:uid="{D69B0106-AE0B-41AE-869C-640392C3C9BC}"/>
    <cellStyle name="Normal 8 5 4 5" xfId="18371" xr:uid="{BC88B860-19DE-4C83-96BA-ADAD84F1134E}"/>
    <cellStyle name="Normal 8 5 4 6" xfId="26811" xr:uid="{69F22678-535A-4B37-8A47-12006D88D6D3}"/>
    <cellStyle name="Normal 8 5 5" xfId="1804" xr:uid="{00000000-0005-0000-0000-00003C1E0000}"/>
    <cellStyle name="Normal 8 5 5 2" xfId="4034" xr:uid="{00000000-0005-0000-0000-00003D1E0000}"/>
    <cellStyle name="Normal 8 5 5 2 2" xfId="8256" xr:uid="{00000000-0005-0000-0000-00003E1E0000}"/>
    <cellStyle name="Normal 8 5 5 2 2 2" xfId="16706" xr:uid="{E98C538A-9BAD-4FA4-9603-9D042A12B20C}"/>
    <cellStyle name="Normal 8 5 5 2 2 3" xfId="25146" xr:uid="{A5C02187-BB65-4956-B699-A60CF8015FF8}"/>
    <cellStyle name="Normal 8 5 5 2 2 4" xfId="33586" xr:uid="{3840063C-B38B-4024-98EA-868256167B50}"/>
    <cellStyle name="Normal 8 5 5 2 3" xfId="12488" xr:uid="{BA68BC58-0040-41C9-9343-A7C7AD8A9736}"/>
    <cellStyle name="Normal 8 5 5 2 4" xfId="20929" xr:uid="{B80A2CF4-85E0-4CCA-8652-B072D8869E58}"/>
    <cellStyle name="Normal 8 5 5 2 5" xfId="29369" xr:uid="{9ADD280D-F71A-4804-BC80-7CBDD71640C0}"/>
    <cellStyle name="Normal 8 5 5 3" xfId="6111" xr:uid="{00000000-0005-0000-0000-00003F1E0000}"/>
    <cellStyle name="Normal 8 5 5 3 2" xfId="14561" xr:uid="{8FC667CA-0CF8-4CC6-B470-79931BF34761}"/>
    <cellStyle name="Normal 8 5 5 3 3" xfId="23001" xr:uid="{69622070-46E5-495B-B8DF-B7AFEC540901}"/>
    <cellStyle name="Normal 8 5 5 3 4" xfId="31441" xr:uid="{99AD9CB2-F8A2-4052-B8DE-546E2265B444}"/>
    <cellStyle name="Normal 8 5 5 4" xfId="10343" xr:uid="{CB74122B-FA7E-4C80-B65B-2B1ED62CBD99}"/>
    <cellStyle name="Normal 8 5 5 5" xfId="18784" xr:uid="{C8997822-0B71-4008-A5F4-F87780FE0A28}"/>
    <cellStyle name="Normal 8 5 5 6" xfId="27224" xr:uid="{31BE7096-C0D4-4A1C-A50B-25F62F8DBE06}"/>
    <cellStyle name="Normal 8 5 6" xfId="2218" xr:uid="{00000000-0005-0000-0000-0000401E0000}"/>
    <cellStyle name="Normal 8 5 6 2" xfId="4447" xr:uid="{00000000-0005-0000-0000-0000411E0000}"/>
    <cellStyle name="Normal 8 5 6 2 2" xfId="8669" xr:uid="{00000000-0005-0000-0000-0000421E0000}"/>
    <cellStyle name="Normal 8 5 6 2 2 2" xfId="17119" xr:uid="{644F32E5-CDFB-49C9-8A73-526C10A049A4}"/>
    <cellStyle name="Normal 8 5 6 2 2 3" xfId="25559" xr:uid="{254A6E52-0416-4896-96F7-6C0BD3DEF6E9}"/>
    <cellStyle name="Normal 8 5 6 2 2 4" xfId="33999" xr:uid="{555CE25B-38AA-43C6-9661-A358FDB5E98D}"/>
    <cellStyle name="Normal 8 5 6 2 3" xfId="12901" xr:uid="{FD7B3EA9-0E0B-4EA2-9770-7BDCBC3C9B5E}"/>
    <cellStyle name="Normal 8 5 6 2 4" xfId="21342" xr:uid="{7CF84B75-1BD6-4BEB-9004-2A79DBB1051A}"/>
    <cellStyle name="Normal 8 5 6 2 5" xfId="29782" xr:uid="{C04AA781-0D12-4207-A983-72B7B8BADA53}"/>
    <cellStyle name="Normal 8 5 6 3" xfId="6524" xr:uid="{00000000-0005-0000-0000-0000431E0000}"/>
    <cellStyle name="Normal 8 5 6 3 2" xfId="14974" xr:uid="{93F83B7B-1062-4505-B975-602B023962EF}"/>
    <cellStyle name="Normal 8 5 6 3 3" xfId="23414" xr:uid="{D6728178-6627-423A-B3AF-A5A2EF1BDBBC}"/>
    <cellStyle name="Normal 8 5 6 3 4" xfId="31854" xr:uid="{ACC89D82-6A31-479A-A639-441AE405F85A}"/>
    <cellStyle name="Normal 8 5 6 4" xfId="10756" xr:uid="{68752FEE-9D68-4DCF-836C-9CA8B3F05C2A}"/>
    <cellStyle name="Normal 8 5 6 5" xfId="19197" xr:uid="{ECAF37F4-AC06-438E-9139-747F396C925F}"/>
    <cellStyle name="Normal 8 5 6 6" xfId="27637" xr:uid="{A602442A-DB3D-4A0E-AA72-6E7D6D8A7A5F}"/>
    <cellStyle name="Normal 8 5 7" xfId="2654" xr:uid="{00000000-0005-0000-0000-0000441E0000}"/>
    <cellStyle name="Normal 8 5 7 2" xfId="6937" xr:uid="{00000000-0005-0000-0000-0000451E0000}"/>
    <cellStyle name="Normal 8 5 7 2 2" xfId="15387" xr:uid="{95AF2865-EF56-4D7D-870A-C19B6AEA10E5}"/>
    <cellStyle name="Normal 8 5 7 2 3" xfId="23827" xr:uid="{3881A8C0-DE10-418B-BDF7-A6AA077226C1}"/>
    <cellStyle name="Normal 8 5 7 2 4" xfId="32267" xr:uid="{5C88227F-2D77-4AF0-BF61-15420C3F49BE}"/>
    <cellStyle name="Normal 8 5 7 3" xfId="11169" xr:uid="{B1D3BF4E-F789-45C1-93AA-C6D7EA3EA3D9}"/>
    <cellStyle name="Normal 8 5 7 4" xfId="19610" xr:uid="{89912558-BD08-4BB3-9BBB-C7B59EB2974B}"/>
    <cellStyle name="Normal 8 5 7 5" xfId="28050" xr:uid="{7AA1F509-1698-4402-AF5D-5C716C29BD39}"/>
    <cellStyle name="Normal 8 5 8" xfId="4872" xr:uid="{00000000-0005-0000-0000-0000461E0000}"/>
    <cellStyle name="Normal 8 5 8 2" xfId="13322" xr:uid="{91CAE6D4-0FB4-416C-BFA5-BC2D2BA4400E}"/>
    <cellStyle name="Normal 8 5 8 3" xfId="21762" xr:uid="{2727DE4C-475B-40D2-956F-672AC01D4B96}"/>
    <cellStyle name="Normal 8 5 8 4" xfId="30202" xr:uid="{66E5B790-D02D-4037-9E6E-EA6AF30AD93B}"/>
    <cellStyle name="Normal 8 5 9" xfId="9104" xr:uid="{0095C1B2-8FEC-4E47-A838-0B8379D01D38}"/>
    <cellStyle name="Normal 8 6" xfId="509" xr:uid="{00000000-0005-0000-0000-0000471E0000}"/>
    <cellStyle name="Normal 8 6 10" xfId="25987" xr:uid="{852158CA-831E-45AC-B9E5-752D9CFC7640}"/>
    <cellStyle name="Normal 8 6 2" xfId="976" xr:uid="{00000000-0005-0000-0000-0000481E0000}"/>
    <cellStyle name="Normal 8 6 2 2" xfId="3210" xr:uid="{00000000-0005-0000-0000-0000491E0000}"/>
    <cellStyle name="Normal 8 6 2 2 2" xfId="7432" xr:uid="{00000000-0005-0000-0000-00004A1E0000}"/>
    <cellStyle name="Normal 8 6 2 2 2 2" xfId="15882" xr:uid="{C846536D-87BC-4779-B7D0-AB090C78ABB5}"/>
    <cellStyle name="Normal 8 6 2 2 2 3" xfId="24322" xr:uid="{94E30D40-4A65-4E4D-86B7-4BB0EC78BBB7}"/>
    <cellStyle name="Normal 8 6 2 2 2 4" xfId="32762" xr:uid="{01049588-9502-43FF-A867-8B5ADF385AB2}"/>
    <cellStyle name="Normal 8 6 2 2 3" xfId="11664" xr:uid="{B89AA986-6A46-4174-9650-DB309FF4E193}"/>
    <cellStyle name="Normal 8 6 2 2 4" xfId="20105" xr:uid="{2DFCB9D4-5CB6-4155-9AC3-4EAC7A22546F}"/>
    <cellStyle name="Normal 8 6 2 2 5" xfId="28545" xr:uid="{0CA00387-A14C-4B18-B305-C344FCC2E68D}"/>
    <cellStyle name="Normal 8 6 2 3" xfId="5287" xr:uid="{00000000-0005-0000-0000-00004B1E0000}"/>
    <cellStyle name="Normal 8 6 2 3 2" xfId="13737" xr:uid="{1382063E-9D27-4B53-9008-D504BEA37E2F}"/>
    <cellStyle name="Normal 8 6 2 3 3" xfId="22177" xr:uid="{AEF27F47-A254-479E-8AB3-3F3E747F9294}"/>
    <cellStyle name="Normal 8 6 2 3 4" xfId="30617" xr:uid="{474B1EF4-27FA-4F44-93E4-03656285ED63}"/>
    <cellStyle name="Normal 8 6 2 4" xfId="9519" xr:uid="{0C7D0F49-9DE2-4B52-B6C9-21F162904B2A}"/>
    <cellStyle name="Normal 8 6 2 5" xfId="17960" xr:uid="{8CF9BDE7-DF87-49BA-893C-A2ED035D09CD}"/>
    <cellStyle name="Normal 8 6 2 6" xfId="26400" xr:uid="{828941C2-C70C-4E08-8CBB-9E95E9DC50A7}"/>
    <cellStyle name="Normal 8 6 3" xfId="1393" xr:uid="{00000000-0005-0000-0000-00004C1E0000}"/>
    <cellStyle name="Normal 8 6 3 2" xfId="3623" xr:uid="{00000000-0005-0000-0000-00004D1E0000}"/>
    <cellStyle name="Normal 8 6 3 2 2" xfId="7845" xr:uid="{00000000-0005-0000-0000-00004E1E0000}"/>
    <cellStyle name="Normal 8 6 3 2 2 2" xfId="16295" xr:uid="{7E72D3EE-2C5B-4BDC-85F5-A9D75C0FE46A}"/>
    <cellStyle name="Normal 8 6 3 2 2 3" xfId="24735" xr:uid="{DA640375-B6EA-48E1-914B-51CB54BBFD21}"/>
    <cellStyle name="Normal 8 6 3 2 2 4" xfId="33175" xr:uid="{FC6B4A0C-01D8-4976-8AB2-5FEB209EB6B0}"/>
    <cellStyle name="Normal 8 6 3 2 3" xfId="12077" xr:uid="{88B156A7-3B59-4188-808C-51ED219F1D92}"/>
    <cellStyle name="Normal 8 6 3 2 4" xfId="20518" xr:uid="{831DE23D-7E24-4AC2-9018-64042DE243E3}"/>
    <cellStyle name="Normal 8 6 3 2 5" xfId="28958" xr:uid="{B95C28EE-52DE-41AF-8E74-1E62FEFD7A7E}"/>
    <cellStyle name="Normal 8 6 3 3" xfId="5700" xr:uid="{00000000-0005-0000-0000-00004F1E0000}"/>
    <cellStyle name="Normal 8 6 3 3 2" xfId="14150" xr:uid="{7F3DD4E5-5684-4B49-AA04-81EEA0C26391}"/>
    <cellStyle name="Normal 8 6 3 3 3" xfId="22590" xr:uid="{7CC4BF6E-C240-425B-92FE-E285D8AA6E4A}"/>
    <cellStyle name="Normal 8 6 3 3 4" xfId="31030" xr:uid="{D9BEE3D8-6ABA-46FA-AE99-A9418875B05C}"/>
    <cellStyle name="Normal 8 6 3 4" xfId="9932" xr:uid="{09138BC8-2E1D-4BA1-9380-BA53945E89D8}"/>
    <cellStyle name="Normal 8 6 3 5" xfId="18373" xr:uid="{AADC217D-36CC-4547-B912-ABBDDE681695}"/>
    <cellStyle name="Normal 8 6 3 6" xfId="26813" xr:uid="{3D0E0D7F-1F56-49EC-A316-AB1A1CFAE22C}"/>
    <cellStyle name="Normal 8 6 4" xfId="1806" xr:uid="{00000000-0005-0000-0000-0000501E0000}"/>
    <cellStyle name="Normal 8 6 4 2" xfId="4036" xr:uid="{00000000-0005-0000-0000-0000511E0000}"/>
    <cellStyle name="Normal 8 6 4 2 2" xfId="8258" xr:uid="{00000000-0005-0000-0000-0000521E0000}"/>
    <cellStyle name="Normal 8 6 4 2 2 2" xfId="16708" xr:uid="{F387A73B-6FE2-410F-9B63-84E9B9825CB0}"/>
    <cellStyle name="Normal 8 6 4 2 2 3" xfId="25148" xr:uid="{0D3C922F-A814-407E-AC36-0CE95740807E}"/>
    <cellStyle name="Normal 8 6 4 2 2 4" xfId="33588" xr:uid="{352D16E2-822D-485B-8E4C-A69C1C104A96}"/>
    <cellStyle name="Normal 8 6 4 2 3" xfId="12490" xr:uid="{92A4ED95-5BAF-4615-9D7A-6AAC761FF8DF}"/>
    <cellStyle name="Normal 8 6 4 2 4" xfId="20931" xr:uid="{C90BF036-59E7-48F4-BE45-FFEDF6A14765}"/>
    <cellStyle name="Normal 8 6 4 2 5" xfId="29371" xr:uid="{C001E2D8-E627-4426-8ED4-3B1815E9E69F}"/>
    <cellStyle name="Normal 8 6 4 3" xfId="6113" xr:uid="{00000000-0005-0000-0000-0000531E0000}"/>
    <cellStyle name="Normal 8 6 4 3 2" xfId="14563" xr:uid="{99AAC6A8-2B39-4719-80B6-2E7444AD376C}"/>
    <cellStyle name="Normal 8 6 4 3 3" xfId="23003" xr:uid="{F236BBAE-F33B-45D0-BB13-439AC2281890}"/>
    <cellStyle name="Normal 8 6 4 3 4" xfId="31443" xr:uid="{5FB6C400-CD4A-422B-B157-16E1A93E3784}"/>
    <cellStyle name="Normal 8 6 4 4" xfId="10345" xr:uid="{42DBE22E-ECC4-4C39-B440-DB87BAB0E03E}"/>
    <cellStyle name="Normal 8 6 4 5" xfId="18786" xr:uid="{29A9C806-0AED-49D1-8072-5F10576717F5}"/>
    <cellStyle name="Normal 8 6 4 6" xfId="27226" xr:uid="{E674005F-4BBD-4040-95D3-41BBA30B2984}"/>
    <cellStyle name="Normal 8 6 5" xfId="2220" xr:uid="{00000000-0005-0000-0000-0000541E0000}"/>
    <cellStyle name="Normal 8 6 5 2" xfId="4449" xr:uid="{00000000-0005-0000-0000-0000551E0000}"/>
    <cellStyle name="Normal 8 6 5 2 2" xfId="8671" xr:uid="{00000000-0005-0000-0000-0000561E0000}"/>
    <cellStyle name="Normal 8 6 5 2 2 2" xfId="17121" xr:uid="{E81C95AC-4C71-43C2-98B1-3A55C492CC29}"/>
    <cellStyle name="Normal 8 6 5 2 2 3" xfId="25561" xr:uid="{726578FD-017B-4822-8E37-EE4506AFD143}"/>
    <cellStyle name="Normal 8 6 5 2 2 4" xfId="34001" xr:uid="{D9D91612-9180-404E-AAD1-3282DDA0C7DC}"/>
    <cellStyle name="Normal 8 6 5 2 3" xfId="12903" xr:uid="{414C8083-7AD7-4063-8C64-539984E50BED}"/>
    <cellStyle name="Normal 8 6 5 2 4" xfId="21344" xr:uid="{266A7A10-6DEE-4D2F-996D-583BCCEE76DD}"/>
    <cellStyle name="Normal 8 6 5 2 5" xfId="29784" xr:uid="{5F1C754B-B2CB-4D18-8D5E-2D1D657D4A04}"/>
    <cellStyle name="Normal 8 6 5 3" xfId="6526" xr:uid="{00000000-0005-0000-0000-0000571E0000}"/>
    <cellStyle name="Normal 8 6 5 3 2" xfId="14976" xr:uid="{739EBC37-FD7D-4A08-BFA5-9D6BC21F0566}"/>
    <cellStyle name="Normal 8 6 5 3 3" xfId="23416" xr:uid="{58BBDD7E-8E17-496C-8498-5FC53DA4A769}"/>
    <cellStyle name="Normal 8 6 5 3 4" xfId="31856" xr:uid="{91D80A7F-CB65-4A36-BE2D-C64A01282363}"/>
    <cellStyle name="Normal 8 6 5 4" xfId="10758" xr:uid="{DA55E631-A745-43EC-839A-3BB8A9419A02}"/>
    <cellStyle name="Normal 8 6 5 5" xfId="19199" xr:uid="{C335E9FB-82DC-46DD-9BD8-013CD72EF436}"/>
    <cellStyle name="Normal 8 6 5 6" xfId="27639" xr:uid="{7F59824B-AEBA-40DA-B3EE-55507D0D3E17}"/>
    <cellStyle name="Normal 8 6 6" xfId="2656" xr:uid="{00000000-0005-0000-0000-0000581E0000}"/>
    <cellStyle name="Normal 8 6 6 2" xfId="6939" xr:uid="{00000000-0005-0000-0000-0000591E0000}"/>
    <cellStyle name="Normal 8 6 6 2 2" xfId="15389" xr:uid="{761054FC-6343-4EA1-AB0B-38C630F91D3C}"/>
    <cellStyle name="Normal 8 6 6 2 3" xfId="23829" xr:uid="{E366F2CE-2B01-4FDB-AA00-73A560D9D5D6}"/>
    <cellStyle name="Normal 8 6 6 2 4" xfId="32269" xr:uid="{FDEB37C3-82B6-49D3-9DBE-BCE5928A966D}"/>
    <cellStyle name="Normal 8 6 6 3" xfId="11171" xr:uid="{9E72C986-B358-45A4-B56B-BC6CDDE7EE08}"/>
    <cellStyle name="Normal 8 6 6 4" xfId="19612" xr:uid="{67B098DC-A2F2-444E-8EBD-F480E1369C1C}"/>
    <cellStyle name="Normal 8 6 6 5" xfId="28052" xr:uid="{86B8CC71-A04B-44CA-9368-793CD3B2E62F}"/>
    <cellStyle name="Normal 8 6 7" xfId="4874" xr:uid="{00000000-0005-0000-0000-00005A1E0000}"/>
    <cellStyle name="Normal 8 6 7 2" xfId="13324" xr:uid="{C1FAF4AE-4C4E-446F-B136-B9B88A107907}"/>
    <cellStyle name="Normal 8 6 7 3" xfId="21764" xr:uid="{B99DE4F6-6950-423E-974F-CCAAC68297EA}"/>
    <cellStyle name="Normal 8 6 7 4" xfId="30204" xr:uid="{253B83E1-0634-4F2E-B521-3BC2FDDC27C3}"/>
    <cellStyle name="Normal 8 6 8" xfId="9106" xr:uid="{D412E4C6-08FC-47C5-B18B-9909C7359F79}"/>
    <cellStyle name="Normal 8 6 9" xfId="17547" xr:uid="{597EC1C1-E077-4B51-B86C-846CABC77BDE}"/>
    <cellStyle name="Normal 8 7" xfId="945" xr:uid="{00000000-0005-0000-0000-00005B1E0000}"/>
    <cellStyle name="Normal 8 7 2" xfId="3179" xr:uid="{00000000-0005-0000-0000-00005C1E0000}"/>
    <cellStyle name="Normal 8 7 2 2" xfId="7401" xr:uid="{00000000-0005-0000-0000-00005D1E0000}"/>
    <cellStyle name="Normal 8 7 2 2 2" xfId="15851" xr:uid="{ACB66B2F-1D68-4218-8E50-A12966CC592A}"/>
    <cellStyle name="Normal 8 7 2 2 3" xfId="24291" xr:uid="{768B6507-7A41-40F8-83FB-B2D68AA5FB04}"/>
    <cellStyle name="Normal 8 7 2 2 4" xfId="32731" xr:uid="{0C6FDCD0-6256-47E0-B049-95B2F368428E}"/>
    <cellStyle name="Normal 8 7 2 3" xfId="11633" xr:uid="{C5EBE2F8-F27B-4D90-9765-55523072B01C}"/>
    <cellStyle name="Normal 8 7 2 4" xfId="20074" xr:uid="{6A46B473-A3C1-4610-AE74-4EF3CF3CC2C5}"/>
    <cellStyle name="Normal 8 7 2 5" xfId="28514" xr:uid="{E35CE3F8-0C4D-469C-9554-65074E508CDD}"/>
    <cellStyle name="Normal 8 7 3" xfId="5256" xr:uid="{00000000-0005-0000-0000-00005E1E0000}"/>
    <cellStyle name="Normal 8 7 3 2" xfId="13706" xr:uid="{0EF1EA85-D495-4251-BE68-6F7F83FCC0AA}"/>
    <cellStyle name="Normal 8 7 3 3" xfId="22146" xr:uid="{A84EAD00-E45F-4C09-9E59-C56F1CA81398}"/>
    <cellStyle name="Normal 8 7 3 4" xfId="30586" xr:uid="{FE7147A5-7658-4069-BC95-1900ADBD9E17}"/>
    <cellStyle name="Normal 8 7 4" xfId="9488" xr:uid="{D129F338-2BEE-4927-9B7B-9D5163AD245F}"/>
    <cellStyle name="Normal 8 7 5" xfId="17929" xr:uid="{BCBEC8AE-2E03-4508-BA5C-15B43C161DE0}"/>
    <cellStyle name="Normal 8 7 6" xfId="26369" xr:uid="{29A4CA27-9888-47CE-8E1F-2CE255752B05}"/>
    <cellStyle name="Normal 8 8" xfId="1362" xr:uid="{00000000-0005-0000-0000-00005F1E0000}"/>
    <cellStyle name="Normal 8 8 2" xfId="3592" xr:uid="{00000000-0005-0000-0000-0000601E0000}"/>
    <cellStyle name="Normal 8 8 2 2" xfId="7814" xr:uid="{00000000-0005-0000-0000-0000611E0000}"/>
    <cellStyle name="Normal 8 8 2 2 2" xfId="16264" xr:uid="{2B7E269C-71D5-456A-8521-21B160AA9B52}"/>
    <cellStyle name="Normal 8 8 2 2 3" xfId="24704" xr:uid="{61F39F1E-279F-43E1-AC1F-7F825F399EDC}"/>
    <cellStyle name="Normal 8 8 2 2 4" xfId="33144" xr:uid="{470C8490-53CB-4D89-B7CE-B34E9D0176B8}"/>
    <cellStyle name="Normal 8 8 2 3" xfId="12046" xr:uid="{D1488F8F-3FBE-4516-AA5B-F29E03F07DC1}"/>
    <cellStyle name="Normal 8 8 2 4" xfId="20487" xr:uid="{7ACFDCF1-8422-4CFD-8667-DC783D5E649F}"/>
    <cellStyle name="Normal 8 8 2 5" xfId="28927" xr:uid="{9192C0DD-F5BF-4541-A704-18F239F411FF}"/>
    <cellStyle name="Normal 8 8 3" xfId="5669" xr:uid="{00000000-0005-0000-0000-0000621E0000}"/>
    <cellStyle name="Normal 8 8 3 2" xfId="14119" xr:uid="{2894BA0E-4CB9-4C82-889C-23BE30C49336}"/>
    <cellStyle name="Normal 8 8 3 3" xfId="22559" xr:uid="{2E179C63-5E44-495C-ACFB-953E1858DCE5}"/>
    <cellStyle name="Normal 8 8 3 4" xfId="30999" xr:uid="{F8A75F9C-ECDC-4FA5-8814-D14F303B938F}"/>
    <cellStyle name="Normal 8 8 4" xfId="9901" xr:uid="{D320403D-D767-4B9C-BE01-9AE8D3D6DDAD}"/>
    <cellStyle name="Normal 8 8 5" xfId="18342" xr:uid="{D1FDCCFB-3273-488F-A10D-93218B38BCC7}"/>
    <cellStyle name="Normal 8 8 6" xfId="26782" xr:uid="{8ABE02F9-ECA7-4EBD-AE99-171B001B9B99}"/>
    <cellStyle name="Normal 8 9" xfId="1775" xr:uid="{00000000-0005-0000-0000-0000631E0000}"/>
    <cellStyle name="Normal 8 9 2" xfId="4005" xr:uid="{00000000-0005-0000-0000-0000641E0000}"/>
    <cellStyle name="Normal 8 9 2 2" xfId="8227" xr:uid="{00000000-0005-0000-0000-0000651E0000}"/>
    <cellStyle name="Normal 8 9 2 2 2" xfId="16677" xr:uid="{722E384C-44BC-4B74-95F5-0EDFD6B360DC}"/>
    <cellStyle name="Normal 8 9 2 2 3" xfId="25117" xr:uid="{BA6B85E8-EE9E-41D4-B5B5-18E0F4EDB833}"/>
    <cellStyle name="Normal 8 9 2 2 4" xfId="33557" xr:uid="{D87E84E0-4CD8-4145-9507-7BB711121DB0}"/>
    <cellStyle name="Normal 8 9 2 3" xfId="12459" xr:uid="{BFE7FE74-1418-4197-9E4D-F96E5D4E14DC}"/>
    <cellStyle name="Normal 8 9 2 4" xfId="20900" xr:uid="{97CB7CDE-B698-4E8A-8444-599D5BEB4B25}"/>
    <cellStyle name="Normal 8 9 2 5" xfId="29340" xr:uid="{957F341B-8280-4047-84B3-D230989F51C3}"/>
    <cellStyle name="Normal 8 9 3" xfId="6082" xr:uid="{00000000-0005-0000-0000-0000661E0000}"/>
    <cellStyle name="Normal 8 9 3 2" xfId="14532" xr:uid="{51071A77-0C58-475F-B0D1-FAAC6EEA4BD9}"/>
    <cellStyle name="Normal 8 9 3 3" xfId="22972" xr:uid="{BD473515-3814-415B-BE5F-F3EC2D0CDE0E}"/>
    <cellStyle name="Normal 8 9 3 4" xfId="31412" xr:uid="{537A063C-596E-4805-A37A-60631EC3AA35}"/>
    <cellStyle name="Normal 8 9 4" xfId="10314" xr:uid="{AB145001-FA43-4A86-B50C-A041F82747E1}"/>
    <cellStyle name="Normal 8 9 5" xfId="18755" xr:uid="{AC0EF27A-0A1D-4A0A-92F4-5C357FC2B6A1}"/>
    <cellStyle name="Normal 8 9 6" xfId="27195" xr:uid="{5801A23C-F7E9-41DD-B73B-C1F14A3460F7}"/>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0 2 2" xfId="15390" xr:uid="{C7C6ED84-2136-4B2D-AA34-2ABB9FA36001}"/>
    <cellStyle name="Normal 9 2 10 2 3" xfId="23830" xr:uid="{44242BCC-9ACD-4492-A28C-D6E9A71BA809}"/>
    <cellStyle name="Normal 9 2 10 2 4" xfId="32270" xr:uid="{5803914F-0F6F-4FDC-A090-8491E34FA32B}"/>
    <cellStyle name="Normal 9 2 10 3" xfId="11172" xr:uid="{A11A419D-F5A6-474F-AE23-B1D82F653CAD}"/>
    <cellStyle name="Normal 9 2 10 4" xfId="19613" xr:uid="{8AE56B56-2CE6-4BCF-B3C0-6E321326D8D6}"/>
    <cellStyle name="Normal 9 2 10 5" xfId="28053" xr:uid="{934F3D1D-246C-4E1C-B714-A4A02F692AB7}"/>
    <cellStyle name="Normal 9 2 11" xfId="4875" xr:uid="{00000000-0005-0000-0000-00006B1E0000}"/>
    <cellStyle name="Normal 9 2 11 2" xfId="13325" xr:uid="{EB8CEA93-8082-41A4-B734-26B6853F9105}"/>
    <cellStyle name="Normal 9 2 11 3" xfId="21765" xr:uid="{92426D31-0B9F-4CF7-A0A5-2BB309E30A43}"/>
    <cellStyle name="Normal 9 2 11 4" xfId="30205" xr:uid="{CEE0A625-A3EE-41F4-B1A8-99F6C7B4928F}"/>
    <cellStyle name="Normal 9 2 12" xfId="9107" xr:uid="{C5F1BAC1-B50A-4280-BDC4-DC2325F878FB}"/>
    <cellStyle name="Normal 9 2 13" xfId="17548" xr:uid="{EFB0674A-37F3-4978-871C-0E8C62AA31BF}"/>
    <cellStyle name="Normal 9 2 14" xfId="25988" xr:uid="{682691BE-721F-4A27-8AC3-36108B621A60}"/>
    <cellStyle name="Normal 9 2 2" xfId="512" xr:uid="{00000000-0005-0000-0000-00006C1E0000}"/>
    <cellStyle name="Normal 9 2 2 10" xfId="4876" xr:uid="{00000000-0005-0000-0000-00006D1E0000}"/>
    <cellStyle name="Normal 9 2 2 10 2" xfId="13326" xr:uid="{BF40BB8E-1BBD-42FC-8CD4-644BF2C83CD2}"/>
    <cellStyle name="Normal 9 2 2 10 3" xfId="21766" xr:uid="{D5A46F96-2437-4393-92F3-2BFB00715D49}"/>
    <cellStyle name="Normal 9 2 2 10 4" xfId="30206" xr:uid="{737E7171-AA02-4650-8676-ED2D7AA5083A}"/>
    <cellStyle name="Normal 9 2 2 11" xfId="9108" xr:uid="{38D608B1-B8D7-4BCF-A085-3503D773C048}"/>
    <cellStyle name="Normal 9 2 2 12" xfId="17549" xr:uid="{04C2186E-E653-47BD-BC7E-9AC17214E9A9}"/>
    <cellStyle name="Normal 9 2 2 13" xfId="25989" xr:uid="{C09B80E7-C956-41A3-9457-C15A02E0B25A}"/>
    <cellStyle name="Normal 9 2 2 2" xfId="513" xr:uid="{00000000-0005-0000-0000-00006E1E0000}"/>
    <cellStyle name="Normal 9 2 2 2 10" xfId="9109" xr:uid="{05D46D64-C50C-4951-A482-2A448E8092E0}"/>
    <cellStyle name="Normal 9 2 2 2 11" xfId="17550" xr:uid="{84B57E6B-3A98-4BA6-9D2C-6BDE907F658E}"/>
    <cellStyle name="Normal 9 2 2 2 12" xfId="25990" xr:uid="{B4869CAD-7E76-471E-84E6-CAB10819E3F6}"/>
    <cellStyle name="Normal 9 2 2 2 2" xfId="514" xr:uid="{00000000-0005-0000-0000-00006F1E0000}"/>
    <cellStyle name="Normal 9 2 2 2 2 10" xfId="17551" xr:uid="{A70FAE18-AE70-4FA7-A8A1-D61E2D4CBE65}"/>
    <cellStyle name="Normal 9 2 2 2 2 11" xfId="25991" xr:uid="{21401A77-2B0B-46B9-8BBF-926373B51726}"/>
    <cellStyle name="Normal 9 2 2 2 2 2" xfId="515" xr:uid="{00000000-0005-0000-0000-0000701E0000}"/>
    <cellStyle name="Normal 9 2 2 2 2 2 10" xfId="25992" xr:uid="{65C15F28-0A4A-4E4D-82CA-9A51505342DA}"/>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2 2 2" xfId="15887" xr:uid="{59F9D9D0-DA3C-41F9-9DA2-13286D7E2A38}"/>
    <cellStyle name="Normal 9 2 2 2 2 2 2 2 2 3" xfId="24327" xr:uid="{5EE60E60-5BE7-47B6-A12B-580050D5FEC7}"/>
    <cellStyle name="Normal 9 2 2 2 2 2 2 2 2 4" xfId="32767" xr:uid="{0858B02F-ACAD-4307-AA94-5EAF5BA007EF}"/>
    <cellStyle name="Normal 9 2 2 2 2 2 2 2 3" xfId="11669" xr:uid="{34F23482-6522-4ADD-BBFF-F53919517A58}"/>
    <cellStyle name="Normal 9 2 2 2 2 2 2 2 4" xfId="20110" xr:uid="{51A81716-EAD3-4807-B7B7-E324A4E1C61C}"/>
    <cellStyle name="Normal 9 2 2 2 2 2 2 2 5" xfId="28550" xr:uid="{F7C22710-0D9E-4D6D-B227-665F9E5F10EF}"/>
    <cellStyle name="Normal 9 2 2 2 2 2 2 3" xfId="5292" xr:uid="{00000000-0005-0000-0000-0000741E0000}"/>
    <cellStyle name="Normal 9 2 2 2 2 2 2 3 2" xfId="13742" xr:uid="{E3929DC0-8CF8-48EC-94E1-3F4328E238B8}"/>
    <cellStyle name="Normal 9 2 2 2 2 2 2 3 3" xfId="22182" xr:uid="{76FE762D-A962-4D82-8BC7-7E55B370BF4E}"/>
    <cellStyle name="Normal 9 2 2 2 2 2 2 3 4" xfId="30622" xr:uid="{A319662A-7304-4B25-85A4-EE652D034EFB}"/>
    <cellStyle name="Normal 9 2 2 2 2 2 2 4" xfId="9524" xr:uid="{830C58B7-BABD-4F5D-8F5C-E5B31A08D636}"/>
    <cellStyle name="Normal 9 2 2 2 2 2 2 5" xfId="17965" xr:uid="{64E73A96-7B70-4F52-8AA8-C74554B5C0BB}"/>
    <cellStyle name="Normal 9 2 2 2 2 2 2 6" xfId="26405" xr:uid="{D309A8CC-2C5B-470B-8ED6-A7D888BD5C23}"/>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2 2 2" xfId="16300" xr:uid="{1B10010F-78DC-4763-9E58-02F746A76327}"/>
    <cellStyle name="Normal 9 2 2 2 2 2 3 2 2 3" xfId="24740" xr:uid="{215541E1-BBE2-4AFE-A5A1-F342709A7D8F}"/>
    <cellStyle name="Normal 9 2 2 2 2 2 3 2 2 4" xfId="33180" xr:uid="{DD5FF21A-4153-4BDD-BA80-76278B91273A}"/>
    <cellStyle name="Normal 9 2 2 2 2 2 3 2 3" xfId="12082" xr:uid="{5555E44E-32A4-46D4-8543-7BDC96CF03E3}"/>
    <cellStyle name="Normal 9 2 2 2 2 2 3 2 4" xfId="20523" xr:uid="{BA088191-E64B-4795-A74D-F4F2A4AB2D04}"/>
    <cellStyle name="Normal 9 2 2 2 2 2 3 2 5" xfId="28963" xr:uid="{49CC5813-7338-4B70-9B05-911B184055A3}"/>
    <cellStyle name="Normal 9 2 2 2 2 2 3 3" xfId="5705" xr:uid="{00000000-0005-0000-0000-0000781E0000}"/>
    <cellStyle name="Normal 9 2 2 2 2 2 3 3 2" xfId="14155" xr:uid="{5A7E0380-947D-4739-BA5A-1E36A7BDF6E7}"/>
    <cellStyle name="Normal 9 2 2 2 2 2 3 3 3" xfId="22595" xr:uid="{4F51D0D3-3D3D-4DAC-BC8A-80700A830228}"/>
    <cellStyle name="Normal 9 2 2 2 2 2 3 3 4" xfId="31035" xr:uid="{88616F97-6677-4AD2-B45F-400DE06638ED}"/>
    <cellStyle name="Normal 9 2 2 2 2 2 3 4" xfId="9937" xr:uid="{8662006B-7E9E-4CFA-A412-1EACC3E207CB}"/>
    <cellStyle name="Normal 9 2 2 2 2 2 3 5" xfId="18378" xr:uid="{8AEF660B-86BD-4B64-BC0C-3EE68EB8EE48}"/>
    <cellStyle name="Normal 9 2 2 2 2 2 3 6" xfId="26818" xr:uid="{B3ACB246-6106-4FCD-8BEC-4C8E320BAAFA}"/>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2 2 2" xfId="16713" xr:uid="{5BF5A9DE-C4C4-48DF-BC00-26A6E322CD5D}"/>
    <cellStyle name="Normal 9 2 2 2 2 2 4 2 2 3" xfId="25153" xr:uid="{6CCB8E2D-B8CE-4E35-9772-B90A6AA9B22C}"/>
    <cellStyle name="Normal 9 2 2 2 2 2 4 2 2 4" xfId="33593" xr:uid="{C9F81866-AFD6-4B17-ADD2-23740A806BFD}"/>
    <cellStyle name="Normal 9 2 2 2 2 2 4 2 3" xfId="12495" xr:uid="{B3FB3131-F160-4CEB-8358-4D9CCE3BD5C5}"/>
    <cellStyle name="Normal 9 2 2 2 2 2 4 2 4" xfId="20936" xr:uid="{9FF2C986-B5AC-4BA2-AF67-339AE52E0AE0}"/>
    <cellStyle name="Normal 9 2 2 2 2 2 4 2 5" xfId="29376" xr:uid="{DB063DF5-78AB-452A-B01A-30C8B970D617}"/>
    <cellStyle name="Normal 9 2 2 2 2 2 4 3" xfId="6118" xr:uid="{00000000-0005-0000-0000-00007C1E0000}"/>
    <cellStyle name="Normal 9 2 2 2 2 2 4 3 2" xfId="14568" xr:uid="{9A3DFCA7-2F93-41A9-8C94-548F51ACCF3C}"/>
    <cellStyle name="Normal 9 2 2 2 2 2 4 3 3" xfId="23008" xr:uid="{0E34C4BC-0F65-4149-A3F6-1EFBBEC1803C}"/>
    <cellStyle name="Normal 9 2 2 2 2 2 4 3 4" xfId="31448" xr:uid="{94D31777-0C41-4E78-B297-63C3E234303B}"/>
    <cellStyle name="Normal 9 2 2 2 2 2 4 4" xfId="10350" xr:uid="{B2710EA5-86F7-42B5-A838-CED5293907F9}"/>
    <cellStyle name="Normal 9 2 2 2 2 2 4 5" xfId="18791" xr:uid="{60229B8A-87BD-474D-9FB1-27C8FCA15BD3}"/>
    <cellStyle name="Normal 9 2 2 2 2 2 4 6" xfId="27231" xr:uid="{098C6A1A-DD70-4C41-AC38-CB9201CD7F5A}"/>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2 2 2" xfId="17126" xr:uid="{97CAD070-FFA5-4033-B5F5-E3C19E7C322E}"/>
    <cellStyle name="Normal 9 2 2 2 2 2 5 2 2 3" xfId="25566" xr:uid="{D73A1C31-FD99-42F9-A847-8E7742A211EC}"/>
    <cellStyle name="Normal 9 2 2 2 2 2 5 2 2 4" xfId="34006" xr:uid="{E2F87A6D-E04E-4F44-A6D7-9BE86BEFB53E}"/>
    <cellStyle name="Normal 9 2 2 2 2 2 5 2 3" xfId="12908" xr:uid="{FB4E36BE-0900-4E8E-8332-DD9CC5E9BA13}"/>
    <cellStyle name="Normal 9 2 2 2 2 2 5 2 4" xfId="21349" xr:uid="{6912AD09-5024-41A7-BA7C-05D63AFEDBBF}"/>
    <cellStyle name="Normal 9 2 2 2 2 2 5 2 5" xfId="29789" xr:uid="{2226D76C-82C0-40FD-8469-12472DCEA0C1}"/>
    <cellStyle name="Normal 9 2 2 2 2 2 5 3" xfId="6531" xr:uid="{00000000-0005-0000-0000-0000801E0000}"/>
    <cellStyle name="Normal 9 2 2 2 2 2 5 3 2" xfId="14981" xr:uid="{83117DE6-AC37-4235-8093-7FA296C6223E}"/>
    <cellStyle name="Normal 9 2 2 2 2 2 5 3 3" xfId="23421" xr:uid="{1A580A16-675B-45ED-927A-1F7121F7C72D}"/>
    <cellStyle name="Normal 9 2 2 2 2 2 5 3 4" xfId="31861" xr:uid="{A187F679-10D2-430B-BB9D-B2D93CBB013E}"/>
    <cellStyle name="Normal 9 2 2 2 2 2 5 4" xfId="10763" xr:uid="{47559FA7-F0EA-4864-88B2-54E49AA6744D}"/>
    <cellStyle name="Normal 9 2 2 2 2 2 5 5" xfId="19204" xr:uid="{7DB79688-70FE-4AFC-9996-688AD6ED366A}"/>
    <cellStyle name="Normal 9 2 2 2 2 2 5 6" xfId="27644" xr:uid="{EB61861C-CF59-4229-A8A3-418B31A2BB3B}"/>
    <cellStyle name="Normal 9 2 2 2 2 2 6" xfId="2661" xr:uid="{00000000-0005-0000-0000-0000811E0000}"/>
    <cellStyle name="Normal 9 2 2 2 2 2 6 2" xfId="6944" xr:uid="{00000000-0005-0000-0000-0000821E0000}"/>
    <cellStyle name="Normal 9 2 2 2 2 2 6 2 2" xfId="15394" xr:uid="{02C3AC0A-FA4C-46CF-B029-343E7A6DEE87}"/>
    <cellStyle name="Normal 9 2 2 2 2 2 6 2 3" xfId="23834" xr:uid="{E5339126-4443-442D-9C27-F37F0BFECC4D}"/>
    <cellStyle name="Normal 9 2 2 2 2 2 6 2 4" xfId="32274" xr:uid="{871FD818-706E-48AC-ABF5-82B3F686F609}"/>
    <cellStyle name="Normal 9 2 2 2 2 2 6 3" xfId="11176" xr:uid="{CBD188BF-1AFF-4BCB-AB45-FD2240BBFFDD}"/>
    <cellStyle name="Normal 9 2 2 2 2 2 6 4" xfId="19617" xr:uid="{B268208F-5BD0-4541-AD13-B61D2AE0DB2C}"/>
    <cellStyle name="Normal 9 2 2 2 2 2 6 5" xfId="28057" xr:uid="{F9FC2FEB-81D1-4DF7-9CD5-F5FA30402013}"/>
    <cellStyle name="Normal 9 2 2 2 2 2 7" xfId="4879" xr:uid="{00000000-0005-0000-0000-0000831E0000}"/>
    <cellStyle name="Normal 9 2 2 2 2 2 7 2" xfId="13329" xr:uid="{532A8A29-969D-4219-AC21-8DA4F601A1E2}"/>
    <cellStyle name="Normal 9 2 2 2 2 2 7 3" xfId="21769" xr:uid="{60229D65-7785-4B36-AB66-7A6D59F56D12}"/>
    <cellStyle name="Normal 9 2 2 2 2 2 7 4" xfId="30209" xr:uid="{C8590283-DADC-42E7-9667-935B300C8DF0}"/>
    <cellStyle name="Normal 9 2 2 2 2 2 8" xfId="9111" xr:uid="{95190878-7D29-4A0D-8468-65310BFAD41B}"/>
    <cellStyle name="Normal 9 2 2 2 2 2 9" xfId="17552" xr:uid="{F142E5F6-EE35-4AF4-85F2-935E86FAE9B1}"/>
    <cellStyle name="Normal 9 2 2 2 2 3" xfId="981" xr:uid="{00000000-0005-0000-0000-0000841E0000}"/>
    <cellStyle name="Normal 9 2 2 2 2 3 2" xfId="3214" xr:uid="{00000000-0005-0000-0000-0000851E0000}"/>
    <cellStyle name="Normal 9 2 2 2 2 3 2 2" xfId="7436" xr:uid="{00000000-0005-0000-0000-0000861E0000}"/>
    <cellStyle name="Normal 9 2 2 2 2 3 2 2 2" xfId="15886" xr:uid="{D011C11A-6CCA-48F4-AEC8-313142622B85}"/>
    <cellStyle name="Normal 9 2 2 2 2 3 2 2 3" xfId="24326" xr:uid="{59619E12-3221-43FE-BCF0-0B3F12CA4E3A}"/>
    <cellStyle name="Normal 9 2 2 2 2 3 2 2 4" xfId="32766" xr:uid="{6F95C61B-FD56-41DA-B84B-593517BC22D3}"/>
    <cellStyle name="Normal 9 2 2 2 2 3 2 3" xfId="11668" xr:uid="{5A102D65-398D-40B1-8D1D-9F2C57274042}"/>
    <cellStyle name="Normal 9 2 2 2 2 3 2 4" xfId="20109" xr:uid="{1238422F-D71A-4D5E-931B-183500CCD3BF}"/>
    <cellStyle name="Normal 9 2 2 2 2 3 2 5" xfId="28549" xr:uid="{48DADF6C-4295-42CF-8705-E8C3CBEC2948}"/>
    <cellStyle name="Normal 9 2 2 2 2 3 3" xfId="5291" xr:uid="{00000000-0005-0000-0000-0000871E0000}"/>
    <cellStyle name="Normal 9 2 2 2 2 3 3 2" xfId="13741" xr:uid="{74FFA50C-6C41-4B90-9F60-8DDC6910E55B}"/>
    <cellStyle name="Normal 9 2 2 2 2 3 3 3" xfId="22181" xr:uid="{63219DDA-1E15-4D47-B5AA-FA7B3630BF2A}"/>
    <cellStyle name="Normal 9 2 2 2 2 3 3 4" xfId="30621" xr:uid="{354AEC75-4BD7-4EB2-A432-DBCCC937CDB1}"/>
    <cellStyle name="Normal 9 2 2 2 2 3 4" xfId="9523" xr:uid="{34E5C16F-5C0F-4AA4-8AAA-9F6D863BF92A}"/>
    <cellStyle name="Normal 9 2 2 2 2 3 5" xfId="17964" xr:uid="{5A271A72-D9B3-40BA-B336-349C481C302F}"/>
    <cellStyle name="Normal 9 2 2 2 2 3 6" xfId="26404" xr:uid="{E62C85C5-CB6F-415B-A55B-31D92B0027E0}"/>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2 2 2" xfId="16299" xr:uid="{88776BDC-89B1-4479-869D-3F8B4371EBC0}"/>
    <cellStyle name="Normal 9 2 2 2 2 4 2 2 3" xfId="24739" xr:uid="{D3908FC5-A107-4A3B-B4CF-CBBA37D33960}"/>
    <cellStyle name="Normal 9 2 2 2 2 4 2 2 4" xfId="33179" xr:uid="{0932925B-EC37-4023-A724-99492B9C892E}"/>
    <cellStyle name="Normal 9 2 2 2 2 4 2 3" xfId="12081" xr:uid="{F4375C28-C76D-4A67-8200-F17348E071D6}"/>
    <cellStyle name="Normal 9 2 2 2 2 4 2 4" xfId="20522" xr:uid="{8317D458-959B-4C37-9720-C59DB8B51B5F}"/>
    <cellStyle name="Normal 9 2 2 2 2 4 2 5" xfId="28962" xr:uid="{E52C81A8-8A6B-4D98-ADB2-BA362C6C9DE1}"/>
    <cellStyle name="Normal 9 2 2 2 2 4 3" xfId="5704" xr:uid="{00000000-0005-0000-0000-00008B1E0000}"/>
    <cellStyle name="Normal 9 2 2 2 2 4 3 2" xfId="14154" xr:uid="{E955CCAD-CF44-48A8-B2C2-C9AC1BD9F2D4}"/>
    <cellStyle name="Normal 9 2 2 2 2 4 3 3" xfId="22594" xr:uid="{42AFF8E0-AC1D-48D4-9EC3-5083522BDD72}"/>
    <cellStyle name="Normal 9 2 2 2 2 4 3 4" xfId="31034" xr:uid="{605B8600-884D-4CCE-ABEF-942C97477613}"/>
    <cellStyle name="Normal 9 2 2 2 2 4 4" xfId="9936" xr:uid="{7CD64139-6095-4CF6-8C42-288B88D2C952}"/>
    <cellStyle name="Normal 9 2 2 2 2 4 5" xfId="18377" xr:uid="{4CB25D3E-A9D2-4945-8821-BD20089157C8}"/>
    <cellStyle name="Normal 9 2 2 2 2 4 6" xfId="26817" xr:uid="{43D5F590-AD63-4CB8-A6A5-F3C41BF9B601}"/>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2 2 2" xfId="16712" xr:uid="{85996E44-7336-406B-8E36-DE535AFDA1F9}"/>
    <cellStyle name="Normal 9 2 2 2 2 5 2 2 3" xfId="25152" xr:uid="{5866CE81-1286-435C-80B2-B616E59CFB14}"/>
    <cellStyle name="Normal 9 2 2 2 2 5 2 2 4" xfId="33592" xr:uid="{84AB260C-3BE0-4080-A06E-E47B979C6F01}"/>
    <cellStyle name="Normal 9 2 2 2 2 5 2 3" xfId="12494" xr:uid="{8E32CB53-B424-4054-929E-DBA90A77AFC6}"/>
    <cellStyle name="Normal 9 2 2 2 2 5 2 4" xfId="20935" xr:uid="{10236F00-2F66-4A9C-B51F-395915CF88C4}"/>
    <cellStyle name="Normal 9 2 2 2 2 5 2 5" xfId="29375" xr:uid="{D8A0547D-2D32-45B6-9EEC-5399F7236BF6}"/>
    <cellStyle name="Normal 9 2 2 2 2 5 3" xfId="6117" xr:uid="{00000000-0005-0000-0000-00008F1E0000}"/>
    <cellStyle name="Normal 9 2 2 2 2 5 3 2" xfId="14567" xr:uid="{97259EA4-0F21-4D54-AEFA-2953F2135BC8}"/>
    <cellStyle name="Normal 9 2 2 2 2 5 3 3" xfId="23007" xr:uid="{E8324A79-2E4D-4689-B738-0F3392EF3F07}"/>
    <cellStyle name="Normal 9 2 2 2 2 5 3 4" xfId="31447" xr:uid="{A0D8B898-C40D-4E68-AC70-DD910C1BF371}"/>
    <cellStyle name="Normal 9 2 2 2 2 5 4" xfId="10349" xr:uid="{5B73020C-A19A-4118-A05B-BCC20160C28B}"/>
    <cellStyle name="Normal 9 2 2 2 2 5 5" xfId="18790" xr:uid="{F20A7338-DC1D-4E7F-85D9-30842A0D4003}"/>
    <cellStyle name="Normal 9 2 2 2 2 5 6" xfId="27230" xr:uid="{D3B94844-CC85-462D-8AD8-EE4772A8C3CE}"/>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2 2 2" xfId="17125" xr:uid="{B34C43B6-A3B7-4B04-9417-A6AEE2855507}"/>
    <cellStyle name="Normal 9 2 2 2 2 6 2 2 3" xfId="25565" xr:uid="{40A3886F-30C6-475E-A3CC-DB415FF15247}"/>
    <cellStyle name="Normal 9 2 2 2 2 6 2 2 4" xfId="34005" xr:uid="{0D5AD5AA-D5F6-4436-B463-2FF86C927D79}"/>
    <cellStyle name="Normal 9 2 2 2 2 6 2 3" xfId="12907" xr:uid="{35835762-FD13-4209-A9B1-58225863F7E3}"/>
    <cellStyle name="Normal 9 2 2 2 2 6 2 4" xfId="21348" xr:uid="{1D5F6017-5C7A-46B1-B5F9-EB6E13C4CADE}"/>
    <cellStyle name="Normal 9 2 2 2 2 6 2 5" xfId="29788" xr:uid="{45FD14D6-0F66-4C56-9637-7CA595252676}"/>
    <cellStyle name="Normal 9 2 2 2 2 6 3" xfId="6530" xr:uid="{00000000-0005-0000-0000-0000931E0000}"/>
    <cellStyle name="Normal 9 2 2 2 2 6 3 2" xfId="14980" xr:uid="{A8C944C7-8500-44F9-81A9-974F728F7A81}"/>
    <cellStyle name="Normal 9 2 2 2 2 6 3 3" xfId="23420" xr:uid="{8E1B81CB-04F6-4342-89D9-02785731A172}"/>
    <cellStyle name="Normal 9 2 2 2 2 6 3 4" xfId="31860" xr:uid="{F5CCA8EB-004E-4A7D-9974-78581852E4D0}"/>
    <cellStyle name="Normal 9 2 2 2 2 6 4" xfId="10762" xr:uid="{D79F1146-2E4B-484F-B701-BE6A2EEF41EF}"/>
    <cellStyle name="Normal 9 2 2 2 2 6 5" xfId="19203" xr:uid="{CC5EC619-04F3-4068-8040-320D3FBA86F4}"/>
    <cellStyle name="Normal 9 2 2 2 2 6 6" xfId="27643" xr:uid="{52651DC5-734F-40EF-B4BB-B2849E895898}"/>
    <cellStyle name="Normal 9 2 2 2 2 7" xfId="2660" xr:uid="{00000000-0005-0000-0000-0000941E0000}"/>
    <cellStyle name="Normal 9 2 2 2 2 7 2" xfId="6943" xr:uid="{00000000-0005-0000-0000-0000951E0000}"/>
    <cellStyle name="Normal 9 2 2 2 2 7 2 2" xfId="15393" xr:uid="{0048D090-AECF-4887-97BB-3982CD03702F}"/>
    <cellStyle name="Normal 9 2 2 2 2 7 2 3" xfId="23833" xr:uid="{6222A0B3-AC37-448F-A92A-B61E99B2A470}"/>
    <cellStyle name="Normal 9 2 2 2 2 7 2 4" xfId="32273" xr:uid="{B8B2ACBB-21D9-47E2-86BB-97C0AF751410}"/>
    <cellStyle name="Normal 9 2 2 2 2 7 3" xfId="11175" xr:uid="{B0615ECB-8995-4B3E-B5A0-7886C7963834}"/>
    <cellStyle name="Normal 9 2 2 2 2 7 4" xfId="19616" xr:uid="{350F0B16-7555-45B1-B395-7C2562C9302A}"/>
    <cellStyle name="Normal 9 2 2 2 2 7 5" xfId="28056" xr:uid="{AE8C32BD-CC6F-4E16-8E2A-28BC8A54236E}"/>
    <cellStyle name="Normal 9 2 2 2 2 8" xfId="4878" xr:uid="{00000000-0005-0000-0000-0000961E0000}"/>
    <cellStyle name="Normal 9 2 2 2 2 8 2" xfId="13328" xr:uid="{87257043-DA3E-433A-B9D8-52CBFE7D6CC7}"/>
    <cellStyle name="Normal 9 2 2 2 2 8 3" xfId="21768" xr:uid="{8C3B2859-686E-49B2-B692-38BF0DFBF3CE}"/>
    <cellStyle name="Normal 9 2 2 2 2 8 4" xfId="30208" xr:uid="{9879629A-6E8C-4841-AC7F-5E44DEE124C4}"/>
    <cellStyle name="Normal 9 2 2 2 2 9" xfId="9110" xr:uid="{083C8D52-AF71-4EF9-A247-018396F3AE55}"/>
    <cellStyle name="Normal 9 2 2 2 3" xfId="516" xr:uid="{00000000-0005-0000-0000-0000971E0000}"/>
    <cellStyle name="Normal 9 2 2 2 3 10" xfId="25993" xr:uid="{C9F244E0-426A-4CA4-81A5-5F9323C10904}"/>
    <cellStyle name="Normal 9 2 2 2 3 2" xfId="983" xr:uid="{00000000-0005-0000-0000-0000981E0000}"/>
    <cellStyle name="Normal 9 2 2 2 3 2 2" xfId="3216" xr:uid="{00000000-0005-0000-0000-0000991E0000}"/>
    <cellStyle name="Normal 9 2 2 2 3 2 2 2" xfId="7438" xr:uid="{00000000-0005-0000-0000-00009A1E0000}"/>
    <cellStyle name="Normal 9 2 2 2 3 2 2 2 2" xfId="15888" xr:uid="{C56021C9-5924-4082-8E9D-49EDB22BB749}"/>
    <cellStyle name="Normal 9 2 2 2 3 2 2 2 3" xfId="24328" xr:uid="{FE5BE6F7-1203-4246-865D-D6DAC71E1461}"/>
    <cellStyle name="Normal 9 2 2 2 3 2 2 2 4" xfId="32768" xr:uid="{C1C2F01E-B035-4CF9-BAF9-A2F37B1431DA}"/>
    <cellStyle name="Normal 9 2 2 2 3 2 2 3" xfId="11670" xr:uid="{EFC6BD9B-2BA1-48C8-B838-FE715FEDB5CB}"/>
    <cellStyle name="Normal 9 2 2 2 3 2 2 4" xfId="20111" xr:uid="{A8CB1D42-DD08-4866-BFCE-C783F172D0B3}"/>
    <cellStyle name="Normal 9 2 2 2 3 2 2 5" xfId="28551" xr:uid="{0F215183-5097-41CB-95AE-BC5F65AAAD9E}"/>
    <cellStyle name="Normal 9 2 2 2 3 2 3" xfId="5293" xr:uid="{00000000-0005-0000-0000-00009B1E0000}"/>
    <cellStyle name="Normal 9 2 2 2 3 2 3 2" xfId="13743" xr:uid="{1ACF0261-92FD-4681-82A5-E9B7B506D23F}"/>
    <cellStyle name="Normal 9 2 2 2 3 2 3 3" xfId="22183" xr:uid="{9A964313-2BCE-4C35-90F9-2FE4B97CCEAE}"/>
    <cellStyle name="Normal 9 2 2 2 3 2 3 4" xfId="30623" xr:uid="{22039342-CAC3-4303-A9FF-AD5CE4B828A3}"/>
    <cellStyle name="Normal 9 2 2 2 3 2 4" xfId="9525" xr:uid="{91BF5846-ECB2-406B-959D-855089F518D3}"/>
    <cellStyle name="Normal 9 2 2 2 3 2 5" xfId="17966" xr:uid="{098242D3-F513-4871-A145-9CD0D531853C}"/>
    <cellStyle name="Normal 9 2 2 2 3 2 6" xfId="26406" xr:uid="{C20A4674-066A-415D-ADAC-3C497AB696CB}"/>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2 2 2" xfId="16301" xr:uid="{78211AC2-A90B-4207-8629-F7142A1B16C8}"/>
    <cellStyle name="Normal 9 2 2 2 3 3 2 2 3" xfId="24741" xr:uid="{D8B1BDFA-8F5D-4384-AB83-1995F6B82ACE}"/>
    <cellStyle name="Normal 9 2 2 2 3 3 2 2 4" xfId="33181" xr:uid="{72B2D710-78E4-49F8-970A-4337D0D129C3}"/>
    <cellStyle name="Normal 9 2 2 2 3 3 2 3" xfId="12083" xr:uid="{F21D437B-19D1-4158-998A-48357BE539D1}"/>
    <cellStyle name="Normal 9 2 2 2 3 3 2 4" xfId="20524" xr:uid="{3DA8FB7B-A3CE-4311-A799-A9B4D26C7CEC}"/>
    <cellStyle name="Normal 9 2 2 2 3 3 2 5" xfId="28964" xr:uid="{7EA3D5A4-8736-427E-B2A7-D210150E631B}"/>
    <cellStyle name="Normal 9 2 2 2 3 3 3" xfId="5706" xr:uid="{00000000-0005-0000-0000-00009F1E0000}"/>
    <cellStyle name="Normal 9 2 2 2 3 3 3 2" xfId="14156" xr:uid="{761E625F-92A4-458A-AA37-9D2D0FEC7BB5}"/>
    <cellStyle name="Normal 9 2 2 2 3 3 3 3" xfId="22596" xr:uid="{8D6AA49B-AB07-4662-8B25-B596FCEB6F10}"/>
    <cellStyle name="Normal 9 2 2 2 3 3 3 4" xfId="31036" xr:uid="{2065B0D0-5415-482B-9E94-FDC30056D6CA}"/>
    <cellStyle name="Normal 9 2 2 2 3 3 4" xfId="9938" xr:uid="{0B93892A-1DDB-4E7B-8465-CC0E5B574559}"/>
    <cellStyle name="Normal 9 2 2 2 3 3 5" xfId="18379" xr:uid="{8D571458-78A6-4614-BBDE-E6EA01696A84}"/>
    <cellStyle name="Normal 9 2 2 2 3 3 6" xfId="26819" xr:uid="{46927F1F-DC24-41EA-99DB-19426116A7A9}"/>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2 2 2" xfId="16714" xr:uid="{DCDA19CA-0B5C-4946-82B3-A631AF9437F1}"/>
    <cellStyle name="Normal 9 2 2 2 3 4 2 2 3" xfId="25154" xr:uid="{5BC1BE4A-EA91-4341-971E-5882BC73A6BF}"/>
    <cellStyle name="Normal 9 2 2 2 3 4 2 2 4" xfId="33594" xr:uid="{D35448CF-C7AF-4894-B14E-36E8C72E6889}"/>
    <cellStyle name="Normal 9 2 2 2 3 4 2 3" xfId="12496" xr:uid="{BA740B9E-9B7B-456F-8262-4399455FA588}"/>
    <cellStyle name="Normal 9 2 2 2 3 4 2 4" xfId="20937" xr:uid="{B8A7A535-C839-4256-966C-AFF9F4A0F4CA}"/>
    <cellStyle name="Normal 9 2 2 2 3 4 2 5" xfId="29377" xr:uid="{66558C2C-2248-40D7-9F59-D91166FFBEA7}"/>
    <cellStyle name="Normal 9 2 2 2 3 4 3" xfId="6119" xr:uid="{00000000-0005-0000-0000-0000A31E0000}"/>
    <cellStyle name="Normal 9 2 2 2 3 4 3 2" xfId="14569" xr:uid="{A1B96E68-021C-4699-8B71-68E7D12245E3}"/>
    <cellStyle name="Normal 9 2 2 2 3 4 3 3" xfId="23009" xr:uid="{6C3AAE9A-085C-44E7-A81F-5491799A0573}"/>
    <cellStyle name="Normal 9 2 2 2 3 4 3 4" xfId="31449" xr:uid="{C41168B4-EF80-49BD-9301-A60907681CED}"/>
    <cellStyle name="Normal 9 2 2 2 3 4 4" xfId="10351" xr:uid="{A6D917BE-072A-4887-97A3-E5B4B4B1183A}"/>
    <cellStyle name="Normal 9 2 2 2 3 4 5" xfId="18792" xr:uid="{CC7652C5-DF06-4DDE-A0D9-4EF05C593473}"/>
    <cellStyle name="Normal 9 2 2 2 3 4 6" xfId="27232" xr:uid="{9E4DCB8D-CC6F-4A67-9869-5910506F78EB}"/>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2 2 2" xfId="17127" xr:uid="{70509ABB-4EE3-418B-946B-B8200A0485B2}"/>
    <cellStyle name="Normal 9 2 2 2 3 5 2 2 3" xfId="25567" xr:uid="{02570F9C-73E8-4A1C-9C20-3B329BC2C1D0}"/>
    <cellStyle name="Normal 9 2 2 2 3 5 2 2 4" xfId="34007" xr:uid="{B3833388-4AC2-4944-AE99-0050632F0082}"/>
    <cellStyle name="Normal 9 2 2 2 3 5 2 3" xfId="12909" xr:uid="{9272B529-94E2-46EB-8C98-D5C95C1DDDE7}"/>
    <cellStyle name="Normal 9 2 2 2 3 5 2 4" xfId="21350" xr:uid="{E54FFAF5-30E4-4C9A-9DF1-43547936870D}"/>
    <cellStyle name="Normal 9 2 2 2 3 5 2 5" xfId="29790" xr:uid="{81098D80-DE4A-47CB-AD1F-C7504A29977F}"/>
    <cellStyle name="Normal 9 2 2 2 3 5 3" xfId="6532" xr:uid="{00000000-0005-0000-0000-0000A71E0000}"/>
    <cellStyle name="Normal 9 2 2 2 3 5 3 2" xfId="14982" xr:uid="{D8C0E00E-6E41-4629-B1F7-3DA784E254EC}"/>
    <cellStyle name="Normal 9 2 2 2 3 5 3 3" xfId="23422" xr:uid="{7F387FB4-4D09-472B-A6BB-FEC9FD8694B5}"/>
    <cellStyle name="Normal 9 2 2 2 3 5 3 4" xfId="31862" xr:uid="{9526C07E-1D4E-45D2-9EEB-92C2BAEAF5BF}"/>
    <cellStyle name="Normal 9 2 2 2 3 5 4" xfId="10764" xr:uid="{974C7DE8-A49C-4564-95D5-CD5D03DB2F92}"/>
    <cellStyle name="Normal 9 2 2 2 3 5 5" xfId="19205" xr:uid="{387CF8AE-4622-4DC0-966F-5608C80882BC}"/>
    <cellStyle name="Normal 9 2 2 2 3 5 6" xfId="27645" xr:uid="{4A8C3069-3D54-4DB0-B66F-BC0F3C6745D1}"/>
    <cellStyle name="Normal 9 2 2 2 3 6" xfId="2662" xr:uid="{00000000-0005-0000-0000-0000A81E0000}"/>
    <cellStyle name="Normal 9 2 2 2 3 6 2" xfId="6945" xr:uid="{00000000-0005-0000-0000-0000A91E0000}"/>
    <cellStyle name="Normal 9 2 2 2 3 6 2 2" xfId="15395" xr:uid="{811AC7C7-519D-4D60-90FE-D1FB94393253}"/>
    <cellStyle name="Normal 9 2 2 2 3 6 2 3" xfId="23835" xr:uid="{D278C919-08C1-4055-849A-A2717C58338B}"/>
    <cellStyle name="Normal 9 2 2 2 3 6 2 4" xfId="32275" xr:uid="{69F177AD-EDB7-4B66-AA94-BCE20148C0E5}"/>
    <cellStyle name="Normal 9 2 2 2 3 6 3" xfId="11177" xr:uid="{1A49190A-1983-4D96-A36F-F9FCAE4F50A7}"/>
    <cellStyle name="Normal 9 2 2 2 3 6 4" xfId="19618" xr:uid="{CE89403F-F4E3-4B8A-B644-F87D31A2C60B}"/>
    <cellStyle name="Normal 9 2 2 2 3 6 5" xfId="28058" xr:uid="{5DE6B1E4-39FA-4E28-9246-53E7BA255CA4}"/>
    <cellStyle name="Normal 9 2 2 2 3 7" xfId="4880" xr:uid="{00000000-0005-0000-0000-0000AA1E0000}"/>
    <cellStyle name="Normal 9 2 2 2 3 7 2" xfId="13330" xr:uid="{3DE72116-5551-4A9B-BA56-F0C71481C0EA}"/>
    <cellStyle name="Normal 9 2 2 2 3 7 3" xfId="21770" xr:uid="{6FC41295-4570-4BE1-8E0A-5EDDB586A0BA}"/>
    <cellStyle name="Normal 9 2 2 2 3 7 4" xfId="30210" xr:uid="{C70C023E-4723-44AC-9169-60BE36D64699}"/>
    <cellStyle name="Normal 9 2 2 2 3 8" xfId="9112" xr:uid="{EE291F86-3799-4EBA-AFA9-5655D02EE9AF}"/>
    <cellStyle name="Normal 9 2 2 2 3 9" xfId="17553" xr:uid="{74A3215F-860E-4F0F-A8D3-6E0777BB7967}"/>
    <cellStyle name="Normal 9 2 2 2 4" xfId="980" xr:uid="{00000000-0005-0000-0000-0000AB1E0000}"/>
    <cellStyle name="Normal 9 2 2 2 4 2" xfId="3213" xr:uid="{00000000-0005-0000-0000-0000AC1E0000}"/>
    <cellStyle name="Normal 9 2 2 2 4 2 2" xfId="7435" xr:uid="{00000000-0005-0000-0000-0000AD1E0000}"/>
    <cellStyle name="Normal 9 2 2 2 4 2 2 2" xfId="15885" xr:uid="{627500AC-EEFD-4908-B238-5FB9940FEA09}"/>
    <cellStyle name="Normal 9 2 2 2 4 2 2 3" xfId="24325" xr:uid="{D176C8DF-7095-4C76-BF4F-B67A9FFD2508}"/>
    <cellStyle name="Normal 9 2 2 2 4 2 2 4" xfId="32765" xr:uid="{961E9DD8-7437-45A6-AF54-4369D7C9551B}"/>
    <cellStyle name="Normal 9 2 2 2 4 2 3" xfId="11667" xr:uid="{62DF6A6B-06BD-4221-9710-39FA93ADCA11}"/>
    <cellStyle name="Normal 9 2 2 2 4 2 4" xfId="20108" xr:uid="{03F55912-5243-47BD-B6C3-B09BAB16DFB4}"/>
    <cellStyle name="Normal 9 2 2 2 4 2 5" xfId="28548" xr:uid="{97E558D6-0BE0-434C-BA55-DCA8069067F1}"/>
    <cellStyle name="Normal 9 2 2 2 4 3" xfId="5290" xr:uid="{00000000-0005-0000-0000-0000AE1E0000}"/>
    <cellStyle name="Normal 9 2 2 2 4 3 2" xfId="13740" xr:uid="{FE6EDDDA-ADE6-4921-93F1-22972599D3C7}"/>
    <cellStyle name="Normal 9 2 2 2 4 3 3" xfId="22180" xr:uid="{A2368AE1-2D34-4EF3-B125-7512C7EFF5F4}"/>
    <cellStyle name="Normal 9 2 2 2 4 3 4" xfId="30620" xr:uid="{1ED23DCF-2072-4E88-8A8F-1020CD97180C}"/>
    <cellStyle name="Normal 9 2 2 2 4 4" xfId="9522" xr:uid="{1584E76D-9B70-486F-AB43-A8E030D00A1F}"/>
    <cellStyle name="Normal 9 2 2 2 4 5" xfId="17963" xr:uid="{DE61B6A3-A0FC-4704-B81F-9A5C82EB963C}"/>
    <cellStyle name="Normal 9 2 2 2 4 6" xfId="26403" xr:uid="{5560B5F0-F35F-4AAB-99E4-EDEA2E7CFFF2}"/>
    <cellStyle name="Normal 9 2 2 2 5" xfId="1396" xr:uid="{00000000-0005-0000-0000-0000AF1E0000}"/>
    <cellStyle name="Normal 9 2 2 2 5 2" xfId="3626" xr:uid="{00000000-0005-0000-0000-0000B01E0000}"/>
    <cellStyle name="Normal 9 2 2 2 5 2 2" xfId="7848" xr:uid="{00000000-0005-0000-0000-0000B11E0000}"/>
    <cellStyle name="Normal 9 2 2 2 5 2 2 2" xfId="16298" xr:uid="{AFB68158-47D5-424B-8FCF-77CEE8F3FA4B}"/>
    <cellStyle name="Normal 9 2 2 2 5 2 2 3" xfId="24738" xr:uid="{FEC73C74-3C58-4EA1-BB33-D28658891D87}"/>
    <cellStyle name="Normal 9 2 2 2 5 2 2 4" xfId="33178" xr:uid="{63B232A7-B389-4723-947D-DDACD8235F41}"/>
    <cellStyle name="Normal 9 2 2 2 5 2 3" xfId="12080" xr:uid="{AD241D13-38CB-4658-844D-94AE1E5CBC7B}"/>
    <cellStyle name="Normal 9 2 2 2 5 2 4" xfId="20521" xr:uid="{5BEF5A69-C637-4D6F-AFBA-09E65B0E4B7C}"/>
    <cellStyle name="Normal 9 2 2 2 5 2 5" xfId="28961" xr:uid="{5E0232B9-9FDC-409B-B9BA-02DC83D7CC91}"/>
    <cellStyle name="Normal 9 2 2 2 5 3" xfId="5703" xr:uid="{00000000-0005-0000-0000-0000B21E0000}"/>
    <cellStyle name="Normal 9 2 2 2 5 3 2" xfId="14153" xr:uid="{B6ED3C4E-CEC4-47AC-8DDE-C84FF1228717}"/>
    <cellStyle name="Normal 9 2 2 2 5 3 3" xfId="22593" xr:uid="{04F17739-4CCA-4ED8-9C49-6EB3F7451E16}"/>
    <cellStyle name="Normal 9 2 2 2 5 3 4" xfId="31033" xr:uid="{7BBFBDE5-BD31-4B56-A453-7B90FE2CEA9F}"/>
    <cellStyle name="Normal 9 2 2 2 5 4" xfId="9935" xr:uid="{0449448E-3329-42FB-AA88-D8277A142F5D}"/>
    <cellStyle name="Normal 9 2 2 2 5 5" xfId="18376" xr:uid="{F1091896-8847-4FDD-9CC2-C66782C16FCE}"/>
    <cellStyle name="Normal 9 2 2 2 5 6" xfId="26816" xr:uid="{3D4A5A32-3C2A-4843-9710-8684FBE1C4DB}"/>
    <cellStyle name="Normal 9 2 2 2 6" xfId="1809" xr:uid="{00000000-0005-0000-0000-0000B31E0000}"/>
    <cellStyle name="Normal 9 2 2 2 6 2" xfId="4039" xr:uid="{00000000-0005-0000-0000-0000B41E0000}"/>
    <cellStyle name="Normal 9 2 2 2 6 2 2" xfId="8261" xr:uid="{00000000-0005-0000-0000-0000B51E0000}"/>
    <cellStyle name="Normal 9 2 2 2 6 2 2 2" xfId="16711" xr:uid="{80B2EF98-873F-4FCE-B01E-E3C0573A5BFB}"/>
    <cellStyle name="Normal 9 2 2 2 6 2 2 3" xfId="25151" xr:uid="{0A76DFC7-9C90-42F9-982F-2CD71BD46C9A}"/>
    <cellStyle name="Normal 9 2 2 2 6 2 2 4" xfId="33591" xr:uid="{FE057E7C-D612-4A85-9638-345716CA321D}"/>
    <cellStyle name="Normal 9 2 2 2 6 2 3" xfId="12493" xr:uid="{42BFC33A-AA63-4D30-8DF2-C474C0ACFBC0}"/>
    <cellStyle name="Normal 9 2 2 2 6 2 4" xfId="20934" xr:uid="{6DB484FE-CFFC-478D-B38E-3B1543141E12}"/>
    <cellStyle name="Normal 9 2 2 2 6 2 5" xfId="29374" xr:uid="{E080436F-C1D6-4CB7-A38C-8F28D5B9E793}"/>
    <cellStyle name="Normal 9 2 2 2 6 3" xfId="6116" xr:uid="{00000000-0005-0000-0000-0000B61E0000}"/>
    <cellStyle name="Normal 9 2 2 2 6 3 2" xfId="14566" xr:uid="{AAD5E14C-5CCF-4BB2-BDDF-E4ADB8FCE3E5}"/>
    <cellStyle name="Normal 9 2 2 2 6 3 3" xfId="23006" xr:uid="{0EF77542-B635-4BF4-BC40-DB789F3CE575}"/>
    <cellStyle name="Normal 9 2 2 2 6 3 4" xfId="31446" xr:uid="{1A70EB69-5D31-4DC5-921D-7CC5BA476C9B}"/>
    <cellStyle name="Normal 9 2 2 2 6 4" xfId="10348" xr:uid="{7D024B17-EDB1-4EA5-937B-AE704A015F37}"/>
    <cellStyle name="Normal 9 2 2 2 6 5" xfId="18789" xr:uid="{7750675C-F76E-4225-8122-3A9EFD046FE9}"/>
    <cellStyle name="Normal 9 2 2 2 6 6" xfId="27229" xr:uid="{EAC255E7-CD88-4DAD-AD66-B11E4E28FE91}"/>
    <cellStyle name="Normal 9 2 2 2 7" xfId="2223" xr:uid="{00000000-0005-0000-0000-0000B71E0000}"/>
    <cellStyle name="Normal 9 2 2 2 7 2" xfId="4452" xr:uid="{00000000-0005-0000-0000-0000B81E0000}"/>
    <cellStyle name="Normal 9 2 2 2 7 2 2" xfId="8674" xr:uid="{00000000-0005-0000-0000-0000B91E0000}"/>
    <cellStyle name="Normal 9 2 2 2 7 2 2 2" xfId="17124" xr:uid="{DCEB9655-AC3B-4764-82A3-0B40A3818887}"/>
    <cellStyle name="Normal 9 2 2 2 7 2 2 3" xfId="25564" xr:uid="{876C1634-DD61-44B8-A17B-AE8FAB08855B}"/>
    <cellStyle name="Normal 9 2 2 2 7 2 2 4" xfId="34004" xr:uid="{D97A67D9-42F7-49CE-9897-BAE1423B0B1D}"/>
    <cellStyle name="Normal 9 2 2 2 7 2 3" xfId="12906" xr:uid="{9B2D80E8-FC87-4FA6-9E1E-B12B230CED3A}"/>
    <cellStyle name="Normal 9 2 2 2 7 2 4" xfId="21347" xr:uid="{8281831B-7C19-425D-9EDE-F55FBE926EAE}"/>
    <cellStyle name="Normal 9 2 2 2 7 2 5" xfId="29787" xr:uid="{B1540F4B-A42E-4E45-BE09-2E49980E7223}"/>
    <cellStyle name="Normal 9 2 2 2 7 3" xfId="6529" xr:uid="{00000000-0005-0000-0000-0000BA1E0000}"/>
    <cellStyle name="Normal 9 2 2 2 7 3 2" xfId="14979" xr:uid="{20488CB5-44A3-4721-BB41-B3AD58F44EB9}"/>
    <cellStyle name="Normal 9 2 2 2 7 3 3" xfId="23419" xr:uid="{0A0E1F43-FCAB-4E3C-A8D7-3D852B61A5D2}"/>
    <cellStyle name="Normal 9 2 2 2 7 3 4" xfId="31859" xr:uid="{8A37E10D-9D90-49DD-8D43-D2D36A076AB3}"/>
    <cellStyle name="Normal 9 2 2 2 7 4" xfId="10761" xr:uid="{98550883-F77B-4AA3-9D42-1188FED3521C}"/>
    <cellStyle name="Normal 9 2 2 2 7 5" xfId="19202" xr:uid="{7A0E3FA5-8323-4D36-8440-ACE8956EF88E}"/>
    <cellStyle name="Normal 9 2 2 2 7 6" xfId="27642" xr:uid="{B56BE94F-F965-40E1-AC29-E0FF92387627}"/>
    <cellStyle name="Normal 9 2 2 2 8" xfId="2659" xr:uid="{00000000-0005-0000-0000-0000BB1E0000}"/>
    <cellStyle name="Normal 9 2 2 2 8 2" xfId="6942" xr:uid="{00000000-0005-0000-0000-0000BC1E0000}"/>
    <cellStyle name="Normal 9 2 2 2 8 2 2" xfId="15392" xr:uid="{B66C48EF-70DF-425C-A713-F1A1FAD96DF8}"/>
    <cellStyle name="Normal 9 2 2 2 8 2 3" xfId="23832" xr:uid="{67E3D440-1ACF-41EB-AC65-3356986771AC}"/>
    <cellStyle name="Normal 9 2 2 2 8 2 4" xfId="32272" xr:uid="{038D1977-3149-4E1B-85E1-89F3CD7CA39C}"/>
    <cellStyle name="Normal 9 2 2 2 8 3" xfId="11174" xr:uid="{34F7D23C-B95D-4087-9051-34346BC3DEF7}"/>
    <cellStyle name="Normal 9 2 2 2 8 4" xfId="19615" xr:uid="{14F111FA-6433-4C2C-A7BD-8FB4BF8C437D}"/>
    <cellStyle name="Normal 9 2 2 2 8 5" xfId="28055" xr:uid="{D55EDD6F-4E31-4B71-9FE5-893372F8AD0A}"/>
    <cellStyle name="Normal 9 2 2 2 9" xfId="4877" xr:uid="{00000000-0005-0000-0000-0000BD1E0000}"/>
    <cellStyle name="Normal 9 2 2 2 9 2" xfId="13327" xr:uid="{B90FE21E-5060-4260-96CE-0435F0B3CA1C}"/>
    <cellStyle name="Normal 9 2 2 2 9 3" xfId="21767" xr:uid="{65ECEB78-B65F-4CF5-A757-592B669C7D7C}"/>
    <cellStyle name="Normal 9 2 2 2 9 4" xfId="30207" xr:uid="{6860CE7A-8ACF-41C9-8CAD-F9FBF40E849B}"/>
    <cellStyle name="Normal 9 2 2 3" xfId="517" xr:uid="{00000000-0005-0000-0000-0000BE1E0000}"/>
    <cellStyle name="Normal 9 2 2 3 10" xfId="17554" xr:uid="{BE697F7B-8B47-466A-95C9-EF08FE25AFB8}"/>
    <cellStyle name="Normal 9 2 2 3 11" xfId="25994" xr:uid="{EA4799C0-5AAA-4997-82BF-C875640DA06C}"/>
    <cellStyle name="Normal 9 2 2 3 2" xfId="518" xr:uid="{00000000-0005-0000-0000-0000BF1E0000}"/>
    <cellStyle name="Normal 9 2 2 3 2 10" xfId="25995" xr:uid="{E707BC0F-E9C8-4231-9C56-D62CC0860059}"/>
    <cellStyle name="Normal 9 2 2 3 2 2" xfId="985" xr:uid="{00000000-0005-0000-0000-0000C01E0000}"/>
    <cellStyle name="Normal 9 2 2 3 2 2 2" xfId="3218" xr:uid="{00000000-0005-0000-0000-0000C11E0000}"/>
    <cellStyle name="Normal 9 2 2 3 2 2 2 2" xfId="7440" xr:uid="{00000000-0005-0000-0000-0000C21E0000}"/>
    <cellStyle name="Normal 9 2 2 3 2 2 2 2 2" xfId="15890" xr:uid="{849460AE-F831-4B00-88F0-4C7D0681BC2F}"/>
    <cellStyle name="Normal 9 2 2 3 2 2 2 2 3" xfId="24330" xr:uid="{2A84B66C-015A-4FB5-AE8C-64799A1E4845}"/>
    <cellStyle name="Normal 9 2 2 3 2 2 2 2 4" xfId="32770" xr:uid="{D615B5F3-5144-47AB-A382-F93A8CBDC7F4}"/>
    <cellStyle name="Normal 9 2 2 3 2 2 2 3" xfId="11672" xr:uid="{2F61AE4A-F32B-4D6C-AB52-712FA9DF61CB}"/>
    <cellStyle name="Normal 9 2 2 3 2 2 2 4" xfId="20113" xr:uid="{B8315C6F-7828-493F-B37E-3D95541562E8}"/>
    <cellStyle name="Normal 9 2 2 3 2 2 2 5" xfId="28553" xr:uid="{E223F13C-F300-4664-B743-542B073F118C}"/>
    <cellStyle name="Normal 9 2 2 3 2 2 3" xfId="5295" xr:uid="{00000000-0005-0000-0000-0000C31E0000}"/>
    <cellStyle name="Normal 9 2 2 3 2 2 3 2" xfId="13745" xr:uid="{32BC66D1-1900-41FC-BB4E-F80424FB7B25}"/>
    <cellStyle name="Normal 9 2 2 3 2 2 3 3" xfId="22185" xr:uid="{DF926350-E97F-4194-98FB-2E5E3CC9E36B}"/>
    <cellStyle name="Normal 9 2 2 3 2 2 3 4" xfId="30625" xr:uid="{87719534-FFF8-4A04-8D08-8803BE317ED3}"/>
    <cellStyle name="Normal 9 2 2 3 2 2 4" xfId="9527" xr:uid="{7531A0CE-F0F3-4C00-B1C7-C9F63A8788DA}"/>
    <cellStyle name="Normal 9 2 2 3 2 2 5" xfId="17968" xr:uid="{5C64C759-D72C-4149-A031-C088EC50FA89}"/>
    <cellStyle name="Normal 9 2 2 3 2 2 6" xfId="26408" xr:uid="{C7C1FBDB-AF2F-40D6-86EB-1C975D010AA1}"/>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2 2 2" xfId="16303" xr:uid="{5A69843D-0BB5-409C-9C83-0D34CC81ED6A}"/>
    <cellStyle name="Normal 9 2 2 3 2 3 2 2 3" xfId="24743" xr:uid="{9795899E-DC28-44F7-854F-D373001147BD}"/>
    <cellStyle name="Normal 9 2 2 3 2 3 2 2 4" xfId="33183" xr:uid="{970BFCB7-0B24-4E8E-A4FC-FC37AE78CCDF}"/>
    <cellStyle name="Normal 9 2 2 3 2 3 2 3" xfId="12085" xr:uid="{9EB07BE8-5A80-4A5D-8850-3D38CED81B15}"/>
    <cellStyle name="Normal 9 2 2 3 2 3 2 4" xfId="20526" xr:uid="{2D140617-E06C-48F4-89A0-43211CECC5A1}"/>
    <cellStyle name="Normal 9 2 2 3 2 3 2 5" xfId="28966" xr:uid="{1900AA68-8FC5-4DD0-B5E8-32C7AEFDDDF2}"/>
    <cellStyle name="Normal 9 2 2 3 2 3 3" xfId="5708" xr:uid="{00000000-0005-0000-0000-0000C71E0000}"/>
    <cellStyle name="Normal 9 2 2 3 2 3 3 2" xfId="14158" xr:uid="{9298EA73-B5E3-48DE-952F-7E923CC66477}"/>
    <cellStyle name="Normal 9 2 2 3 2 3 3 3" xfId="22598" xr:uid="{31397A4D-3485-4730-A5DD-480C468C5E89}"/>
    <cellStyle name="Normal 9 2 2 3 2 3 3 4" xfId="31038" xr:uid="{77822CC9-AC2B-43BC-ACEF-90AE379BC844}"/>
    <cellStyle name="Normal 9 2 2 3 2 3 4" xfId="9940" xr:uid="{EF9DB297-1909-461F-8418-14CEFB5016AE}"/>
    <cellStyle name="Normal 9 2 2 3 2 3 5" xfId="18381" xr:uid="{F0F56266-2D5B-4D25-AF6D-E4919F167A0F}"/>
    <cellStyle name="Normal 9 2 2 3 2 3 6" xfId="26821" xr:uid="{B27774A5-ECD1-4D18-A7C7-C7C3EF22E2AE}"/>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2 2 2" xfId="16716" xr:uid="{08D4F4A2-BDF0-4E6F-B0B1-1E95E81CC833}"/>
    <cellStyle name="Normal 9 2 2 3 2 4 2 2 3" xfId="25156" xr:uid="{6645629D-39C9-4EBA-80AE-1764BE69F0F9}"/>
    <cellStyle name="Normal 9 2 2 3 2 4 2 2 4" xfId="33596" xr:uid="{D3C17E5E-9967-435C-8976-5DA3F2A8415F}"/>
    <cellStyle name="Normal 9 2 2 3 2 4 2 3" xfId="12498" xr:uid="{94DFA074-89FE-4550-89AF-2E7375CAE6AF}"/>
    <cellStyle name="Normal 9 2 2 3 2 4 2 4" xfId="20939" xr:uid="{A2B3B264-E240-428A-A835-EE091ABAD5AE}"/>
    <cellStyle name="Normal 9 2 2 3 2 4 2 5" xfId="29379" xr:uid="{EE60947A-4184-4D89-8DEC-9CBC50D5EBE0}"/>
    <cellStyle name="Normal 9 2 2 3 2 4 3" xfId="6121" xr:uid="{00000000-0005-0000-0000-0000CB1E0000}"/>
    <cellStyle name="Normal 9 2 2 3 2 4 3 2" xfId="14571" xr:uid="{5C5261A3-369C-4C56-A462-E99484622DBF}"/>
    <cellStyle name="Normal 9 2 2 3 2 4 3 3" xfId="23011" xr:uid="{8C3FB005-55C2-4412-9D45-E2DC38348650}"/>
    <cellStyle name="Normal 9 2 2 3 2 4 3 4" xfId="31451" xr:uid="{059F24AB-C8CC-4446-B237-6D9BA3B21B26}"/>
    <cellStyle name="Normal 9 2 2 3 2 4 4" xfId="10353" xr:uid="{1D3CC2D4-4A2E-4BD6-9888-010440EF8711}"/>
    <cellStyle name="Normal 9 2 2 3 2 4 5" xfId="18794" xr:uid="{0CBAA90B-4ED9-45A1-BE47-BAFFEF05E4C1}"/>
    <cellStyle name="Normal 9 2 2 3 2 4 6" xfId="27234" xr:uid="{F0195D15-1E08-4695-B3CF-10CDDDA677F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2 2 2" xfId="17129" xr:uid="{D59B1F64-8EB3-4FBA-935F-D09B2590F1A2}"/>
    <cellStyle name="Normal 9 2 2 3 2 5 2 2 3" xfId="25569" xr:uid="{6217A46C-B2F1-4D4D-9C3E-52529318DA0B}"/>
    <cellStyle name="Normal 9 2 2 3 2 5 2 2 4" xfId="34009" xr:uid="{7F055FAE-4ECE-4CE4-BF62-6BD503A48A81}"/>
    <cellStyle name="Normal 9 2 2 3 2 5 2 3" xfId="12911" xr:uid="{FAFF9427-F223-431F-BFA4-CB5D2AB3E47A}"/>
    <cellStyle name="Normal 9 2 2 3 2 5 2 4" xfId="21352" xr:uid="{32F404B5-80A1-4853-8828-634DB9AAB5C9}"/>
    <cellStyle name="Normal 9 2 2 3 2 5 2 5" xfId="29792" xr:uid="{22AC3927-96BB-4EF1-B449-13365ED57D15}"/>
    <cellStyle name="Normal 9 2 2 3 2 5 3" xfId="6534" xr:uid="{00000000-0005-0000-0000-0000CF1E0000}"/>
    <cellStyle name="Normal 9 2 2 3 2 5 3 2" xfId="14984" xr:uid="{D0E90C9A-663E-4223-A9BE-C48BCD38674C}"/>
    <cellStyle name="Normal 9 2 2 3 2 5 3 3" xfId="23424" xr:uid="{953F2397-C7A0-4CC8-9578-D4338107F3D1}"/>
    <cellStyle name="Normal 9 2 2 3 2 5 3 4" xfId="31864" xr:uid="{B725F417-4B02-4CED-B8F3-497156EBA8A1}"/>
    <cellStyle name="Normal 9 2 2 3 2 5 4" xfId="10766" xr:uid="{F73BD347-FAC6-4FE3-B60C-81D83862FAB5}"/>
    <cellStyle name="Normal 9 2 2 3 2 5 5" xfId="19207" xr:uid="{D4D806CB-640F-4C76-9FC2-F60F6306BF70}"/>
    <cellStyle name="Normal 9 2 2 3 2 5 6" xfId="27647" xr:uid="{01ADA66E-CE17-4CD6-BD81-16263E20428D}"/>
    <cellStyle name="Normal 9 2 2 3 2 6" xfId="2664" xr:uid="{00000000-0005-0000-0000-0000D01E0000}"/>
    <cellStyle name="Normal 9 2 2 3 2 6 2" xfId="6947" xr:uid="{00000000-0005-0000-0000-0000D11E0000}"/>
    <cellStyle name="Normal 9 2 2 3 2 6 2 2" xfId="15397" xr:uid="{AACC0ECC-D79C-44F2-9BF5-BB9F44AE82E1}"/>
    <cellStyle name="Normal 9 2 2 3 2 6 2 3" xfId="23837" xr:uid="{2EC3DAF4-328B-419C-BA34-CC6F673FCDE0}"/>
    <cellStyle name="Normal 9 2 2 3 2 6 2 4" xfId="32277" xr:uid="{FAD55292-42C8-4353-8B5C-C7C63EA485BC}"/>
    <cellStyle name="Normal 9 2 2 3 2 6 3" xfId="11179" xr:uid="{D07CA352-BD11-4E1D-BE46-F3C1088D969E}"/>
    <cellStyle name="Normal 9 2 2 3 2 6 4" xfId="19620" xr:uid="{A432F593-3F16-4E5A-8A62-72113AF88595}"/>
    <cellStyle name="Normal 9 2 2 3 2 6 5" xfId="28060" xr:uid="{DDA335E7-D382-480E-AA27-DD889A51802A}"/>
    <cellStyle name="Normal 9 2 2 3 2 7" xfId="4882" xr:uid="{00000000-0005-0000-0000-0000D21E0000}"/>
    <cellStyle name="Normal 9 2 2 3 2 7 2" xfId="13332" xr:uid="{861C5555-CE51-4CEC-8F80-A1663B71C7B6}"/>
    <cellStyle name="Normal 9 2 2 3 2 7 3" xfId="21772" xr:uid="{668A29E6-D64B-4944-A4B6-12607970CF79}"/>
    <cellStyle name="Normal 9 2 2 3 2 7 4" xfId="30212" xr:uid="{96B35F84-D4C6-48C5-BA1A-1DE2C8C4E318}"/>
    <cellStyle name="Normal 9 2 2 3 2 8" xfId="9114" xr:uid="{A8D87388-2B4A-4894-970E-FCCDE8101753}"/>
    <cellStyle name="Normal 9 2 2 3 2 9" xfId="17555" xr:uid="{385AE11D-DF14-4374-BD9D-66F63DAE1857}"/>
    <cellStyle name="Normal 9 2 2 3 3" xfId="984" xr:uid="{00000000-0005-0000-0000-0000D31E0000}"/>
    <cellStyle name="Normal 9 2 2 3 3 2" xfId="3217" xr:uid="{00000000-0005-0000-0000-0000D41E0000}"/>
    <cellStyle name="Normal 9 2 2 3 3 2 2" xfId="7439" xr:uid="{00000000-0005-0000-0000-0000D51E0000}"/>
    <cellStyle name="Normal 9 2 2 3 3 2 2 2" xfId="15889" xr:uid="{1BAAD64D-BDDA-4716-AB17-ED8ACEF96946}"/>
    <cellStyle name="Normal 9 2 2 3 3 2 2 3" xfId="24329" xr:uid="{32CA45CC-53C9-4469-B874-69737CE0FD57}"/>
    <cellStyle name="Normal 9 2 2 3 3 2 2 4" xfId="32769" xr:uid="{B7BCCFDB-FA0E-4A5D-8F94-1CEADD2C26EC}"/>
    <cellStyle name="Normal 9 2 2 3 3 2 3" xfId="11671" xr:uid="{9B2F9818-D6CE-455F-916E-9A92F028A257}"/>
    <cellStyle name="Normal 9 2 2 3 3 2 4" xfId="20112" xr:uid="{78BC7193-3B05-4A90-B1B0-84F487452E35}"/>
    <cellStyle name="Normal 9 2 2 3 3 2 5" xfId="28552" xr:uid="{8D3A6766-B0CC-43F2-86E3-BEE246C49B58}"/>
    <cellStyle name="Normal 9 2 2 3 3 3" xfId="5294" xr:uid="{00000000-0005-0000-0000-0000D61E0000}"/>
    <cellStyle name="Normal 9 2 2 3 3 3 2" xfId="13744" xr:uid="{01306D03-14F5-4C44-B591-1862290C75B3}"/>
    <cellStyle name="Normal 9 2 2 3 3 3 3" xfId="22184" xr:uid="{7BF826A1-150A-4759-B2B3-72A1751A4222}"/>
    <cellStyle name="Normal 9 2 2 3 3 3 4" xfId="30624" xr:uid="{7D7911C0-E016-4EF9-AAF5-212DCF0BBB80}"/>
    <cellStyle name="Normal 9 2 2 3 3 4" xfId="9526" xr:uid="{D99B5295-0C77-4C1D-B81D-E5DAB226D49C}"/>
    <cellStyle name="Normal 9 2 2 3 3 5" xfId="17967" xr:uid="{7568B3BF-643E-4940-B5B0-BBC15C46D177}"/>
    <cellStyle name="Normal 9 2 2 3 3 6" xfId="26407" xr:uid="{9680DE2F-432E-4A0B-9E48-F8B376BC0894}"/>
    <cellStyle name="Normal 9 2 2 3 4" xfId="1400" xr:uid="{00000000-0005-0000-0000-0000D71E0000}"/>
    <cellStyle name="Normal 9 2 2 3 4 2" xfId="3630" xr:uid="{00000000-0005-0000-0000-0000D81E0000}"/>
    <cellStyle name="Normal 9 2 2 3 4 2 2" xfId="7852" xr:uid="{00000000-0005-0000-0000-0000D91E0000}"/>
    <cellStyle name="Normal 9 2 2 3 4 2 2 2" xfId="16302" xr:uid="{1306C65E-8F07-4499-AF3D-82A290C9DB8F}"/>
    <cellStyle name="Normal 9 2 2 3 4 2 2 3" xfId="24742" xr:uid="{4F55AE19-93F2-499B-8941-CD1EBEC3CCB2}"/>
    <cellStyle name="Normal 9 2 2 3 4 2 2 4" xfId="33182" xr:uid="{7262A5D5-5638-46CC-8A79-347B2C8113D5}"/>
    <cellStyle name="Normal 9 2 2 3 4 2 3" xfId="12084" xr:uid="{C12E4CB9-209D-4389-92E8-C764A97595A5}"/>
    <cellStyle name="Normal 9 2 2 3 4 2 4" xfId="20525" xr:uid="{883B35E1-589A-42AE-A964-71F0DF7806B4}"/>
    <cellStyle name="Normal 9 2 2 3 4 2 5" xfId="28965" xr:uid="{67304AA0-E936-4FF0-B686-28B51B709B51}"/>
    <cellStyle name="Normal 9 2 2 3 4 3" xfId="5707" xr:uid="{00000000-0005-0000-0000-0000DA1E0000}"/>
    <cellStyle name="Normal 9 2 2 3 4 3 2" xfId="14157" xr:uid="{DF1BE861-F58E-4B33-8E55-611B6383CE59}"/>
    <cellStyle name="Normal 9 2 2 3 4 3 3" xfId="22597" xr:uid="{922D04B3-B352-412E-B335-21F5EC8DB0DF}"/>
    <cellStyle name="Normal 9 2 2 3 4 3 4" xfId="31037" xr:uid="{12EB342A-4F98-4A62-84A6-0249469A78AA}"/>
    <cellStyle name="Normal 9 2 2 3 4 4" xfId="9939" xr:uid="{142DA192-1452-41DB-A7DF-8A26BA581B04}"/>
    <cellStyle name="Normal 9 2 2 3 4 5" xfId="18380" xr:uid="{61E12390-987A-481C-B85B-24500F24EE7E}"/>
    <cellStyle name="Normal 9 2 2 3 4 6" xfId="26820" xr:uid="{E35CF2EB-E61D-4E04-9B62-CAEA0DC7E9D0}"/>
    <cellStyle name="Normal 9 2 2 3 5" xfId="1813" xr:uid="{00000000-0005-0000-0000-0000DB1E0000}"/>
    <cellStyle name="Normal 9 2 2 3 5 2" xfId="4043" xr:uid="{00000000-0005-0000-0000-0000DC1E0000}"/>
    <cellStyle name="Normal 9 2 2 3 5 2 2" xfId="8265" xr:uid="{00000000-0005-0000-0000-0000DD1E0000}"/>
    <cellStyle name="Normal 9 2 2 3 5 2 2 2" xfId="16715" xr:uid="{2D6D9619-8D88-48C7-8594-04ABCF91CB5C}"/>
    <cellStyle name="Normal 9 2 2 3 5 2 2 3" xfId="25155" xr:uid="{D74F05A0-FD31-4931-86DE-ED7D696EB3DC}"/>
    <cellStyle name="Normal 9 2 2 3 5 2 2 4" xfId="33595" xr:uid="{C54DF357-F89E-4ED3-BD3B-29399D83D50C}"/>
    <cellStyle name="Normal 9 2 2 3 5 2 3" xfId="12497" xr:uid="{210C1AE0-E31B-4BDC-B667-E0956F7B3CC9}"/>
    <cellStyle name="Normal 9 2 2 3 5 2 4" xfId="20938" xr:uid="{C9AA39F3-6106-4C0F-A494-052D36FB815B}"/>
    <cellStyle name="Normal 9 2 2 3 5 2 5" xfId="29378" xr:uid="{7CBCCCFB-7AB0-4F7E-9EEF-02F63E044AD5}"/>
    <cellStyle name="Normal 9 2 2 3 5 3" xfId="6120" xr:uid="{00000000-0005-0000-0000-0000DE1E0000}"/>
    <cellStyle name="Normal 9 2 2 3 5 3 2" xfId="14570" xr:uid="{6CC19ED3-A016-4DB6-A106-762749585E55}"/>
    <cellStyle name="Normal 9 2 2 3 5 3 3" xfId="23010" xr:uid="{6258DC96-D9CB-4D5F-A492-0EC769AF2E52}"/>
    <cellStyle name="Normal 9 2 2 3 5 3 4" xfId="31450" xr:uid="{7A127C89-8FCF-4B14-85D7-E3A862CF91EB}"/>
    <cellStyle name="Normal 9 2 2 3 5 4" xfId="10352" xr:uid="{4CD5C71F-E10F-4E1C-B1FF-817920E9B721}"/>
    <cellStyle name="Normal 9 2 2 3 5 5" xfId="18793" xr:uid="{BF243CEC-B3B8-4584-876D-2C913AED6B05}"/>
    <cellStyle name="Normal 9 2 2 3 5 6" xfId="27233" xr:uid="{665CF599-8DF4-4459-969B-012E2DC62140}"/>
    <cellStyle name="Normal 9 2 2 3 6" xfId="2227" xr:uid="{00000000-0005-0000-0000-0000DF1E0000}"/>
    <cellStyle name="Normal 9 2 2 3 6 2" xfId="4456" xr:uid="{00000000-0005-0000-0000-0000E01E0000}"/>
    <cellStyle name="Normal 9 2 2 3 6 2 2" xfId="8678" xr:uid="{00000000-0005-0000-0000-0000E11E0000}"/>
    <cellStyle name="Normal 9 2 2 3 6 2 2 2" xfId="17128" xr:uid="{15BFD490-DDF6-48A3-BE70-DB331B19FFF3}"/>
    <cellStyle name="Normal 9 2 2 3 6 2 2 3" xfId="25568" xr:uid="{A12C4275-FEF2-4CF7-91FB-9638FB49A219}"/>
    <cellStyle name="Normal 9 2 2 3 6 2 2 4" xfId="34008" xr:uid="{B3A9082D-9AEA-4F89-B5C2-34BDC231EE12}"/>
    <cellStyle name="Normal 9 2 2 3 6 2 3" xfId="12910" xr:uid="{7AAACF75-E96E-4461-89B4-CA73945D8B34}"/>
    <cellStyle name="Normal 9 2 2 3 6 2 4" xfId="21351" xr:uid="{D1D45550-163E-40AB-ABCE-34CB50F29088}"/>
    <cellStyle name="Normal 9 2 2 3 6 2 5" xfId="29791" xr:uid="{50F4052B-1C84-4C5A-8B8E-6551351CACFF}"/>
    <cellStyle name="Normal 9 2 2 3 6 3" xfId="6533" xr:uid="{00000000-0005-0000-0000-0000E21E0000}"/>
    <cellStyle name="Normal 9 2 2 3 6 3 2" xfId="14983" xr:uid="{DD84A773-D138-4DE7-85F1-4F12B059C62D}"/>
    <cellStyle name="Normal 9 2 2 3 6 3 3" xfId="23423" xr:uid="{8D6340A5-DA15-4752-9CD5-12B4D2DD1D97}"/>
    <cellStyle name="Normal 9 2 2 3 6 3 4" xfId="31863" xr:uid="{F2DB1AF9-DDAF-4BAE-AF38-C677399DB865}"/>
    <cellStyle name="Normal 9 2 2 3 6 4" xfId="10765" xr:uid="{F0683DBF-DF99-40D3-BAA6-FA074348671A}"/>
    <cellStyle name="Normal 9 2 2 3 6 5" xfId="19206" xr:uid="{87210248-6591-4C15-BD5F-0C3B13DAC883}"/>
    <cellStyle name="Normal 9 2 2 3 6 6" xfId="27646" xr:uid="{1D85F41A-54F5-461C-8820-4575322CF858}"/>
    <cellStyle name="Normal 9 2 2 3 7" xfId="2663" xr:uid="{00000000-0005-0000-0000-0000E31E0000}"/>
    <cellStyle name="Normal 9 2 2 3 7 2" xfId="6946" xr:uid="{00000000-0005-0000-0000-0000E41E0000}"/>
    <cellStyle name="Normal 9 2 2 3 7 2 2" xfId="15396" xr:uid="{E54ABD40-3F9D-45EE-831C-D20594E3F319}"/>
    <cellStyle name="Normal 9 2 2 3 7 2 3" xfId="23836" xr:uid="{A434CD8D-3425-450E-9882-87C0501431E5}"/>
    <cellStyle name="Normal 9 2 2 3 7 2 4" xfId="32276" xr:uid="{719D99CB-DA29-49A4-B16D-6D0D2F1FB67A}"/>
    <cellStyle name="Normal 9 2 2 3 7 3" xfId="11178" xr:uid="{8A496A74-2B64-456A-9B8A-D8A5620B5152}"/>
    <cellStyle name="Normal 9 2 2 3 7 4" xfId="19619" xr:uid="{4141E613-D765-4B9D-8EFF-84E3995AF617}"/>
    <cellStyle name="Normal 9 2 2 3 7 5" xfId="28059" xr:uid="{30A4E10D-9935-4431-AB53-89A0476AA9F8}"/>
    <cellStyle name="Normal 9 2 2 3 8" xfId="4881" xr:uid="{00000000-0005-0000-0000-0000E51E0000}"/>
    <cellStyle name="Normal 9 2 2 3 8 2" xfId="13331" xr:uid="{8C90003E-EADA-4577-9A07-935E0E578B03}"/>
    <cellStyle name="Normal 9 2 2 3 8 3" xfId="21771" xr:uid="{4B1BE24F-DE96-4462-A444-8C0AA33B44FB}"/>
    <cellStyle name="Normal 9 2 2 3 8 4" xfId="30211" xr:uid="{5FA1CE6B-E465-42C5-BE03-BF260725E6EF}"/>
    <cellStyle name="Normal 9 2 2 3 9" xfId="9113" xr:uid="{5C3215B9-BAB9-419E-BE36-61D1AE1EE78E}"/>
    <cellStyle name="Normal 9 2 2 4" xfId="519" xr:uid="{00000000-0005-0000-0000-0000E61E0000}"/>
    <cellStyle name="Normal 9 2 2 4 10" xfId="25996" xr:uid="{972F86B0-A7E5-4FE8-8A5C-35B8A13D8735}"/>
    <cellStyle name="Normal 9 2 2 4 2" xfId="986" xr:uid="{00000000-0005-0000-0000-0000E71E0000}"/>
    <cellStyle name="Normal 9 2 2 4 2 2" xfId="3219" xr:uid="{00000000-0005-0000-0000-0000E81E0000}"/>
    <cellStyle name="Normal 9 2 2 4 2 2 2" xfId="7441" xr:uid="{00000000-0005-0000-0000-0000E91E0000}"/>
    <cellStyle name="Normal 9 2 2 4 2 2 2 2" xfId="15891" xr:uid="{56CF57A4-AF77-4EDB-8FFE-6BD8FDB37CBD}"/>
    <cellStyle name="Normal 9 2 2 4 2 2 2 3" xfId="24331" xr:uid="{48926421-D5DC-4081-B2A1-DF74F46FAA01}"/>
    <cellStyle name="Normal 9 2 2 4 2 2 2 4" xfId="32771" xr:uid="{A0C39E24-3C4B-4253-A9F5-488E14C1F3A3}"/>
    <cellStyle name="Normal 9 2 2 4 2 2 3" xfId="11673" xr:uid="{17F7C1E1-ADAB-4146-A46C-4171AAB96D16}"/>
    <cellStyle name="Normal 9 2 2 4 2 2 4" xfId="20114" xr:uid="{0619BA98-1230-45BD-B93A-36B8441D194F}"/>
    <cellStyle name="Normal 9 2 2 4 2 2 5" xfId="28554" xr:uid="{690D5378-D42B-4FDA-963B-1DDA2928F135}"/>
    <cellStyle name="Normal 9 2 2 4 2 3" xfId="5296" xr:uid="{00000000-0005-0000-0000-0000EA1E0000}"/>
    <cellStyle name="Normal 9 2 2 4 2 3 2" xfId="13746" xr:uid="{F533BE9F-FF16-4F9C-B95B-7DE81B53CDCF}"/>
    <cellStyle name="Normal 9 2 2 4 2 3 3" xfId="22186" xr:uid="{EBDB16CA-B369-4F23-8FDE-FA09BFCBC242}"/>
    <cellStyle name="Normal 9 2 2 4 2 3 4" xfId="30626" xr:uid="{F65501DD-5F3A-4988-A51D-88B6D6D702D4}"/>
    <cellStyle name="Normal 9 2 2 4 2 4" xfId="9528" xr:uid="{EDD3221E-5EED-4251-A517-2270F5A6B70A}"/>
    <cellStyle name="Normal 9 2 2 4 2 5" xfId="17969" xr:uid="{76C0E49C-8CEC-4A34-AEB1-A4D984D3D616}"/>
    <cellStyle name="Normal 9 2 2 4 2 6" xfId="26409" xr:uid="{ABA55679-D9BE-4B3D-A88D-377BF85DABA7}"/>
    <cellStyle name="Normal 9 2 2 4 3" xfId="1402" xr:uid="{00000000-0005-0000-0000-0000EB1E0000}"/>
    <cellStyle name="Normal 9 2 2 4 3 2" xfId="3632" xr:uid="{00000000-0005-0000-0000-0000EC1E0000}"/>
    <cellStyle name="Normal 9 2 2 4 3 2 2" xfId="7854" xr:uid="{00000000-0005-0000-0000-0000ED1E0000}"/>
    <cellStyle name="Normal 9 2 2 4 3 2 2 2" xfId="16304" xr:uid="{4A896AFA-E7D7-4576-9131-FD1CEF7618AD}"/>
    <cellStyle name="Normal 9 2 2 4 3 2 2 3" xfId="24744" xr:uid="{9FB945AB-C415-42A4-8645-78542ED79C66}"/>
    <cellStyle name="Normal 9 2 2 4 3 2 2 4" xfId="33184" xr:uid="{70C39B3B-58D2-4631-9574-D988B29F6B2F}"/>
    <cellStyle name="Normal 9 2 2 4 3 2 3" xfId="12086" xr:uid="{EA5EB2F7-A085-4B6A-AF63-BA7FF1203FD5}"/>
    <cellStyle name="Normal 9 2 2 4 3 2 4" xfId="20527" xr:uid="{AA19D6B2-2A5E-435A-A359-E934E45962D4}"/>
    <cellStyle name="Normal 9 2 2 4 3 2 5" xfId="28967" xr:uid="{C11E19BE-CC7C-45B8-8BF1-02DB2BF79C79}"/>
    <cellStyle name="Normal 9 2 2 4 3 3" xfId="5709" xr:uid="{00000000-0005-0000-0000-0000EE1E0000}"/>
    <cellStyle name="Normal 9 2 2 4 3 3 2" xfId="14159" xr:uid="{B14A4621-B6BF-4E40-848A-91E5ED74EAD5}"/>
    <cellStyle name="Normal 9 2 2 4 3 3 3" xfId="22599" xr:uid="{CFBDD591-7AED-4323-91E9-B0B711449D67}"/>
    <cellStyle name="Normal 9 2 2 4 3 3 4" xfId="31039" xr:uid="{7C77A7B9-A7BE-4B4A-A76F-B7C45F04DEEE}"/>
    <cellStyle name="Normal 9 2 2 4 3 4" xfId="9941" xr:uid="{55E38809-2FD7-49FA-B528-F44CDACD76B1}"/>
    <cellStyle name="Normal 9 2 2 4 3 5" xfId="18382" xr:uid="{9EE67894-3C3A-4191-8981-B82C29001E5A}"/>
    <cellStyle name="Normal 9 2 2 4 3 6" xfId="26822" xr:uid="{A8325B8D-A030-4FEF-83B5-4E5247157CA4}"/>
    <cellStyle name="Normal 9 2 2 4 4" xfId="1815" xr:uid="{00000000-0005-0000-0000-0000EF1E0000}"/>
    <cellStyle name="Normal 9 2 2 4 4 2" xfId="4045" xr:uid="{00000000-0005-0000-0000-0000F01E0000}"/>
    <cellStyle name="Normal 9 2 2 4 4 2 2" xfId="8267" xr:uid="{00000000-0005-0000-0000-0000F11E0000}"/>
    <cellStyle name="Normal 9 2 2 4 4 2 2 2" xfId="16717" xr:uid="{0D070655-D33D-4D5C-8B1C-47311A3EC7ED}"/>
    <cellStyle name="Normal 9 2 2 4 4 2 2 3" xfId="25157" xr:uid="{E8052926-43B7-4D24-9167-ED3C61E3D0C0}"/>
    <cellStyle name="Normal 9 2 2 4 4 2 2 4" xfId="33597" xr:uid="{350D85C8-6624-48B2-9177-E320FB3D0335}"/>
    <cellStyle name="Normal 9 2 2 4 4 2 3" xfId="12499" xr:uid="{7F33CEAC-961E-4BB4-A6C0-9C41F8A096C9}"/>
    <cellStyle name="Normal 9 2 2 4 4 2 4" xfId="20940" xr:uid="{D76610A2-03CA-4F46-ACEC-7DAC58CA70B2}"/>
    <cellStyle name="Normal 9 2 2 4 4 2 5" xfId="29380" xr:uid="{6354E778-698F-41D6-8AFE-62E17A9F5F3F}"/>
    <cellStyle name="Normal 9 2 2 4 4 3" xfId="6122" xr:uid="{00000000-0005-0000-0000-0000F21E0000}"/>
    <cellStyle name="Normal 9 2 2 4 4 3 2" xfId="14572" xr:uid="{A22FED58-6EA3-4217-A3D1-5F402E47EB19}"/>
    <cellStyle name="Normal 9 2 2 4 4 3 3" xfId="23012" xr:uid="{FC4AB9F6-EEF3-4402-A2A4-CDDF1E2B0D20}"/>
    <cellStyle name="Normal 9 2 2 4 4 3 4" xfId="31452" xr:uid="{7B268A4A-08C0-44E9-B15D-4D9B40DE0F38}"/>
    <cellStyle name="Normal 9 2 2 4 4 4" xfId="10354" xr:uid="{8DDC0448-408B-4A85-A02D-4CE9DD5ABA68}"/>
    <cellStyle name="Normal 9 2 2 4 4 5" xfId="18795" xr:uid="{CB999240-2E05-4D0B-86E2-915EE3C35542}"/>
    <cellStyle name="Normal 9 2 2 4 4 6" xfId="27235" xr:uid="{01F9C3B3-8F67-4879-B295-A3C62B638C7A}"/>
    <cellStyle name="Normal 9 2 2 4 5" xfId="2229" xr:uid="{00000000-0005-0000-0000-0000F31E0000}"/>
    <cellStyle name="Normal 9 2 2 4 5 2" xfId="4458" xr:uid="{00000000-0005-0000-0000-0000F41E0000}"/>
    <cellStyle name="Normal 9 2 2 4 5 2 2" xfId="8680" xr:uid="{00000000-0005-0000-0000-0000F51E0000}"/>
    <cellStyle name="Normal 9 2 2 4 5 2 2 2" xfId="17130" xr:uid="{B9B773E5-5A8B-435A-8799-1276ED5853ED}"/>
    <cellStyle name="Normal 9 2 2 4 5 2 2 3" xfId="25570" xr:uid="{083FF1EC-55E8-41DE-B1DC-A1642D0AC003}"/>
    <cellStyle name="Normal 9 2 2 4 5 2 2 4" xfId="34010" xr:uid="{AC693289-F179-4642-994F-572416274F1C}"/>
    <cellStyle name="Normal 9 2 2 4 5 2 3" xfId="12912" xr:uid="{6ADC44B6-FC0F-4644-9004-C7D503061440}"/>
    <cellStyle name="Normal 9 2 2 4 5 2 4" xfId="21353" xr:uid="{459FC506-0FA5-4C5B-91C0-A85D9F53810D}"/>
    <cellStyle name="Normal 9 2 2 4 5 2 5" xfId="29793" xr:uid="{AA64122C-43E3-462A-A58D-6DFFA73905B5}"/>
    <cellStyle name="Normal 9 2 2 4 5 3" xfId="6535" xr:uid="{00000000-0005-0000-0000-0000F61E0000}"/>
    <cellStyle name="Normal 9 2 2 4 5 3 2" xfId="14985" xr:uid="{A90E758D-C3B4-4482-9FFC-797529799225}"/>
    <cellStyle name="Normal 9 2 2 4 5 3 3" xfId="23425" xr:uid="{F3B1B392-8FFF-4237-916B-823EBB350B2C}"/>
    <cellStyle name="Normal 9 2 2 4 5 3 4" xfId="31865" xr:uid="{F47F3C30-2EF9-45CF-B24A-C1F4D591F7BB}"/>
    <cellStyle name="Normal 9 2 2 4 5 4" xfId="10767" xr:uid="{C8658F69-1E6C-4057-9C11-6C886EFECB52}"/>
    <cellStyle name="Normal 9 2 2 4 5 5" xfId="19208" xr:uid="{E2AAA20B-42A8-4AD3-9E03-C9626B868036}"/>
    <cellStyle name="Normal 9 2 2 4 5 6" xfId="27648" xr:uid="{CA66070C-DECB-429C-88F6-F05F71EF1BC6}"/>
    <cellStyle name="Normal 9 2 2 4 6" xfId="2665" xr:uid="{00000000-0005-0000-0000-0000F71E0000}"/>
    <cellStyle name="Normal 9 2 2 4 6 2" xfId="6948" xr:uid="{00000000-0005-0000-0000-0000F81E0000}"/>
    <cellStyle name="Normal 9 2 2 4 6 2 2" xfId="15398" xr:uid="{6159FB0F-B2E7-4C98-A799-B2985CEFC209}"/>
    <cellStyle name="Normal 9 2 2 4 6 2 3" xfId="23838" xr:uid="{C28A63B6-856D-4C7F-AF53-A09DC36918DD}"/>
    <cellStyle name="Normal 9 2 2 4 6 2 4" xfId="32278" xr:uid="{AADE0D05-D60F-4DF2-A918-2F10EB725AC5}"/>
    <cellStyle name="Normal 9 2 2 4 6 3" xfId="11180" xr:uid="{09706AFA-3842-44FA-B6DC-9A448DB8DF55}"/>
    <cellStyle name="Normal 9 2 2 4 6 4" xfId="19621" xr:uid="{B21528B8-2798-46BA-89FE-2EECE3B90F48}"/>
    <cellStyle name="Normal 9 2 2 4 6 5" xfId="28061" xr:uid="{D2E88E71-1349-4201-9EF3-834574CC9F3C}"/>
    <cellStyle name="Normal 9 2 2 4 7" xfId="4883" xr:uid="{00000000-0005-0000-0000-0000F91E0000}"/>
    <cellStyle name="Normal 9 2 2 4 7 2" xfId="13333" xr:uid="{EF522E05-C907-4A9F-8E18-73161EF79B43}"/>
    <cellStyle name="Normal 9 2 2 4 7 3" xfId="21773" xr:uid="{2E42A378-CB07-4D5B-AE24-770C6F2F716D}"/>
    <cellStyle name="Normal 9 2 2 4 7 4" xfId="30213" xr:uid="{1AA583DB-374C-4FD0-96C8-EA58F81EEC57}"/>
    <cellStyle name="Normal 9 2 2 4 8" xfId="9115" xr:uid="{70637666-D6F3-4935-9D2E-609014333E5B}"/>
    <cellStyle name="Normal 9 2 2 4 9" xfId="17556" xr:uid="{EC1D4127-2BFE-40AF-B44A-6B356C940B21}"/>
    <cellStyle name="Normal 9 2 2 5" xfId="979" xr:uid="{00000000-0005-0000-0000-0000FA1E0000}"/>
    <cellStyle name="Normal 9 2 2 5 2" xfId="3212" xr:uid="{00000000-0005-0000-0000-0000FB1E0000}"/>
    <cellStyle name="Normal 9 2 2 5 2 2" xfId="7434" xr:uid="{00000000-0005-0000-0000-0000FC1E0000}"/>
    <cellStyle name="Normal 9 2 2 5 2 2 2" xfId="15884" xr:uid="{1279A131-9F07-4B98-8383-7E4C41D9C7C2}"/>
    <cellStyle name="Normal 9 2 2 5 2 2 3" xfId="24324" xr:uid="{11E4D309-A398-4102-89BF-6EDA5EB17CB2}"/>
    <cellStyle name="Normal 9 2 2 5 2 2 4" xfId="32764" xr:uid="{7B9E6DD4-E3B5-4424-B39D-312950BA03E2}"/>
    <cellStyle name="Normal 9 2 2 5 2 3" xfId="11666" xr:uid="{D2BCBE4E-B37B-4C35-AEC1-3298D8F138DE}"/>
    <cellStyle name="Normal 9 2 2 5 2 4" xfId="20107" xr:uid="{4C02BA89-3717-445F-B806-8253BDB71B53}"/>
    <cellStyle name="Normal 9 2 2 5 2 5" xfId="28547" xr:uid="{57241137-A9FC-4067-B8BB-4DF8D00827F4}"/>
    <cellStyle name="Normal 9 2 2 5 3" xfId="5289" xr:uid="{00000000-0005-0000-0000-0000FD1E0000}"/>
    <cellStyle name="Normal 9 2 2 5 3 2" xfId="13739" xr:uid="{9556C669-F831-4285-8839-4F0A053B8D2F}"/>
    <cellStyle name="Normal 9 2 2 5 3 3" xfId="22179" xr:uid="{2F69E6ED-558A-4C26-93F9-04CE951CD480}"/>
    <cellStyle name="Normal 9 2 2 5 3 4" xfId="30619" xr:uid="{B3E8F454-7BEA-44C5-85E1-675EF55A4D02}"/>
    <cellStyle name="Normal 9 2 2 5 4" xfId="9521" xr:uid="{DEAFF15E-810D-4146-B39A-E3ACB83CAB05}"/>
    <cellStyle name="Normal 9 2 2 5 5" xfId="17962" xr:uid="{7016BFFE-DF1C-4527-AEAE-9EC2BB47A435}"/>
    <cellStyle name="Normal 9 2 2 5 6" xfId="26402" xr:uid="{D0D18D5E-E6D5-4CA2-ACC3-7C85C6B5C247}"/>
    <cellStyle name="Normal 9 2 2 6" xfId="1395" xr:uid="{00000000-0005-0000-0000-0000FE1E0000}"/>
    <cellStyle name="Normal 9 2 2 6 2" xfId="3625" xr:uid="{00000000-0005-0000-0000-0000FF1E0000}"/>
    <cellStyle name="Normal 9 2 2 6 2 2" xfId="7847" xr:uid="{00000000-0005-0000-0000-0000001F0000}"/>
    <cellStyle name="Normal 9 2 2 6 2 2 2" xfId="16297" xr:uid="{E292AE52-CE9B-4BC7-A562-FA9BA7BF157B}"/>
    <cellStyle name="Normal 9 2 2 6 2 2 3" xfId="24737" xr:uid="{5C55170F-8B52-457A-933E-BA507E08A774}"/>
    <cellStyle name="Normal 9 2 2 6 2 2 4" xfId="33177" xr:uid="{7591FA4B-0A26-486D-8E98-87D0E2C76C87}"/>
    <cellStyle name="Normal 9 2 2 6 2 3" xfId="12079" xr:uid="{07F1DA13-F29D-488D-87A7-38A2FF7C06C2}"/>
    <cellStyle name="Normal 9 2 2 6 2 4" xfId="20520" xr:uid="{48D29199-37D1-403F-955E-F86E82FAA208}"/>
    <cellStyle name="Normal 9 2 2 6 2 5" xfId="28960" xr:uid="{F30A4FED-4E8D-4539-8830-72CF5E8F5164}"/>
    <cellStyle name="Normal 9 2 2 6 3" xfId="5702" xr:uid="{00000000-0005-0000-0000-0000011F0000}"/>
    <cellStyle name="Normal 9 2 2 6 3 2" xfId="14152" xr:uid="{8F71E69C-4106-4345-B157-D2502B73306F}"/>
    <cellStyle name="Normal 9 2 2 6 3 3" xfId="22592" xr:uid="{A917FA2A-DE2B-4CA6-B335-B7A8732CCB5A}"/>
    <cellStyle name="Normal 9 2 2 6 3 4" xfId="31032" xr:uid="{4E022C94-28FB-4112-9E8F-854F6A2A3CE9}"/>
    <cellStyle name="Normal 9 2 2 6 4" xfId="9934" xr:uid="{484E7216-1F69-453B-B900-C832209082C1}"/>
    <cellStyle name="Normal 9 2 2 6 5" xfId="18375" xr:uid="{B8A5F672-786D-46AD-9C78-1F0700FE5E7D}"/>
    <cellStyle name="Normal 9 2 2 6 6" xfId="26815" xr:uid="{CF981522-C6B5-4626-B6AA-803152A1833F}"/>
    <cellStyle name="Normal 9 2 2 7" xfId="1808" xr:uid="{00000000-0005-0000-0000-0000021F0000}"/>
    <cellStyle name="Normal 9 2 2 7 2" xfId="4038" xr:uid="{00000000-0005-0000-0000-0000031F0000}"/>
    <cellStyle name="Normal 9 2 2 7 2 2" xfId="8260" xr:uid="{00000000-0005-0000-0000-0000041F0000}"/>
    <cellStyle name="Normal 9 2 2 7 2 2 2" xfId="16710" xr:uid="{15DD32A5-72E4-4FE7-8FFD-24E8F9446029}"/>
    <cellStyle name="Normal 9 2 2 7 2 2 3" xfId="25150" xr:uid="{CA7589BD-7742-44CE-B901-A7EF3C55B258}"/>
    <cellStyle name="Normal 9 2 2 7 2 2 4" xfId="33590" xr:uid="{EE1EA5DA-09AD-46E3-B906-B7117552E914}"/>
    <cellStyle name="Normal 9 2 2 7 2 3" xfId="12492" xr:uid="{F9A40EEE-C50B-46B5-A121-D3C107D65BCD}"/>
    <cellStyle name="Normal 9 2 2 7 2 4" xfId="20933" xr:uid="{197DB4DA-2F7D-4AF3-AA5D-E9A091739087}"/>
    <cellStyle name="Normal 9 2 2 7 2 5" xfId="29373" xr:uid="{93EF10D3-9E2B-426F-BE12-F89973E55B2E}"/>
    <cellStyle name="Normal 9 2 2 7 3" xfId="6115" xr:uid="{00000000-0005-0000-0000-0000051F0000}"/>
    <cellStyle name="Normal 9 2 2 7 3 2" xfId="14565" xr:uid="{2AEB96B5-273C-42D2-A367-82773176B541}"/>
    <cellStyle name="Normal 9 2 2 7 3 3" xfId="23005" xr:uid="{5F675296-8200-41D8-9D92-CEC479C178CB}"/>
    <cellStyle name="Normal 9 2 2 7 3 4" xfId="31445" xr:uid="{E1ED61DD-7C01-49E4-83D3-A037E16CB32D}"/>
    <cellStyle name="Normal 9 2 2 7 4" xfId="10347" xr:uid="{1C3170CB-6284-4CDE-B7E8-D958C94E3512}"/>
    <cellStyle name="Normal 9 2 2 7 5" xfId="18788" xr:uid="{4F99C55C-B449-4CC2-8EDC-C9B4F6CFEAFB}"/>
    <cellStyle name="Normal 9 2 2 7 6" xfId="27228" xr:uid="{34C7ACAF-BA86-497E-855A-E18E63047F5D}"/>
    <cellStyle name="Normal 9 2 2 8" xfId="2222" xr:uid="{00000000-0005-0000-0000-0000061F0000}"/>
    <cellStyle name="Normal 9 2 2 8 2" xfId="4451" xr:uid="{00000000-0005-0000-0000-0000071F0000}"/>
    <cellStyle name="Normal 9 2 2 8 2 2" xfId="8673" xr:uid="{00000000-0005-0000-0000-0000081F0000}"/>
    <cellStyle name="Normal 9 2 2 8 2 2 2" xfId="17123" xr:uid="{8A31DCCB-3179-4420-BC35-D17EAE8089C1}"/>
    <cellStyle name="Normal 9 2 2 8 2 2 3" xfId="25563" xr:uid="{5427B8FD-2957-4047-8A91-D3E69523B1DA}"/>
    <cellStyle name="Normal 9 2 2 8 2 2 4" xfId="34003" xr:uid="{681C322C-5F57-4401-B728-F61F8A408AEB}"/>
    <cellStyle name="Normal 9 2 2 8 2 3" xfId="12905" xr:uid="{7B06974F-8416-45F5-BEAB-748AF65F5641}"/>
    <cellStyle name="Normal 9 2 2 8 2 4" xfId="21346" xr:uid="{31F9A3E5-C086-4900-AF4E-AF5A6EAD383D}"/>
    <cellStyle name="Normal 9 2 2 8 2 5" xfId="29786" xr:uid="{E0512348-30F1-4D29-9812-DA4864AA98DC}"/>
    <cellStyle name="Normal 9 2 2 8 3" xfId="6528" xr:uid="{00000000-0005-0000-0000-0000091F0000}"/>
    <cellStyle name="Normal 9 2 2 8 3 2" xfId="14978" xr:uid="{D0E178A2-7901-42B7-ADD2-72AE9E9EA23D}"/>
    <cellStyle name="Normal 9 2 2 8 3 3" xfId="23418" xr:uid="{12F19A9F-000F-4AC1-AFE5-B1E747BFB192}"/>
    <cellStyle name="Normal 9 2 2 8 3 4" xfId="31858" xr:uid="{D26B6207-AA0C-4373-8563-70DDA72CE691}"/>
    <cellStyle name="Normal 9 2 2 8 4" xfId="10760" xr:uid="{1939FFE7-AB41-4040-92D2-D2995703D622}"/>
    <cellStyle name="Normal 9 2 2 8 5" xfId="19201" xr:uid="{DB9F7FA6-7530-4E06-B157-E1F3102EF93B}"/>
    <cellStyle name="Normal 9 2 2 8 6" xfId="27641" xr:uid="{ED906913-E268-43E3-BE83-CC3C00182B4C}"/>
    <cellStyle name="Normal 9 2 2 9" xfId="2658" xr:uid="{00000000-0005-0000-0000-00000A1F0000}"/>
    <cellStyle name="Normal 9 2 2 9 2" xfId="6941" xr:uid="{00000000-0005-0000-0000-00000B1F0000}"/>
    <cellStyle name="Normal 9 2 2 9 2 2" xfId="15391" xr:uid="{AC675471-B652-43A1-8F3D-3874E4F4B33E}"/>
    <cellStyle name="Normal 9 2 2 9 2 3" xfId="23831" xr:uid="{12919FB3-00CC-44E7-BDDA-B44080932B44}"/>
    <cellStyle name="Normal 9 2 2 9 2 4" xfId="32271" xr:uid="{A8262C32-0536-444F-827B-2ABE0D15CEDF}"/>
    <cellStyle name="Normal 9 2 2 9 3" xfId="11173" xr:uid="{2A8AE9BA-57BD-4686-BF1A-3F6D0999E5DA}"/>
    <cellStyle name="Normal 9 2 2 9 4" xfId="19614" xr:uid="{F746C767-4329-40BB-98BF-14EBFA8BC845}"/>
    <cellStyle name="Normal 9 2 2 9 5" xfId="28054" xr:uid="{08869F85-86CD-49B5-9CA2-45B2993CCCA0}"/>
    <cellStyle name="Normal 9 2 3" xfId="520" xr:uid="{00000000-0005-0000-0000-00000C1F0000}"/>
    <cellStyle name="Normal 9 2 3 10" xfId="9116" xr:uid="{24439BED-9B2C-4C2D-A922-7AC93D6C3347}"/>
    <cellStyle name="Normal 9 2 3 11" xfId="17557" xr:uid="{7A7B8C55-6190-4FF0-8A69-D3B52E35A55C}"/>
    <cellStyle name="Normal 9 2 3 12" xfId="25997" xr:uid="{CA7DB72E-8CAD-49DE-8434-DD861EAF3E60}"/>
    <cellStyle name="Normal 9 2 3 2" xfId="521" xr:uid="{00000000-0005-0000-0000-00000D1F0000}"/>
    <cellStyle name="Normal 9 2 3 2 10" xfId="17558" xr:uid="{AEEC4FFC-E47E-4EA2-B5D6-F13E54EA01C5}"/>
    <cellStyle name="Normal 9 2 3 2 11" xfId="25998" xr:uid="{B78DE216-951C-4D08-B928-E59E2DBFB5FB}"/>
    <cellStyle name="Normal 9 2 3 2 2" xfId="522" xr:uid="{00000000-0005-0000-0000-00000E1F0000}"/>
    <cellStyle name="Normal 9 2 3 2 2 10" xfId="25999" xr:uid="{38F2780D-D190-49A4-9DA9-47B3E241BE27}"/>
    <cellStyle name="Normal 9 2 3 2 2 2" xfId="989" xr:uid="{00000000-0005-0000-0000-00000F1F0000}"/>
    <cellStyle name="Normal 9 2 3 2 2 2 2" xfId="3222" xr:uid="{00000000-0005-0000-0000-0000101F0000}"/>
    <cellStyle name="Normal 9 2 3 2 2 2 2 2" xfId="7444" xr:uid="{00000000-0005-0000-0000-0000111F0000}"/>
    <cellStyle name="Normal 9 2 3 2 2 2 2 2 2" xfId="15894" xr:uid="{1E411C4B-755B-4C79-8A48-088C0855C225}"/>
    <cellStyle name="Normal 9 2 3 2 2 2 2 2 3" xfId="24334" xr:uid="{0D63EC93-32AB-4E74-96A2-8B112CA69D83}"/>
    <cellStyle name="Normal 9 2 3 2 2 2 2 2 4" xfId="32774" xr:uid="{AED4B29A-BD80-4B87-A001-B0C4D978272D}"/>
    <cellStyle name="Normal 9 2 3 2 2 2 2 3" xfId="11676" xr:uid="{0B0F0A6B-5315-4960-ACA8-75EB74EEF6B0}"/>
    <cellStyle name="Normal 9 2 3 2 2 2 2 4" xfId="20117" xr:uid="{4A0E18FC-6763-4305-9D1C-9A50C4B1A5C2}"/>
    <cellStyle name="Normal 9 2 3 2 2 2 2 5" xfId="28557" xr:uid="{FC5A0B7A-445E-4552-8470-B582DE51E973}"/>
    <cellStyle name="Normal 9 2 3 2 2 2 3" xfId="5299" xr:uid="{00000000-0005-0000-0000-0000121F0000}"/>
    <cellStyle name="Normal 9 2 3 2 2 2 3 2" xfId="13749" xr:uid="{B8E3E212-0B02-4A02-BE09-1D317F6326A8}"/>
    <cellStyle name="Normal 9 2 3 2 2 2 3 3" xfId="22189" xr:uid="{2E29A9D0-DAD4-43D8-98D8-723CBACE6353}"/>
    <cellStyle name="Normal 9 2 3 2 2 2 3 4" xfId="30629" xr:uid="{B781E818-979B-434B-A57C-F7D7551F3845}"/>
    <cellStyle name="Normal 9 2 3 2 2 2 4" xfId="9531" xr:uid="{2727B386-8ED6-40C3-B6F9-9893DF18E25A}"/>
    <cellStyle name="Normal 9 2 3 2 2 2 5" xfId="17972" xr:uid="{AE654A02-22FF-4E8C-BB59-3AB535C3CAE5}"/>
    <cellStyle name="Normal 9 2 3 2 2 2 6" xfId="26412" xr:uid="{900EA0C8-57E4-4B63-BBB2-9D6B006D3DAA}"/>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2 2 2" xfId="16307" xr:uid="{9B2FA6BE-983C-43D1-87D7-FFB984D72FEE}"/>
    <cellStyle name="Normal 9 2 3 2 2 3 2 2 3" xfId="24747" xr:uid="{CCAB4DFC-B5C8-4EFA-B408-E5B9E4E206FA}"/>
    <cellStyle name="Normal 9 2 3 2 2 3 2 2 4" xfId="33187" xr:uid="{EC21E1C3-75C2-48E5-912B-94DB83653522}"/>
    <cellStyle name="Normal 9 2 3 2 2 3 2 3" xfId="12089" xr:uid="{E8139EEB-523E-4F7B-B1A4-65E7EB0DFE45}"/>
    <cellStyle name="Normal 9 2 3 2 2 3 2 4" xfId="20530" xr:uid="{6BCFB468-3D3C-42AB-9823-23CCFC62E9E0}"/>
    <cellStyle name="Normal 9 2 3 2 2 3 2 5" xfId="28970" xr:uid="{C6E789ED-12CB-4BE5-90DF-944CF3E10B03}"/>
    <cellStyle name="Normal 9 2 3 2 2 3 3" xfId="5712" xr:uid="{00000000-0005-0000-0000-0000161F0000}"/>
    <cellStyle name="Normal 9 2 3 2 2 3 3 2" xfId="14162" xr:uid="{9C7417E6-DC10-4DB7-80D5-8419F86B02CF}"/>
    <cellStyle name="Normal 9 2 3 2 2 3 3 3" xfId="22602" xr:uid="{7BE10F4D-77EC-4E06-BBCB-903BBB2B899E}"/>
    <cellStyle name="Normal 9 2 3 2 2 3 3 4" xfId="31042" xr:uid="{F8802E96-516B-4680-887C-055E25B546E0}"/>
    <cellStyle name="Normal 9 2 3 2 2 3 4" xfId="9944" xr:uid="{B4DBADB9-1C85-4498-B8FF-DCA99B42E313}"/>
    <cellStyle name="Normal 9 2 3 2 2 3 5" xfId="18385" xr:uid="{24310C2A-2E4F-4E01-9296-A06F685F3F26}"/>
    <cellStyle name="Normal 9 2 3 2 2 3 6" xfId="26825" xr:uid="{5E42C5AA-EA3E-465C-AEC2-1B4D03ABE436}"/>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2 2 2" xfId="16720" xr:uid="{986F8EFA-C95E-42F5-BCFF-90A7E6B89DA4}"/>
    <cellStyle name="Normal 9 2 3 2 2 4 2 2 3" xfId="25160" xr:uid="{4C7ADD9F-D3B8-4C27-8ADA-AC5E44E2F135}"/>
    <cellStyle name="Normal 9 2 3 2 2 4 2 2 4" xfId="33600" xr:uid="{10E4A460-8F96-4983-8F0E-400B60C5018A}"/>
    <cellStyle name="Normal 9 2 3 2 2 4 2 3" xfId="12502" xr:uid="{E6B98C02-572C-4C07-ACB3-A88B65159455}"/>
    <cellStyle name="Normal 9 2 3 2 2 4 2 4" xfId="20943" xr:uid="{444D749B-75A0-4B20-A195-EA73BE46A92E}"/>
    <cellStyle name="Normal 9 2 3 2 2 4 2 5" xfId="29383" xr:uid="{BA2DE8F5-46F4-48CF-9527-A5B7708114D7}"/>
    <cellStyle name="Normal 9 2 3 2 2 4 3" xfId="6125" xr:uid="{00000000-0005-0000-0000-00001A1F0000}"/>
    <cellStyle name="Normal 9 2 3 2 2 4 3 2" xfId="14575" xr:uid="{785746C7-9EB9-4B73-95DF-224B5406546B}"/>
    <cellStyle name="Normal 9 2 3 2 2 4 3 3" xfId="23015" xr:uid="{D938825E-C462-47FC-9986-7406BC426D91}"/>
    <cellStyle name="Normal 9 2 3 2 2 4 3 4" xfId="31455" xr:uid="{A97F86E9-3B88-411A-998C-33B331BF0B12}"/>
    <cellStyle name="Normal 9 2 3 2 2 4 4" xfId="10357" xr:uid="{D617E882-4921-446F-BD49-7689D2FF75EB}"/>
    <cellStyle name="Normal 9 2 3 2 2 4 5" xfId="18798" xr:uid="{DD083072-4006-405A-8317-55D36D77B51D}"/>
    <cellStyle name="Normal 9 2 3 2 2 4 6" xfId="27238" xr:uid="{236B3817-1ADD-4B91-98A5-01A71F898A3A}"/>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2 2 2" xfId="17133" xr:uid="{464CC0A7-80BF-4FEE-B00F-B72C62B9A32C}"/>
    <cellStyle name="Normal 9 2 3 2 2 5 2 2 3" xfId="25573" xr:uid="{18A1DEF4-848C-4C90-AF0E-63C99153B272}"/>
    <cellStyle name="Normal 9 2 3 2 2 5 2 2 4" xfId="34013" xr:uid="{E2322BA3-9C38-40B9-90E8-AE1C6B43F2DE}"/>
    <cellStyle name="Normal 9 2 3 2 2 5 2 3" xfId="12915" xr:uid="{2005D29F-D68B-452B-A958-725074FECF46}"/>
    <cellStyle name="Normal 9 2 3 2 2 5 2 4" xfId="21356" xr:uid="{FA950DDF-F2D9-49BE-A405-E4C111E601DF}"/>
    <cellStyle name="Normal 9 2 3 2 2 5 2 5" xfId="29796" xr:uid="{77E449F2-E4DD-40E7-BDE2-7BF072CD6773}"/>
    <cellStyle name="Normal 9 2 3 2 2 5 3" xfId="6538" xr:uid="{00000000-0005-0000-0000-00001E1F0000}"/>
    <cellStyle name="Normal 9 2 3 2 2 5 3 2" xfId="14988" xr:uid="{B2B8FA6F-46F9-48D5-A793-573E25313AFD}"/>
    <cellStyle name="Normal 9 2 3 2 2 5 3 3" xfId="23428" xr:uid="{737D6007-EF7D-43F3-8477-767C298BECDF}"/>
    <cellStyle name="Normal 9 2 3 2 2 5 3 4" xfId="31868" xr:uid="{A297543E-16A8-49E9-8DE5-21188C81980E}"/>
    <cellStyle name="Normal 9 2 3 2 2 5 4" xfId="10770" xr:uid="{A62326FE-B50A-4248-8EE9-FE661707D9C1}"/>
    <cellStyle name="Normal 9 2 3 2 2 5 5" xfId="19211" xr:uid="{5551A042-F1B2-4AB3-9B13-83953A806E00}"/>
    <cellStyle name="Normal 9 2 3 2 2 5 6" xfId="27651" xr:uid="{4E39DD4E-461C-44D3-B191-62DAD086F414}"/>
    <cellStyle name="Normal 9 2 3 2 2 6" xfId="2668" xr:uid="{00000000-0005-0000-0000-00001F1F0000}"/>
    <cellStyle name="Normal 9 2 3 2 2 6 2" xfId="6951" xr:uid="{00000000-0005-0000-0000-0000201F0000}"/>
    <cellStyle name="Normal 9 2 3 2 2 6 2 2" xfId="15401" xr:uid="{AC4A2840-066B-4AD8-98B7-501144D3A169}"/>
    <cellStyle name="Normal 9 2 3 2 2 6 2 3" xfId="23841" xr:uid="{54274A6C-5444-47CF-A9C9-235BB1992148}"/>
    <cellStyle name="Normal 9 2 3 2 2 6 2 4" xfId="32281" xr:uid="{8E9351CD-14D3-4159-BE68-461977F66E82}"/>
    <cellStyle name="Normal 9 2 3 2 2 6 3" xfId="11183" xr:uid="{7701EB12-C9C8-43F6-9222-B05A3FACF7F4}"/>
    <cellStyle name="Normal 9 2 3 2 2 6 4" xfId="19624" xr:uid="{4286C289-7CC2-460E-AF95-1442B7EBAC47}"/>
    <cellStyle name="Normal 9 2 3 2 2 6 5" xfId="28064" xr:uid="{C677A607-555C-4363-81E9-ABD1FBA866F8}"/>
    <cellStyle name="Normal 9 2 3 2 2 7" xfId="4886" xr:uid="{00000000-0005-0000-0000-0000211F0000}"/>
    <cellStyle name="Normal 9 2 3 2 2 7 2" xfId="13336" xr:uid="{4438223C-0687-4F39-90F2-D7D0D7CE4015}"/>
    <cellStyle name="Normal 9 2 3 2 2 7 3" xfId="21776" xr:uid="{0B0A51F3-98BF-495F-A4BC-BAA48321F7E0}"/>
    <cellStyle name="Normal 9 2 3 2 2 7 4" xfId="30216" xr:uid="{C706B0AD-20F4-49F6-A250-7307D2156A69}"/>
    <cellStyle name="Normal 9 2 3 2 2 8" xfId="9118" xr:uid="{6FFBC977-FAC4-448A-9EBD-A925A14A37C5}"/>
    <cellStyle name="Normal 9 2 3 2 2 9" xfId="17559" xr:uid="{39E2A4B8-D0C8-42C0-8BF9-99835FC921C3}"/>
    <cellStyle name="Normal 9 2 3 2 3" xfId="988" xr:uid="{00000000-0005-0000-0000-0000221F0000}"/>
    <cellStyle name="Normal 9 2 3 2 3 2" xfId="3221" xr:uid="{00000000-0005-0000-0000-0000231F0000}"/>
    <cellStyle name="Normal 9 2 3 2 3 2 2" xfId="7443" xr:uid="{00000000-0005-0000-0000-0000241F0000}"/>
    <cellStyle name="Normal 9 2 3 2 3 2 2 2" xfId="15893" xr:uid="{9188C99C-63D8-4817-84F6-BC04FB551EC7}"/>
    <cellStyle name="Normal 9 2 3 2 3 2 2 3" xfId="24333" xr:uid="{F2F45F09-A765-44F9-AE45-8D31C850ED7C}"/>
    <cellStyle name="Normal 9 2 3 2 3 2 2 4" xfId="32773" xr:uid="{C7A69F4D-0067-4EC6-9EC5-BC54B9AF6E8E}"/>
    <cellStyle name="Normal 9 2 3 2 3 2 3" xfId="11675" xr:uid="{9D8470A6-243D-4672-A062-26A3DB6A1A4E}"/>
    <cellStyle name="Normal 9 2 3 2 3 2 4" xfId="20116" xr:uid="{69D85939-046F-469D-AD90-7BA735FFAF6A}"/>
    <cellStyle name="Normal 9 2 3 2 3 2 5" xfId="28556" xr:uid="{20445EC4-0AF8-4FDB-B114-3EA27744587F}"/>
    <cellStyle name="Normal 9 2 3 2 3 3" xfId="5298" xr:uid="{00000000-0005-0000-0000-0000251F0000}"/>
    <cellStyle name="Normal 9 2 3 2 3 3 2" xfId="13748" xr:uid="{2BE195D9-EF4F-463E-870B-A4165259AFF4}"/>
    <cellStyle name="Normal 9 2 3 2 3 3 3" xfId="22188" xr:uid="{A966CB3D-D563-4AF1-8F95-DC1CF268EA4F}"/>
    <cellStyle name="Normal 9 2 3 2 3 3 4" xfId="30628" xr:uid="{3FB82770-2CC5-462E-A44C-933990886F42}"/>
    <cellStyle name="Normal 9 2 3 2 3 4" xfId="9530" xr:uid="{B3686AC1-3CE0-419C-AE53-BE3DCABD5D20}"/>
    <cellStyle name="Normal 9 2 3 2 3 5" xfId="17971" xr:uid="{85F8D41D-D314-401A-9389-97B321DA249F}"/>
    <cellStyle name="Normal 9 2 3 2 3 6" xfId="26411" xr:uid="{A02ACF3F-4F00-48D4-83C6-62C68653AF5B}"/>
    <cellStyle name="Normal 9 2 3 2 4" xfId="1404" xr:uid="{00000000-0005-0000-0000-0000261F0000}"/>
    <cellStyle name="Normal 9 2 3 2 4 2" xfId="3634" xr:uid="{00000000-0005-0000-0000-0000271F0000}"/>
    <cellStyle name="Normal 9 2 3 2 4 2 2" xfId="7856" xr:uid="{00000000-0005-0000-0000-0000281F0000}"/>
    <cellStyle name="Normal 9 2 3 2 4 2 2 2" xfId="16306" xr:uid="{B3FF9768-E4D6-4891-BE83-E6B2F9D002C6}"/>
    <cellStyle name="Normal 9 2 3 2 4 2 2 3" xfId="24746" xr:uid="{6D04C4E0-4F90-4CD0-A9EC-4B4F1A0D38D5}"/>
    <cellStyle name="Normal 9 2 3 2 4 2 2 4" xfId="33186" xr:uid="{E0A5E0E2-AD27-4A87-9600-E947FAA803E2}"/>
    <cellStyle name="Normal 9 2 3 2 4 2 3" xfId="12088" xr:uid="{981C35EA-ACE5-42AB-8C91-FBD73F9C615A}"/>
    <cellStyle name="Normal 9 2 3 2 4 2 4" xfId="20529" xr:uid="{1411B1B3-EADB-4970-9E81-6A379A77C656}"/>
    <cellStyle name="Normal 9 2 3 2 4 2 5" xfId="28969" xr:uid="{ED3EC05E-5CDF-4C3B-87BD-2D758D68A6B6}"/>
    <cellStyle name="Normal 9 2 3 2 4 3" xfId="5711" xr:uid="{00000000-0005-0000-0000-0000291F0000}"/>
    <cellStyle name="Normal 9 2 3 2 4 3 2" xfId="14161" xr:uid="{BBD32F3F-6372-4271-AF02-3F1E1DFA323F}"/>
    <cellStyle name="Normal 9 2 3 2 4 3 3" xfId="22601" xr:uid="{3A0B488D-29F5-444D-817C-546366EAA1F7}"/>
    <cellStyle name="Normal 9 2 3 2 4 3 4" xfId="31041" xr:uid="{07DEF4A0-B3F3-45C5-8A9C-14DD5B2CB9EC}"/>
    <cellStyle name="Normal 9 2 3 2 4 4" xfId="9943" xr:uid="{7AF9A005-1AC6-482E-B0E5-7E60F8CFF379}"/>
    <cellStyle name="Normal 9 2 3 2 4 5" xfId="18384" xr:uid="{BF51364A-5AC4-43BE-B632-857EB36C7A35}"/>
    <cellStyle name="Normal 9 2 3 2 4 6" xfId="26824" xr:uid="{37F2C138-5998-4B45-950B-63999E84C697}"/>
    <cellStyle name="Normal 9 2 3 2 5" xfId="1817" xr:uid="{00000000-0005-0000-0000-00002A1F0000}"/>
    <cellStyle name="Normal 9 2 3 2 5 2" xfId="4047" xr:uid="{00000000-0005-0000-0000-00002B1F0000}"/>
    <cellStyle name="Normal 9 2 3 2 5 2 2" xfId="8269" xr:uid="{00000000-0005-0000-0000-00002C1F0000}"/>
    <cellStyle name="Normal 9 2 3 2 5 2 2 2" xfId="16719" xr:uid="{0C758F17-4BED-4408-B412-DF0168EF5782}"/>
    <cellStyle name="Normal 9 2 3 2 5 2 2 3" xfId="25159" xr:uid="{C2D97F1E-FF61-4C54-B30B-6AA02BCA8ED2}"/>
    <cellStyle name="Normal 9 2 3 2 5 2 2 4" xfId="33599" xr:uid="{AD5D24A6-0734-4A23-BD85-5E69F93C1417}"/>
    <cellStyle name="Normal 9 2 3 2 5 2 3" xfId="12501" xr:uid="{5B8702A6-B33F-4AE6-AF33-55F1D0FC4408}"/>
    <cellStyle name="Normal 9 2 3 2 5 2 4" xfId="20942" xr:uid="{A052A3A7-5A07-4B12-97DB-5285D79CB7C2}"/>
    <cellStyle name="Normal 9 2 3 2 5 2 5" xfId="29382" xr:uid="{14F73FBC-4F61-42AA-9BCA-36A97EF4FC61}"/>
    <cellStyle name="Normal 9 2 3 2 5 3" xfId="6124" xr:uid="{00000000-0005-0000-0000-00002D1F0000}"/>
    <cellStyle name="Normal 9 2 3 2 5 3 2" xfId="14574" xr:uid="{C0890F8A-4F5B-45E9-9B7E-59706523DB13}"/>
    <cellStyle name="Normal 9 2 3 2 5 3 3" xfId="23014" xr:uid="{AC0B7995-081E-4BE0-A4B8-048B24ED3F8F}"/>
    <cellStyle name="Normal 9 2 3 2 5 3 4" xfId="31454" xr:uid="{205E379C-DB37-4C8C-BF2A-C883ACA52A28}"/>
    <cellStyle name="Normal 9 2 3 2 5 4" xfId="10356" xr:uid="{5E4001B9-2214-40A2-BE49-BD2FEA9F26B1}"/>
    <cellStyle name="Normal 9 2 3 2 5 5" xfId="18797" xr:uid="{0E790568-8273-4BEE-B376-EC47F0960337}"/>
    <cellStyle name="Normal 9 2 3 2 5 6" xfId="27237" xr:uid="{4978E45B-D433-44EB-B724-FF59AD702626}"/>
    <cellStyle name="Normal 9 2 3 2 6" xfId="2231" xr:uid="{00000000-0005-0000-0000-00002E1F0000}"/>
    <cellStyle name="Normal 9 2 3 2 6 2" xfId="4460" xr:uid="{00000000-0005-0000-0000-00002F1F0000}"/>
    <cellStyle name="Normal 9 2 3 2 6 2 2" xfId="8682" xr:uid="{00000000-0005-0000-0000-0000301F0000}"/>
    <cellStyle name="Normal 9 2 3 2 6 2 2 2" xfId="17132" xr:uid="{8D4D292D-4B23-4EE1-B8C3-88CC7C5C7A5B}"/>
    <cellStyle name="Normal 9 2 3 2 6 2 2 3" xfId="25572" xr:uid="{F1DE10CE-9BDF-4482-95FA-3BDA8C3B0862}"/>
    <cellStyle name="Normal 9 2 3 2 6 2 2 4" xfId="34012" xr:uid="{00B1C4AB-47AC-4947-8D46-2C789D997C00}"/>
    <cellStyle name="Normal 9 2 3 2 6 2 3" xfId="12914" xr:uid="{D258C145-9E65-4CD0-A854-4FAAC257E843}"/>
    <cellStyle name="Normal 9 2 3 2 6 2 4" xfId="21355" xr:uid="{9B50EBD6-86BB-447B-81B8-722CEE1D61CC}"/>
    <cellStyle name="Normal 9 2 3 2 6 2 5" xfId="29795" xr:uid="{814FC1A1-9A68-4B3D-8058-8640CA021906}"/>
    <cellStyle name="Normal 9 2 3 2 6 3" xfId="6537" xr:uid="{00000000-0005-0000-0000-0000311F0000}"/>
    <cellStyle name="Normal 9 2 3 2 6 3 2" xfId="14987" xr:uid="{25030979-8AE3-4911-A062-D061979D7F37}"/>
    <cellStyle name="Normal 9 2 3 2 6 3 3" xfId="23427" xr:uid="{D9F31288-8FBE-4777-AACB-5796B83E3C0B}"/>
    <cellStyle name="Normal 9 2 3 2 6 3 4" xfId="31867" xr:uid="{A9AB58F2-02BE-4B58-88F0-829DBD1579AD}"/>
    <cellStyle name="Normal 9 2 3 2 6 4" xfId="10769" xr:uid="{E448BA12-F024-4CA8-A50F-023B8C9AD7B1}"/>
    <cellStyle name="Normal 9 2 3 2 6 5" xfId="19210" xr:uid="{1DDDD377-0F39-4390-A7F0-BC7AC3B6F5D9}"/>
    <cellStyle name="Normal 9 2 3 2 6 6" xfId="27650" xr:uid="{94E90FA2-F6D8-4F18-A275-433EDEBABF8E}"/>
    <cellStyle name="Normal 9 2 3 2 7" xfId="2667" xr:uid="{00000000-0005-0000-0000-0000321F0000}"/>
    <cellStyle name="Normal 9 2 3 2 7 2" xfId="6950" xr:uid="{00000000-0005-0000-0000-0000331F0000}"/>
    <cellStyle name="Normal 9 2 3 2 7 2 2" xfId="15400" xr:uid="{89126B43-58F8-4C2B-94A4-51FCB7DE0ACE}"/>
    <cellStyle name="Normal 9 2 3 2 7 2 3" xfId="23840" xr:uid="{98FD8AF5-1B28-4E80-ACBC-BA7D85B98E13}"/>
    <cellStyle name="Normal 9 2 3 2 7 2 4" xfId="32280" xr:uid="{5FC3BF78-9D36-4157-B985-4B0A3F11E690}"/>
    <cellStyle name="Normal 9 2 3 2 7 3" xfId="11182" xr:uid="{57D423B6-6355-4CAA-8809-97ABC76A35A8}"/>
    <cellStyle name="Normal 9 2 3 2 7 4" xfId="19623" xr:uid="{BA12DA7B-04E8-4775-83DE-EB99F19A60DD}"/>
    <cellStyle name="Normal 9 2 3 2 7 5" xfId="28063" xr:uid="{7CE438FA-CFC5-435D-B8AC-601C2AFA7E3F}"/>
    <cellStyle name="Normal 9 2 3 2 8" xfId="4885" xr:uid="{00000000-0005-0000-0000-0000341F0000}"/>
    <cellStyle name="Normal 9 2 3 2 8 2" xfId="13335" xr:uid="{391A9910-F46F-476C-9B91-410B72807109}"/>
    <cellStyle name="Normal 9 2 3 2 8 3" xfId="21775" xr:uid="{EEE7B01C-8FE7-492E-BC04-D653A14B8807}"/>
    <cellStyle name="Normal 9 2 3 2 8 4" xfId="30215" xr:uid="{D5D9DC50-2F11-4636-829A-FA0B10F06631}"/>
    <cellStyle name="Normal 9 2 3 2 9" xfId="9117" xr:uid="{162AA8EF-4121-4B18-9E62-AD9DA51A969E}"/>
    <cellStyle name="Normal 9 2 3 3" xfId="523" xr:uid="{00000000-0005-0000-0000-0000351F0000}"/>
    <cellStyle name="Normal 9 2 3 3 10" xfId="26000" xr:uid="{DB156DB8-FC2C-413F-B153-7B59A7FA5688}"/>
    <cellStyle name="Normal 9 2 3 3 2" xfId="990" xr:uid="{00000000-0005-0000-0000-0000361F0000}"/>
    <cellStyle name="Normal 9 2 3 3 2 2" xfId="3223" xr:uid="{00000000-0005-0000-0000-0000371F0000}"/>
    <cellStyle name="Normal 9 2 3 3 2 2 2" xfId="7445" xr:uid="{00000000-0005-0000-0000-0000381F0000}"/>
    <cellStyle name="Normal 9 2 3 3 2 2 2 2" xfId="15895" xr:uid="{FCE9A860-E065-47B7-B8D6-105166F529A8}"/>
    <cellStyle name="Normal 9 2 3 3 2 2 2 3" xfId="24335" xr:uid="{BEA4D5C5-6A67-4C9D-B052-9086E698C23A}"/>
    <cellStyle name="Normal 9 2 3 3 2 2 2 4" xfId="32775" xr:uid="{C4C77E31-07E3-4D4F-AA43-6B24E8BB7CA5}"/>
    <cellStyle name="Normal 9 2 3 3 2 2 3" xfId="11677" xr:uid="{CDCFA722-8A93-4EA7-9DE0-413DA368B4DA}"/>
    <cellStyle name="Normal 9 2 3 3 2 2 4" xfId="20118" xr:uid="{AEB6E10C-15B6-4F6D-9B38-C8B9AB0E035A}"/>
    <cellStyle name="Normal 9 2 3 3 2 2 5" xfId="28558" xr:uid="{1500EFC8-6C75-4C97-B794-8B295E30B9DA}"/>
    <cellStyle name="Normal 9 2 3 3 2 3" xfId="5300" xr:uid="{00000000-0005-0000-0000-0000391F0000}"/>
    <cellStyle name="Normal 9 2 3 3 2 3 2" xfId="13750" xr:uid="{786B956D-3B80-44C3-9409-2906C744FC4A}"/>
    <cellStyle name="Normal 9 2 3 3 2 3 3" xfId="22190" xr:uid="{165A9D79-331F-44DC-9F6F-96AD1413F468}"/>
    <cellStyle name="Normal 9 2 3 3 2 3 4" xfId="30630" xr:uid="{51B9F36E-2A2B-4FDC-805F-1ED8103FE12C}"/>
    <cellStyle name="Normal 9 2 3 3 2 4" xfId="9532" xr:uid="{051E3409-E31B-41BF-8E63-59A3983054BB}"/>
    <cellStyle name="Normal 9 2 3 3 2 5" xfId="17973" xr:uid="{C2EF3C32-95DB-40CE-9904-ED73A7C2F8CE}"/>
    <cellStyle name="Normal 9 2 3 3 2 6" xfId="26413" xr:uid="{63FCB3CC-18C0-451F-A63A-1E97F6EFC0F4}"/>
    <cellStyle name="Normal 9 2 3 3 3" xfId="1406" xr:uid="{00000000-0005-0000-0000-00003A1F0000}"/>
    <cellStyle name="Normal 9 2 3 3 3 2" xfId="3636" xr:uid="{00000000-0005-0000-0000-00003B1F0000}"/>
    <cellStyle name="Normal 9 2 3 3 3 2 2" xfId="7858" xr:uid="{00000000-0005-0000-0000-00003C1F0000}"/>
    <cellStyle name="Normal 9 2 3 3 3 2 2 2" xfId="16308" xr:uid="{E85DF8C1-D025-4D8A-9DE5-526C661DC27C}"/>
    <cellStyle name="Normal 9 2 3 3 3 2 2 3" xfId="24748" xr:uid="{351C7538-F7F3-473B-AD31-53BB2BF115DB}"/>
    <cellStyle name="Normal 9 2 3 3 3 2 2 4" xfId="33188" xr:uid="{8FA2713F-CBEE-4CE0-9412-47FC22BE1719}"/>
    <cellStyle name="Normal 9 2 3 3 3 2 3" xfId="12090" xr:uid="{802C9159-B852-4ECE-82E4-D394187677BC}"/>
    <cellStyle name="Normal 9 2 3 3 3 2 4" xfId="20531" xr:uid="{6475676B-DFAF-4488-A813-8DC3492F6BA7}"/>
    <cellStyle name="Normal 9 2 3 3 3 2 5" xfId="28971" xr:uid="{5CDBBA77-AD77-4303-8CF7-668C673961B7}"/>
    <cellStyle name="Normal 9 2 3 3 3 3" xfId="5713" xr:uid="{00000000-0005-0000-0000-00003D1F0000}"/>
    <cellStyle name="Normal 9 2 3 3 3 3 2" xfId="14163" xr:uid="{455D7308-140F-473D-AA78-A481CA5D6EB6}"/>
    <cellStyle name="Normal 9 2 3 3 3 3 3" xfId="22603" xr:uid="{0A74A61E-E3F5-4999-A65C-7123CA64E3C2}"/>
    <cellStyle name="Normal 9 2 3 3 3 3 4" xfId="31043" xr:uid="{3453BE5E-3FE5-4558-9CA5-FD16DDBBD1DA}"/>
    <cellStyle name="Normal 9 2 3 3 3 4" xfId="9945" xr:uid="{268CEE00-C84C-4A22-82D8-E9DA39A9FEBE}"/>
    <cellStyle name="Normal 9 2 3 3 3 5" xfId="18386" xr:uid="{7A38018F-CEA4-49AB-BA6D-F10BA17E0BAF}"/>
    <cellStyle name="Normal 9 2 3 3 3 6" xfId="26826" xr:uid="{FFAA5ACA-31A6-4114-A820-0ABB8CCD1E96}"/>
    <cellStyle name="Normal 9 2 3 3 4" xfId="1819" xr:uid="{00000000-0005-0000-0000-00003E1F0000}"/>
    <cellStyle name="Normal 9 2 3 3 4 2" xfId="4049" xr:uid="{00000000-0005-0000-0000-00003F1F0000}"/>
    <cellStyle name="Normal 9 2 3 3 4 2 2" xfId="8271" xr:uid="{00000000-0005-0000-0000-0000401F0000}"/>
    <cellStyle name="Normal 9 2 3 3 4 2 2 2" xfId="16721" xr:uid="{F0BBB3AC-7C13-4FF9-8DEE-AAD24AFA583F}"/>
    <cellStyle name="Normal 9 2 3 3 4 2 2 3" xfId="25161" xr:uid="{0900FB2C-1391-4B9D-B1E8-ECC1FA0DF16F}"/>
    <cellStyle name="Normal 9 2 3 3 4 2 2 4" xfId="33601" xr:uid="{8EFAEE1D-00F1-4C06-BFBB-BD4784179E6E}"/>
    <cellStyle name="Normal 9 2 3 3 4 2 3" xfId="12503" xr:uid="{03B27D29-FF33-499E-8925-C527FF84FA84}"/>
    <cellStyle name="Normal 9 2 3 3 4 2 4" xfId="20944" xr:uid="{7C1C3DED-6EB2-4AAB-9EE9-B87F1C3FE4B5}"/>
    <cellStyle name="Normal 9 2 3 3 4 2 5" xfId="29384" xr:uid="{1C14178F-8379-4594-B4B7-F3435FC2A0A4}"/>
    <cellStyle name="Normal 9 2 3 3 4 3" xfId="6126" xr:uid="{00000000-0005-0000-0000-0000411F0000}"/>
    <cellStyle name="Normal 9 2 3 3 4 3 2" xfId="14576" xr:uid="{2C347691-1AE3-493F-979B-FF5B27D37856}"/>
    <cellStyle name="Normal 9 2 3 3 4 3 3" xfId="23016" xr:uid="{2924265E-FF98-4D39-982F-3818FB03D51C}"/>
    <cellStyle name="Normal 9 2 3 3 4 3 4" xfId="31456" xr:uid="{1F4F3747-146C-4FCA-98A8-5E4B4196D0D9}"/>
    <cellStyle name="Normal 9 2 3 3 4 4" xfId="10358" xr:uid="{9C501460-AEEA-4ED7-A6CF-D4E585EDB9AD}"/>
    <cellStyle name="Normal 9 2 3 3 4 5" xfId="18799" xr:uid="{CBD550B0-80B8-4151-98D8-C795DF951161}"/>
    <cellStyle name="Normal 9 2 3 3 4 6" xfId="27239" xr:uid="{F17E86ED-001E-45C2-A40E-F67696159070}"/>
    <cellStyle name="Normal 9 2 3 3 5" xfId="2233" xr:uid="{00000000-0005-0000-0000-0000421F0000}"/>
    <cellStyle name="Normal 9 2 3 3 5 2" xfId="4462" xr:uid="{00000000-0005-0000-0000-0000431F0000}"/>
    <cellStyle name="Normal 9 2 3 3 5 2 2" xfId="8684" xr:uid="{00000000-0005-0000-0000-0000441F0000}"/>
    <cellStyle name="Normal 9 2 3 3 5 2 2 2" xfId="17134" xr:uid="{D2E9E7A8-48F9-4566-9448-A7D709DAF44B}"/>
    <cellStyle name="Normal 9 2 3 3 5 2 2 3" xfId="25574" xr:uid="{1AE052E2-BFB3-44CC-B6CF-668E921D1B55}"/>
    <cellStyle name="Normal 9 2 3 3 5 2 2 4" xfId="34014" xr:uid="{8AC32E71-5978-44D6-85A4-E42FCC31387C}"/>
    <cellStyle name="Normal 9 2 3 3 5 2 3" xfId="12916" xr:uid="{8E1E952C-DEDB-46EA-9A02-62938DC376F1}"/>
    <cellStyle name="Normal 9 2 3 3 5 2 4" xfId="21357" xr:uid="{EF068D4C-8EA3-4F04-A629-F723E737917E}"/>
    <cellStyle name="Normal 9 2 3 3 5 2 5" xfId="29797" xr:uid="{173D4272-18A7-4D1E-AF00-0E11A002ED48}"/>
    <cellStyle name="Normal 9 2 3 3 5 3" xfId="6539" xr:uid="{00000000-0005-0000-0000-0000451F0000}"/>
    <cellStyle name="Normal 9 2 3 3 5 3 2" xfId="14989" xr:uid="{6ECD079E-6618-47DD-AEF1-876ED51A8964}"/>
    <cellStyle name="Normal 9 2 3 3 5 3 3" xfId="23429" xr:uid="{2E6F2EEB-8F55-4ABA-8C58-8FB90037262F}"/>
    <cellStyle name="Normal 9 2 3 3 5 3 4" xfId="31869" xr:uid="{0AC32E9F-6EBA-4DB4-954E-44BD10FD993D}"/>
    <cellStyle name="Normal 9 2 3 3 5 4" xfId="10771" xr:uid="{4BAAC1E4-8396-4B18-BA47-EA63AB0A520E}"/>
    <cellStyle name="Normal 9 2 3 3 5 5" xfId="19212" xr:uid="{D737F151-9790-45A1-93A9-5467359E7B1A}"/>
    <cellStyle name="Normal 9 2 3 3 5 6" xfId="27652" xr:uid="{CF7C0F43-2373-412A-90B8-09C18FDE12F1}"/>
    <cellStyle name="Normal 9 2 3 3 6" xfId="2669" xr:uid="{00000000-0005-0000-0000-0000461F0000}"/>
    <cellStyle name="Normal 9 2 3 3 6 2" xfId="6952" xr:uid="{00000000-0005-0000-0000-0000471F0000}"/>
    <cellStyle name="Normal 9 2 3 3 6 2 2" xfId="15402" xr:uid="{B21EAA78-52AF-4ABF-9779-6A18E29B23E8}"/>
    <cellStyle name="Normal 9 2 3 3 6 2 3" xfId="23842" xr:uid="{C52DB108-F6C2-4076-BBF6-0F6C77159BDA}"/>
    <cellStyle name="Normal 9 2 3 3 6 2 4" xfId="32282" xr:uid="{0FEFE588-B45A-409F-A1BD-C282367D859A}"/>
    <cellStyle name="Normal 9 2 3 3 6 3" xfId="11184" xr:uid="{5628BD69-511C-422D-9B39-9B475E1ABD6B}"/>
    <cellStyle name="Normal 9 2 3 3 6 4" xfId="19625" xr:uid="{BAD87593-81B4-446B-9987-84726994A0C3}"/>
    <cellStyle name="Normal 9 2 3 3 6 5" xfId="28065" xr:uid="{275A6828-DE2A-442E-8522-97D86EC0FD95}"/>
    <cellStyle name="Normal 9 2 3 3 7" xfId="4887" xr:uid="{00000000-0005-0000-0000-0000481F0000}"/>
    <cellStyle name="Normal 9 2 3 3 7 2" xfId="13337" xr:uid="{65865381-6A4A-4044-B90A-2992F4240754}"/>
    <cellStyle name="Normal 9 2 3 3 7 3" xfId="21777" xr:uid="{70B48630-2A2C-4B43-A6AA-05238A5FAA70}"/>
    <cellStyle name="Normal 9 2 3 3 7 4" xfId="30217" xr:uid="{9CB65711-C247-48E0-BD03-E12F648C455D}"/>
    <cellStyle name="Normal 9 2 3 3 8" xfId="9119" xr:uid="{BF3FF084-94A8-40A5-9549-D6CFF92103AA}"/>
    <cellStyle name="Normal 9 2 3 3 9" xfId="17560" xr:uid="{1E69099D-3CE5-4557-A276-F5AEAC27D6C2}"/>
    <cellStyle name="Normal 9 2 3 4" xfId="987" xr:uid="{00000000-0005-0000-0000-0000491F0000}"/>
    <cellStyle name="Normal 9 2 3 4 2" xfId="3220" xr:uid="{00000000-0005-0000-0000-00004A1F0000}"/>
    <cellStyle name="Normal 9 2 3 4 2 2" xfId="7442" xr:uid="{00000000-0005-0000-0000-00004B1F0000}"/>
    <cellStyle name="Normal 9 2 3 4 2 2 2" xfId="15892" xr:uid="{3E85C96B-DC86-483E-B068-2846E91353B0}"/>
    <cellStyle name="Normal 9 2 3 4 2 2 3" xfId="24332" xr:uid="{FB1F5D53-1FC6-4B88-A64A-DB5D0B05CC02}"/>
    <cellStyle name="Normal 9 2 3 4 2 2 4" xfId="32772" xr:uid="{BD3A2741-2B83-46B2-BBA9-589D492200E1}"/>
    <cellStyle name="Normal 9 2 3 4 2 3" xfId="11674" xr:uid="{AC7E3F39-0E49-4C74-AB80-EF7B2DEF4AED}"/>
    <cellStyle name="Normal 9 2 3 4 2 4" xfId="20115" xr:uid="{0E8E4703-E53F-41B0-A138-C8F29B458914}"/>
    <cellStyle name="Normal 9 2 3 4 2 5" xfId="28555" xr:uid="{C2C2404E-75C6-441E-B770-8B15498FBCD8}"/>
    <cellStyle name="Normal 9 2 3 4 3" xfId="5297" xr:uid="{00000000-0005-0000-0000-00004C1F0000}"/>
    <cellStyle name="Normal 9 2 3 4 3 2" xfId="13747" xr:uid="{536B4C7F-096D-4A7D-8698-FF2B9448731C}"/>
    <cellStyle name="Normal 9 2 3 4 3 3" xfId="22187" xr:uid="{C42E1948-CBCE-49EA-931E-E2AA5B444F6A}"/>
    <cellStyle name="Normal 9 2 3 4 3 4" xfId="30627" xr:uid="{AE334795-2EBE-4862-AF13-29A0012AA029}"/>
    <cellStyle name="Normal 9 2 3 4 4" xfId="9529" xr:uid="{36509B68-0115-4EA9-B537-5DB6743F15F5}"/>
    <cellStyle name="Normal 9 2 3 4 5" xfId="17970" xr:uid="{76F37553-FFB7-47D3-ABA0-42C00D2CFEA0}"/>
    <cellStyle name="Normal 9 2 3 4 6" xfId="26410" xr:uid="{66E8D793-A3CC-4B25-B475-1422013CBBD7}"/>
    <cellStyle name="Normal 9 2 3 5" xfId="1403" xr:uid="{00000000-0005-0000-0000-00004D1F0000}"/>
    <cellStyle name="Normal 9 2 3 5 2" xfId="3633" xr:uid="{00000000-0005-0000-0000-00004E1F0000}"/>
    <cellStyle name="Normal 9 2 3 5 2 2" xfId="7855" xr:uid="{00000000-0005-0000-0000-00004F1F0000}"/>
    <cellStyle name="Normal 9 2 3 5 2 2 2" xfId="16305" xr:uid="{8E233DDF-FF3F-486C-A1BE-6169F6756625}"/>
    <cellStyle name="Normal 9 2 3 5 2 2 3" xfId="24745" xr:uid="{AC29C6AC-23DC-4619-820D-BC1DE53C1BFF}"/>
    <cellStyle name="Normal 9 2 3 5 2 2 4" xfId="33185" xr:uid="{DB3E4EF4-9037-4B6B-927A-4E0AC48DDF08}"/>
    <cellStyle name="Normal 9 2 3 5 2 3" xfId="12087" xr:uid="{04D168F4-2CA2-4DFE-A336-BA46841257AF}"/>
    <cellStyle name="Normal 9 2 3 5 2 4" xfId="20528" xr:uid="{A8D15328-94C6-4F06-848B-C1AE37C54F1D}"/>
    <cellStyle name="Normal 9 2 3 5 2 5" xfId="28968" xr:uid="{8C18881F-854A-472B-9C27-64E4A6FA1AF2}"/>
    <cellStyle name="Normal 9 2 3 5 3" xfId="5710" xr:uid="{00000000-0005-0000-0000-0000501F0000}"/>
    <cellStyle name="Normal 9 2 3 5 3 2" xfId="14160" xr:uid="{E4EF6823-C27B-4B01-B99C-91D65AE1A8EE}"/>
    <cellStyle name="Normal 9 2 3 5 3 3" xfId="22600" xr:uid="{89A3211C-840B-4DEC-B9AF-D923E4D9B063}"/>
    <cellStyle name="Normal 9 2 3 5 3 4" xfId="31040" xr:uid="{4F501FF5-9DAB-4416-9D5D-595382C21F34}"/>
    <cellStyle name="Normal 9 2 3 5 4" xfId="9942" xr:uid="{BF0CC9DA-C955-4F36-89D0-2B05C44F964B}"/>
    <cellStyle name="Normal 9 2 3 5 5" xfId="18383" xr:uid="{17F13E68-2FAE-4D04-978A-630A2A5FFFC0}"/>
    <cellStyle name="Normal 9 2 3 5 6" xfId="26823" xr:uid="{27E58FEE-92F8-41C4-9DED-9F767F838EB7}"/>
    <cellStyle name="Normal 9 2 3 6" xfId="1816" xr:uid="{00000000-0005-0000-0000-0000511F0000}"/>
    <cellStyle name="Normal 9 2 3 6 2" xfId="4046" xr:uid="{00000000-0005-0000-0000-0000521F0000}"/>
    <cellStyle name="Normal 9 2 3 6 2 2" xfId="8268" xr:uid="{00000000-0005-0000-0000-0000531F0000}"/>
    <cellStyle name="Normal 9 2 3 6 2 2 2" xfId="16718" xr:uid="{A1C48E00-3C69-4B9D-B484-03E03D0A06D0}"/>
    <cellStyle name="Normal 9 2 3 6 2 2 3" xfId="25158" xr:uid="{48B25422-E00C-48F4-A3EB-5FBC751A8AEA}"/>
    <cellStyle name="Normal 9 2 3 6 2 2 4" xfId="33598" xr:uid="{03D345D3-0CDB-4779-8184-16801C30E80B}"/>
    <cellStyle name="Normal 9 2 3 6 2 3" xfId="12500" xr:uid="{A7B0931C-B695-4744-9FFA-83C1E19E03C3}"/>
    <cellStyle name="Normal 9 2 3 6 2 4" xfId="20941" xr:uid="{538D9C45-777C-4976-8570-D6AB17CF6531}"/>
    <cellStyle name="Normal 9 2 3 6 2 5" xfId="29381" xr:uid="{1419E10B-F810-4D5A-829C-A4134E29308A}"/>
    <cellStyle name="Normal 9 2 3 6 3" xfId="6123" xr:uid="{00000000-0005-0000-0000-0000541F0000}"/>
    <cellStyle name="Normal 9 2 3 6 3 2" xfId="14573" xr:uid="{642E7692-B0C1-4083-91F5-ECFA05CE00A6}"/>
    <cellStyle name="Normal 9 2 3 6 3 3" xfId="23013" xr:uid="{1F7F52CC-AF2F-4734-9258-E95422196220}"/>
    <cellStyle name="Normal 9 2 3 6 3 4" xfId="31453" xr:uid="{A0D93C7E-2430-4D64-9236-A0E47BFB4F7B}"/>
    <cellStyle name="Normal 9 2 3 6 4" xfId="10355" xr:uid="{4773F315-1C22-4622-9D0E-0D12534D8060}"/>
    <cellStyle name="Normal 9 2 3 6 5" xfId="18796" xr:uid="{9842CEBC-67B0-42CB-A812-031F613C3D2A}"/>
    <cellStyle name="Normal 9 2 3 6 6" xfId="27236" xr:uid="{25C1E9CD-88A4-4725-B0A0-380691DE474A}"/>
    <cellStyle name="Normal 9 2 3 7" xfId="2230" xr:uid="{00000000-0005-0000-0000-0000551F0000}"/>
    <cellStyle name="Normal 9 2 3 7 2" xfId="4459" xr:uid="{00000000-0005-0000-0000-0000561F0000}"/>
    <cellStyle name="Normal 9 2 3 7 2 2" xfId="8681" xr:uid="{00000000-0005-0000-0000-0000571F0000}"/>
    <cellStyle name="Normal 9 2 3 7 2 2 2" xfId="17131" xr:uid="{51C29BBF-7022-43A7-ADB0-33DEB5693007}"/>
    <cellStyle name="Normal 9 2 3 7 2 2 3" xfId="25571" xr:uid="{D319BF0D-51F9-4541-BEAE-71F6B032A4C1}"/>
    <cellStyle name="Normal 9 2 3 7 2 2 4" xfId="34011" xr:uid="{84FE651F-EDC6-4DED-95D1-857B5A97B5A5}"/>
    <cellStyle name="Normal 9 2 3 7 2 3" xfId="12913" xr:uid="{A21A0EE7-0BA6-4744-936B-555B2F48136B}"/>
    <cellStyle name="Normal 9 2 3 7 2 4" xfId="21354" xr:uid="{8EC88CD6-32A5-4DA4-92B6-385F8A839671}"/>
    <cellStyle name="Normal 9 2 3 7 2 5" xfId="29794" xr:uid="{F29448D5-2B8C-4A51-B761-E1DDAC2A78D1}"/>
    <cellStyle name="Normal 9 2 3 7 3" xfId="6536" xr:uid="{00000000-0005-0000-0000-0000581F0000}"/>
    <cellStyle name="Normal 9 2 3 7 3 2" xfId="14986" xr:uid="{02D7FC04-3214-47EE-93AB-22F7CCC5EF3B}"/>
    <cellStyle name="Normal 9 2 3 7 3 3" xfId="23426" xr:uid="{33EFD9CC-D02A-45EB-9159-CCDC15BAB482}"/>
    <cellStyle name="Normal 9 2 3 7 3 4" xfId="31866" xr:uid="{613FCFB5-37D7-4448-B751-C2F3C0EA4E37}"/>
    <cellStyle name="Normal 9 2 3 7 4" xfId="10768" xr:uid="{02F471C0-CF13-43A6-9EB1-563D17387ADA}"/>
    <cellStyle name="Normal 9 2 3 7 5" xfId="19209" xr:uid="{2385BC68-0BF0-43DB-B32C-5399CAD1C3F7}"/>
    <cellStyle name="Normal 9 2 3 7 6" xfId="27649" xr:uid="{F53CB2A7-B62E-49AB-96A3-50D96E7B6206}"/>
    <cellStyle name="Normal 9 2 3 8" xfId="2666" xr:uid="{00000000-0005-0000-0000-0000591F0000}"/>
    <cellStyle name="Normal 9 2 3 8 2" xfId="6949" xr:uid="{00000000-0005-0000-0000-00005A1F0000}"/>
    <cellStyle name="Normal 9 2 3 8 2 2" xfId="15399" xr:uid="{55576189-2404-4420-B851-1AC35AEA7AE5}"/>
    <cellStyle name="Normal 9 2 3 8 2 3" xfId="23839" xr:uid="{2FB8E7E7-3EBA-4A9E-AFED-C3F6939A3E6B}"/>
    <cellStyle name="Normal 9 2 3 8 2 4" xfId="32279" xr:uid="{451C0D2A-6365-410A-BA1F-C5A37F14D05C}"/>
    <cellStyle name="Normal 9 2 3 8 3" xfId="11181" xr:uid="{654F065F-E0F7-45F0-B4E4-90C3B537E860}"/>
    <cellStyle name="Normal 9 2 3 8 4" xfId="19622" xr:uid="{EF70EF1C-1714-42AB-BDDD-010B3549C1A6}"/>
    <cellStyle name="Normal 9 2 3 8 5" xfId="28062" xr:uid="{A4B2069C-2253-416B-A389-182E89E002DE}"/>
    <cellStyle name="Normal 9 2 3 9" xfId="4884" xr:uid="{00000000-0005-0000-0000-00005B1F0000}"/>
    <cellStyle name="Normal 9 2 3 9 2" xfId="13334" xr:uid="{5E6828D1-B63B-44C8-A505-AF1B26B62F72}"/>
    <cellStyle name="Normal 9 2 3 9 3" xfId="21774" xr:uid="{A0C18517-D313-4D0A-882F-76934F24C70B}"/>
    <cellStyle name="Normal 9 2 3 9 4" xfId="30214" xr:uid="{0077B3A8-DC65-48E9-8BC0-0683155F0DC7}"/>
    <cellStyle name="Normal 9 2 4" xfId="524" xr:uid="{00000000-0005-0000-0000-00005C1F0000}"/>
    <cellStyle name="Normal 9 2 4 10" xfId="17561" xr:uid="{929A6EF6-417F-4600-ABE9-8A0EE1D02336}"/>
    <cellStyle name="Normal 9 2 4 11" xfId="26001" xr:uid="{AF5920A6-A406-43ED-B37E-D8F90DA57DB8}"/>
    <cellStyle name="Normal 9 2 4 2" xfId="525" xr:uid="{00000000-0005-0000-0000-00005D1F0000}"/>
    <cellStyle name="Normal 9 2 4 2 10" xfId="26002" xr:uid="{61BEDEB1-36D6-4D45-826F-68E9A1459FEB}"/>
    <cellStyle name="Normal 9 2 4 2 2" xfId="992" xr:uid="{00000000-0005-0000-0000-00005E1F0000}"/>
    <cellStyle name="Normal 9 2 4 2 2 2" xfId="3225" xr:uid="{00000000-0005-0000-0000-00005F1F0000}"/>
    <cellStyle name="Normal 9 2 4 2 2 2 2" xfId="7447" xr:uid="{00000000-0005-0000-0000-0000601F0000}"/>
    <cellStyle name="Normal 9 2 4 2 2 2 2 2" xfId="15897" xr:uid="{4CB5CCD7-4739-4DA4-8883-AFA331953A86}"/>
    <cellStyle name="Normal 9 2 4 2 2 2 2 3" xfId="24337" xr:uid="{0C2D3C24-EACB-4A5B-AEC4-B23AAD2CF7D4}"/>
    <cellStyle name="Normal 9 2 4 2 2 2 2 4" xfId="32777" xr:uid="{6998D072-242F-4C4C-8012-C358BE5BE5C9}"/>
    <cellStyle name="Normal 9 2 4 2 2 2 3" xfId="11679" xr:uid="{27EB0117-46C2-4AC4-BF13-9BD0594C0F6A}"/>
    <cellStyle name="Normal 9 2 4 2 2 2 4" xfId="20120" xr:uid="{14272849-3E77-4088-8939-FAB5B57D98D4}"/>
    <cellStyle name="Normal 9 2 4 2 2 2 5" xfId="28560" xr:uid="{24B8B793-3A7A-4C58-8C8B-1E0C6BD751C9}"/>
    <cellStyle name="Normal 9 2 4 2 2 3" xfId="5302" xr:uid="{00000000-0005-0000-0000-0000611F0000}"/>
    <cellStyle name="Normal 9 2 4 2 2 3 2" xfId="13752" xr:uid="{E8C4766A-C586-41A3-86D5-E44A8AC38667}"/>
    <cellStyle name="Normal 9 2 4 2 2 3 3" xfId="22192" xr:uid="{DDDFC39B-51B5-4A06-8A7C-AD834107143E}"/>
    <cellStyle name="Normal 9 2 4 2 2 3 4" xfId="30632" xr:uid="{AC83FF73-2888-4433-A575-E33516E08D0E}"/>
    <cellStyle name="Normal 9 2 4 2 2 4" xfId="9534" xr:uid="{7DFB9B97-4266-4EF3-81BE-ABD460B16FFA}"/>
    <cellStyle name="Normal 9 2 4 2 2 5" xfId="17975" xr:uid="{F131B2FA-A0ED-4E63-B33F-86CD6E090DC5}"/>
    <cellStyle name="Normal 9 2 4 2 2 6" xfId="26415" xr:uid="{A4A56864-5ECC-4492-89DA-E11DCF9A6EAF}"/>
    <cellStyle name="Normal 9 2 4 2 3" xfId="1408" xr:uid="{00000000-0005-0000-0000-0000621F0000}"/>
    <cellStyle name="Normal 9 2 4 2 3 2" xfId="3638" xr:uid="{00000000-0005-0000-0000-0000631F0000}"/>
    <cellStyle name="Normal 9 2 4 2 3 2 2" xfId="7860" xr:uid="{00000000-0005-0000-0000-0000641F0000}"/>
    <cellStyle name="Normal 9 2 4 2 3 2 2 2" xfId="16310" xr:uid="{34BE050D-0704-4BE2-8BCC-EAD839AF526B}"/>
    <cellStyle name="Normal 9 2 4 2 3 2 2 3" xfId="24750" xr:uid="{139DE87F-20F3-4603-BA14-A9545A48AA41}"/>
    <cellStyle name="Normal 9 2 4 2 3 2 2 4" xfId="33190" xr:uid="{709E580B-75EA-4278-9FB7-90190F819DBD}"/>
    <cellStyle name="Normal 9 2 4 2 3 2 3" xfId="12092" xr:uid="{026BA274-BC5D-4FE9-A947-DD1B2DFBCB6C}"/>
    <cellStyle name="Normal 9 2 4 2 3 2 4" xfId="20533" xr:uid="{DA26BD71-49B6-4E72-94EF-5EBB51DF9CAB}"/>
    <cellStyle name="Normal 9 2 4 2 3 2 5" xfId="28973" xr:uid="{0302E7EC-583E-4385-96D4-94178DE17460}"/>
    <cellStyle name="Normal 9 2 4 2 3 3" xfId="5715" xr:uid="{00000000-0005-0000-0000-0000651F0000}"/>
    <cellStyle name="Normal 9 2 4 2 3 3 2" xfId="14165" xr:uid="{F7C81762-AC2D-4644-8B9E-6A6AABF841FE}"/>
    <cellStyle name="Normal 9 2 4 2 3 3 3" xfId="22605" xr:uid="{F9CDCECA-85D2-47C8-87B4-EBBFFE9A3BFC}"/>
    <cellStyle name="Normal 9 2 4 2 3 3 4" xfId="31045" xr:uid="{BF2E3010-15D1-4F2F-AAF1-5147008D9387}"/>
    <cellStyle name="Normal 9 2 4 2 3 4" xfId="9947" xr:uid="{CF4B174D-EAFC-4262-8262-A59BCD1DA9D4}"/>
    <cellStyle name="Normal 9 2 4 2 3 5" xfId="18388" xr:uid="{7924AC3A-9A4B-450C-A2B3-BC61D8F472CD}"/>
    <cellStyle name="Normal 9 2 4 2 3 6" xfId="26828" xr:uid="{7F5E7625-48C4-4EDD-92BA-48F615F75EB2}"/>
    <cellStyle name="Normal 9 2 4 2 4" xfId="1821" xr:uid="{00000000-0005-0000-0000-0000661F0000}"/>
    <cellStyle name="Normal 9 2 4 2 4 2" xfId="4051" xr:uid="{00000000-0005-0000-0000-0000671F0000}"/>
    <cellStyle name="Normal 9 2 4 2 4 2 2" xfId="8273" xr:uid="{00000000-0005-0000-0000-0000681F0000}"/>
    <cellStyle name="Normal 9 2 4 2 4 2 2 2" xfId="16723" xr:uid="{CEEAC38E-C4F0-4BC9-A87B-1F1072666664}"/>
    <cellStyle name="Normal 9 2 4 2 4 2 2 3" xfId="25163" xr:uid="{A69424F1-57B8-4C22-8381-B08876406FAD}"/>
    <cellStyle name="Normal 9 2 4 2 4 2 2 4" xfId="33603" xr:uid="{F9C9B8AF-9B24-4068-9A88-927B4B3E5F56}"/>
    <cellStyle name="Normal 9 2 4 2 4 2 3" xfId="12505" xr:uid="{BFFA1180-7780-47E3-B0F7-4BAFDEB7EA3B}"/>
    <cellStyle name="Normal 9 2 4 2 4 2 4" xfId="20946" xr:uid="{C45AC690-BBE7-44DD-A469-A392118E748E}"/>
    <cellStyle name="Normal 9 2 4 2 4 2 5" xfId="29386" xr:uid="{EEC29B5C-EA3E-4EBD-A39C-F46A8F02432E}"/>
    <cellStyle name="Normal 9 2 4 2 4 3" xfId="6128" xr:uid="{00000000-0005-0000-0000-0000691F0000}"/>
    <cellStyle name="Normal 9 2 4 2 4 3 2" xfId="14578" xr:uid="{6695882C-A6FC-4B03-A8D9-79A9D489ABCF}"/>
    <cellStyle name="Normal 9 2 4 2 4 3 3" xfId="23018" xr:uid="{FA435DCB-A6EF-4398-A33F-3DDE2619E3EF}"/>
    <cellStyle name="Normal 9 2 4 2 4 3 4" xfId="31458" xr:uid="{D90D1D9E-9776-4EB9-B25A-8C8C891CA9D7}"/>
    <cellStyle name="Normal 9 2 4 2 4 4" xfId="10360" xr:uid="{3DBCC8D4-D0CD-4E84-A369-3612472B0586}"/>
    <cellStyle name="Normal 9 2 4 2 4 5" xfId="18801" xr:uid="{50B23567-68C0-43F3-BF69-1A1CA0F8BFFA}"/>
    <cellStyle name="Normal 9 2 4 2 4 6" xfId="27241" xr:uid="{DA504262-9EEF-4B13-AD4A-674D479DBEDC}"/>
    <cellStyle name="Normal 9 2 4 2 5" xfId="2235" xr:uid="{00000000-0005-0000-0000-00006A1F0000}"/>
    <cellStyle name="Normal 9 2 4 2 5 2" xfId="4464" xr:uid="{00000000-0005-0000-0000-00006B1F0000}"/>
    <cellStyle name="Normal 9 2 4 2 5 2 2" xfId="8686" xr:uid="{00000000-0005-0000-0000-00006C1F0000}"/>
    <cellStyle name="Normal 9 2 4 2 5 2 2 2" xfId="17136" xr:uid="{9830923A-DF03-4911-829B-42D90C7E3885}"/>
    <cellStyle name="Normal 9 2 4 2 5 2 2 3" xfId="25576" xr:uid="{D48D8C34-0466-4644-A4B1-51137C2E7499}"/>
    <cellStyle name="Normal 9 2 4 2 5 2 2 4" xfId="34016" xr:uid="{18ED9769-AAF5-4192-867B-0CE1CB5C9076}"/>
    <cellStyle name="Normal 9 2 4 2 5 2 3" xfId="12918" xr:uid="{30D19864-919D-447B-A724-7FDBCF0F80D2}"/>
    <cellStyle name="Normal 9 2 4 2 5 2 4" xfId="21359" xr:uid="{E5D0D196-26AC-4FE9-9A37-0A27AF47E34F}"/>
    <cellStyle name="Normal 9 2 4 2 5 2 5" xfId="29799" xr:uid="{8126625A-A36C-4FBA-B195-AB41135CFF6E}"/>
    <cellStyle name="Normal 9 2 4 2 5 3" xfId="6541" xr:uid="{00000000-0005-0000-0000-00006D1F0000}"/>
    <cellStyle name="Normal 9 2 4 2 5 3 2" xfId="14991" xr:uid="{8E4153B0-0F45-4D91-936A-AF71203B6C08}"/>
    <cellStyle name="Normal 9 2 4 2 5 3 3" xfId="23431" xr:uid="{9CE76318-50FD-49D8-BF9E-FC4D5113D751}"/>
    <cellStyle name="Normal 9 2 4 2 5 3 4" xfId="31871" xr:uid="{D4569442-29E6-4959-B66D-B631D0764E23}"/>
    <cellStyle name="Normal 9 2 4 2 5 4" xfId="10773" xr:uid="{7E48AFE7-884B-42DE-B3B3-B792EB751A1F}"/>
    <cellStyle name="Normal 9 2 4 2 5 5" xfId="19214" xr:uid="{7651C55C-7202-40AC-9525-5F12C6DB3C34}"/>
    <cellStyle name="Normal 9 2 4 2 5 6" xfId="27654" xr:uid="{E2850DCF-3673-4708-893B-FAE7AD9AD2F5}"/>
    <cellStyle name="Normal 9 2 4 2 6" xfId="2671" xr:uid="{00000000-0005-0000-0000-00006E1F0000}"/>
    <cellStyle name="Normal 9 2 4 2 6 2" xfId="6954" xr:uid="{00000000-0005-0000-0000-00006F1F0000}"/>
    <cellStyle name="Normal 9 2 4 2 6 2 2" xfId="15404" xr:uid="{1E2E2E7D-475E-43E4-8FDF-043DED788275}"/>
    <cellStyle name="Normal 9 2 4 2 6 2 3" xfId="23844" xr:uid="{CFF23A27-7290-4F01-8967-37FA6F9C1168}"/>
    <cellStyle name="Normal 9 2 4 2 6 2 4" xfId="32284" xr:uid="{0B4B412E-EE83-4DC6-9235-1B304A8016FE}"/>
    <cellStyle name="Normal 9 2 4 2 6 3" xfId="11186" xr:uid="{8C658A57-E742-4B9E-A2E3-E46D5F2C5C0F}"/>
    <cellStyle name="Normal 9 2 4 2 6 4" xfId="19627" xr:uid="{631428EA-27EA-4EC1-8A0E-63A10CA237D5}"/>
    <cellStyle name="Normal 9 2 4 2 6 5" xfId="28067" xr:uid="{F23D312D-ABC2-4B58-AC1D-F49DDAF75463}"/>
    <cellStyle name="Normal 9 2 4 2 7" xfId="4889" xr:uid="{00000000-0005-0000-0000-0000701F0000}"/>
    <cellStyle name="Normal 9 2 4 2 7 2" xfId="13339" xr:uid="{60CB76D7-AFEC-4E13-B75F-6EC4F18828BA}"/>
    <cellStyle name="Normal 9 2 4 2 7 3" xfId="21779" xr:uid="{505A7673-E53C-4843-AD3C-84C59CA30947}"/>
    <cellStyle name="Normal 9 2 4 2 7 4" xfId="30219" xr:uid="{D00D51A2-22AE-4BD7-91CF-7CD4BF404C16}"/>
    <cellStyle name="Normal 9 2 4 2 8" xfId="9121" xr:uid="{EAF14D6E-79B1-4C92-BD0F-95BDB8A2084D}"/>
    <cellStyle name="Normal 9 2 4 2 9" xfId="17562" xr:uid="{6EF01565-C083-44E1-9FF3-D287EA7C8CA4}"/>
    <cellStyle name="Normal 9 2 4 3" xfId="991" xr:uid="{00000000-0005-0000-0000-0000711F0000}"/>
    <cellStyle name="Normal 9 2 4 3 2" xfId="3224" xr:uid="{00000000-0005-0000-0000-0000721F0000}"/>
    <cellStyle name="Normal 9 2 4 3 2 2" xfId="7446" xr:uid="{00000000-0005-0000-0000-0000731F0000}"/>
    <cellStyle name="Normal 9 2 4 3 2 2 2" xfId="15896" xr:uid="{832DF136-E7FC-43EE-90B9-473E22695D04}"/>
    <cellStyle name="Normal 9 2 4 3 2 2 3" xfId="24336" xr:uid="{366CA7B4-F810-4C43-A50F-DE215B7082F1}"/>
    <cellStyle name="Normal 9 2 4 3 2 2 4" xfId="32776" xr:uid="{2EDB20A9-9F3C-4BE1-B74D-33EF8B63DECE}"/>
    <cellStyle name="Normal 9 2 4 3 2 3" xfId="11678" xr:uid="{FB9268E7-20E4-47B8-8E17-6BD478BFA38A}"/>
    <cellStyle name="Normal 9 2 4 3 2 4" xfId="20119" xr:uid="{7D0C3845-E1B0-4FD5-82E0-1FCB660A3782}"/>
    <cellStyle name="Normal 9 2 4 3 2 5" xfId="28559" xr:uid="{2127361E-D99D-4E43-A731-E3BD7A0EE526}"/>
    <cellStyle name="Normal 9 2 4 3 3" xfId="5301" xr:uid="{00000000-0005-0000-0000-0000741F0000}"/>
    <cellStyle name="Normal 9 2 4 3 3 2" xfId="13751" xr:uid="{F7F8B65C-6810-4372-94CB-4E93411A5552}"/>
    <cellStyle name="Normal 9 2 4 3 3 3" xfId="22191" xr:uid="{554677A3-DC0F-4940-B481-DB71F2ACF2B8}"/>
    <cellStyle name="Normal 9 2 4 3 3 4" xfId="30631" xr:uid="{D0B041F9-7CF1-4E08-9291-D1EB623BB19B}"/>
    <cellStyle name="Normal 9 2 4 3 4" xfId="9533" xr:uid="{6ACD8A3F-794F-4BA5-B124-7930EB0A9B27}"/>
    <cellStyle name="Normal 9 2 4 3 5" xfId="17974" xr:uid="{3AA8B3FF-D4B0-47F8-BD10-9132E1764FB9}"/>
    <cellStyle name="Normal 9 2 4 3 6" xfId="26414" xr:uid="{07454A2A-BAC1-486E-84A5-8D4C04BA2E41}"/>
    <cellStyle name="Normal 9 2 4 4" xfId="1407" xr:uid="{00000000-0005-0000-0000-0000751F0000}"/>
    <cellStyle name="Normal 9 2 4 4 2" xfId="3637" xr:uid="{00000000-0005-0000-0000-0000761F0000}"/>
    <cellStyle name="Normal 9 2 4 4 2 2" xfId="7859" xr:uid="{00000000-0005-0000-0000-0000771F0000}"/>
    <cellStyle name="Normal 9 2 4 4 2 2 2" xfId="16309" xr:uid="{45C2D596-B549-4BB9-A669-89B7BDCC97CB}"/>
    <cellStyle name="Normal 9 2 4 4 2 2 3" xfId="24749" xr:uid="{290F1B30-8D25-4D24-88DC-2A4377A403CA}"/>
    <cellStyle name="Normal 9 2 4 4 2 2 4" xfId="33189" xr:uid="{5D9A7702-CD58-435C-A741-A1376C7C40B9}"/>
    <cellStyle name="Normal 9 2 4 4 2 3" xfId="12091" xr:uid="{738A13CE-F2C9-44CD-B2D2-8B3B63308591}"/>
    <cellStyle name="Normal 9 2 4 4 2 4" xfId="20532" xr:uid="{5C8D229A-331D-49B9-9F48-B945C7AAE12B}"/>
    <cellStyle name="Normal 9 2 4 4 2 5" xfId="28972" xr:uid="{3CDE2650-1F81-435D-8AE9-708434A24064}"/>
    <cellStyle name="Normal 9 2 4 4 3" xfId="5714" xr:uid="{00000000-0005-0000-0000-0000781F0000}"/>
    <cellStyle name="Normal 9 2 4 4 3 2" xfId="14164" xr:uid="{3EA58B25-692A-4F71-AE8B-A151871873F6}"/>
    <cellStyle name="Normal 9 2 4 4 3 3" xfId="22604" xr:uid="{373C803E-2313-4A13-AAEA-C59A79DC5396}"/>
    <cellStyle name="Normal 9 2 4 4 3 4" xfId="31044" xr:uid="{F1F1195C-4D93-4878-92D5-F6120ABDA543}"/>
    <cellStyle name="Normal 9 2 4 4 4" xfId="9946" xr:uid="{54BE975F-48A1-4146-8031-9915FA7F2249}"/>
    <cellStyle name="Normal 9 2 4 4 5" xfId="18387" xr:uid="{4A3425C2-D40D-45D8-9E80-1843B4DD1CC8}"/>
    <cellStyle name="Normal 9 2 4 4 6" xfId="26827" xr:uid="{8CBD315C-06B5-4856-BBC1-A9A7B06A7DAC}"/>
    <cellStyle name="Normal 9 2 4 5" xfId="1820" xr:uid="{00000000-0005-0000-0000-0000791F0000}"/>
    <cellStyle name="Normal 9 2 4 5 2" xfId="4050" xr:uid="{00000000-0005-0000-0000-00007A1F0000}"/>
    <cellStyle name="Normal 9 2 4 5 2 2" xfId="8272" xr:uid="{00000000-0005-0000-0000-00007B1F0000}"/>
    <cellStyle name="Normal 9 2 4 5 2 2 2" xfId="16722" xr:uid="{0F4A4E40-BD25-423D-AC4B-F720DE93A07C}"/>
    <cellStyle name="Normal 9 2 4 5 2 2 3" xfId="25162" xr:uid="{82EFBF21-EEFB-499E-8004-72C4D3EFB503}"/>
    <cellStyle name="Normal 9 2 4 5 2 2 4" xfId="33602" xr:uid="{6488D4D7-61E6-457E-9E3B-2F966C1AC76D}"/>
    <cellStyle name="Normal 9 2 4 5 2 3" xfId="12504" xr:uid="{01B258A9-3F24-49ED-B07C-2709828D930C}"/>
    <cellStyle name="Normal 9 2 4 5 2 4" xfId="20945" xr:uid="{DDAE371B-1FF5-4358-AB08-B5BE5BF2E01B}"/>
    <cellStyle name="Normal 9 2 4 5 2 5" xfId="29385" xr:uid="{5C1DF539-E004-49C7-BE93-86B0971FD976}"/>
    <cellStyle name="Normal 9 2 4 5 3" xfId="6127" xr:uid="{00000000-0005-0000-0000-00007C1F0000}"/>
    <cellStyle name="Normal 9 2 4 5 3 2" xfId="14577" xr:uid="{E3BDDF12-55CE-4218-A67F-CF31C32ACC8A}"/>
    <cellStyle name="Normal 9 2 4 5 3 3" xfId="23017" xr:uid="{32B60A40-78D3-434A-83F6-15DB556C7BA0}"/>
    <cellStyle name="Normal 9 2 4 5 3 4" xfId="31457" xr:uid="{5489208F-4D36-4A74-9249-8E3239D1FFB3}"/>
    <cellStyle name="Normal 9 2 4 5 4" xfId="10359" xr:uid="{67D03CE4-930F-4A3E-A989-58DC72E1C99E}"/>
    <cellStyle name="Normal 9 2 4 5 5" xfId="18800" xr:uid="{7D944F67-0CF2-46CF-83D4-F78F8B6D8AEA}"/>
    <cellStyle name="Normal 9 2 4 5 6" xfId="27240" xr:uid="{3826A7AF-6DC0-425C-90AC-292DE6E5ACAD}"/>
    <cellStyle name="Normal 9 2 4 6" xfId="2234" xr:uid="{00000000-0005-0000-0000-00007D1F0000}"/>
    <cellStyle name="Normal 9 2 4 6 2" xfId="4463" xr:uid="{00000000-0005-0000-0000-00007E1F0000}"/>
    <cellStyle name="Normal 9 2 4 6 2 2" xfId="8685" xr:uid="{00000000-0005-0000-0000-00007F1F0000}"/>
    <cellStyle name="Normal 9 2 4 6 2 2 2" xfId="17135" xr:uid="{774E03AC-67DE-4FC6-A81E-C6BA6648A0D1}"/>
    <cellStyle name="Normal 9 2 4 6 2 2 3" xfId="25575" xr:uid="{08DC7FC9-4955-4CD1-8A09-608888C0ECA2}"/>
    <cellStyle name="Normal 9 2 4 6 2 2 4" xfId="34015" xr:uid="{1A02BBAF-1583-4DFA-A31A-4F02620FE900}"/>
    <cellStyle name="Normal 9 2 4 6 2 3" xfId="12917" xr:uid="{5EBD4075-6F9F-4D94-AA4E-FFCC4C8CA724}"/>
    <cellStyle name="Normal 9 2 4 6 2 4" xfId="21358" xr:uid="{13DDE20F-9A73-40EC-B994-3898AB67E976}"/>
    <cellStyle name="Normal 9 2 4 6 2 5" xfId="29798" xr:uid="{3D213A60-48D2-4278-A200-4D2A76B45D59}"/>
    <cellStyle name="Normal 9 2 4 6 3" xfId="6540" xr:uid="{00000000-0005-0000-0000-0000801F0000}"/>
    <cellStyle name="Normal 9 2 4 6 3 2" xfId="14990" xr:uid="{06B8C59E-B73B-4003-85D5-9B477F4DC589}"/>
    <cellStyle name="Normal 9 2 4 6 3 3" xfId="23430" xr:uid="{4AA62650-8754-4404-86B7-37D4618BE4A0}"/>
    <cellStyle name="Normal 9 2 4 6 3 4" xfId="31870" xr:uid="{02D535C3-AC0F-4BC9-8996-09A8F2E4D649}"/>
    <cellStyle name="Normal 9 2 4 6 4" xfId="10772" xr:uid="{BE1E69DD-06E5-4691-9F6D-704562A8E939}"/>
    <cellStyle name="Normal 9 2 4 6 5" xfId="19213" xr:uid="{1A015639-2404-4B3C-A5DD-5C0CCFCCFBC4}"/>
    <cellStyle name="Normal 9 2 4 6 6" xfId="27653" xr:uid="{3FA7D945-EACE-41D1-8A9F-FFC05924EEB1}"/>
    <cellStyle name="Normal 9 2 4 7" xfId="2670" xr:uid="{00000000-0005-0000-0000-0000811F0000}"/>
    <cellStyle name="Normal 9 2 4 7 2" xfId="6953" xr:uid="{00000000-0005-0000-0000-0000821F0000}"/>
    <cellStyle name="Normal 9 2 4 7 2 2" xfId="15403" xr:uid="{50C6D582-A3E2-40E3-A780-4CD2EAA1A54B}"/>
    <cellStyle name="Normal 9 2 4 7 2 3" xfId="23843" xr:uid="{E5555FE7-9F39-4EAD-9301-13733F5A915E}"/>
    <cellStyle name="Normal 9 2 4 7 2 4" xfId="32283" xr:uid="{DDFF8353-FD20-4A74-8150-E9A21767A07F}"/>
    <cellStyle name="Normal 9 2 4 7 3" xfId="11185" xr:uid="{1622AC95-4FB9-4075-AB3C-A9339BF5E9F0}"/>
    <cellStyle name="Normal 9 2 4 7 4" xfId="19626" xr:uid="{BF01591D-592B-4842-BD7E-62647A2D13BA}"/>
    <cellStyle name="Normal 9 2 4 7 5" xfId="28066" xr:uid="{A9726718-F2F4-4853-BC5D-934533CB27C5}"/>
    <cellStyle name="Normal 9 2 4 8" xfId="4888" xr:uid="{00000000-0005-0000-0000-0000831F0000}"/>
    <cellStyle name="Normal 9 2 4 8 2" xfId="13338" xr:uid="{BB1887F1-EA1F-4776-AA20-20E3D4F6EA23}"/>
    <cellStyle name="Normal 9 2 4 8 3" xfId="21778" xr:uid="{A1919939-0A7D-45C6-84CC-3DE37FBB5DB2}"/>
    <cellStyle name="Normal 9 2 4 8 4" xfId="30218" xr:uid="{D5D7A21B-A226-42CA-B19E-7C1797F878FF}"/>
    <cellStyle name="Normal 9 2 4 9" xfId="9120" xr:uid="{A9A78D02-0BB3-417B-BF9C-FCC31BAAF4EB}"/>
    <cellStyle name="Normal 9 2 5" xfId="526" xr:uid="{00000000-0005-0000-0000-0000841F0000}"/>
    <cellStyle name="Normal 9 2 5 10" xfId="26003" xr:uid="{3120906F-B68E-4602-9D65-8ECFE16649CA}"/>
    <cellStyle name="Normal 9 2 5 2" xfId="993" xr:uid="{00000000-0005-0000-0000-0000851F0000}"/>
    <cellStyle name="Normal 9 2 5 2 2" xfId="3226" xr:uid="{00000000-0005-0000-0000-0000861F0000}"/>
    <cellStyle name="Normal 9 2 5 2 2 2" xfId="7448" xr:uid="{00000000-0005-0000-0000-0000871F0000}"/>
    <cellStyle name="Normal 9 2 5 2 2 2 2" xfId="15898" xr:uid="{C34EE648-26F4-4F01-9B9D-A12080AAF1DC}"/>
    <cellStyle name="Normal 9 2 5 2 2 2 3" xfId="24338" xr:uid="{88EFE6DF-7C12-47EC-B2B3-61E1CBC8F91A}"/>
    <cellStyle name="Normal 9 2 5 2 2 2 4" xfId="32778" xr:uid="{0236467E-2FA4-4BCD-BC09-5D6C1B91FAAD}"/>
    <cellStyle name="Normal 9 2 5 2 2 3" xfId="11680" xr:uid="{EA3CC5BE-FB81-4439-9E97-5631088C38D1}"/>
    <cellStyle name="Normal 9 2 5 2 2 4" xfId="20121" xr:uid="{E9C0F1EA-2C78-4A42-863B-9EF612056222}"/>
    <cellStyle name="Normal 9 2 5 2 2 5" xfId="28561" xr:uid="{458F9412-5BA1-4BBB-8B57-DF80EE73D6C6}"/>
    <cellStyle name="Normal 9 2 5 2 3" xfId="5303" xr:uid="{00000000-0005-0000-0000-0000881F0000}"/>
    <cellStyle name="Normal 9 2 5 2 3 2" xfId="13753" xr:uid="{6E9BE2E1-FAE1-43C4-9B00-2814AFF3BF60}"/>
    <cellStyle name="Normal 9 2 5 2 3 3" xfId="22193" xr:uid="{2C0C553B-AE7C-49B0-9D95-0EFE485B3A67}"/>
    <cellStyle name="Normal 9 2 5 2 3 4" xfId="30633" xr:uid="{A0C88877-68D5-4F3C-B5A1-510E7C834797}"/>
    <cellStyle name="Normal 9 2 5 2 4" xfId="9535" xr:uid="{3A517E80-CA18-40A6-BC9C-0B579684EF4C}"/>
    <cellStyle name="Normal 9 2 5 2 5" xfId="17976" xr:uid="{25DEF3FA-9065-4B81-8C39-2CAFABD44FF3}"/>
    <cellStyle name="Normal 9 2 5 2 6" xfId="26416" xr:uid="{CBD842F4-3C7E-4A87-A44F-549C305B8FDE}"/>
    <cellStyle name="Normal 9 2 5 3" xfId="1409" xr:uid="{00000000-0005-0000-0000-0000891F0000}"/>
    <cellStyle name="Normal 9 2 5 3 2" xfId="3639" xr:uid="{00000000-0005-0000-0000-00008A1F0000}"/>
    <cellStyle name="Normal 9 2 5 3 2 2" xfId="7861" xr:uid="{00000000-0005-0000-0000-00008B1F0000}"/>
    <cellStyle name="Normal 9 2 5 3 2 2 2" xfId="16311" xr:uid="{2E7D9BC3-C72A-4AEE-A83E-5867F00261B8}"/>
    <cellStyle name="Normal 9 2 5 3 2 2 3" xfId="24751" xr:uid="{8CE3DAFA-6857-4086-A01B-EB219FD5AF5D}"/>
    <cellStyle name="Normal 9 2 5 3 2 2 4" xfId="33191" xr:uid="{54BCDD7B-39F7-435A-ACFC-BD347997357B}"/>
    <cellStyle name="Normal 9 2 5 3 2 3" xfId="12093" xr:uid="{C0533030-66FA-4F1A-A539-DED43BB58110}"/>
    <cellStyle name="Normal 9 2 5 3 2 4" xfId="20534" xr:uid="{0126B982-DEA8-411F-9432-E698F6B3B96F}"/>
    <cellStyle name="Normal 9 2 5 3 2 5" xfId="28974" xr:uid="{C7EA9ED1-3E83-4AB5-9999-026D96682235}"/>
    <cellStyle name="Normal 9 2 5 3 3" xfId="5716" xr:uid="{00000000-0005-0000-0000-00008C1F0000}"/>
    <cellStyle name="Normal 9 2 5 3 3 2" xfId="14166" xr:uid="{080839A3-C3C5-473D-92B1-A92DFDF836F2}"/>
    <cellStyle name="Normal 9 2 5 3 3 3" xfId="22606" xr:uid="{49D0B80E-F4C3-4A0C-8B2D-B22BBFF102CC}"/>
    <cellStyle name="Normal 9 2 5 3 3 4" xfId="31046" xr:uid="{1B403428-219D-4A15-A26C-0C7C36E1DD6F}"/>
    <cellStyle name="Normal 9 2 5 3 4" xfId="9948" xr:uid="{5F8B3EF9-3DB9-46CB-ABE1-A03D3361A9D6}"/>
    <cellStyle name="Normal 9 2 5 3 5" xfId="18389" xr:uid="{3F621F98-D2EC-404D-ACD8-2A641D2BBAFC}"/>
    <cellStyle name="Normal 9 2 5 3 6" xfId="26829" xr:uid="{CE0634C6-9D34-4E5E-ACA8-3E83613B9645}"/>
    <cellStyle name="Normal 9 2 5 4" xfId="1822" xr:uid="{00000000-0005-0000-0000-00008D1F0000}"/>
    <cellStyle name="Normal 9 2 5 4 2" xfId="4052" xr:uid="{00000000-0005-0000-0000-00008E1F0000}"/>
    <cellStyle name="Normal 9 2 5 4 2 2" xfId="8274" xr:uid="{00000000-0005-0000-0000-00008F1F0000}"/>
    <cellStyle name="Normal 9 2 5 4 2 2 2" xfId="16724" xr:uid="{C306CD0E-1BC1-4E64-829D-0EEACD1BF2F3}"/>
    <cellStyle name="Normal 9 2 5 4 2 2 3" xfId="25164" xr:uid="{1ABAEB20-0B4C-4D6B-9367-89AA549D3729}"/>
    <cellStyle name="Normal 9 2 5 4 2 2 4" xfId="33604" xr:uid="{7AE8A610-207B-4862-9A05-9AAB63BF63CC}"/>
    <cellStyle name="Normal 9 2 5 4 2 3" xfId="12506" xr:uid="{1F8ACB8A-6267-4D0A-BA87-6C1F2EF7C79F}"/>
    <cellStyle name="Normal 9 2 5 4 2 4" xfId="20947" xr:uid="{D2DCBCC0-BF32-485B-A4AB-738AAACF7F26}"/>
    <cellStyle name="Normal 9 2 5 4 2 5" xfId="29387" xr:uid="{00EDC23C-551D-4698-9D58-78D801475FD6}"/>
    <cellStyle name="Normal 9 2 5 4 3" xfId="6129" xr:uid="{00000000-0005-0000-0000-0000901F0000}"/>
    <cellStyle name="Normal 9 2 5 4 3 2" xfId="14579" xr:uid="{EEAF3791-BF82-4ADB-9D25-9BF93C334D62}"/>
    <cellStyle name="Normal 9 2 5 4 3 3" xfId="23019" xr:uid="{42F0D7D9-C435-43CB-9637-FAC392909DDE}"/>
    <cellStyle name="Normal 9 2 5 4 3 4" xfId="31459" xr:uid="{1EF2B3E2-04E4-4B16-A353-7F1365D4E8B2}"/>
    <cellStyle name="Normal 9 2 5 4 4" xfId="10361" xr:uid="{BB768817-B3FB-4909-806A-5D6B63DB8E72}"/>
    <cellStyle name="Normal 9 2 5 4 5" xfId="18802" xr:uid="{DC243CB6-4BD8-40DE-B2C5-48EE73F3BA7B}"/>
    <cellStyle name="Normal 9 2 5 4 6" xfId="27242" xr:uid="{AFDB90C6-370D-4F35-A72F-ED044D3EC43C}"/>
    <cellStyle name="Normal 9 2 5 5" xfId="2236" xr:uid="{00000000-0005-0000-0000-0000911F0000}"/>
    <cellStyle name="Normal 9 2 5 5 2" xfId="4465" xr:uid="{00000000-0005-0000-0000-0000921F0000}"/>
    <cellStyle name="Normal 9 2 5 5 2 2" xfId="8687" xr:uid="{00000000-0005-0000-0000-0000931F0000}"/>
    <cellStyle name="Normal 9 2 5 5 2 2 2" xfId="17137" xr:uid="{7AF49B8C-B3D5-4033-890F-C8ADD4CB93F7}"/>
    <cellStyle name="Normal 9 2 5 5 2 2 3" xfId="25577" xr:uid="{56446F94-D9D0-455F-BE74-B42B3D126AAF}"/>
    <cellStyle name="Normal 9 2 5 5 2 2 4" xfId="34017" xr:uid="{F956A0DE-2BB7-4918-B0CA-3F9487472983}"/>
    <cellStyle name="Normal 9 2 5 5 2 3" xfId="12919" xr:uid="{2B859FF2-C0CF-4152-AD69-369B39F28E69}"/>
    <cellStyle name="Normal 9 2 5 5 2 4" xfId="21360" xr:uid="{4DDEC16C-58FE-43AA-B57F-4E1F60D0C494}"/>
    <cellStyle name="Normal 9 2 5 5 2 5" xfId="29800" xr:uid="{51E10327-776A-491A-8C61-B95A5954A656}"/>
    <cellStyle name="Normal 9 2 5 5 3" xfId="6542" xr:uid="{00000000-0005-0000-0000-0000941F0000}"/>
    <cellStyle name="Normal 9 2 5 5 3 2" xfId="14992" xr:uid="{8B050FA5-866B-41BA-97F4-56213964AEA2}"/>
    <cellStyle name="Normal 9 2 5 5 3 3" xfId="23432" xr:uid="{AF147844-298F-4B50-94F0-40FD9A74C2F4}"/>
    <cellStyle name="Normal 9 2 5 5 3 4" xfId="31872" xr:uid="{13555E57-06EA-47E3-80DE-757EF949599A}"/>
    <cellStyle name="Normal 9 2 5 5 4" xfId="10774" xr:uid="{C213D684-BB9A-49A5-826A-098242D3665B}"/>
    <cellStyle name="Normal 9 2 5 5 5" xfId="19215" xr:uid="{26D4B245-8759-4F45-BAC7-CE0A07492D7B}"/>
    <cellStyle name="Normal 9 2 5 5 6" xfId="27655" xr:uid="{D89C2368-3817-41C5-85D4-12DD7C85B072}"/>
    <cellStyle name="Normal 9 2 5 6" xfId="2672" xr:uid="{00000000-0005-0000-0000-0000951F0000}"/>
    <cellStyle name="Normal 9 2 5 6 2" xfId="6955" xr:uid="{00000000-0005-0000-0000-0000961F0000}"/>
    <cellStyle name="Normal 9 2 5 6 2 2" xfId="15405" xr:uid="{853517E1-5A77-4DEE-A17C-F7706ACCB082}"/>
    <cellStyle name="Normal 9 2 5 6 2 3" xfId="23845" xr:uid="{B71981DA-D106-4EF4-B763-8CF61975AF80}"/>
    <cellStyle name="Normal 9 2 5 6 2 4" xfId="32285" xr:uid="{00C7D4E6-09E0-43F0-BBB1-AA46FBA15BEB}"/>
    <cellStyle name="Normal 9 2 5 6 3" xfId="11187" xr:uid="{D15C65EE-FEB6-44F9-8063-5B9C8C6029B2}"/>
    <cellStyle name="Normal 9 2 5 6 4" xfId="19628" xr:uid="{81EEA7C7-338A-43C5-A4E4-63B31997FF92}"/>
    <cellStyle name="Normal 9 2 5 6 5" xfId="28068" xr:uid="{DB6B07B1-B28E-412F-BD6F-CA89C3AECF24}"/>
    <cellStyle name="Normal 9 2 5 7" xfId="4890" xr:uid="{00000000-0005-0000-0000-0000971F0000}"/>
    <cellStyle name="Normal 9 2 5 7 2" xfId="13340" xr:uid="{1C83F763-6EE1-4F88-BEAA-F5F07DE0482C}"/>
    <cellStyle name="Normal 9 2 5 7 3" xfId="21780" xr:uid="{805D62B8-24D8-4A29-B468-049378658F94}"/>
    <cellStyle name="Normal 9 2 5 7 4" xfId="30220" xr:uid="{91CA135F-FA71-4232-913E-49A4857477EA}"/>
    <cellStyle name="Normal 9 2 5 8" xfId="9122" xr:uid="{F3C856AC-CDA8-44C2-B06A-B6867A7C802C}"/>
    <cellStyle name="Normal 9 2 5 9" xfId="17563" xr:uid="{8C704640-546F-473E-9352-2DBB364DAFAD}"/>
    <cellStyle name="Normal 9 2 6" xfId="978" xr:uid="{00000000-0005-0000-0000-0000981F0000}"/>
    <cellStyle name="Normal 9 2 6 2" xfId="3211" xr:uid="{00000000-0005-0000-0000-0000991F0000}"/>
    <cellStyle name="Normal 9 2 6 2 2" xfId="7433" xr:uid="{00000000-0005-0000-0000-00009A1F0000}"/>
    <cellStyle name="Normal 9 2 6 2 2 2" xfId="15883" xr:uid="{55BF8B0A-211C-4257-8AB6-F0DE41AA684C}"/>
    <cellStyle name="Normal 9 2 6 2 2 3" xfId="24323" xr:uid="{5F972D2D-0B2F-4079-8279-75C482FB8122}"/>
    <cellStyle name="Normal 9 2 6 2 2 4" xfId="32763" xr:uid="{EC9083CB-F18F-48C5-A7D3-AC309EA42F24}"/>
    <cellStyle name="Normal 9 2 6 2 3" xfId="11665" xr:uid="{941702E4-9D0E-4F53-B4C5-DAF4B178E602}"/>
    <cellStyle name="Normal 9 2 6 2 4" xfId="20106" xr:uid="{956948C9-AB22-46F1-9EA5-A18C44382A6C}"/>
    <cellStyle name="Normal 9 2 6 2 5" xfId="28546" xr:uid="{6C8B7CC2-CB4E-4E2C-BAA3-9CF791D3BC70}"/>
    <cellStyle name="Normal 9 2 6 3" xfId="5288" xr:uid="{00000000-0005-0000-0000-00009B1F0000}"/>
    <cellStyle name="Normal 9 2 6 3 2" xfId="13738" xr:uid="{A3E62B7E-73D5-4099-84AB-2DDE6B2B7B75}"/>
    <cellStyle name="Normal 9 2 6 3 3" xfId="22178" xr:uid="{7ADBFCB1-28BC-48A3-80E7-DDD90AF96E8E}"/>
    <cellStyle name="Normal 9 2 6 3 4" xfId="30618" xr:uid="{9F6D1A9D-05AD-46A6-8735-1E30A4123D7F}"/>
    <cellStyle name="Normal 9 2 6 4" xfId="9520" xr:uid="{E783C997-1734-4027-85D9-C530BF31DAA1}"/>
    <cellStyle name="Normal 9 2 6 5" xfId="17961" xr:uid="{0550DEFA-1671-4127-923E-5F2F7977894A}"/>
    <cellStyle name="Normal 9 2 6 6" xfId="26401" xr:uid="{BBDE839B-7DF6-4026-8D70-20E8EC051287}"/>
    <cellStyle name="Normal 9 2 7" xfId="1394" xr:uid="{00000000-0005-0000-0000-00009C1F0000}"/>
    <cellStyle name="Normal 9 2 7 2" xfId="3624" xr:uid="{00000000-0005-0000-0000-00009D1F0000}"/>
    <cellStyle name="Normal 9 2 7 2 2" xfId="7846" xr:uid="{00000000-0005-0000-0000-00009E1F0000}"/>
    <cellStyle name="Normal 9 2 7 2 2 2" xfId="16296" xr:uid="{7E6F533F-1987-4011-A2EF-AE7B868F2FF3}"/>
    <cellStyle name="Normal 9 2 7 2 2 3" xfId="24736" xr:uid="{F313CECB-CBDB-49B3-A8D7-2F2AB292775E}"/>
    <cellStyle name="Normal 9 2 7 2 2 4" xfId="33176" xr:uid="{A2EE5051-2EBD-4391-8E79-193AF028228D}"/>
    <cellStyle name="Normal 9 2 7 2 3" xfId="12078" xr:uid="{47A1D7B6-4D6C-4988-8F08-3CC8283B970A}"/>
    <cellStyle name="Normal 9 2 7 2 4" xfId="20519" xr:uid="{92DFA181-E3B3-44D5-A398-900ED05D2BA7}"/>
    <cellStyle name="Normal 9 2 7 2 5" xfId="28959" xr:uid="{168D1AE4-DC00-46F3-BDBB-C762B1F470EB}"/>
    <cellStyle name="Normal 9 2 7 3" xfId="5701" xr:uid="{00000000-0005-0000-0000-00009F1F0000}"/>
    <cellStyle name="Normal 9 2 7 3 2" xfId="14151" xr:uid="{22437876-34D2-494F-A2DC-A7B82D3B7F75}"/>
    <cellStyle name="Normal 9 2 7 3 3" xfId="22591" xr:uid="{556CAEAF-90D4-43AB-8DBF-29BE26B32414}"/>
    <cellStyle name="Normal 9 2 7 3 4" xfId="31031" xr:uid="{5F9BC935-C86E-45B9-8BDB-479348D24EE2}"/>
    <cellStyle name="Normal 9 2 7 4" xfId="9933" xr:uid="{F133A782-459F-46BF-A027-9D96E08B659F}"/>
    <cellStyle name="Normal 9 2 7 5" xfId="18374" xr:uid="{9BB35077-864F-49EE-A36C-C867FAD8287F}"/>
    <cellStyle name="Normal 9 2 7 6" xfId="26814" xr:uid="{F926C588-E4C4-47F5-A641-6DBE0C45A40B}"/>
    <cellStyle name="Normal 9 2 8" xfId="1807" xr:uid="{00000000-0005-0000-0000-0000A01F0000}"/>
    <cellStyle name="Normal 9 2 8 2" xfId="4037" xr:uid="{00000000-0005-0000-0000-0000A11F0000}"/>
    <cellStyle name="Normal 9 2 8 2 2" xfId="8259" xr:uid="{00000000-0005-0000-0000-0000A21F0000}"/>
    <cellStyle name="Normal 9 2 8 2 2 2" xfId="16709" xr:uid="{9E6EADA1-D5EC-4AB6-AD7F-F01085968953}"/>
    <cellStyle name="Normal 9 2 8 2 2 3" xfId="25149" xr:uid="{B8344B8A-93E5-45E1-92C9-3A942EC353B1}"/>
    <cellStyle name="Normal 9 2 8 2 2 4" xfId="33589" xr:uid="{8871F96B-5449-45B7-B52E-849EE512D589}"/>
    <cellStyle name="Normal 9 2 8 2 3" xfId="12491" xr:uid="{816526C5-07B1-485B-80DE-DDF87786BF74}"/>
    <cellStyle name="Normal 9 2 8 2 4" xfId="20932" xr:uid="{58C08CA8-EE39-4003-B711-EF00892E5786}"/>
    <cellStyle name="Normal 9 2 8 2 5" xfId="29372" xr:uid="{8EF84353-6129-4819-99D5-5E8891B5B751}"/>
    <cellStyle name="Normal 9 2 8 3" xfId="6114" xr:uid="{00000000-0005-0000-0000-0000A31F0000}"/>
    <cellStyle name="Normal 9 2 8 3 2" xfId="14564" xr:uid="{19AE2909-9848-46C2-AD21-E8A0352E4E0E}"/>
    <cellStyle name="Normal 9 2 8 3 3" xfId="23004" xr:uid="{032DDB14-BB8C-4D71-AB92-432AE5F6AE1E}"/>
    <cellStyle name="Normal 9 2 8 3 4" xfId="31444" xr:uid="{1B97C688-7681-46B0-9502-0A39CB0E91F5}"/>
    <cellStyle name="Normal 9 2 8 4" xfId="10346" xr:uid="{F6CB8D6B-1B16-4BCE-B862-0BFF5C0632D4}"/>
    <cellStyle name="Normal 9 2 8 5" xfId="18787" xr:uid="{BF53D06D-B1D7-483B-B699-25C4AC93ECA4}"/>
    <cellStyle name="Normal 9 2 8 6" xfId="27227" xr:uid="{C3FCBA64-79B9-42CF-B600-BB03C79B6E5A}"/>
    <cellStyle name="Normal 9 2 9" xfId="2221" xr:uid="{00000000-0005-0000-0000-0000A41F0000}"/>
    <cellStyle name="Normal 9 2 9 2" xfId="4450" xr:uid="{00000000-0005-0000-0000-0000A51F0000}"/>
    <cellStyle name="Normal 9 2 9 2 2" xfId="8672" xr:uid="{00000000-0005-0000-0000-0000A61F0000}"/>
    <cellStyle name="Normal 9 2 9 2 2 2" xfId="17122" xr:uid="{86C60F38-1E50-41EF-9B21-36F6B38B3F5C}"/>
    <cellStyle name="Normal 9 2 9 2 2 3" xfId="25562" xr:uid="{B902D99F-3B2A-42B4-9AC1-44F2038540CF}"/>
    <cellStyle name="Normal 9 2 9 2 2 4" xfId="34002" xr:uid="{8A35E8C0-8539-4561-B44A-406D7E066274}"/>
    <cellStyle name="Normal 9 2 9 2 3" xfId="12904" xr:uid="{8EA777A0-0042-4055-BF15-2D0A12A7766A}"/>
    <cellStyle name="Normal 9 2 9 2 4" xfId="21345" xr:uid="{F6D1CB4B-8511-4984-8257-1C8910339852}"/>
    <cellStyle name="Normal 9 2 9 2 5" xfId="29785" xr:uid="{0195CFCF-ABC0-420C-A500-73A54B7E0179}"/>
    <cellStyle name="Normal 9 2 9 3" xfId="6527" xr:uid="{00000000-0005-0000-0000-0000A71F0000}"/>
    <cellStyle name="Normal 9 2 9 3 2" xfId="14977" xr:uid="{0773347A-65A1-445E-9A11-6C57124385A1}"/>
    <cellStyle name="Normal 9 2 9 3 3" xfId="23417" xr:uid="{55F2EE66-6AA0-4086-9F07-1FDCA113F581}"/>
    <cellStyle name="Normal 9 2 9 3 4" xfId="31857" xr:uid="{E8E796D5-787E-4255-A2F6-1710E7FDBD22}"/>
    <cellStyle name="Normal 9 2 9 4" xfId="10759" xr:uid="{9146E3F3-637A-4A33-BF3E-6BCA891C1A28}"/>
    <cellStyle name="Normal 9 2 9 5" xfId="19200" xr:uid="{87528439-FF7F-4831-B4C9-DC7598B0D8E7}"/>
    <cellStyle name="Normal 9 2 9 6" xfId="27640" xr:uid="{E77A1F27-5DD5-4372-B369-5688836A8439}"/>
    <cellStyle name="Normal 9 3" xfId="527" xr:uid="{00000000-0005-0000-0000-0000A81F0000}"/>
    <cellStyle name="Normal 9 3 10" xfId="4891" xr:uid="{00000000-0005-0000-0000-0000A91F0000}"/>
    <cellStyle name="Normal 9 3 10 2" xfId="13341" xr:uid="{4C417714-6E8C-477A-A4D9-A60AC2BDDE01}"/>
    <cellStyle name="Normal 9 3 10 3" xfId="21781" xr:uid="{CC97FE6C-CD59-4075-8EC9-5987750462EB}"/>
    <cellStyle name="Normal 9 3 10 4" xfId="30221" xr:uid="{22F642D8-8182-4B4F-8553-66452808CEDA}"/>
    <cellStyle name="Normal 9 3 11" xfId="9123" xr:uid="{36404ACA-176B-4ECF-BC0F-81AA068462E3}"/>
    <cellStyle name="Normal 9 3 12" xfId="17564" xr:uid="{9CC260D8-905F-433D-95BC-8745FAABF0B6}"/>
    <cellStyle name="Normal 9 3 13" xfId="26004" xr:uid="{6A62A3C2-A9DD-4158-9AEC-BBF805364DBD}"/>
    <cellStyle name="Normal 9 3 2" xfId="528" xr:uid="{00000000-0005-0000-0000-0000AA1F0000}"/>
    <cellStyle name="Normal 9 3 2 10" xfId="9124" xr:uid="{E460FEC7-25B5-4836-8102-CD23C72DD08C}"/>
    <cellStyle name="Normal 9 3 2 11" xfId="17565" xr:uid="{F543E2FD-DAA0-4F6A-BDA6-8D6636E41CDD}"/>
    <cellStyle name="Normal 9 3 2 12" xfId="26005" xr:uid="{6F4E36A3-5AC8-4DCB-9797-7A826B35CB83}"/>
    <cellStyle name="Normal 9 3 2 2" xfId="529" xr:uid="{00000000-0005-0000-0000-0000AB1F0000}"/>
    <cellStyle name="Normal 9 3 2 2 10" xfId="17566" xr:uid="{A976478C-9259-4DC5-8703-CCE3CD333472}"/>
    <cellStyle name="Normal 9 3 2 2 11" xfId="26006" xr:uid="{D011109A-F4C3-4094-8906-61B69CD28B51}"/>
    <cellStyle name="Normal 9 3 2 2 2" xfId="530" xr:uid="{00000000-0005-0000-0000-0000AC1F0000}"/>
    <cellStyle name="Normal 9 3 2 2 2 10" xfId="26007" xr:uid="{502ED1EB-FABA-4D69-8B14-3DD6CF9147A6}"/>
    <cellStyle name="Normal 9 3 2 2 2 2" xfId="997" xr:uid="{00000000-0005-0000-0000-0000AD1F0000}"/>
    <cellStyle name="Normal 9 3 2 2 2 2 2" xfId="3230" xr:uid="{00000000-0005-0000-0000-0000AE1F0000}"/>
    <cellStyle name="Normal 9 3 2 2 2 2 2 2" xfId="7452" xr:uid="{00000000-0005-0000-0000-0000AF1F0000}"/>
    <cellStyle name="Normal 9 3 2 2 2 2 2 2 2" xfId="15902" xr:uid="{2954588C-3DE4-4C1B-BE0C-86979AB3BE29}"/>
    <cellStyle name="Normal 9 3 2 2 2 2 2 2 3" xfId="24342" xr:uid="{64EA086B-A964-439C-A977-E9ABA3F9D6EF}"/>
    <cellStyle name="Normal 9 3 2 2 2 2 2 2 4" xfId="32782" xr:uid="{CC1223CD-485A-4D87-A470-73C6FBBEF55A}"/>
    <cellStyle name="Normal 9 3 2 2 2 2 2 3" xfId="11684" xr:uid="{79AD8776-0161-4FE0-862C-B86724A8E13D}"/>
    <cellStyle name="Normal 9 3 2 2 2 2 2 4" xfId="20125" xr:uid="{2384FC49-625C-4736-9D68-7D511E9E8D3E}"/>
    <cellStyle name="Normal 9 3 2 2 2 2 2 5" xfId="28565" xr:uid="{49CCC50A-E26F-4C3A-ABB7-9BB23F33FC5D}"/>
    <cellStyle name="Normal 9 3 2 2 2 2 3" xfId="5307" xr:uid="{00000000-0005-0000-0000-0000B01F0000}"/>
    <cellStyle name="Normal 9 3 2 2 2 2 3 2" xfId="13757" xr:uid="{22F40D48-6E5C-418C-996C-286F2548E7DC}"/>
    <cellStyle name="Normal 9 3 2 2 2 2 3 3" xfId="22197" xr:uid="{713B4753-3E3F-4F50-824F-D4FB57A8F5F5}"/>
    <cellStyle name="Normal 9 3 2 2 2 2 3 4" xfId="30637" xr:uid="{265EC3DB-84C0-4318-AD7B-C671F36615ED}"/>
    <cellStyle name="Normal 9 3 2 2 2 2 4" xfId="9539" xr:uid="{D2106189-2F75-4024-8F5C-79106D9B0E02}"/>
    <cellStyle name="Normal 9 3 2 2 2 2 5" xfId="17980" xr:uid="{4456D33F-15D1-4CA7-AA30-12CE8A66E3EC}"/>
    <cellStyle name="Normal 9 3 2 2 2 2 6" xfId="26420" xr:uid="{02362362-C424-478A-B281-0CCC1CB893C8}"/>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2 2 2" xfId="16315" xr:uid="{F0D112AF-5335-46F6-B8FA-37712B2BD7F5}"/>
    <cellStyle name="Normal 9 3 2 2 2 3 2 2 3" xfId="24755" xr:uid="{32143334-92C3-4151-827F-26C9D475E0C1}"/>
    <cellStyle name="Normal 9 3 2 2 2 3 2 2 4" xfId="33195" xr:uid="{65EBD373-7352-467A-B76A-01199BD27FFC}"/>
    <cellStyle name="Normal 9 3 2 2 2 3 2 3" xfId="12097" xr:uid="{91C70393-ED91-4D7B-BF9E-324C9B454CAF}"/>
    <cellStyle name="Normal 9 3 2 2 2 3 2 4" xfId="20538" xr:uid="{1C7EEA52-34F7-4B16-A038-5F577C44A5FA}"/>
    <cellStyle name="Normal 9 3 2 2 2 3 2 5" xfId="28978" xr:uid="{789F53E8-B748-41A5-B8F1-6DBF5F5CF824}"/>
    <cellStyle name="Normal 9 3 2 2 2 3 3" xfId="5720" xr:uid="{00000000-0005-0000-0000-0000B41F0000}"/>
    <cellStyle name="Normal 9 3 2 2 2 3 3 2" xfId="14170" xr:uid="{C92E1801-3E49-409D-A449-B57BAE7374A4}"/>
    <cellStyle name="Normal 9 3 2 2 2 3 3 3" xfId="22610" xr:uid="{861D5ABE-B003-4B9A-B63C-10007755FE1F}"/>
    <cellStyle name="Normal 9 3 2 2 2 3 3 4" xfId="31050" xr:uid="{30A677FD-0F81-4FE9-9DB5-3D62709530A6}"/>
    <cellStyle name="Normal 9 3 2 2 2 3 4" xfId="9952" xr:uid="{9A888FFF-41D2-4565-8AA1-81E8E3B22F8D}"/>
    <cellStyle name="Normal 9 3 2 2 2 3 5" xfId="18393" xr:uid="{7F60A544-B48E-4137-A2E9-3B7C43BB3888}"/>
    <cellStyle name="Normal 9 3 2 2 2 3 6" xfId="26833" xr:uid="{8478F105-1E7E-449E-B49A-DF1DD30D467C}"/>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2 2 2" xfId="16728" xr:uid="{6DD9A691-8C9A-47D2-93AF-D65F25ACAB31}"/>
    <cellStyle name="Normal 9 3 2 2 2 4 2 2 3" xfId="25168" xr:uid="{14806E2C-220A-4907-94E0-9B88B66829F6}"/>
    <cellStyle name="Normal 9 3 2 2 2 4 2 2 4" xfId="33608" xr:uid="{ED2787C9-B6F1-45FB-9720-01A492937DD9}"/>
    <cellStyle name="Normal 9 3 2 2 2 4 2 3" xfId="12510" xr:uid="{23DF4862-DB6A-4EFC-BF6E-CBF6E299B3EE}"/>
    <cellStyle name="Normal 9 3 2 2 2 4 2 4" xfId="20951" xr:uid="{2095C020-5BAC-452F-92E0-94C0EB8BBB1E}"/>
    <cellStyle name="Normal 9 3 2 2 2 4 2 5" xfId="29391" xr:uid="{5AC2D53B-A043-448C-9FBF-75F0920B7123}"/>
    <cellStyle name="Normal 9 3 2 2 2 4 3" xfId="6133" xr:uid="{00000000-0005-0000-0000-0000B81F0000}"/>
    <cellStyle name="Normal 9 3 2 2 2 4 3 2" xfId="14583" xr:uid="{2F87E46F-1100-492F-9A61-9C825FF48F46}"/>
    <cellStyle name="Normal 9 3 2 2 2 4 3 3" xfId="23023" xr:uid="{6AA0DEC0-8129-4533-8FA6-A3CB9960B745}"/>
    <cellStyle name="Normal 9 3 2 2 2 4 3 4" xfId="31463" xr:uid="{4ABB0174-A969-40B5-921A-6006EF3D6497}"/>
    <cellStyle name="Normal 9 3 2 2 2 4 4" xfId="10365" xr:uid="{6AEC63B7-8B36-44CE-A81C-C85FC3026462}"/>
    <cellStyle name="Normal 9 3 2 2 2 4 5" xfId="18806" xr:uid="{92DAB6AE-3725-43B8-A973-F821B3988E67}"/>
    <cellStyle name="Normal 9 3 2 2 2 4 6" xfId="27246" xr:uid="{FE231CC3-3F76-4304-90F9-EEEF69765DAE}"/>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2 2 2" xfId="17141" xr:uid="{A39F76F5-D928-4A18-9792-4A3129F511E7}"/>
    <cellStyle name="Normal 9 3 2 2 2 5 2 2 3" xfId="25581" xr:uid="{FAD72BAE-88FE-4E53-9457-4EF3880A4400}"/>
    <cellStyle name="Normal 9 3 2 2 2 5 2 2 4" xfId="34021" xr:uid="{C67A82DC-B364-4D88-849D-6D77D491AC3C}"/>
    <cellStyle name="Normal 9 3 2 2 2 5 2 3" xfId="12923" xr:uid="{E3546AB2-A364-44A5-9805-93361DA00450}"/>
    <cellStyle name="Normal 9 3 2 2 2 5 2 4" xfId="21364" xr:uid="{A2542A18-4E01-4E70-AB8F-54A3ED3DA621}"/>
    <cellStyle name="Normal 9 3 2 2 2 5 2 5" xfId="29804" xr:uid="{B3F388D5-03EA-44BE-B003-7D296A321B9A}"/>
    <cellStyle name="Normal 9 3 2 2 2 5 3" xfId="6546" xr:uid="{00000000-0005-0000-0000-0000BC1F0000}"/>
    <cellStyle name="Normal 9 3 2 2 2 5 3 2" xfId="14996" xr:uid="{70752D6F-7EDD-4503-BD6E-44DF04A0EA8A}"/>
    <cellStyle name="Normal 9 3 2 2 2 5 3 3" xfId="23436" xr:uid="{B3F6CDFD-015E-44D0-A887-3011B308CC84}"/>
    <cellStyle name="Normal 9 3 2 2 2 5 3 4" xfId="31876" xr:uid="{073A5170-DD5F-44F6-A3E5-BD1CF35B8F89}"/>
    <cellStyle name="Normal 9 3 2 2 2 5 4" xfId="10778" xr:uid="{FFF2FB42-38EC-4C3D-BCE5-4E3C4AF03ABB}"/>
    <cellStyle name="Normal 9 3 2 2 2 5 5" xfId="19219" xr:uid="{A6570FFF-824D-40E5-A1D9-F30DCD559404}"/>
    <cellStyle name="Normal 9 3 2 2 2 5 6" xfId="27659" xr:uid="{2F09F44B-FFFA-48D1-BA33-F39E9596EEC3}"/>
    <cellStyle name="Normal 9 3 2 2 2 6" xfId="2676" xr:uid="{00000000-0005-0000-0000-0000BD1F0000}"/>
    <cellStyle name="Normal 9 3 2 2 2 6 2" xfId="6959" xr:uid="{00000000-0005-0000-0000-0000BE1F0000}"/>
    <cellStyle name="Normal 9 3 2 2 2 6 2 2" xfId="15409" xr:uid="{5189DB79-5DA2-4931-A570-02F100BB61F6}"/>
    <cellStyle name="Normal 9 3 2 2 2 6 2 3" xfId="23849" xr:uid="{3BF10DF9-9845-4199-B0BA-7802263441A7}"/>
    <cellStyle name="Normal 9 3 2 2 2 6 2 4" xfId="32289" xr:uid="{EA2B28AA-714F-4F74-953F-841B13A6FBFB}"/>
    <cellStyle name="Normal 9 3 2 2 2 6 3" xfId="11191" xr:uid="{1A7D611D-BEC2-480D-BE62-7CE330A3DE7E}"/>
    <cellStyle name="Normal 9 3 2 2 2 6 4" xfId="19632" xr:uid="{1B12E442-E549-42FD-91D3-A3E3C3F287B8}"/>
    <cellStyle name="Normal 9 3 2 2 2 6 5" xfId="28072" xr:uid="{8103C154-BFAE-4638-8AE5-AF202A2945AA}"/>
    <cellStyle name="Normal 9 3 2 2 2 7" xfId="4894" xr:uid="{00000000-0005-0000-0000-0000BF1F0000}"/>
    <cellStyle name="Normal 9 3 2 2 2 7 2" xfId="13344" xr:uid="{E2261F6D-6165-4BEE-9A7D-95C544BEB5D7}"/>
    <cellStyle name="Normal 9 3 2 2 2 7 3" xfId="21784" xr:uid="{704A110F-00FF-4A04-BBA0-97F358FB32D2}"/>
    <cellStyle name="Normal 9 3 2 2 2 7 4" xfId="30224" xr:uid="{BE9E26AE-299B-4C52-A4A0-0899FF11ADC9}"/>
    <cellStyle name="Normal 9 3 2 2 2 8" xfId="9126" xr:uid="{F75529CB-062F-478D-B884-2826803EF921}"/>
    <cellStyle name="Normal 9 3 2 2 2 9" xfId="17567" xr:uid="{4AC75983-0E6F-4677-B1B9-208A194A16FC}"/>
    <cellStyle name="Normal 9 3 2 2 3" xfId="996" xr:uid="{00000000-0005-0000-0000-0000C01F0000}"/>
    <cellStyle name="Normal 9 3 2 2 3 2" xfId="3229" xr:uid="{00000000-0005-0000-0000-0000C11F0000}"/>
    <cellStyle name="Normal 9 3 2 2 3 2 2" xfId="7451" xr:uid="{00000000-0005-0000-0000-0000C21F0000}"/>
    <cellStyle name="Normal 9 3 2 2 3 2 2 2" xfId="15901" xr:uid="{E86EF2BD-F3B9-43BD-910C-032C07D91A0E}"/>
    <cellStyle name="Normal 9 3 2 2 3 2 2 3" xfId="24341" xr:uid="{F3EF8F14-E06D-4F34-968B-C3BFD9D201FB}"/>
    <cellStyle name="Normal 9 3 2 2 3 2 2 4" xfId="32781" xr:uid="{62CD2FDA-933C-46C0-B19F-3CB4AB5E5737}"/>
    <cellStyle name="Normal 9 3 2 2 3 2 3" xfId="11683" xr:uid="{9D33A4C6-2595-4ADC-81BC-DDBEAB3819A6}"/>
    <cellStyle name="Normal 9 3 2 2 3 2 4" xfId="20124" xr:uid="{88D4F7D2-7695-4957-96A5-FBBA8AA52871}"/>
    <cellStyle name="Normal 9 3 2 2 3 2 5" xfId="28564" xr:uid="{08688844-BE95-41B0-AC0C-02480DC253BE}"/>
    <cellStyle name="Normal 9 3 2 2 3 3" xfId="5306" xr:uid="{00000000-0005-0000-0000-0000C31F0000}"/>
    <cellStyle name="Normal 9 3 2 2 3 3 2" xfId="13756" xr:uid="{57D63C1A-60D9-4AFC-BAD5-32AEF2ADA579}"/>
    <cellStyle name="Normal 9 3 2 2 3 3 3" xfId="22196" xr:uid="{2672758D-2989-4E56-8076-D167ACAC6085}"/>
    <cellStyle name="Normal 9 3 2 2 3 3 4" xfId="30636" xr:uid="{A9CBA016-8DA5-48C3-B9A8-B3051C13DF9B}"/>
    <cellStyle name="Normal 9 3 2 2 3 4" xfId="9538" xr:uid="{B151EE4D-DE3A-4821-9572-CB2E0DF20D1D}"/>
    <cellStyle name="Normal 9 3 2 2 3 5" xfId="17979" xr:uid="{B46054B9-7A7D-4016-ADDC-D27E3FC0AC17}"/>
    <cellStyle name="Normal 9 3 2 2 3 6" xfId="26419" xr:uid="{BCEF2507-FE60-460D-BB21-8221987D15EF}"/>
    <cellStyle name="Normal 9 3 2 2 4" xfId="1412" xr:uid="{00000000-0005-0000-0000-0000C41F0000}"/>
    <cellStyle name="Normal 9 3 2 2 4 2" xfId="3642" xr:uid="{00000000-0005-0000-0000-0000C51F0000}"/>
    <cellStyle name="Normal 9 3 2 2 4 2 2" xfId="7864" xr:uid="{00000000-0005-0000-0000-0000C61F0000}"/>
    <cellStyle name="Normal 9 3 2 2 4 2 2 2" xfId="16314" xr:uid="{B0C9A514-5748-4998-AAD3-3CF74E271823}"/>
    <cellStyle name="Normal 9 3 2 2 4 2 2 3" xfId="24754" xr:uid="{397D2E6C-4CDB-4F81-8755-3081EB59A4A1}"/>
    <cellStyle name="Normal 9 3 2 2 4 2 2 4" xfId="33194" xr:uid="{ECB9AB4C-C656-4100-A126-B74F94F76DFD}"/>
    <cellStyle name="Normal 9 3 2 2 4 2 3" xfId="12096" xr:uid="{1F349A3E-EBAF-421B-B7E8-73A8734C014D}"/>
    <cellStyle name="Normal 9 3 2 2 4 2 4" xfId="20537" xr:uid="{8BF45AA7-2686-45E6-96B9-4A79E18474AB}"/>
    <cellStyle name="Normal 9 3 2 2 4 2 5" xfId="28977" xr:uid="{2AFF6747-3524-44E9-A4C6-BAF51CB220D0}"/>
    <cellStyle name="Normal 9 3 2 2 4 3" xfId="5719" xr:uid="{00000000-0005-0000-0000-0000C71F0000}"/>
    <cellStyle name="Normal 9 3 2 2 4 3 2" xfId="14169" xr:uid="{B5B1A67A-D579-4419-9415-31EDAAFCC8AD}"/>
    <cellStyle name="Normal 9 3 2 2 4 3 3" xfId="22609" xr:uid="{880F125D-381F-40F8-99F3-7670E517BE06}"/>
    <cellStyle name="Normal 9 3 2 2 4 3 4" xfId="31049" xr:uid="{D9AEFCBC-FA46-40BB-A3B5-6309E4F7C9FF}"/>
    <cellStyle name="Normal 9 3 2 2 4 4" xfId="9951" xr:uid="{B41694BC-2080-4166-9394-3F9323A3EF98}"/>
    <cellStyle name="Normal 9 3 2 2 4 5" xfId="18392" xr:uid="{75839DB7-88B2-4E65-B64D-1A99D1E5A5D7}"/>
    <cellStyle name="Normal 9 3 2 2 4 6" xfId="26832" xr:uid="{DB0026B3-BA57-454F-9DF9-E5231B1AD09F}"/>
    <cellStyle name="Normal 9 3 2 2 5" xfId="1825" xr:uid="{00000000-0005-0000-0000-0000C81F0000}"/>
    <cellStyle name="Normal 9 3 2 2 5 2" xfId="4055" xr:uid="{00000000-0005-0000-0000-0000C91F0000}"/>
    <cellStyle name="Normal 9 3 2 2 5 2 2" xfId="8277" xr:uid="{00000000-0005-0000-0000-0000CA1F0000}"/>
    <cellStyle name="Normal 9 3 2 2 5 2 2 2" xfId="16727" xr:uid="{9FEA966C-86A6-42A2-BD38-4C62D48E9BF8}"/>
    <cellStyle name="Normal 9 3 2 2 5 2 2 3" xfId="25167" xr:uid="{F5E8BD80-EAF9-49F6-BF23-428A925B7BE7}"/>
    <cellStyle name="Normal 9 3 2 2 5 2 2 4" xfId="33607" xr:uid="{73DA5B2E-CA2D-42C4-83EE-238813CE79F7}"/>
    <cellStyle name="Normal 9 3 2 2 5 2 3" xfId="12509" xr:uid="{58F9B5E0-082A-4A24-AF10-6CFC2A9191C1}"/>
    <cellStyle name="Normal 9 3 2 2 5 2 4" xfId="20950" xr:uid="{AEF1287B-C718-4113-B3C6-72C91E930FAD}"/>
    <cellStyle name="Normal 9 3 2 2 5 2 5" xfId="29390" xr:uid="{0BA5703F-8AEF-4386-97BE-19FD60B4AE52}"/>
    <cellStyle name="Normal 9 3 2 2 5 3" xfId="6132" xr:uid="{00000000-0005-0000-0000-0000CB1F0000}"/>
    <cellStyle name="Normal 9 3 2 2 5 3 2" xfId="14582" xr:uid="{2939B5C8-7A30-4DF6-A29C-0EF0BFA0D3AA}"/>
    <cellStyle name="Normal 9 3 2 2 5 3 3" xfId="23022" xr:uid="{ABF3E281-5B88-468E-88CF-7C36695D4E2D}"/>
    <cellStyle name="Normal 9 3 2 2 5 3 4" xfId="31462" xr:uid="{A837CA58-4A41-48EE-A285-8E017521CEF9}"/>
    <cellStyle name="Normal 9 3 2 2 5 4" xfId="10364" xr:uid="{26580F77-4BCD-4010-B9FB-A9EB97F35D3A}"/>
    <cellStyle name="Normal 9 3 2 2 5 5" xfId="18805" xr:uid="{A4833A37-99C8-4043-9F07-6E8B0349C73F}"/>
    <cellStyle name="Normal 9 3 2 2 5 6" xfId="27245" xr:uid="{B33B40CD-3C8D-4323-BBD9-1F418B36D8D6}"/>
    <cellStyle name="Normal 9 3 2 2 6" xfId="2239" xr:uid="{00000000-0005-0000-0000-0000CC1F0000}"/>
    <cellStyle name="Normal 9 3 2 2 6 2" xfId="4468" xr:uid="{00000000-0005-0000-0000-0000CD1F0000}"/>
    <cellStyle name="Normal 9 3 2 2 6 2 2" xfId="8690" xr:uid="{00000000-0005-0000-0000-0000CE1F0000}"/>
    <cellStyle name="Normal 9 3 2 2 6 2 2 2" xfId="17140" xr:uid="{BAF789AF-4743-469B-BB3F-DA70E3071BCC}"/>
    <cellStyle name="Normal 9 3 2 2 6 2 2 3" xfId="25580" xr:uid="{572AEFA9-1775-447E-96E3-B4A46C0F6AB2}"/>
    <cellStyle name="Normal 9 3 2 2 6 2 2 4" xfId="34020" xr:uid="{6D9AB63C-F4EA-4E88-8E81-89B0FA947205}"/>
    <cellStyle name="Normal 9 3 2 2 6 2 3" xfId="12922" xr:uid="{EBC7391F-46C3-464B-9DA2-F25237586A83}"/>
    <cellStyle name="Normal 9 3 2 2 6 2 4" xfId="21363" xr:uid="{89A44B13-5DEE-451D-8230-69197D7383D6}"/>
    <cellStyle name="Normal 9 3 2 2 6 2 5" xfId="29803" xr:uid="{96AEBDB2-F3F6-4E2E-B6AF-593F7F9F0556}"/>
    <cellStyle name="Normal 9 3 2 2 6 3" xfId="6545" xr:uid="{00000000-0005-0000-0000-0000CF1F0000}"/>
    <cellStyle name="Normal 9 3 2 2 6 3 2" xfId="14995" xr:uid="{CF0494F7-CDE8-4F20-A694-6F8538E2E892}"/>
    <cellStyle name="Normal 9 3 2 2 6 3 3" xfId="23435" xr:uid="{BD84176A-6366-4E5D-ACDD-F92D8B2EBF4A}"/>
    <cellStyle name="Normal 9 3 2 2 6 3 4" xfId="31875" xr:uid="{359DA2C1-A375-4F34-9AB7-19D00226E069}"/>
    <cellStyle name="Normal 9 3 2 2 6 4" xfId="10777" xr:uid="{0B8D64A3-3BFD-431E-9FD7-4FEB65B7A2A7}"/>
    <cellStyle name="Normal 9 3 2 2 6 5" xfId="19218" xr:uid="{0FDB010D-6B95-48B7-84EF-E5E74E51C10C}"/>
    <cellStyle name="Normal 9 3 2 2 6 6" xfId="27658" xr:uid="{2E1530D2-09A0-4914-B211-5CCE4AC2D1CE}"/>
    <cellStyle name="Normal 9 3 2 2 7" xfId="2675" xr:uid="{00000000-0005-0000-0000-0000D01F0000}"/>
    <cellStyle name="Normal 9 3 2 2 7 2" xfId="6958" xr:uid="{00000000-0005-0000-0000-0000D11F0000}"/>
    <cellStyle name="Normal 9 3 2 2 7 2 2" xfId="15408" xr:uid="{AFD8F64F-590B-4795-8B5D-9D0D48D9776F}"/>
    <cellStyle name="Normal 9 3 2 2 7 2 3" xfId="23848" xr:uid="{3BC3AE44-9D43-4238-AB30-60638CAA5E6D}"/>
    <cellStyle name="Normal 9 3 2 2 7 2 4" xfId="32288" xr:uid="{B3551D20-691E-43A1-8106-17015EFFC011}"/>
    <cellStyle name="Normal 9 3 2 2 7 3" xfId="11190" xr:uid="{EB7F2525-807F-4615-A3DD-07FED6786FBB}"/>
    <cellStyle name="Normal 9 3 2 2 7 4" xfId="19631" xr:uid="{64B36F0C-7719-4EB7-9A74-1771148EC237}"/>
    <cellStyle name="Normal 9 3 2 2 7 5" xfId="28071" xr:uid="{910E602A-2225-4C77-BCCB-34D2903C01A8}"/>
    <cellStyle name="Normal 9 3 2 2 8" xfId="4893" xr:uid="{00000000-0005-0000-0000-0000D21F0000}"/>
    <cellStyle name="Normal 9 3 2 2 8 2" xfId="13343" xr:uid="{7E700F61-0515-46F1-8FE1-4761CF7B74D2}"/>
    <cellStyle name="Normal 9 3 2 2 8 3" xfId="21783" xr:uid="{1157D21E-59E7-4A3C-86C6-A5314DF0E473}"/>
    <cellStyle name="Normal 9 3 2 2 8 4" xfId="30223" xr:uid="{36E5FFE9-B24B-4B73-957F-145065638911}"/>
    <cellStyle name="Normal 9 3 2 2 9" xfId="9125" xr:uid="{B4C512C8-3601-49D8-8492-AA43F87FA5CD}"/>
    <cellStyle name="Normal 9 3 2 3" xfId="531" xr:uid="{00000000-0005-0000-0000-0000D31F0000}"/>
    <cellStyle name="Normal 9 3 2 3 10" xfId="26008" xr:uid="{AD6AF37E-4937-42BB-B60D-BCFB74A721A4}"/>
    <cellStyle name="Normal 9 3 2 3 2" xfId="998" xr:uid="{00000000-0005-0000-0000-0000D41F0000}"/>
    <cellStyle name="Normal 9 3 2 3 2 2" xfId="3231" xr:uid="{00000000-0005-0000-0000-0000D51F0000}"/>
    <cellStyle name="Normal 9 3 2 3 2 2 2" xfId="7453" xr:uid="{00000000-0005-0000-0000-0000D61F0000}"/>
    <cellStyle name="Normal 9 3 2 3 2 2 2 2" xfId="15903" xr:uid="{6792A2E2-0F97-4414-9642-28ABF39D34E5}"/>
    <cellStyle name="Normal 9 3 2 3 2 2 2 3" xfId="24343" xr:uid="{6ADA9CA1-9E1B-4821-8509-031CE69790EB}"/>
    <cellStyle name="Normal 9 3 2 3 2 2 2 4" xfId="32783" xr:uid="{B853D840-B3A9-4727-9AC1-46009474F661}"/>
    <cellStyle name="Normal 9 3 2 3 2 2 3" xfId="11685" xr:uid="{BC0F74E4-6CBD-4840-B06B-132B862DD12C}"/>
    <cellStyle name="Normal 9 3 2 3 2 2 4" xfId="20126" xr:uid="{CE8CFF1F-7492-4D94-A010-C69A6C33FCDE}"/>
    <cellStyle name="Normal 9 3 2 3 2 2 5" xfId="28566" xr:uid="{841E8308-14EC-4414-AB81-CA9F0E980BE2}"/>
    <cellStyle name="Normal 9 3 2 3 2 3" xfId="5308" xr:uid="{00000000-0005-0000-0000-0000D71F0000}"/>
    <cellStyle name="Normal 9 3 2 3 2 3 2" xfId="13758" xr:uid="{38719F2B-A231-4E79-859F-94A5980E2BED}"/>
    <cellStyle name="Normal 9 3 2 3 2 3 3" xfId="22198" xr:uid="{5855D98F-4FEE-4CF2-9485-6672D84831C6}"/>
    <cellStyle name="Normal 9 3 2 3 2 3 4" xfId="30638" xr:uid="{282F755D-FCAA-4FAF-AE55-D5B7BBBEB381}"/>
    <cellStyle name="Normal 9 3 2 3 2 4" xfId="9540" xr:uid="{E74F9B81-F0B6-48BF-AF8D-0171FA11F150}"/>
    <cellStyle name="Normal 9 3 2 3 2 5" xfId="17981" xr:uid="{ABE88695-B0FB-4EB8-981E-51CF43342617}"/>
    <cellStyle name="Normal 9 3 2 3 2 6" xfId="26421" xr:uid="{54F01D24-2D73-4DF1-B8D9-2DA76E45E5DB}"/>
    <cellStyle name="Normal 9 3 2 3 3" xfId="1414" xr:uid="{00000000-0005-0000-0000-0000D81F0000}"/>
    <cellStyle name="Normal 9 3 2 3 3 2" xfId="3644" xr:uid="{00000000-0005-0000-0000-0000D91F0000}"/>
    <cellStyle name="Normal 9 3 2 3 3 2 2" xfId="7866" xr:uid="{00000000-0005-0000-0000-0000DA1F0000}"/>
    <cellStyle name="Normal 9 3 2 3 3 2 2 2" xfId="16316" xr:uid="{29B05A10-8795-4AB5-BADD-EDE182D2886D}"/>
    <cellStyle name="Normal 9 3 2 3 3 2 2 3" xfId="24756" xr:uid="{E4E3CD5D-93A3-4FE3-BB67-B89186D6E437}"/>
    <cellStyle name="Normal 9 3 2 3 3 2 2 4" xfId="33196" xr:uid="{039D1FB7-6201-48D2-B3A9-376315D3E06A}"/>
    <cellStyle name="Normal 9 3 2 3 3 2 3" xfId="12098" xr:uid="{C065D2FA-7A0B-4F26-A318-92414B212633}"/>
    <cellStyle name="Normal 9 3 2 3 3 2 4" xfId="20539" xr:uid="{095F20D5-C537-45FC-9E16-0052FDF6CA2C}"/>
    <cellStyle name="Normal 9 3 2 3 3 2 5" xfId="28979" xr:uid="{0475552E-0D32-4C97-ADFB-E66E06FB4934}"/>
    <cellStyle name="Normal 9 3 2 3 3 3" xfId="5721" xr:uid="{00000000-0005-0000-0000-0000DB1F0000}"/>
    <cellStyle name="Normal 9 3 2 3 3 3 2" xfId="14171" xr:uid="{55AC8279-0CFB-4828-838F-EAEDD398BF01}"/>
    <cellStyle name="Normal 9 3 2 3 3 3 3" xfId="22611" xr:uid="{8AAA058F-1812-44F3-B4BC-D5398DBE36AD}"/>
    <cellStyle name="Normal 9 3 2 3 3 3 4" xfId="31051" xr:uid="{380801A3-4733-49C6-99F2-918AB4597B1B}"/>
    <cellStyle name="Normal 9 3 2 3 3 4" xfId="9953" xr:uid="{C6350A39-1383-4DD7-8158-67F8CBF906D6}"/>
    <cellStyle name="Normal 9 3 2 3 3 5" xfId="18394" xr:uid="{BBD82642-CBD7-4955-8F08-F4267020C223}"/>
    <cellStyle name="Normal 9 3 2 3 3 6" xfId="26834" xr:uid="{414517AF-A12A-4116-957F-546B3A6164ED}"/>
    <cellStyle name="Normal 9 3 2 3 4" xfId="1827" xr:uid="{00000000-0005-0000-0000-0000DC1F0000}"/>
    <cellStyle name="Normal 9 3 2 3 4 2" xfId="4057" xr:uid="{00000000-0005-0000-0000-0000DD1F0000}"/>
    <cellStyle name="Normal 9 3 2 3 4 2 2" xfId="8279" xr:uid="{00000000-0005-0000-0000-0000DE1F0000}"/>
    <cellStyle name="Normal 9 3 2 3 4 2 2 2" xfId="16729" xr:uid="{3B5632E4-ACDE-4418-AC66-993A0F245C7D}"/>
    <cellStyle name="Normal 9 3 2 3 4 2 2 3" xfId="25169" xr:uid="{80E3D6F2-D85A-4ACD-BC90-7A5AFE7058D1}"/>
    <cellStyle name="Normal 9 3 2 3 4 2 2 4" xfId="33609" xr:uid="{37E3DDF2-FDA0-41B9-BE82-76BAE9A07D5F}"/>
    <cellStyle name="Normal 9 3 2 3 4 2 3" xfId="12511" xr:uid="{BD0EE883-8E56-4043-B350-BEFCF920B554}"/>
    <cellStyle name="Normal 9 3 2 3 4 2 4" xfId="20952" xr:uid="{90234D85-82BB-48DC-A057-051D10187017}"/>
    <cellStyle name="Normal 9 3 2 3 4 2 5" xfId="29392" xr:uid="{2F0625A9-80A2-4546-A530-4BAD5A4F734B}"/>
    <cellStyle name="Normal 9 3 2 3 4 3" xfId="6134" xr:uid="{00000000-0005-0000-0000-0000DF1F0000}"/>
    <cellStyle name="Normal 9 3 2 3 4 3 2" xfId="14584" xr:uid="{47004538-B726-472E-BA57-ADFA57908876}"/>
    <cellStyle name="Normal 9 3 2 3 4 3 3" xfId="23024" xr:uid="{B26C855F-932B-4DA4-8DFE-6F023FCA04B0}"/>
    <cellStyle name="Normal 9 3 2 3 4 3 4" xfId="31464" xr:uid="{16B9A24C-C132-40F5-BCB8-9D408C93AE7A}"/>
    <cellStyle name="Normal 9 3 2 3 4 4" xfId="10366" xr:uid="{EA48E240-C2C4-4AE1-9EAB-96BFCE0AD91D}"/>
    <cellStyle name="Normal 9 3 2 3 4 5" xfId="18807" xr:uid="{BFF46D17-E285-4972-A4A0-5131AFE08533}"/>
    <cellStyle name="Normal 9 3 2 3 4 6" xfId="27247" xr:uid="{DE5E4FF8-C095-4185-8396-40023EAE125E}"/>
    <cellStyle name="Normal 9 3 2 3 5" xfId="2241" xr:uid="{00000000-0005-0000-0000-0000E01F0000}"/>
    <cellStyle name="Normal 9 3 2 3 5 2" xfId="4470" xr:uid="{00000000-0005-0000-0000-0000E11F0000}"/>
    <cellStyle name="Normal 9 3 2 3 5 2 2" xfId="8692" xr:uid="{00000000-0005-0000-0000-0000E21F0000}"/>
    <cellStyle name="Normal 9 3 2 3 5 2 2 2" xfId="17142" xr:uid="{58855129-2750-48D5-894E-FF76519C358D}"/>
    <cellStyle name="Normal 9 3 2 3 5 2 2 3" xfId="25582" xr:uid="{4C2D3CC0-7587-42E8-80D3-9E60D162B403}"/>
    <cellStyle name="Normal 9 3 2 3 5 2 2 4" xfId="34022" xr:uid="{8489A0E0-3232-4670-AD5B-125349BA070D}"/>
    <cellStyle name="Normal 9 3 2 3 5 2 3" xfId="12924" xr:uid="{4BAABA7F-4197-4FB8-A6B7-B70519C542BB}"/>
    <cellStyle name="Normal 9 3 2 3 5 2 4" xfId="21365" xr:uid="{5D390AC8-EFE8-4BD3-BA5A-1B0FA4A2FBA3}"/>
    <cellStyle name="Normal 9 3 2 3 5 2 5" xfId="29805" xr:uid="{48253E61-5005-40BF-8331-A43643207E61}"/>
    <cellStyle name="Normal 9 3 2 3 5 3" xfId="6547" xr:uid="{00000000-0005-0000-0000-0000E31F0000}"/>
    <cellStyle name="Normal 9 3 2 3 5 3 2" xfId="14997" xr:uid="{60E5B942-8DFC-4067-B3C5-D1C0CB24FD7A}"/>
    <cellStyle name="Normal 9 3 2 3 5 3 3" xfId="23437" xr:uid="{926D8E2F-7310-4BDB-832E-5D057CC01955}"/>
    <cellStyle name="Normal 9 3 2 3 5 3 4" xfId="31877" xr:uid="{B2A5650E-7C65-4661-B901-5700AC198256}"/>
    <cellStyle name="Normal 9 3 2 3 5 4" xfId="10779" xr:uid="{F9A549A7-E248-43A7-A1A8-124C61A633B9}"/>
    <cellStyle name="Normal 9 3 2 3 5 5" xfId="19220" xr:uid="{00E02C59-A08B-4778-94FC-CDA3BDC32737}"/>
    <cellStyle name="Normal 9 3 2 3 5 6" xfId="27660" xr:uid="{67D8C670-5CC3-4576-BB0E-F0B6B782CDDF}"/>
    <cellStyle name="Normal 9 3 2 3 6" xfId="2677" xr:uid="{00000000-0005-0000-0000-0000E41F0000}"/>
    <cellStyle name="Normal 9 3 2 3 6 2" xfId="6960" xr:uid="{00000000-0005-0000-0000-0000E51F0000}"/>
    <cellStyle name="Normal 9 3 2 3 6 2 2" xfId="15410" xr:uid="{EC2D433B-13A3-443F-AE3F-3AA486422667}"/>
    <cellStyle name="Normal 9 3 2 3 6 2 3" xfId="23850" xr:uid="{AC755620-2BFB-483A-BA2B-80391D624309}"/>
    <cellStyle name="Normal 9 3 2 3 6 2 4" xfId="32290" xr:uid="{04691132-B1AF-48BC-A1FA-69148037A8AA}"/>
    <cellStyle name="Normal 9 3 2 3 6 3" xfId="11192" xr:uid="{70FA83BF-F661-4377-A0F4-20414C4D3BE3}"/>
    <cellStyle name="Normal 9 3 2 3 6 4" xfId="19633" xr:uid="{0B420035-39F1-4DD5-A438-FB594FD86964}"/>
    <cellStyle name="Normal 9 3 2 3 6 5" xfId="28073" xr:uid="{5C172B09-6CF7-44DE-8339-BDA0164890A9}"/>
    <cellStyle name="Normal 9 3 2 3 7" xfId="4895" xr:uid="{00000000-0005-0000-0000-0000E61F0000}"/>
    <cellStyle name="Normal 9 3 2 3 7 2" xfId="13345" xr:uid="{205C85A1-BB25-413B-9DFD-BD2ED21B8E16}"/>
    <cellStyle name="Normal 9 3 2 3 7 3" xfId="21785" xr:uid="{B329F871-3ADF-4251-B804-8F27A9631978}"/>
    <cellStyle name="Normal 9 3 2 3 7 4" xfId="30225" xr:uid="{E6947D71-6CA2-4F25-8653-FCAFB68EFA81}"/>
    <cellStyle name="Normal 9 3 2 3 8" xfId="9127" xr:uid="{7227D02D-E7E9-4512-910B-304AB2996F58}"/>
    <cellStyle name="Normal 9 3 2 3 9" xfId="17568" xr:uid="{EE5944F9-7118-4747-AA55-29808F04EBA7}"/>
    <cellStyle name="Normal 9 3 2 4" xfId="995" xr:uid="{00000000-0005-0000-0000-0000E71F0000}"/>
    <cellStyle name="Normal 9 3 2 4 2" xfId="3228" xr:uid="{00000000-0005-0000-0000-0000E81F0000}"/>
    <cellStyle name="Normal 9 3 2 4 2 2" xfId="7450" xr:uid="{00000000-0005-0000-0000-0000E91F0000}"/>
    <cellStyle name="Normal 9 3 2 4 2 2 2" xfId="15900" xr:uid="{74B01516-1E2F-4594-A986-CFD522E6DFB3}"/>
    <cellStyle name="Normal 9 3 2 4 2 2 3" xfId="24340" xr:uid="{9B229687-91D5-43E3-8F60-95586D3E6E01}"/>
    <cellStyle name="Normal 9 3 2 4 2 2 4" xfId="32780" xr:uid="{30834477-9B23-479D-AE04-4D0E68527193}"/>
    <cellStyle name="Normal 9 3 2 4 2 3" xfId="11682" xr:uid="{D09D2CD7-9C41-4D6F-B9B2-A28418AEBB2E}"/>
    <cellStyle name="Normal 9 3 2 4 2 4" xfId="20123" xr:uid="{456B8121-3077-4497-9941-3B87AE4AEFD6}"/>
    <cellStyle name="Normal 9 3 2 4 2 5" xfId="28563" xr:uid="{90028CB2-4C00-4C0E-8DEA-AA424CEE7D83}"/>
    <cellStyle name="Normal 9 3 2 4 3" xfId="5305" xr:uid="{00000000-0005-0000-0000-0000EA1F0000}"/>
    <cellStyle name="Normal 9 3 2 4 3 2" xfId="13755" xr:uid="{CC10B056-9E57-42C1-A1D8-924C93D63916}"/>
    <cellStyle name="Normal 9 3 2 4 3 3" xfId="22195" xr:uid="{D92E1C0C-91A2-424A-9852-3F191447BC67}"/>
    <cellStyle name="Normal 9 3 2 4 3 4" xfId="30635" xr:uid="{30F7F64A-24E7-427B-B4BD-0C81EFEDDEE6}"/>
    <cellStyle name="Normal 9 3 2 4 4" xfId="9537" xr:uid="{2E4EAA81-DA1E-41D7-AD43-338E5CFEF0F7}"/>
    <cellStyle name="Normal 9 3 2 4 5" xfId="17978" xr:uid="{066E355E-97AB-4197-B8A6-DFB4E11E8069}"/>
    <cellStyle name="Normal 9 3 2 4 6" xfId="26418" xr:uid="{A82CE4AD-CEF6-4B35-A3BC-ACE01899B205}"/>
    <cellStyle name="Normal 9 3 2 5" xfId="1411" xr:uid="{00000000-0005-0000-0000-0000EB1F0000}"/>
    <cellStyle name="Normal 9 3 2 5 2" xfId="3641" xr:uid="{00000000-0005-0000-0000-0000EC1F0000}"/>
    <cellStyle name="Normal 9 3 2 5 2 2" xfId="7863" xr:uid="{00000000-0005-0000-0000-0000ED1F0000}"/>
    <cellStyle name="Normal 9 3 2 5 2 2 2" xfId="16313" xr:uid="{9E83F658-B597-4149-BC89-7C2F62F59C47}"/>
    <cellStyle name="Normal 9 3 2 5 2 2 3" xfId="24753" xr:uid="{E7EA1C53-DC72-4C90-A620-2669F9D1DDD0}"/>
    <cellStyle name="Normal 9 3 2 5 2 2 4" xfId="33193" xr:uid="{C6C36C61-03EE-410C-A5A7-3C684B273A1A}"/>
    <cellStyle name="Normal 9 3 2 5 2 3" xfId="12095" xr:uid="{7A0D321F-B9B0-4E23-804B-340C5518D066}"/>
    <cellStyle name="Normal 9 3 2 5 2 4" xfId="20536" xr:uid="{5604A13B-3B83-4E8F-997C-A34BD1F8EFF6}"/>
    <cellStyle name="Normal 9 3 2 5 2 5" xfId="28976" xr:uid="{4D741138-9C57-41A1-A717-B295788852D8}"/>
    <cellStyle name="Normal 9 3 2 5 3" xfId="5718" xr:uid="{00000000-0005-0000-0000-0000EE1F0000}"/>
    <cellStyle name="Normal 9 3 2 5 3 2" xfId="14168" xr:uid="{C8F35908-46CC-45A5-ABE9-4159D9DF20C3}"/>
    <cellStyle name="Normal 9 3 2 5 3 3" xfId="22608" xr:uid="{A1EE97C5-D355-469C-A584-8746CFB45251}"/>
    <cellStyle name="Normal 9 3 2 5 3 4" xfId="31048" xr:uid="{9ABBB5A7-2833-4D2E-91E6-D5F0C0ED9279}"/>
    <cellStyle name="Normal 9 3 2 5 4" xfId="9950" xr:uid="{71AEC8E5-FF92-40E3-A4B7-28BBD920DB8A}"/>
    <cellStyle name="Normal 9 3 2 5 5" xfId="18391" xr:uid="{AA3DC5F4-A63E-446D-932C-4A2E30D43A64}"/>
    <cellStyle name="Normal 9 3 2 5 6" xfId="26831" xr:uid="{3AB8666B-D437-4324-A2BD-C3C0625CD8D9}"/>
    <cellStyle name="Normal 9 3 2 6" xfId="1824" xr:uid="{00000000-0005-0000-0000-0000EF1F0000}"/>
    <cellStyle name="Normal 9 3 2 6 2" xfId="4054" xr:uid="{00000000-0005-0000-0000-0000F01F0000}"/>
    <cellStyle name="Normal 9 3 2 6 2 2" xfId="8276" xr:uid="{00000000-0005-0000-0000-0000F11F0000}"/>
    <cellStyle name="Normal 9 3 2 6 2 2 2" xfId="16726" xr:uid="{0F73D811-497F-4E2C-A869-5A43C742A67C}"/>
    <cellStyle name="Normal 9 3 2 6 2 2 3" xfId="25166" xr:uid="{CCBE3381-A3DA-4671-AEE2-99F64179F4F1}"/>
    <cellStyle name="Normal 9 3 2 6 2 2 4" xfId="33606" xr:uid="{183E5CB7-7A14-43B9-ACE3-737EF979FCC6}"/>
    <cellStyle name="Normal 9 3 2 6 2 3" xfId="12508" xr:uid="{CAD7BF15-A630-4A0E-8562-5B0373A6FCA2}"/>
    <cellStyle name="Normal 9 3 2 6 2 4" xfId="20949" xr:uid="{84D3EAB8-B30A-4C2C-A8BC-F3A5768C96E9}"/>
    <cellStyle name="Normal 9 3 2 6 2 5" xfId="29389" xr:uid="{3BC78A84-49D4-4A3D-A79A-4CE51E72F361}"/>
    <cellStyle name="Normal 9 3 2 6 3" xfId="6131" xr:uid="{00000000-0005-0000-0000-0000F21F0000}"/>
    <cellStyle name="Normal 9 3 2 6 3 2" xfId="14581" xr:uid="{749A3460-A87C-42FA-B7FF-D797ADF36E16}"/>
    <cellStyle name="Normal 9 3 2 6 3 3" xfId="23021" xr:uid="{F792D426-0233-42E6-95C3-DDAABC594F58}"/>
    <cellStyle name="Normal 9 3 2 6 3 4" xfId="31461" xr:uid="{5E7CF570-E877-4078-8D0A-7235AF465B0D}"/>
    <cellStyle name="Normal 9 3 2 6 4" xfId="10363" xr:uid="{D2677341-5EA6-4C00-9447-2881D945D4B2}"/>
    <cellStyle name="Normal 9 3 2 6 5" xfId="18804" xr:uid="{548594E4-CDFE-4D3D-97FA-A200CCB07BD4}"/>
    <cellStyle name="Normal 9 3 2 6 6" xfId="27244" xr:uid="{FFF0050B-8AA7-4A06-83F6-37499938447C}"/>
    <cellStyle name="Normal 9 3 2 7" xfId="2238" xr:uid="{00000000-0005-0000-0000-0000F31F0000}"/>
    <cellStyle name="Normal 9 3 2 7 2" xfId="4467" xr:uid="{00000000-0005-0000-0000-0000F41F0000}"/>
    <cellStyle name="Normal 9 3 2 7 2 2" xfId="8689" xr:uid="{00000000-0005-0000-0000-0000F51F0000}"/>
    <cellStyle name="Normal 9 3 2 7 2 2 2" xfId="17139" xr:uid="{1270A098-ACF9-4E19-9804-1986FCC43995}"/>
    <cellStyle name="Normal 9 3 2 7 2 2 3" xfId="25579" xr:uid="{9BBE6B88-2C12-4331-9EFD-D1A0E5A7335B}"/>
    <cellStyle name="Normal 9 3 2 7 2 2 4" xfId="34019" xr:uid="{42B93313-C7DE-4BE0-BFCC-E7DC26DE0018}"/>
    <cellStyle name="Normal 9 3 2 7 2 3" xfId="12921" xr:uid="{E192C51F-BDBF-4558-BF85-6982446776F0}"/>
    <cellStyle name="Normal 9 3 2 7 2 4" xfId="21362" xr:uid="{12117095-E15B-42AC-9505-A90B425503E6}"/>
    <cellStyle name="Normal 9 3 2 7 2 5" xfId="29802" xr:uid="{414AFB64-F25C-4916-B23F-9BAD65A8A7CA}"/>
    <cellStyle name="Normal 9 3 2 7 3" xfId="6544" xr:uid="{00000000-0005-0000-0000-0000F61F0000}"/>
    <cellStyle name="Normal 9 3 2 7 3 2" xfId="14994" xr:uid="{9E1502AA-564F-4B6A-A695-750BF4ABA59D}"/>
    <cellStyle name="Normal 9 3 2 7 3 3" xfId="23434" xr:uid="{E59100AD-2628-45E1-8F92-B10502FF78AE}"/>
    <cellStyle name="Normal 9 3 2 7 3 4" xfId="31874" xr:uid="{5557D3F6-BDDE-4D81-A9A8-A1FF90857CBE}"/>
    <cellStyle name="Normal 9 3 2 7 4" xfId="10776" xr:uid="{C5674E4A-E74D-4D50-AF39-D1E0485223A5}"/>
    <cellStyle name="Normal 9 3 2 7 5" xfId="19217" xr:uid="{7447EF62-3AFC-4AC0-BB81-019D838D54DC}"/>
    <cellStyle name="Normal 9 3 2 7 6" xfId="27657" xr:uid="{EB0A91B9-B34E-4466-A29A-EEB5CA43C5E6}"/>
    <cellStyle name="Normal 9 3 2 8" xfId="2674" xr:uid="{00000000-0005-0000-0000-0000F71F0000}"/>
    <cellStyle name="Normal 9 3 2 8 2" xfId="6957" xr:uid="{00000000-0005-0000-0000-0000F81F0000}"/>
    <cellStyle name="Normal 9 3 2 8 2 2" xfId="15407" xr:uid="{C347FD08-A2EE-4624-862C-356A2003D7FE}"/>
    <cellStyle name="Normal 9 3 2 8 2 3" xfId="23847" xr:uid="{9446AC6F-6EB0-4278-B47D-F2F2EFF3F2DA}"/>
    <cellStyle name="Normal 9 3 2 8 2 4" xfId="32287" xr:uid="{F4CB22A5-8B3D-4DC9-9335-D4A396F59DE2}"/>
    <cellStyle name="Normal 9 3 2 8 3" xfId="11189" xr:uid="{4C026D95-09A5-4162-A0E1-6AF7B907EE01}"/>
    <cellStyle name="Normal 9 3 2 8 4" xfId="19630" xr:uid="{76E3C56A-E8AD-477F-BF1C-AEE271C5044B}"/>
    <cellStyle name="Normal 9 3 2 8 5" xfId="28070" xr:uid="{60F97969-5B26-4D4E-8E91-B8008F1863BF}"/>
    <cellStyle name="Normal 9 3 2 9" xfId="4892" xr:uid="{00000000-0005-0000-0000-0000F91F0000}"/>
    <cellStyle name="Normal 9 3 2 9 2" xfId="13342" xr:uid="{831CE0D8-D75E-4DE6-8C30-7B229820F07B}"/>
    <cellStyle name="Normal 9 3 2 9 3" xfId="21782" xr:uid="{F90C6E05-C515-418A-8273-E0DC7AFECC11}"/>
    <cellStyle name="Normal 9 3 2 9 4" xfId="30222" xr:uid="{6919D3BB-C3F5-4966-ACDC-A4788572AB75}"/>
    <cellStyle name="Normal 9 3 3" xfId="532" xr:uid="{00000000-0005-0000-0000-0000FA1F0000}"/>
    <cellStyle name="Normal 9 3 3 10" xfId="17569" xr:uid="{E8DC44BC-BDFF-4515-BC28-751428B5BD2C}"/>
    <cellStyle name="Normal 9 3 3 11" xfId="26009" xr:uid="{B4159A1C-3DB2-462F-9C15-F783D1ABF928}"/>
    <cellStyle name="Normal 9 3 3 2" xfId="533" xr:uid="{00000000-0005-0000-0000-0000FB1F0000}"/>
    <cellStyle name="Normal 9 3 3 2 10" xfId="26010" xr:uid="{884DA239-5F74-4707-AB9B-F61349246241}"/>
    <cellStyle name="Normal 9 3 3 2 2" xfId="1000" xr:uid="{00000000-0005-0000-0000-0000FC1F0000}"/>
    <cellStyle name="Normal 9 3 3 2 2 2" xfId="3233" xr:uid="{00000000-0005-0000-0000-0000FD1F0000}"/>
    <cellStyle name="Normal 9 3 3 2 2 2 2" xfId="7455" xr:uid="{00000000-0005-0000-0000-0000FE1F0000}"/>
    <cellStyle name="Normal 9 3 3 2 2 2 2 2" xfId="15905" xr:uid="{E0A0FF33-E027-4FCD-A54E-DCD77C812105}"/>
    <cellStyle name="Normal 9 3 3 2 2 2 2 3" xfId="24345" xr:uid="{5E0E1975-52C4-4CBB-9EE8-0D7FAE09143A}"/>
    <cellStyle name="Normal 9 3 3 2 2 2 2 4" xfId="32785" xr:uid="{2282638E-955C-469C-B535-EAD0817045F3}"/>
    <cellStyle name="Normal 9 3 3 2 2 2 3" xfId="11687" xr:uid="{4A2DB365-DF2B-42CD-957A-917F15507E50}"/>
    <cellStyle name="Normal 9 3 3 2 2 2 4" xfId="20128" xr:uid="{690F9058-A2E5-4B41-80C2-E6CC971557DF}"/>
    <cellStyle name="Normal 9 3 3 2 2 2 5" xfId="28568" xr:uid="{005870D6-426F-4CDE-8E03-AB3026233E71}"/>
    <cellStyle name="Normal 9 3 3 2 2 3" xfId="5310" xr:uid="{00000000-0005-0000-0000-0000FF1F0000}"/>
    <cellStyle name="Normal 9 3 3 2 2 3 2" xfId="13760" xr:uid="{39E17684-7720-485A-B097-E051963F9C62}"/>
    <cellStyle name="Normal 9 3 3 2 2 3 3" xfId="22200" xr:uid="{D2D49C7B-CE60-430E-89E3-BFB8D172D902}"/>
    <cellStyle name="Normal 9 3 3 2 2 3 4" xfId="30640" xr:uid="{A1B34C01-C613-4E94-92BA-610E8691CE0B}"/>
    <cellStyle name="Normal 9 3 3 2 2 4" xfId="9542" xr:uid="{7F606624-46D4-49F6-BF8C-1D4D6DFA081D}"/>
    <cellStyle name="Normal 9 3 3 2 2 5" xfId="17983" xr:uid="{1A02C185-856E-4E81-9821-F65601DDDB47}"/>
    <cellStyle name="Normal 9 3 3 2 2 6" xfId="26423" xr:uid="{366EAB8D-48FE-4C6A-8613-03C55DDEAC01}"/>
    <cellStyle name="Normal 9 3 3 2 3" xfId="1416" xr:uid="{00000000-0005-0000-0000-000000200000}"/>
    <cellStyle name="Normal 9 3 3 2 3 2" xfId="3646" xr:uid="{00000000-0005-0000-0000-000001200000}"/>
    <cellStyle name="Normal 9 3 3 2 3 2 2" xfId="7868" xr:uid="{00000000-0005-0000-0000-000002200000}"/>
    <cellStyle name="Normal 9 3 3 2 3 2 2 2" xfId="16318" xr:uid="{F0F0D889-BBCE-4465-98FB-C4DE84661B15}"/>
    <cellStyle name="Normal 9 3 3 2 3 2 2 3" xfId="24758" xr:uid="{187EAF77-AB50-40F6-A5C6-4DA2B4D5C78A}"/>
    <cellStyle name="Normal 9 3 3 2 3 2 2 4" xfId="33198" xr:uid="{7984E6F1-37D9-4FF6-BB0F-CA520390D1F2}"/>
    <cellStyle name="Normal 9 3 3 2 3 2 3" xfId="12100" xr:uid="{6024A3A3-EAAA-4C9F-9B7F-B0781C598E42}"/>
    <cellStyle name="Normal 9 3 3 2 3 2 4" xfId="20541" xr:uid="{CB83EAAB-1D31-44B5-BDC4-4E4AEBD5C2C5}"/>
    <cellStyle name="Normal 9 3 3 2 3 2 5" xfId="28981" xr:uid="{972D9A1D-B4AF-4FBB-A3D6-9B9CA02F9025}"/>
    <cellStyle name="Normal 9 3 3 2 3 3" xfId="5723" xr:uid="{00000000-0005-0000-0000-000003200000}"/>
    <cellStyle name="Normal 9 3 3 2 3 3 2" xfId="14173" xr:uid="{FCAAFC6A-2E3F-46B3-B0A4-BCE09AD061A3}"/>
    <cellStyle name="Normal 9 3 3 2 3 3 3" xfId="22613" xr:uid="{BE669482-0078-4DAA-89A1-6D97426038E5}"/>
    <cellStyle name="Normal 9 3 3 2 3 3 4" xfId="31053" xr:uid="{AA15C6BE-99F5-44E7-9713-56746E311F6C}"/>
    <cellStyle name="Normal 9 3 3 2 3 4" xfId="9955" xr:uid="{4F83B292-BA3F-4498-AB68-AE02E01A15FB}"/>
    <cellStyle name="Normal 9 3 3 2 3 5" xfId="18396" xr:uid="{AC4E0233-F2C2-497C-9A5F-7B3D956BE225}"/>
    <cellStyle name="Normal 9 3 3 2 3 6" xfId="26836" xr:uid="{EA04EC15-37FB-473F-BD95-7E5005AE74C7}"/>
    <cellStyle name="Normal 9 3 3 2 4" xfId="1829" xr:uid="{00000000-0005-0000-0000-000004200000}"/>
    <cellStyle name="Normal 9 3 3 2 4 2" xfId="4059" xr:uid="{00000000-0005-0000-0000-000005200000}"/>
    <cellStyle name="Normal 9 3 3 2 4 2 2" xfId="8281" xr:uid="{00000000-0005-0000-0000-000006200000}"/>
    <cellStyle name="Normal 9 3 3 2 4 2 2 2" xfId="16731" xr:uid="{9785A73E-7738-44D3-9D24-221A00925BEB}"/>
    <cellStyle name="Normal 9 3 3 2 4 2 2 3" xfId="25171" xr:uid="{6ED1D8BB-AB03-4561-A41B-36B9D2AF85AF}"/>
    <cellStyle name="Normal 9 3 3 2 4 2 2 4" xfId="33611" xr:uid="{5A228A62-32F6-417D-B0F2-5C8DBF6F79B1}"/>
    <cellStyle name="Normal 9 3 3 2 4 2 3" xfId="12513" xr:uid="{B0508056-4495-47A6-8C3D-57199E5631B7}"/>
    <cellStyle name="Normal 9 3 3 2 4 2 4" xfId="20954" xr:uid="{FED33DFD-DC18-40BF-989E-1B46E0DD5AEF}"/>
    <cellStyle name="Normal 9 3 3 2 4 2 5" xfId="29394" xr:uid="{5D9849AF-9FDF-42FF-B96A-CBBEE47C2D91}"/>
    <cellStyle name="Normal 9 3 3 2 4 3" xfId="6136" xr:uid="{00000000-0005-0000-0000-000007200000}"/>
    <cellStyle name="Normal 9 3 3 2 4 3 2" xfId="14586" xr:uid="{A1672620-B24A-424F-A000-7F3B52CF3DEB}"/>
    <cellStyle name="Normal 9 3 3 2 4 3 3" xfId="23026" xr:uid="{C49E994C-FC01-4289-B84D-E66AE6B9E445}"/>
    <cellStyle name="Normal 9 3 3 2 4 3 4" xfId="31466" xr:uid="{17208C7D-AB52-41E3-B322-9371416EB371}"/>
    <cellStyle name="Normal 9 3 3 2 4 4" xfId="10368" xr:uid="{00951299-F492-4924-A514-8FB8F4212422}"/>
    <cellStyle name="Normal 9 3 3 2 4 5" xfId="18809" xr:uid="{E0E318EA-B669-422A-903A-5604D7F787E0}"/>
    <cellStyle name="Normal 9 3 3 2 4 6" xfId="27249" xr:uid="{DC4E24CF-4E07-464A-97AC-00A0D8B6F0D7}"/>
    <cellStyle name="Normal 9 3 3 2 5" xfId="2243" xr:uid="{00000000-0005-0000-0000-000008200000}"/>
    <cellStyle name="Normal 9 3 3 2 5 2" xfId="4472" xr:uid="{00000000-0005-0000-0000-000009200000}"/>
    <cellStyle name="Normal 9 3 3 2 5 2 2" xfId="8694" xr:uid="{00000000-0005-0000-0000-00000A200000}"/>
    <cellStyle name="Normal 9 3 3 2 5 2 2 2" xfId="17144" xr:uid="{5D9BF049-BE10-476C-8476-AFD9AC6A8297}"/>
    <cellStyle name="Normal 9 3 3 2 5 2 2 3" xfId="25584" xr:uid="{092EE218-EB99-4658-9E78-55723B0D9957}"/>
    <cellStyle name="Normal 9 3 3 2 5 2 2 4" xfId="34024" xr:uid="{E81C198D-E397-4F79-A685-C7EB497A4A84}"/>
    <cellStyle name="Normal 9 3 3 2 5 2 3" xfId="12926" xr:uid="{4C9D4DD6-13EC-4707-895D-DDF11F7F8D4D}"/>
    <cellStyle name="Normal 9 3 3 2 5 2 4" xfId="21367" xr:uid="{228D7003-6F54-4E58-9660-6A78D8CC21F4}"/>
    <cellStyle name="Normal 9 3 3 2 5 2 5" xfId="29807" xr:uid="{560A0A8C-F408-4A6D-9BF6-BC52AE4E6E29}"/>
    <cellStyle name="Normal 9 3 3 2 5 3" xfId="6549" xr:uid="{00000000-0005-0000-0000-00000B200000}"/>
    <cellStyle name="Normal 9 3 3 2 5 3 2" xfId="14999" xr:uid="{B330A0E7-7373-49D5-AB93-056BBFEC5BDD}"/>
    <cellStyle name="Normal 9 3 3 2 5 3 3" xfId="23439" xr:uid="{F2A6D624-AAF7-41E2-939B-09862F158233}"/>
    <cellStyle name="Normal 9 3 3 2 5 3 4" xfId="31879" xr:uid="{3B396A4D-5CEF-4458-8935-220F28E3A986}"/>
    <cellStyle name="Normal 9 3 3 2 5 4" xfId="10781" xr:uid="{D218B225-5B6E-45C6-A754-3E4843CB7079}"/>
    <cellStyle name="Normal 9 3 3 2 5 5" xfId="19222" xr:uid="{C4E46909-DB7D-4B9A-84EC-0AC2C67D88E7}"/>
    <cellStyle name="Normal 9 3 3 2 5 6" xfId="27662" xr:uid="{89447AF9-5387-44EB-B727-10FCE021BE43}"/>
    <cellStyle name="Normal 9 3 3 2 6" xfId="2679" xr:uid="{00000000-0005-0000-0000-00000C200000}"/>
    <cellStyle name="Normal 9 3 3 2 6 2" xfId="6962" xr:uid="{00000000-0005-0000-0000-00000D200000}"/>
    <cellStyle name="Normal 9 3 3 2 6 2 2" xfId="15412" xr:uid="{00FC9203-EEA8-4A8A-80B1-C62E5E73C818}"/>
    <cellStyle name="Normal 9 3 3 2 6 2 3" xfId="23852" xr:uid="{4DEACC90-01E6-4158-A324-A9F586CD9C3B}"/>
    <cellStyle name="Normal 9 3 3 2 6 2 4" xfId="32292" xr:uid="{D5F267D6-0E16-43FD-A972-9654356127B4}"/>
    <cellStyle name="Normal 9 3 3 2 6 3" xfId="11194" xr:uid="{FD074C9A-AD13-4762-9D92-4F1761F04FCC}"/>
    <cellStyle name="Normal 9 3 3 2 6 4" xfId="19635" xr:uid="{A3C1D0A6-DA7D-48FC-BD3A-1E266C40C473}"/>
    <cellStyle name="Normal 9 3 3 2 6 5" xfId="28075" xr:uid="{D268811B-4668-40B8-A6EE-85F6084BCEDF}"/>
    <cellStyle name="Normal 9 3 3 2 7" xfId="4897" xr:uid="{00000000-0005-0000-0000-00000E200000}"/>
    <cellStyle name="Normal 9 3 3 2 7 2" xfId="13347" xr:uid="{CA6DCE77-8699-4577-BC1A-E32B8F23AE3C}"/>
    <cellStyle name="Normal 9 3 3 2 7 3" xfId="21787" xr:uid="{6418E7B1-E72D-4C96-B2D8-A56C0744B26F}"/>
    <cellStyle name="Normal 9 3 3 2 7 4" xfId="30227" xr:uid="{DB6D2F3B-642C-414D-92F1-E42612E62EBF}"/>
    <cellStyle name="Normal 9 3 3 2 8" xfId="9129" xr:uid="{34FA16E2-6E7E-41B2-AE02-65F319B75007}"/>
    <cellStyle name="Normal 9 3 3 2 9" xfId="17570" xr:uid="{B56BCA7C-683C-4DB2-895D-7A7FDCEA6B6C}"/>
    <cellStyle name="Normal 9 3 3 3" xfId="999" xr:uid="{00000000-0005-0000-0000-00000F200000}"/>
    <cellStyle name="Normal 9 3 3 3 2" xfId="3232" xr:uid="{00000000-0005-0000-0000-000010200000}"/>
    <cellStyle name="Normal 9 3 3 3 2 2" xfId="7454" xr:uid="{00000000-0005-0000-0000-000011200000}"/>
    <cellStyle name="Normal 9 3 3 3 2 2 2" xfId="15904" xr:uid="{E529063E-512B-4791-AA52-D711C3FDEA17}"/>
    <cellStyle name="Normal 9 3 3 3 2 2 3" xfId="24344" xr:uid="{A1C5E4EA-8E74-4648-A588-E72DFC89459B}"/>
    <cellStyle name="Normal 9 3 3 3 2 2 4" xfId="32784" xr:uid="{4AF1E413-D0BD-45B9-8C93-B8395760729B}"/>
    <cellStyle name="Normal 9 3 3 3 2 3" xfId="11686" xr:uid="{A7D97FE3-AF5A-4D25-8E06-9044E5A43144}"/>
    <cellStyle name="Normal 9 3 3 3 2 4" xfId="20127" xr:uid="{0AC4FCA1-B92D-43B0-8A42-C7BFD3A8AEB3}"/>
    <cellStyle name="Normal 9 3 3 3 2 5" xfId="28567" xr:uid="{D7083357-3398-4116-8274-5C33E14C28DD}"/>
    <cellStyle name="Normal 9 3 3 3 3" xfId="5309" xr:uid="{00000000-0005-0000-0000-000012200000}"/>
    <cellStyle name="Normal 9 3 3 3 3 2" xfId="13759" xr:uid="{E62972A8-A649-415F-8B32-C6F4B20E6882}"/>
    <cellStyle name="Normal 9 3 3 3 3 3" xfId="22199" xr:uid="{CB6C329F-8530-4DB9-969C-5B35476A739A}"/>
    <cellStyle name="Normal 9 3 3 3 3 4" xfId="30639" xr:uid="{F99CE03E-546B-4927-8229-0C0CC15AEF29}"/>
    <cellStyle name="Normal 9 3 3 3 4" xfId="9541" xr:uid="{9AD39922-C090-40DE-A37C-89AAAD677104}"/>
    <cellStyle name="Normal 9 3 3 3 5" xfId="17982" xr:uid="{A2B6848C-2BAD-408C-8871-C24CEBF54942}"/>
    <cellStyle name="Normal 9 3 3 3 6" xfId="26422" xr:uid="{DF138520-E417-4CCA-8D92-EEE17525C486}"/>
    <cellStyle name="Normal 9 3 3 4" xfId="1415" xr:uid="{00000000-0005-0000-0000-000013200000}"/>
    <cellStyle name="Normal 9 3 3 4 2" xfId="3645" xr:uid="{00000000-0005-0000-0000-000014200000}"/>
    <cellStyle name="Normal 9 3 3 4 2 2" xfId="7867" xr:uid="{00000000-0005-0000-0000-000015200000}"/>
    <cellStyle name="Normal 9 3 3 4 2 2 2" xfId="16317" xr:uid="{1AEEC085-7C14-44C5-9867-325D765DB30A}"/>
    <cellStyle name="Normal 9 3 3 4 2 2 3" xfId="24757" xr:uid="{DF7DFB14-D2EF-4DA5-8C83-2BDCB52AA41E}"/>
    <cellStyle name="Normal 9 3 3 4 2 2 4" xfId="33197" xr:uid="{10E95962-9384-4B4A-8A9D-4281377EA776}"/>
    <cellStyle name="Normal 9 3 3 4 2 3" xfId="12099" xr:uid="{0815EBEE-0306-4B97-BF11-0092C7E838C3}"/>
    <cellStyle name="Normal 9 3 3 4 2 4" xfId="20540" xr:uid="{724CF3AC-6512-445C-9F60-7153C0FF82FE}"/>
    <cellStyle name="Normal 9 3 3 4 2 5" xfId="28980" xr:uid="{0116EB9E-0E13-4025-A21B-3F9BE6181F82}"/>
    <cellStyle name="Normal 9 3 3 4 3" xfId="5722" xr:uid="{00000000-0005-0000-0000-000016200000}"/>
    <cellStyle name="Normal 9 3 3 4 3 2" xfId="14172" xr:uid="{21522730-93FD-4530-ACFD-73361FD51714}"/>
    <cellStyle name="Normal 9 3 3 4 3 3" xfId="22612" xr:uid="{9CE4FF29-7680-49AF-8A77-08118BC25E29}"/>
    <cellStyle name="Normal 9 3 3 4 3 4" xfId="31052" xr:uid="{CCAA4D7C-C145-437A-834D-169FFE02337A}"/>
    <cellStyle name="Normal 9 3 3 4 4" xfId="9954" xr:uid="{CF7C46BF-CFC1-4B49-B4D9-C07800A57832}"/>
    <cellStyle name="Normal 9 3 3 4 5" xfId="18395" xr:uid="{DB8A3665-DD26-4253-BCD3-BC1D0251D3F9}"/>
    <cellStyle name="Normal 9 3 3 4 6" xfId="26835" xr:uid="{CDE72964-ABAF-4287-B823-E1A9951C3DB1}"/>
    <cellStyle name="Normal 9 3 3 5" xfId="1828" xr:uid="{00000000-0005-0000-0000-000017200000}"/>
    <cellStyle name="Normal 9 3 3 5 2" xfId="4058" xr:uid="{00000000-0005-0000-0000-000018200000}"/>
    <cellStyle name="Normal 9 3 3 5 2 2" xfId="8280" xr:uid="{00000000-0005-0000-0000-000019200000}"/>
    <cellStyle name="Normal 9 3 3 5 2 2 2" xfId="16730" xr:uid="{C7CC25DA-A697-4B35-9706-BE00328AFC35}"/>
    <cellStyle name="Normal 9 3 3 5 2 2 3" xfId="25170" xr:uid="{D7D8CC5E-6E71-41F0-988A-2E09106BCB6A}"/>
    <cellStyle name="Normal 9 3 3 5 2 2 4" xfId="33610" xr:uid="{1CC5338D-E516-40B2-B746-CFE1E3FDA11C}"/>
    <cellStyle name="Normal 9 3 3 5 2 3" xfId="12512" xr:uid="{E58DBC37-14D4-48A6-805F-EF1994029266}"/>
    <cellStyle name="Normal 9 3 3 5 2 4" xfId="20953" xr:uid="{ABACC7CF-0CAE-419B-AF43-1E6575328C8B}"/>
    <cellStyle name="Normal 9 3 3 5 2 5" xfId="29393" xr:uid="{1B8240A6-68B4-46DE-BC96-E72156EDD938}"/>
    <cellStyle name="Normal 9 3 3 5 3" xfId="6135" xr:uid="{00000000-0005-0000-0000-00001A200000}"/>
    <cellStyle name="Normal 9 3 3 5 3 2" xfId="14585" xr:uid="{E4910D49-76E8-4863-8731-DFDE17E0B7FB}"/>
    <cellStyle name="Normal 9 3 3 5 3 3" xfId="23025" xr:uid="{2D076560-D2EE-459A-BB38-F17296184483}"/>
    <cellStyle name="Normal 9 3 3 5 3 4" xfId="31465" xr:uid="{F2E71225-958B-4776-AA0B-5C520EBBA3CE}"/>
    <cellStyle name="Normal 9 3 3 5 4" xfId="10367" xr:uid="{727FD651-BDBE-4FB0-AD6F-3692FABBACF2}"/>
    <cellStyle name="Normal 9 3 3 5 5" xfId="18808" xr:uid="{7AD3C9C6-254E-4A8A-AC68-43541A7FFFD9}"/>
    <cellStyle name="Normal 9 3 3 5 6" xfId="27248" xr:uid="{4A79F00F-F063-4A49-A7DF-2BF5EFC771F8}"/>
    <cellStyle name="Normal 9 3 3 6" xfId="2242" xr:uid="{00000000-0005-0000-0000-00001B200000}"/>
    <cellStyle name="Normal 9 3 3 6 2" xfId="4471" xr:uid="{00000000-0005-0000-0000-00001C200000}"/>
    <cellStyle name="Normal 9 3 3 6 2 2" xfId="8693" xr:uid="{00000000-0005-0000-0000-00001D200000}"/>
    <cellStyle name="Normal 9 3 3 6 2 2 2" xfId="17143" xr:uid="{78733227-8C57-4FD9-8823-DB0710AD9730}"/>
    <cellStyle name="Normal 9 3 3 6 2 2 3" xfId="25583" xr:uid="{1D882208-1F37-42DD-B231-B35B52472693}"/>
    <cellStyle name="Normal 9 3 3 6 2 2 4" xfId="34023" xr:uid="{A74280C5-6322-4D89-9FB2-4C02FBF6BF1C}"/>
    <cellStyle name="Normal 9 3 3 6 2 3" xfId="12925" xr:uid="{C812364B-8D5D-4A22-B3E4-D99E3DCEF444}"/>
    <cellStyle name="Normal 9 3 3 6 2 4" xfId="21366" xr:uid="{206FB70B-07C1-4CDD-AAB1-498BB2AD06E9}"/>
    <cellStyle name="Normal 9 3 3 6 2 5" xfId="29806" xr:uid="{BF5D825D-D03E-4125-B5DF-DC41B772F7F1}"/>
    <cellStyle name="Normal 9 3 3 6 3" xfId="6548" xr:uid="{00000000-0005-0000-0000-00001E200000}"/>
    <cellStyle name="Normal 9 3 3 6 3 2" xfId="14998" xr:uid="{64E2480D-4277-43F1-827B-8A925F079C2D}"/>
    <cellStyle name="Normal 9 3 3 6 3 3" xfId="23438" xr:uid="{A664A191-13FA-4A53-955D-D42AA517ABBF}"/>
    <cellStyle name="Normal 9 3 3 6 3 4" xfId="31878" xr:uid="{AAD5006D-9F73-4A07-9BA7-2D4263F91B50}"/>
    <cellStyle name="Normal 9 3 3 6 4" xfId="10780" xr:uid="{CEC467DF-9AE2-42C0-ADDB-6AC4D2169654}"/>
    <cellStyle name="Normal 9 3 3 6 5" xfId="19221" xr:uid="{7AE44021-D8DE-495F-A7D0-16094024C0A9}"/>
    <cellStyle name="Normal 9 3 3 6 6" xfId="27661" xr:uid="{5A6F9228-4EB0-4AA8-9550-DF81D8033E51}"/>
    <cellStyle name="Normal 9 3 3 7" xfId="2678" xr:uid="{00000000-0005-0000-0000-00001F200000}"/>
    <cellStyle name="Normal 9 3 3 7 2" xfId="6961" xr:uid="{00000000-0005-0000-0000-000020200000}"/>
    <cellStyle name="Normal 9 3 3 7 2 2" xfId="15411" xr:uid="{D53E79D6-EC1A-4DE7-8998-C5BC5748D340}"/>
    <cellStyle name="Normal 9 3 3 7 2 3" xfId="23851" xr:uid="{F5855F33-C079-4BED-9DEA-706CD5CFBC82}"/>
    <cellStyle name="Normal 9 3 3 7 2 4" xfId="32291" xr:uid="{D44248CD-0D91-489F-86D2-0C41730A58DC}"/>
    <cellStyle name="Normal 9 3 3 7 3" xfId="11193" xr:uid="{55FC3B17-0794-4D7D-8425-9936B2F0903B}"/>
    <cellStyle name="Normal 9 3 3 7 4" xfId="19634" xr:uid="{BB909EC5-348F-4FF5-A8C7-2D322ADADA5E}"/>
    <cellStyle name="Normal 9 3 3 7 5" xfId="28074" xr:uid="{6C1A92E1-F442-43BB-80DE-2C43178E9F39}"/>
    <cellStyle name="Normal 9 3 3 8" xfId="4896" xr:uid="{00000000-0005-0000-0000-000021200000}"/>
    <cellStyle name="Normal 9 3 3 8 2" xfId="13346" xr:uid="{05618582-850D-476B-86FC-A54975E582D5}"/>
    <cellStyle name="Normal 9 3 3 8 3" xfId="21786" xr:uid="{072CD522-41DB-44F9-A1C2-A2FE9E60CEEE}"/>
    <cellStyle name="Normal 9 3 3 8 4" xfId="30226" xr:uid="{D7CB6B3E-33D5-489F-A6C9-B17B9BD3422C}"/>
    <cellStyle name="Normal 9 3 3 9" xfId="9128" xr:uid="{EC1DF040-6E62-4ADB-AC25-46D5F127B8B5}"/>
    <cellStyle name="Normal 9 3 4" xfId="534" xr:uid="{00000000-0005-0000-0000-000022200000}"/>
    <cellStyle name="Normal 9 3 4 10" xfId="26011" xr:uid="{A62B6A49-AB4E-44D3-97EF-9FBB562101AF}"/>
    <cellStyle name="Normal 9 3 4 2" xfId="1001" xr:uid="{00000000-0005-0000-0000-000023200000}"/>
    <cellStyle name="Normal 9 3 4 2 2" xfId="3234" xr:uid="{00000000-0005-0000-0000-000024200000}"/>
    <cellStyle name="Normal 9 3 4 2 2 2" xfId="7456" xr:uid="{00000000-0005-0000-0000-000025200000}"/>
    <cellStyle name="Normal 9 3 4 2 2 2 2" xfId="15906" xr:uid="{61B6072F-D5F9-4B41-B526-77299C802CAB}"/>
    <cellStyle name="Normal 9 3 4 2 2 2 3" xfId="24346" xr:uid="{57723273-491D-428A-A653-28EC7E2BAE64}"/>
    <cellStyle name="Normal 9 3 4 2 2 2 4" xfId="32786" xr:uid="{7C920B86-F1B2-4A3A-8CA9-CACD4D392F9E}"/>
    <cellStyle name="Normal 9 3 4 2 2 3" xfId="11688" xr:uid="{98C27D35-51CF-4AF4-9798-3010B972B836}"/>
    <cellStyle name="Normal 9 3 4 2 2 4" xfId="20129" xr:uid="{D262B5C8-AE77-457E-A3DD-6750A25B0CF4}"/>
    <cellStyle name="Normal 9 3 4 2 2 5" xfId="28569" xr:uid="{508B7804-D6BB-40DB-B1D1-60419A570C3A}"/>
    <cellStyle name="Normal 9 3 4 2 3" xfId="5311" xr:uid="{00000000-0005-0000-0000-000026200000}"/>
    <cellStyle name="Normal 9 3 4 2 3 2" xfId="13761" xr:uid="{BB5B6850-23E8-4746-840E-06F08B4BECB1}"/>
    <cellStyle name="Normal 9 3 4 2 3 3" xfId="22201" xr:uid="{5E4F31AF-BAA5-43F2-AF86-8A8BA16DE766}"/>
    <cellStyle name="Normal 9 3 4 2 3 4" xfId="30641" xr:uid="{E4FBFEA1-8744-459C-93B7-4F3DE35765DB}"/>
    <cellStyle name="Normal 9 3 4 2 4" xfId="9543" xr:uid="{8B258893-E8D7-485D-BCA2-E2A66C73E760}"/>
    <cellStyle name="Normal 9 3 4 2 5" xfId="17984" xr:uid="{257ECB6F-C647-4245-BF82-E52F52809925}"/>
    <cellStyle name="Normal 9 3 4 2 6" xfId="26424" xr:uid="{1EA878C9-F7D6-4660-AB3D-00BA2138C560}"/>
    <cellStyle name="Normal 9 3 4 3" xfId="1417" xr:uid="{00000000-0005-0000-0000-000027200000}"/>
    <cellStyle name="Normal 9 3 4 3 2" xfId="3647" xr:uid="{00000000-0005-0000-0000-000028200000}"/>
    <cellStyle name="Normal 9 3 4 3 2 2" xfId="7869" xr:uid="{00000000-0005-0000-0000-000029200000}"/>
    <cellStyle name="Normal 9 3 4 3 2 2 2" xfId="16319" xr:uid="{719CA61F-BD59-4625-AAA1-7FB0ED253304}"/>
    <cellStyle name="Normal 9 3 4 3 2 2 3" xfId="24759" xr:uid="{F2AF7E06-7569-4A2C-B63C-F1B3974AF4B1}"/>
    <cellStyle name="Normal 9 3 4 3 2 2 4" xfId="33199" xr:uid="{4C166905-475E-4A8A-A4E7-4E822C69F489}"/>
    <cellStyle name="Normal 9 3 4 3 2 3" xfId="12101" xr:uid="{55B97252-B393-42B3-BAB9-537FE59B212E}"/>
    <cellStyle name="Normal 9 3 4 3 2 4" xfId="20542" xr:uid="{FDBF4C0E-1584-4CE2-A2D2-192D7B764FF1}"/>
    <cellStyle name="Normal 9 3 4 3 2 5" xfId="28982" xr:uid="{7D2C3C18-65BC-484C-AE57-78C5868DFF87}"/>
    <cellStyle name="Normal 9 3 4 3 3" xfId="5724" xr:uid="{00000000-0005-0000-0000-00002A200000}"/>
    <cellStyle name="Normal 9 3 4 3 3 2" xfId="14174" xr:uid="{FB0810A7-6AA4-47E7-A415-C25D59223066}"/>
    <cellStyle name="Normal 9 3 4 3 3 3" xfId="22614" xr:uid="{AAA81A42-1AE1-4C32-8D7E-C840BFC42EDC}"/>
    <cellStyle name="Normal 9 3 4 3 3 4" xfId="31054" xr:uid="{2CAEA279-F4F6-4E08-8AEB-07EBDEC05F55}"/>
    <cellStyle name="Normal 9 3 4 3 4" xfId="9956" xr:uid="{A5BE3228-2181-433F-882C-FCA89A161B63}"/>
    <cellStyle name="Normal 9 3 4 3 5" xfId="18397" xr:uid="{AF63BA17-84D4-4062-8056-67CC227945BC}"/>
    <cellStyle name="Normal 9 3 4 3 6" xfId="26837" xr:uid="{3B53D7EA-40C4-4073-96D2-ECCECFE775C6}"/>
    <cellStyle name="Normal 9 3 4 4" xfId="1830" xr:uid="{00000000-0005-0000-0000-00002B200000}"/>
    <cellStyle name="Normal 9 3 4 4 2" xfId="4060" xr:uid="{00000000-0005-0000-0000-00002C200000}"/>
    <cellStyle name="Normal 9 3 4 4 2 2" xfId="8282" xr:uid="{00000000-0005-0000-0000-00002D200000}"/>
    <cellStyle name="Normal 9 3 4 4 2 2 2" xfId="16732" xr:uid="{C774B63D-F063-489D-98CA-5D7AFE115A6B}"/>
    <cellStyle name="Normal 9 3 4 4 2 2 3" xfId="25172" xr:uid="{7986A435-8F95-4648-9C3E-69EA7B179655}"/>
    <cellStyle name="Normal 9 3 4 4 2 2 4" xfId="33612" xr:uid="{D0038A73-855C-4706-A45A-A4C37A49B659}"/>
    <cellStyle name="Normal 9 3 4 4 2 3" xfId="12514" xr:uid="{A802A864-414B-42BB-B09D-60158587198D}"/>
    <cellStyle name="Normal 9 3 4 4 2 4" xfId="20955" xr:uid="{748A7AC0-273A-490A-A5FB-A24603C5A117}"/>
    <cellStyle name="Normal 9 3 4 4 2 5" xfId="29395" xr:uid="{DDB1D6B7-4617-432B-B4FF-9B6C94096E03}"/>
    <cellStyle name="Normal 9 3 4 4 3" xfId="6137" xr:uid="{00000000-0005-0000-0000-00002E200000}"/>
    <cellStyle name="Normal 9 3 4 4 3 2" xfId="14587" xr:uid="{307F551A-7286-4287-A0B3-8DBA46CB16CF}"/>
    <cellStyle name="Normal 9 3 4 4 3 3" xfId="23027" xr:uid="{F1CCF4E2-1E6D-4BEC-A1E3-BD202B620FEE}"/>
    <cellStyle name="Normal 9 3 4 4 3 4" xfId="31467" xr:uid="{9B221714-18E3-41B8-81AF-F2435BF0FDFA}"/>
    <cellStyle name="Normal 9 3 4 4 4" xfId="10369" xr:uid="{40ADA798-DCC8-44F1-B898-65AFE0DF388E}"/>
    <cellStyle name="Normal 9 3 4 4 5" xfId="18810" xr:uid="{BE97F0A2-FF98-498F-B644-CD0F01930A15}"/>
    <cellStyle name="Normal 9 3 4 4 6" xfId="27250" xr:uid="{6690D607-89AB-43C4-AAFF-DC21A4899369}"/>
    <cellStyle name="Normal 9 3 4 5" xfId="2244" xr:uid="{00000000-0005-0000-0000-00002F200000}"/>
    <cellStyle name="Normal 9 3 4 5 2" xfId="4473" xr:uid="{00000000-0005-0000-0000-000030200000}"/>
    <cellStyle name="Normal 9 3 4 5 2 2" xfId="8695" xr:uid="{00000000-0005-0000-0000-000031200000}"/>
    <cellStyle name="Normal 9 3 4 5 2 2 2" xfId="17145" xr:uid="{4EABE4B1-2971-4B96-9B38-A3760FB31A61}"/>
    <cellStyle name="Normal 9 3 4 5 2 2 3" xfId="25585" xr:uid="{FF45B683-279D-4D12-A019-A0D681F1B206}"/>
    <cellStyle name="Normal 9 3 4 5 2 2 4" xfId="34025" xr:uid="{4053A18A-6521-455E-9B97-84062EF15357}"/>
    <cellStyle name="Normal 9 3 4 5 2 3" xfId="12927" xr:uid="{67A9BD32-3F45-4F91-86F0-8AEEB42132CE}"/>
    <cellStyle name="Normal 9 3 4 5 2 4" xfId="21368" xr:uid="{AFB57CCD-B1B6-43E3-B895-EBB33447CDA1}"/>
    <cellStyle name="Normal 9 3 4 5 2 5" xfId="29808" xr:uid="{38807182-FA99-4927-A437-F770B4CC435F}"/>
    <cellStyle name="Normal 9 3 4 5 3" xfId="6550" xr:uid="{00000000-0005-0000-0000-000032200000}"/>
    <cellStyle name="Normal 9 3 4 5 3 2" xfId="15000" xr:uid="{0070184F-2742-41AC-912E-ABC2429812ED}"/>
    <cellStyle name="Normal 9 3 4 5 3 3" xfId="23440" xr:uid="{1A8F5C03-1627-46D0-9BDA-FCBF14ABDF0D}"/>
    <cellStyle name="Normal 9 3 4 5 3 4" xfId="31880" xr:uid="{B3C3C037-683E-4CDF-95EF-DF18088CF971}"/>
    <cellStyle name="Normal 9 3 4 5 4" xfId="10782" xr:uid="{8855E041-D6B3-4E71-AE12-1725355817BE}"/>
    <cellStyle name="Normal 9 3 4 5 5" xfId="19223" xr:uid="{AA1D3EE8-8E77-4FCE-A10A-143AD6E01D12}"/>
    <cellStyle name="Normal 9 3 4 5 6" xfId="27663" xr:uid="{C945F497-731D-41A3-8654-85D996AA9245}"/>
    <cellStyle name="Normal 9 3 4 6" xfId="2680" xr:uid="{00000000-0005-0000-0000-000033200000}"/>
    <cellStyle name="Normal 9 3 4 6 2" xfId="6963" xr:uid="{00000000-0005-0000-0000-000034200000}"/>
    <cellStyle name="Normal 9 3 4 6 2 2" xfId="15413" xr:uid="{8D67D2EF-B70C-407C-AA34-A7901058DEC1}"/>
    <cellStyle name="Normal 9 3 4 6 2 3" xfId="23853" xr:uid="{9DD2C82B-D880-4416-85CB-540EDF8B0C32}"/>
    <cellStyle name="Normal 9 3 4 6 2 4" xfId="32293" xr:uid="{38AC544E-D696-4281-9B1A-E5FF565F32A8}"/>
    <cellStyle name="Normal 9 3 4 6 3" xfId="11195" xr:uid="{E1C7B6DC-40D0-409B-BB88-C598327BCD9C}"/>
    <cellStyle name="Normal 9 3 4 6 4" xfId="19636" xr:uid="{5B4D9403-7375-4941-9D92-632A3A08B6C9}"/>
    <cellStyle name="Normal 9 3 4 6 5" xfId="28076" xr:uid="{441F5075-93C5-4043-9936-417A6BA0F9FE}"/>
    <cellStyle name="Normal 9 3 4 7" xfId="4898" xr:uid="{00000000-0005-0000-0000-000035200000}"/>
    <cellStyle name="Normal 9 3 4 7 2" xfId="13348" xr:uid="{5906A306-E879-425C-9D13-BCA20F5AD810}"/>
    <cellStyle name="Normal 9 3 4 7 3" xfId="21788" xr:uid="{63082356-1FA7-426E-ACB0-A7553426E27D}"/>
    <cellStyle name="Normal 9 3 4 7 4" xfId="30228" xr:uid="{67CD4DA1-5039-47B9-A0BC-E1DC5241B850}"/>
    <cellStyle name="Normal 9 3 4 8" xfId="9130" xr:uid="{1435561E-2069-4FF6-BA54-F296B98A9DA9}"/>
    <cellStyle name="Normal 9 3 4 9" xfId="17571" xr:uid="{CE0F5BA0-7499-46B2-882A-45E65019D3FE}"/>
    <cellStyle name="Normal 9 3 5" xfId="994" xr:uid="{00000000-0005-0000-0000-000036200000}"/>
    <cellStyle name="Normal 9 3 5 2" xfId="3227" xr:uid="{00000000-0005-0000-0000-000037200000}"/>
    <cellStyle name="Normal 9 3 5 2 2" xfId="7449" xr:uid="{00000000-0005-0000-0000-000038200000}"/>
    <cellStyle name="Normal 9 3 5 2 2 2" xfId="15899" xr:uid="{10D1C666-9045-486E-B179-1430E6E048BF}"/>
    <cellStyle name="Normal 9 3 5 2 2 3" xfId="24339" xr:uid="{3DB01CE9-DA3E-485A-BC29-0D41706A9880}"/>
    <cellStyle name="Normal 9 3 5 2 2 4" xfId="32779" xr:uid="{70DC7098-F3DC-4F1B-91BE-D8D52504A82B}"/>
    <cellStyle name="Normal 9 3 5 2 3" xfId="11681" xr:uid="{70520948-8ED3-4A85-B627-919B5893D1A1}"/>
    <cellStyle name="Normal 9 3 5 2 4" xfId="20122" xr:uid="{E25836A3-E086-4F12-9BAB-FA0FD3FEEAFD}"/>
    <cellStyle name="Normal 9 3 5 2 5" xfId="28562" xr:uid="{915C7132-9BE8-42C4-8CA3-1A9E4768FD23}"/>
    <cellStyle name="Normal 9 3 5 3" xfId="5304" xr:uid="{00000000-0005-0000-0000-000039200000}"/>
    <cellStyle name="Normal 9 3 5 3 2" xfId="13754" xr:uid="{9276503A-8DF6-4F4B-8004-272959EAFF88}"/>
    <cellStyle name="Normal 9 3 5 3 3" xfId="22194" xr:uid="{0E1AA411-1CD3-4CFC-B9FF-498BFC5FB9E8}"/>
    <cellStyle name="Normal 9 3 5 3 4" xfId="30634" xr:uid="{8479F7C8-04C0-4B0B-9DB8-89C86F8E4B0B}"/>
    <cellStyle name="Normal 9 3 5 4" xfId="9536" xr:uid="{C4D0F681-FDBD-4377-9F29-7C4AF2BFC9AC}"/>
    <cellStyle name="Normal 9 3 5 5" xfId="17977" xr:uid="{2CF55639-B7E9-4BAF-8FE7-0DED9C82F66F}"/>
    <cellStyle name="Normal 9 3 5 6" xfId="26417" xr:uid="{3523E255-3480-4ACE-A82B-19797E1D1FE8}"/>
    <cellStyle name="Normal 9 3 6" xfId="1410" xr:uid="{00000000-0005-0000-0000-00003A200000}"/>
    <cellStyle name="Normal 9 3 6 2" xfId="3640" xr:uid="{00000000-0005-0000-0000-00003B200000}"/>
    <cellStyle name="Normal 9 3 6 2 2" xfId="7862" xr:uid="{00000000-0005-0000-0000-00003C200000}"/>
    <cellStyle name="Normal 9 3 6 2 2 2" xfId="16312" xr:uid="{71B53CBB-35B6-4744-B3B1-049AB07DEAC9}"/>
    <cellStyle name="Normal 9 3 6 2 2 3" xfId="24752" xr:uid="{F2F875D3-B3C2-4245-ABCC-82EC1C2B951D}"/>
    <cellStyle name="Normal 9 3 6 2 2 4" xfId="33192" xr:uid="{78356FDF-4DEE-4CB4-B320-D28AAA3F5FA4}"/>
    <cellStyle name="Normal 9 3 6 2 3" xfId="12094" xr:uid="{9C3BD10A-A304-42C4-8917-25B5EE53236B}"/>
    <cellStyle name="Normal 9 3 6 2 4" xfId="20535" xr:uid="{F3F37C52-B521-446F-A971-2ED2FD730500}"/>
    <cellStyle name="Normal 9 3 6 2 5" xfId="28975" xr:uid="{0B867FC1-C8F2-4B9E-84CA-D98A8C252A27}"/>
    <cellStyle name="Normal 9 3 6 3" xfId="5717" xr:uid="{00000000-0005-0000-0000-00003D200000}"/>
    <cellStyle name="Normal 9 3 6 3 2" xfId="14167" xr:uid="{FFBFD50E-E35B-4142-9DA9-B54087A21FF0}"/>
    <cellStyle name="Normal 9 3 6 3 3" xfId="22607" xr:uid="{3B2861CA-CA95-4F61-A863-BFC2444CBD21}"/>
    <cellStyle name="Normal 9 3 6 3 4" xfId="31047" xr:uid="{3C6A44E4-E08A-4666-AA60-1AB5C7DE0656}"/>
    <cellStyle name="Normal 9 3 6 4" xfId="9949" xr:uid="{12393A99-0645-4894-9575-9972B3DCD82B}"/>
    <cellStyle name="Normal 9 3 6 5" xfId="18390" xr:uid="{922DB9A0-09FA-4BB5-AAFD-B33F6BF54E5A}"/>
    <cellStyle name="Normal 9 3 6 6" xfId="26830" xr:uid="{9AB9DB0F-E0CD-4E22-A373-8E9FBE9AF902}"/>
    <cellStyle name="Normal 9 3 7" xfId="1823" xr:uid="{00000000-0005-0000-0000-00003E200000}"/>
    <cellStyle name="Normal 9 3 7 2" xfId="4053" xr:uid="{00000000-0005-0000-0000-00003F200000}"/>
    <cellStyle name="Normal 9 3 7 2 2" xfId="8275" xr:uid="{00000000-0005-0000-0000-000040200000}"/>
    <cellStyle name="Normal 9 3 7 2 2 2" xfId="16725" xr:uid="{50BB6236-96DB-44F1-B4F5-3D666E39CAAC}"/>
    <cellStyle name="Normal 9 3 7 2 2 3" xfId="25165" xr:uid="{B04BDE85-32F8-4725-840F-C9355AD9B576}"/>
    <cellStyle name="Normal 9 3 7 2 2 4" xfId="33605" xr:uid="{83E71736-B4B7-4FED-9E4A-3D28E3174231}"/>
    <cellStyle name="Normal 9 3 7 2 3" xfId="12507" xr:uid="{D10AA7E7-624D-4E58-89BB-AABEA33AF96B}"/>
    <cellStyle name="Normal 9 3 7 2 4" xfId="20948" xr:uid="{57464FFB-4E8C-4DE9-AA8C-6A7735EE31C3}"/>
    <cellStyle name="Normal 9 3 7 2 5" xfId="29388" xr:uid="{AAB88037-3850-433D-A0BA-BE0C0E528986}"/>
    <cellStyle name="Normal 9 3 7 3" xfId="6130" xr:uid="{00000000-0005-0000-0000-000041200000}"/>
    <cellStyle name="Normal 9 3 7 3 2" xfId="14580" xr:uid="{8C254484-423E-409E-8833-A1B1E7283114}"/>
    <cellStyle name="Normal 9 3 7 3 3" xfId="23020" xr:uid="{D70563BC-4506-441A-9D73-1C8ED3AAE8D9}"/>
    <cellStyle name="Normal 9 3 7 3 4" xfId="31460" xr:uid="{46ADBAF1-533B-4BA9-9E2F-20874E86447F}"/>
    <cellStyle name="Normal 9 3 7 4" xfId="10362" xr:uid="{99576657-3DB3-490E-86E3-6EB707C270AE}"/>
    <cellStyle name="Normal 9 3 7 5" xfId="18803" xr:uid="{765AF563-6E20-44F4-A6C6-DE798FFC5E63}"/>
    <cellStyle name="Normal 9 3 7 6" xfId="27243" xr:uid="{FB368B64-2D43-4B90-9D30-166DB0104A58}"/>
    <cellStyle name="Normal 9 3 8" xfId="2237" xr:uid="{00000000-0005-0000-0000-000042200000}"/>
    <cellStyle name="Normal 9 3 8 2" xfId="4466" xr:uid="{00000000-0005-0000-0000-000043200000}"/>
    <cellStyle name="Normal 9 3 8 2 2" xfId="8688" xr:uid="{00000000-0005-0000-0000-000044200000}"/>
    <cellStyle name="Normal 9 3 8 2 2 2" xfId="17138" xr:uid="{5ADC6C53-3193-41B7-92F9-1BA993E63428}"/>
    <cellStyle name="Normal 9 3 8 2 2 3" xfId="25578" xr:uid="{F0099032-5B90-4B92-B1B3-AF754246ED1A}"/>
    <cellStyle name="Normal 9 3 8 2 2 4" xfId="34018" xr:uid="{089967BF-5F14-44CC-BA6D-926BCFB678E0}"/>
    <cellStyle name="Normal 9 3 8 2 3" xfId="12920" xr:uid="{9DD19884-1677-4D2F-ACBC-A31748E55752}"/>
    <cellStyle name="Normal 9 3 8 2 4" xfId="21361" xr:uid="{21F07A08-1D0D-46E8-A4D0-5786E93A35F6}"/>
    <cellStyle name="Normal 9 3 8 2 5" xfId="29801" xr:uid="{51566816-7BDC-4FCD-9ADD-2750681A68A7}"/>
    <cellStyle name="Normal 9 3 8 3" xfId="6543" xr:uid="{00000000-0005-0000-0000-000045200000}"/>
    <cellStyle name="Normal 9 3 8 3 2" xfId="14993" xr:uid="{D21E20D9-CF76-4F1E-A5F5-E7D08553121D}"/>
    <cellStyle name="Normal 9 3 8 3 3" xfId="23433" xr:uid="{25BEAFD7-1980-42E7-B419-FBF6F648906D}"/>
    <cellStyle name="Normal 9 3 8 3 4" xfId="31873" xr:uid="{A1391FA2-A5D0-44D6-BE88-3A8F331FD4B2}"/>
    <cellStyle name="Normal 9 3 8 4" xfId="10775" xr:uid="{E67133E9-356A-46DC-BB7A-45E90C6E8ADA}"/>
    <cellStyle name="Normal 9 3 8 5" xfId="19216" xr:uid="{73B62FC9-59B3-4B3B-BDAB-045F2DD3D4AF}"/>
    <cellStyle name="Normal 9 3 8 6" xfId="27656" xr:uid="{85C7197D-A06E-437E-990A-258FC8144E2F}"/>
    <cellStyle name="Normal 9 3 9" xfId="2673" xr:uid="{00000000-0005-0000-0000-000046200000}"/>
    <cellStyle name="Normal 9 3 9 2" xfId="6956" xr:uid="{00000000-0005-0000-0000-000047200000}"/>
    <cellStyle name="Normal 9 3 9 2 2" xfId="15406" xr:uid="{FA66D9CC-F461-40D5-9021-7181DA813671}"/>
    <cellStyle name="Normal 9 3 9 2 3" xfId="23846" xr:uid="{37236260-D433-485B-8B06-ABF3B475D67C}"/>
    <cellStyle name="Normal 9 3 9 2 4" xfId="32286" xr:uid="{74607BE7-2DA0-42A1-9FE6-F743E6F650A1}"/>
    <cellStyle name="Normal 9 3 9 3" xfId="11188" xr:uid="{3D8CC6F2-8968-4041-B087-1628FE1DF6A4}"/>
    <cellStyle name="Normal 9 3 9 4" xfId="19629" xr:uid="{38240676-02BB-4261-BA6D-0C24C6A6B4AF}"/>
    <cellStyle name="Normal 9 3 9 5" xfId="28069" xr:uid="{B7290625-D9F0-45D6-9531-7935735FF987}"/>
    <cellStyle name="Normal 9 4" xfId="535" xr:uid="{00000000-0005-0000-0000-000048200000}"/>
    <cellStyle name="Normal 9 4 2" xfId="1002" xr:uid="{00000000-0005-0000-0000-000049200000}"/>
    <cellStyle name="Normal 9 5" xfId="536" xr:uid="{00000000-0005-0000-0000-00004A200000}"/>
    <cellStyle name="Normal 9 5 10" xfId="17572" xr:uid="{712CB412-6737-4D5B-B399-94F75A8DD141}"/>
    <cellStyle name="Normal 9 5 11" xfId="26012" xr:uid="{8EA8305C-E17A-4BC8-96A0-59A1E52B9745}"/>
    <cellStyle name="Normal 9 5 2" xfId="537" xr:uid="{00000000-0005-0000-0000-00004B200000}"/>
    <cellStyle name="Normal 9 5 2 10" xfId="26013" xr:uid="{5991350F-1198-4ABD-A4B8-A151E8C31216}"/>
    <cellStyle name="Normal 9 5 2 2" xfId="1004" xr:uid="{00000000-0005-0000-0000-00004C200000}"/>
    <cellStyle name="Normal 9 5 2 2 2" xfId="3236" xr:uid="{00000000-0005-0000-0000-00004D200000}"/>
    <cellStyle name="Normal 9 5 2 2 2 2" xfId="7458" xr:uid="{00000000-0005-0000-0000-00004E200000}"/>
    <cellStyle name="Normal 9 5 2 2 2 2 2" xfId="15908" xr:uid="{E6E7462C-2BEC-41DE-B7B3-7F488FF2B18F}"/>
    <cellStyle name="Normal 9 5 2 2 2 2 3" xfId="24348" xr:uid="{0E6DA3F3-B9F3-427A-8454-B0578254C781}"/>
    <cellStyle name="Normal 9 5 2 2 2 2 4" xfId="32788" xr:uid="{1418FCBC-4D7A-4E49-97D6-93F7A5DA71DC}"/>
    <cellStyle name="Normal 9 5 2 2 2 3" xfId="11690" xr:uid="{42D74613-7D9F-42FC-990B-2760C25ECA19}"/>
    <cellStyle name="Normal 9 5 2 2 2 4" xfId="20131" xr:uid="{9F80076C-89B2-4E18-A382-262CE5208D51}"/>
    <cellStyle name="Normal 9 5 2 2 2 5" xfId="28571" xr:uid="{9444B05F-EE87-48E3-93EC-1AF365EB5B52}"/>
    <cellStyle name="Normal 9 5 2 2 3" xfId="5313" xr:uid="{00000000-0005-0000-0000-00004F200000}"/>
    <cellStyle name="Normal 9 5 2 2 3 2" xfId="13763" xr:uid="{14627BCC-2C41-4331-AF0B-646165E7C4C1}"/>
    <cellStyle name="Normal 9 5 2 2 3 3" xfId="22203" xr:uid="{91B11802-AAAB-4ED8-82EE-6E78D1A81DE2}"/>
    <cellStyle name="Normal 9 5 2 2 3 4" xfId="30643" xr:uid="{9B51A73F-2DEC-4717-AFA4-A51417C5ADAA}"/>
    <cellStyle name="Normal 9 5 2 2 4" xfId="9545" xr:uid="{FCDCF042-1226-48D9-9D48-E9C4E55D66CC}"/>
    <cellStyle name="Normal 9 5 2 2 5" xfId="17986" xr:uid="{73DE85A2-6199-4D4A-B0BE-0173E95A468A}"/>
    <cellStyle name="Normal 9 5 2 2 6" xfId="26426" xr:uid="{7C37E525-C41B-4139-BD5E-D47192FB5EFF}"/>
    <cellStyle name="Normal 9 5 2 3" xfId="1419" xr:uid="{00000000-0005-0000-0000-000050200000}"/>
    <cellStyle name="Normal 9 5 2 3 2" xfId="3649" xr:uid="{00000000-0005-0000-0000-000051200000}"/>
    <cellStyle name="Normal 9 5 2 3 2 2" xfId="7871" xr:uid="{00000000-0005-0000-0000-000052200000}"/>
    <cellStyle name="Normal 9 5 2 3 2 2 2" xfId="16321" xr:uid="{FB378B3B-C151-433F-938B-30F24F1EF17C}"/>
    <cellStyle name="Normal 9 5 2 3 2 2 3" xfId="24761" xr:uid="{F3DEC6BB-7BA7-4EE8-80F8-BE17E2302F86}"/>
    <cellStyle name="Normal 9 5 2 3 2 2 4" xfId="33201" xr:uid="{79FC433C-F370-4C97-A91D-C7CFFC08B231}"/>
    <cellStyle name="Normal 9 5 2 3 2 3" xfId="12103" xr:uid="{9E053AA2-D916-481D-8931-919CDFAAB101}"/>
    <cellStyle name="Normal 9 5 2 3 2 4" xfId="20544" xr:uid="{AEAF73AA-E858-4E96-B99E-364C4AC786F9}"/>
    <cellStyle name="Normal 9 5 2 3 2 5" xfId="28984" xr:uid="{3FF418F8-2371-4B12-B329-44A66B4891C3}"/>
    <cellStyle name="Normal 9 5 2 3 3" xfId="5726" xr:uid="{00000000-0005-0000-0000-000053200000}"/>
    <cellStyle name="Normal 9 5 2 3 3 2" xfId="14176" xr:uid="{BE18E7A7-BDA1-42E5-A3B2-82F5A040E17E}"/>
    <cellStyle name="Normal 9 5 2 3 3 3" xfId="22616" xr:uid="{B4A3FE30-B52C-4781-AAB4-6AFBE82E5D91}"/>
    <cellStyle name="Normal 9 5 2 3 3 4" xfId="31056" xr:uid="{9E785938-5C85-454C-9B81-8731285D3AC8}"/>
    <cellStyle name="Normal 9 5 2 3 4" xfId="9958" xr:uid="{FB18E107-1AA2-46E1-B41A-D85899724490}"/>
    <cellStyle name="Normal 9 5 2 3 5" xfId="18399" xr:uid="{C4B9FC99-FFCC-4865-8772-35F187654F38}"/>
    <cellStyle name="Normal 9 5 2 3 6" xfId="26839" xr:uid="{4EEDD7BF-2317-40FC-ACA0-4E13B6A7DF57}"/>
    <cellStyle name="Normal 9 5 2 4" xfId="1832" xr:uid="{00000000-0005-0000-0000-000054200000}"/>
    <cellStyle name="Normal 9 5 2 4 2" xfId="4062" xr:uid="{00000000-0005-0000-0000-000055200000}"/>
    <cellStyle name="Normal 9 5 2 4 2 2" xfId="8284" xr:uid="{00000000-0005-0000-0000-000056200000}"/>
    <cellStyle name="Normal 9 5 2 4 2 2 2" xfId="16734" xr:uid="{1D68E339-60C7-4546-B621-21A04647B1E4}"/>
    <cellStyle name="Normal 9 5 2 4 2 2 3" xfId="25174" xr:uid="{6FD2BAE1-EC91-44F5-8975-946C904168EF}"/>
    <cellStyle name="Normal 9 5 2 4 2 2 4" xfId="33614" xr:uid="{B909CB6A-9210-4D73-BF3E-39FC3C460127}"/>
    <cellStyle name="Normal 9 5 2 4 2 3" xfId="12516" xr:uid="{482FFAD5-BD40-477E-A4C7-58218D29EE1A}"/>
    <cellStyle name="Normal 9 5 2 4 2 4" xfId="20957" xr:uid="{7F5FF7D0-0413-43F7-9253-C0A487CF3933}"/>
    <cellStyle name="Normal 9 5 2 4 2 5" xfId="29397" xr:uid="{89F472AB-A797-4040-A722-00EF34174EFC}"/>
    <cellStyle name="Normal 9 5 2 4 3" xfId="6139" xr:uid="{00000000-0005-0000-0000-000057200000}"/>
    <cellStyle name="Normal 9 5 2 4 3 2" xfId="14589" xr:uid="{DADBEE83-70FA-42ED-8746-C6A4636611E4}"/>
    <cellStyle name="Normal 9 5 2 4 3 3" xfId="23029" xr:uid="{03FDF5AD-DEED-41E4-AD83-5E477DA590EC}"/>
    <cellStyle name="Normal 9 5 2 4 3 4" xfId="31469" xr:uid="{F9DB59B5-B416-46B9-BE93-5B5117C55D39}"/>
    <cellStyle name="Normal 9 5 2 4 4" xfId="10371" xr:uid="{583C8D50-E7D3-4B6E-9431-A840A3016341}"/>
    <cellStyle name="Normal 9 5 2 4 5" xfId="18812" xr:uid="{85806E26-0411-4B43-B5EB-C2C14CB42E59}"/>
    <cellStyle name="Normal 9 5 2 4 6" xfId="27252" xr:uid="{38970F97-B926-427B-BD83-CECADC0E4C2B}"/>
    <cellStyle name="Normal 9 5 2 5" xfId="2246" xr:uid="{00000000-0005-0000-0000-000058200000}"/>
    <cellStyle name="Normal 9 5 2 5 2" xfId="4475" xr:uid="{00000000-0005-0000-0000-000059200000}"/>
    <cellStyle name="Normal 9 5 2 5 2 2" xfId="8697" xr:uid="{00000000-0005-0000-0000-00005A200000}"/>
    <cellStyle name="Normal 9 5 2 5 2 2 2" xfId="17147" xr:uid="{463244C6-30DB-4E8F-A621-27D3874DA7A0}"/>
    <cellStyle name="Normal 9 5 2 5 2 2 3" xfId="25587" xr:uid="{29A58B44-5D72-4D6C-9ED4-35804C72E205}"/>
    <cellStyle name="Normal 9 5 2 5 2 2 4" xfId="34027" xr:uid="{6A05EB63-9A39-4CAC-A01D-0C0379A12C3F}"/>
    <cellStyle name="Normal 9 5 2 5 2 3" xfId="12929" xr:uid="{C4A9EC4F-C09F-4659-BEF4-BBDC60BDEE08}"/>
    <cellStyle name="Normal 9 5 2 5 2 4" xfId="21370" xr:uid="{E7977277-DCAA-45C0-B78E-7D028F8471EE}"/>
    <cellStyle name="Normal 9 5 2 5 2 5" xfId="29810" xr:uid="{1A9BC985-C0A7-4E28-B2AA-F376528D95E6}"/>
    <cellStyle name="Normal 9 5 2 5 3" xfId="6552" xr:uid="{00000000-0005-0000-0000-00005B200000}"/>
    <cellStyle name="Normal 9 5 2 5 3 2" xfId="15002" xr:uid="{1ECB4EB8-9B62-431D-9C3B-CB62C799B655}"/>
    <cellStyle name="Normal 9 5 2 5 3 3" xfId="23442" xr:uid="{1E71EC61-1AD0-424C-B2EA-884DFC12DDE1}"/>
    <cellStyle name="Normal 9 5 2 5 3 4" xfId="31882" xr:uid="{A3B3F877-C276-42F6-A47F-E83359D7234C}"/>
    <cellStyle name="Normal 9 5 2 5 4" xfId="10784" xr:uid="{9B3B2FAA-C1B8-444F-BCE2-35D93D665756}"/>
    <cellStyle name="Normal 9 5 2 5 5" xfId="19225" xr:uid="{62EDB385-0438-42C8-8E77-5683B00C5896}"/>
    <cellStyle name="Normal 9 5 2 5 6" xfId="27665" xr:uid="{A67EFE51-616A-401C-8EDB-86D4216F1DEA}"/>
    <cellStyle name="Normal 9 5 2 6" xfId="2682" xr:uid="{00000000-0005-0000-0000-00005C200000}"/>
    <cellStyle name="Normal 9 5 2 6 2" xfId="6965" xr:uid="{00000000-0005-0000-0000-00005D200000}"/>
    <cellStyle name="Normal 9 5 2 6 2 2" xfId="15415" xr:uid="{1C174570-CCA6-4845-B577-898774773CD4}"/>
    <cellStyle name="Normal 9 5 2 6 2 3" xfId="23855" xr:uid="{7D7ECF70-7CFC-4093-AD9F-84DDBF7E1C24}"/>
    <cellStyle name="Normal 9 5 2 6 2 4" xfId="32295" xr:uid="{887A987A-A2EF-4167-90AD-2E3798F77806}"/>
    <cellStyle name="Normal 9 5 2 6 3" xfId="11197" xr:uid="{38A36C2B-535F-4180-B55F-6F5AB3364DA2}"/>
    <cellStyle name="Normal 9 5 2 6 4" xfId="19638" xr:uid="{E0E6A268-B48C-4D54-A5E7-5847D3CAE090}"/>
    <cellStyle name="Normal 9 5 2 6 5" xfId="28078" xr:uid="{95A5C9D7-68B6-4C14-837C-C6649A7C8DA0}"/>
    <cellStyle name="Normal 9 5 2 7" xfId="4900" xr:uid="{00000000-0005-0000-0000-00005E200000}"/>
    <cellStyle name="Normal 9 5 2 7 2" xfId="13350" xr:uid="{4DF5974F-C05C-4379-A2E8-5DF63E0D0B47}"/>
    <cellStyle name="Normal 9 5 2 7 3" xfId="21790" xr:uid="{4F565FD4-933D-41BD-B2FB-289A99859611}"/>
    <cellStyle name="Normal 9 5 2 7 4" xfId="30230" xr:uid="{FB4C9E4E-24A5-4618-84DE-3B567724BF39}"/>
    <cellStyle name="Normal 9 5 2 8" xfId="9132" xr:uid="{2D37CC5F-2722-4A32-8BE3-89DEDE5EF24C}"/>
    <cellStyle name="Normal 9 5 2 9" xfId="17573" xr:uid="{6714BF24-90FC-4AFC-AA8D-FC5A05755AE0}"/>
    <cellStyle name="Normal 9 5 3" xfId="1003" xr:uid="{00000000-0005-0000-0000-00005F200000}"/>
    <cellStyle name="Normal 9 5 3 2" xfId="3235" xr:uid="{00000000-0005-0000-0000-000060200000}"/>
    <cellStyle name="Normal 9 5 3 2 2" xfId="7457" xr:uid="{00000000-0005-0000-0000-000061200000}"/>
    <cellStyle name="Normal 9 5 3 2 2 2" xfId="15907" xr:uid="{8EA82C26-AF80-4E1E-A7AE-28709E27F432}"/>
    <cellStyle name="Normal 9 5 3 2 2 3" xfId="24347" xr:uid="{E2C38EA7-1235-4CE0-B079-A69B71A2024D}"/>
    <cellStyle name="Normal 9 5 3 2 2 4" xfId="32787" xr:uid="{843C5055-6405-45B7-9DD4-CE993540C2C6}"/>
    <cellStyle name="Normal 9 5 3 2 3" xfId="11689" xr:uid="{62C1764A-66C4-4BAE-836E-13FB6E7C4A79}"/>
    <cellStyle name="Normal 9 5 3 2 4" xfId="20130" xr:uid="{DB116595-42CA-4447-B0C5-86C1F67FAC15}"/>
    <cellStyle name="Normal 9 5 3 2 5" xfId="28570" xr:uid="{BF311C56-2A12-4D73-A238-BD0E3005D795}"/>
    <cellStyle name="Normal 9 5 3 3" xfId="5312" xr:uid="{00000000-0005-0000-0000-000062200000}"/>
    <cellStyle name="Normal 9 5 3 3 2" xfId="13762" xr:uid="{8AAEBBA0-15C7-4B4C-B84A-BEAC367EC7E9}"/>
    <cellStyle name="Normal 9 5 3 3 3" xfId="22202" xr:uid="{D71762D3-9F23-4FE7-83D1-B713A0BEFD1C}"/>
    <cellStyle name="Normal 9 5 3 3 4" xfId="30642" xr:uid="{A512AEE6-0DEE-4B34-AFBC-E3263748C29D}"/>
    <cellStyle name="Normal 9 5 3 4" xfId="9544" xr:uid="{096CBD43-B189-4BFB-A3C8-C832E8089C2C}"/>
    <cellStyle name="Normal 9 5 3 5" xfId="17985" xr:uid="{B0150836-7CAF-4656-B326-BDA3DB5F1825}"/>
    <cellStyle name="Normal 9 5 3 6" xfId="26425" xr:uid="{EBA7B67E-6A20-4876-A0E2-1B9BC06154B1}"/>
    <cellStyle name="Normal 9 5 4" xfId="1418" xr:uid="{00000000-0005-0000-0000-000063200000}"/>
    <cellStyle name="Normal 9 5 4 2" xfId="3648" xr:uid="{00000000-0005-0000-0000-000064200000}"/>
    <cellStyle name="Normal 9 5 4 2 2" xfId="7870" xr:uid="{00000000-0005-0000-0000-000065200000}"/>
    <cellStyle name="Normal 9 5 4 2 2 2" xfId="16320" xr:uid="{B3EF2EF3-E039-4A0B-86EB-5C0E99CBB593}"/>
    <cellStyle name="Normal 9 5 4 2 2 3" xfId="24760" xr:uid="{4D2C2782-13FD-46A1-92B9-D9BB2832AA38}"/>
    <cellStyle name="Normal 9 5 4 2 2 4" xfId="33200" xr:uid="{2DE92F43-A6F9-4A2D-A6D0-0163BCAB3E25}"/>
    <cellStyle name="Normal 9 5 4 2 3" xfId="12102" xr:uid="{BA3D22B6-D46F-48E4-8608-DB431890506A}"/>
    <cellStyle name="Normal 9 5 4 2 4" xfId="20543" xr:uid="{E8E26E63-839B-46AB-B8E8-898D559F4875}"/>
    <cellStyle name="Normal 9 5 4 2 5" xfId="28983" xr:uid="{1424F887-7F80-4D51-B86D-4E8133AE314F}"/>
    <cellStyle name="Normal 9 5 4 3" xfId="5725" xr:uid="{00000000-0005-0000-0000-000066200000}"/>
    <cellStyle name="Normal 9 5 4 3 2" xfId="14175" xr:uid="{854205F6-84EE-45DC-9E7E-A1E3AABB4EAB}"/>
    <cellStyle name="Normal 9 5 4 3 3" xfId="22615" xr:uid="{096D0CFE-14D2-4310-8D80-4FCF30A25973}"/>
    <cellStyle name="Normal 9 5 4 3 4" xfId="31055" xr:uid="{A1A8C634-80C4-48EE-A05F-E20A3624F3D5}"/>
    <cellStyle name="Normal 9 5 4 4" xfId="9957" xr:uid="{6D384549-580A-4635-8F43-10B66802486E}"/>
    <cellStyle name="Normal 9 5 4 5" xfId="18398" xr:uid="{4D1DC74D-52CF-4033-9FC0-691A064D6697}"/>
    <cellStyle name="Normal 9 5 4 6" xfId="26838" xr:uid="{4FAE1C18-2F8F-407D-85ED-025D564586D1}"/>
    <cellStyle name="Normal 9 5 5" xfId="1831" xr:uid="{00000000-0005-0000-0000-000067200000}"/>
    <cellStyle name="Normal 9 5 5 2" xfId="4061" xr:uid="{00000000-0005-0000-0000-000068200000}"/>
    <cellStyle name="Normal 9 5 5 2 2" xfId="8283" xr:uid="{00000000-0005-0000-0000-000069200000}"/>
    <cellStyle name="Normal 9 5 5 2 2 2" xfId="16733" xr:uid="{A5B40F5E-643F-438C-BBE7-F9C1FA676A24}"/>
    <cellStyle name="Normal 9 5 5 2 2 3" xfId="25173" xr:uid="{4E7D3364-56C2-4A7A-828A-4EFB0CD055B0}"/>
    <cellStyle name="Normal 9 5 5 2 2 4" xfId="33613" xr:uid="{C8B0F890-93AE-4159-AE6A-233C92982DC3}"/>
    <cellStyle name="Normal 9 5 5 2 3" xfId="12515" xr:uid="{82FC00A8-0D66-484B-B129-5408D0F7E6BA}"/>
    <cellStyle name="Normal 9 5 5 2 4" xfId="20956" xr:uid="{27D563E7-C372-4057-89EB-147840F61E30}"/>
    <cellStyle name="Normal 9 5 5 2 5" xfId="29396" xr:uid="{559AE7F6-F726-42B6-A12A-48A5D8F4C60B}"/>
    <cellStyle name="Normal 9 5 5 3" xfId="6138" xr:uid="{00000000-0005-0000-0000-00006A200000}"/>
    <cellStyle name="Normal 9 5 5 3 2" xfId="14588" xr:uid="{B103D21D-94AE-44B1-9DAE-65D250FB1843}"/>
    <cellStyle name="Normal 9 5 5 3 3" xfId="23028" xr:uid="{D57108BF-85B7-4E1B-925B-A8CDC1074A7C}"/>
    <cellStyle name="Normal 9 5 5 3 4" xfId="31468" xr:uid="{FAB61902-6B40-4855-92BB-5827D537FF21}"/>
    <cellStyle name="Normal 9 5 5 4" xfId="10370" xr:uid="{3B986161-91B9-4582-9F5A-81DD078FACDC}"/>
    <cellStyle name="Normal 9 5 5 5" xfId="18811" xr:uid="{D25445FF-7F0D-4AE6-9EF2-E5F4BD22C23C}"/>
    <cellStyle name="Normal 9 5 5 6" xfId="27251" xr:uid="{56A408F2-BDC6-41B7-A52B-063AAC03B3AB}"/>
    <cellStyle name="Normal 9 5 6" xfId="2245" xr:uid="{00000000-0005-0000-0000-00006B200000}"/>
    <cellStyle name="Normal 9 5 6 2" xfId="4474" xr:uid="{00000000-0005-0000-0000-00006C200000}"/>
    <cellStyle name="Normal 9 5 6 2 2" xfId="8696" xr:uid="{00000000-0005-0000-0000-00006D200000}"/>
    <cellStyle name="Normal 9 5 6 2 2 2" xfId="17146" xr:uid="{F01F4449-2E2E-4707-82D9-80323F13252A}"/>
    <cellStyle name="Normal 9 5 6 2 2 3" xfId="25586" xr:uid="{8E53AEE2-DA8E-49A3-AF13-B838E24F3AF2}"/>
    <cellStyle name="Normal 9 5 6 2 2 4" xfId="34026" xr:uid="{1843A1B9-8D21-4E79-A214-52661DB5DABA}"/>
    <cellStyle name="Normal 9 5 6 2 3" xfId="12928" xr:uid="{0A6E7DC3-E267-4DF9-B864-E40C52F6F734}"/>
    <cellStyle name="Normal 9 5 6 2 4" xfId="21369" xr:uid="{F4E940DE-26C3-42C6-AEAA-764E927547FB}"/>
    <cellStyle name="Normal 9 5 6 2 5" xfId="29809" xr:uid="{BDEAA54C-A35A-4DC4-9661-462B8A4876FF}"/>
    <cellStyle name="Normal 9 5 6 3" xfId="6551" xr:uid="{00000000-0005-0000-0000-00006E200000}"/>
    <cellStyle name="Normal 9 5 6 3 2" xfId="15001" xr:uid="{6E7C3270-7803-4D1B-A849-B0783F913819}"/>
    <cellStyle name="Normal 9 5 6 3 3" xfId="23441" xr:uid="{D59BF832-2E36-4C59-A665-77007B1BA991}"/>
    <cellStyle name="Normal 9 5 6 3 4" xfId="31881" xr:uid="{E0A1822D-D9F1-471B-A7E8-1AB3CDB43804}"/>
    <cellStyle name="Normal 9 5 6 4" xfId="10783" xr:uid="{02EFEBFB-3904-400D-9C9C-DE37E9F096DC}"/>
    <cellStyle name="Normal 9 5 6 5" xfId="19224" xr:uid="{2306FC69-EC7B-4F98-A289-F1E90B313B95}"/>
    <cellStyle name="Normal 9 5 6 6" xfId="27664" xr:uid="{ECB514EB-00BD-4B9C-AD98-9EF509CBC323}"/>
    <cellStyle name="Normal 9 5 7" xfId="2681" xr:uid="{00000000-0005-0000-0000-00006F200000}"/>
    <cellStyle name="Normal 9 5 7 2" xfId="6964" xr:uid="{00000000-0005-0000-0000-000070200000}"/>
    <cellStyle name="Normal 9 5 7 2 2" xfId="15414" xr:uid="{9FE9A3F2-31F8-4F13-957F-C1BD5CE8B307}"/>
    <cellStyle name="Normal 9 5 7 2 3" xfId="23854" xr:uid="{B0BEDA12-D5E7-42FA-BA29-F9716CC22FC4}"/>
    <cellStyle name="Normal 9 5 7 2 4" xfId="32294" xr:uid="{95983793-F345-4095-B499-096C8CECE82B}"/>
    <cellStyle name="Normal 9 5 7 3" xfId="11196" xr:uid="{314A8D6A-F2B0-4F8A-8C04-8E25F0E3EA16}"/>
    <cellStyle name="Normal 9 5 7 4" xfId="19637" xr:uid="{8DCFA21D-CC34-4A38-BD5B-40DCF1F1959D}"/>
    <cellStyle name="Normal 9 5 7 5" xfId="28077" xr:uid="{FA4019AD-125A-4DC3-9A8D-81FF083E9E86}"/>
    <cellStyle name="Normal 9 5 8" xfId="4899" xr:uid="{00000000-0005-0000-0000-000071200000}"/>
    <cellStyle name="Normal 9 5 8 2" xfId="13349" xr:uid="{1EFD2970-91F3-4448-B779-0740A8246CEB}"/>
    <cellStyle name="Normal 9 5 8 3" xfId="21789" xr:uid="{24D33715-9BA7-4D4B-878A-E3A71753978B}"/>
    <cellStyle name="Normal 9 5 8 4" xfId="30229" xr:uid="{F1E54FB7-70D8-446F-94AA-B9E56EDA0E18}"/>
    <cellStyle name="Normal 9 5 9" xfId="9131" xr:uid="{61CC1CD7-F1A6-4B09-822A-88DEF6086C70}"/>
    <cellStyle name="Normal 9 6" xfId="538" xr:uid="{00000000-0005-0000-0000-000072200000}"/>
    <cellStyle name="Normal 9 6 10" xfId="26014" xr:uid="{EA327D76-B02A-4EC3-9EF4-523EA2B8F6FB}"/>
    <cellStyle name="Normal 9 6 2" xfId="1005" xr:uid="{00000000-0005-0000-0000-000073200000}"/>
    <cellStyle name="Normal 9 6 2 2" xfId="3237" xr:uid="{00000000-0005-0000-0000-000074200000}"/>
    <cellStyle name="Normal 9 6 2 2 2" xfId="7459" xr:uid="{00000000-0005-0000-0000-000075200000}"/>
    <cellStyle name="Normal 9 6 2 2 2 2" xfId="15909" xr:uid="{B339193B-CB39-4507-9125-43DB8D091B9F}"/>
    <cellStyle name="Normal 9 6 2 2 2 3" xfId="24349" xr:uid="{DA0333C8-11CE-49B5-9828-FA6CD9A6FE7C}"/>
    <cellStyle name="Normal 9 6 2 2 2 4" xfId="32789" xr:uid="{434DBFD8-3596-422D-BC0C-440A6FECC3F8}"/>
    <cellStyle name="Normal 9 6 2 2 3" xfId="11691" xr:uid="{F70F28EB-1F50-4477-B35B-C81176B3B00A}"/>
    <cellStyle name="Normal 9 6 2 2 4" xfId="20132" xr:uid="{23E2E4C0-6C27-4385-B987-C9B0DF94A7C4}"/>
    <cellStyle name="Normal 9 6 2 2 5" xfId="28572" xr:uid="{52CECBFD-984B-4DA4-A92F-05E14FEC25D9}"/>
    <cellStyle name="Normal 9 6 2 3" xfId="5314" xr:uid="{00000000-0005-0000-0000-000076200000}"/>
    <cellStyle name="Normal 9 6 2 3 2" xfId="13764" xr:uid="{E2DFF992-9579-422E-B003-C1253DA2D2D4}"/>
    <cellStyle name="Normal 9 6 2 3 3" xfId="22204" xr:uid="{B9A53160-E170-425C-A204-7193715E88E5}"/>
    <cellStyle name="Normal 9 6 2 3 4" xfId="30644" xr:uid="{5C2413CF-4FA5-4963-BEBC-5C4C2084B086}"/>
    <cellStyle name="Normal 9 6 2 4" xfId="9546" xr:uid="{97BD4F66-17A7-4D95-8D9C-6A3DE1D1C6A7}"/>
    <cellStyle name="Normal 9 6 2 5" xfId="17987" xr:uid="{25ABDBE6-17C8-487F-B2B6-84593DD7CD41}"/>
    <cellStyle name="Normal 9 6 2 6" xfId="26427" xr:uid="{51A50C68-81B1-4CD8-980F-5C8D2327177D}"/>
    <cellStyle name="Normal 9 6 3" xfId="1420" xr:uid="{00000000-0005-0000-0000-000077200000}"/>
    <cellStyle name="Normal 9 6 3 2" xfId="3650" xr:uid="{00000000-0005-0000-0000-000078200000}"/>
    <cellStyle name="Normal 9 6 3 2 2" xfId="7872" xr:uid="{00000000-0005-0000-0000-000079200000}"/>
    <cellStyle name="Normal 9 6 3 2 2 2" xfId="16322" xr:uid="{29B27C87-1F8D-4EEB-9100-4F3B43ACF8AB}"/>
    <cellStyle name="Normal 9 6 3 2 2 3" xfId="24762" xr:uid="{EC4CF6A3-5866-4414-97BA-A912148E3CE9}"/>
    <cellStyle name="Normal 9 6 3 2 2 4" xfId="33202" xr:uid="{5E7B8EAE-9BDC-4AD6-B80C-D481845333DC}"/>
    <cellStyle name="Normal 9 6 3 2 3" xfId="12104" xr:uid="{731F62ED-4BB9-46BA-9AC8-99A3208977F8}"/>
    <cellStyle name="Normal 9 6 3 2 4" xfId="20545" xr:uid="{71756456-8C5C-48D3-96E4-1526BCC91191}"/>
    <cellStyle name="Normal 9 6 3 2 5" xfId="28985" xr:uid="{9237044C-5549-4164-ABDC-E70F4E94E757}"/>
    <cellStyle name="Normal 9 6 3 3" xfId="5727" xr:uid="{00000000-0005-0000-0000-00007A200000}"/>
    <cellStyle name="Normal 9 6 3 3 2" xfId="14177" xr:uid="{DE6F38CC-78DF-4883-A7EB-1A4241E63866}"/>
    <cellStyle name="Normal 9 6 3 3 3" xfId="22617" xr:uid="{F12BA6AA-03B4-4B6C-954C-2ABF5FE73BEC}"/>
    <cellStyle name="Normal 9 6 3 3 4" xfId="31057" xr:uid="{C4739A2B-6479-47F6-AA31-E184B1AA2CAB}"/>
    <cellStyle name="Normal 9 6 3 4" xfId="9959" xr:uid="{4862B634-7AFE-48DF-9743-C53C9A34A029}"/>
    <cellStyle name="Normal 9 6 3 5" xfId="18400" xr:uid="{2A4C0048-97E8-4DC2-A2CF-A5FE1403540D}"/>
    <cellStyle name="Normal 9 6 3 6" xfId="26840" xr:uid="{9916ADBE-0708-4CCF-BD8E-A8E863977BCC}"/>
    <cellStyle name="Normal 9 6 4" xfId="1833" xr:uid="{00000000-0005-0000-0000-00007B200000}"/>
    <cellStyle name="Normal 9 6 4 2" xfId="4063" xr:uid="{00000000-0005-0000-0000-00007C200000}"/>
    <cellStyle name="Normal 9 6 4 2 2" xfId="8285" xr:uid="{00000000-0005-0000-0000-00007D200000}"/>
    <cellStyle name="Normal 9 6 4 2 2 2" xfId="16735" xr:uid="{395D99B9-6CE9-41AC-BD4A-52211CDFC0A4}"/>
    <cellStyle name="Normal 9 6 4 2 2 3" xfId="25175" xr:uid="{7D106413-0D8E-4A80-BAF3-D9D77AB279E9}"/>
    <cellStyle name="Normal 9 6 4 2 2 4" xfId="33615" xr:uid="{C80A2431-866E-4EE9-ACE8-45402F9D97CD}"/>
    <cellStyle name="Normal 9 6 4 2 3" xfId="12517" xr:uid="{C3CE6FEE-710F-4712-A44C-580FA55F41E6}"/>
    <cellStyle name="Normal 9 6 4 2 4" xfId="20958" xr:uid="{CDB11C5D-A491-413C-8F9E-D531C9A622AE}"/>
    <cellStyle name="Normal 9 6 4 2 5" xfId="29398" xr:uid="{93CDF9B2-67BE-4A34-A657-68491A422756}"/>
    <cellStyle name="Normal 9 6 4 3" xfId="6140" xr:uid="{00000000-0005-0000-0000-00007E200000}"/>
    <cellStyle name="Normal 9 6 4 3 2" xfId="14590" xr:uid="{C71FB967-E96C-4D94-853D-41D6BB94BE84}"/>
    <cellStyle name="Normal 9 6 4 3 3" xfId="23030" xr:uid="{739DE835-0918-4E18-B6AA-8314D44F8AB1}"/>
    <cellStyle name="Normal 9 6 4 3 4" xfId="31470" xr:uid="{ACEDE33C-7209-4ED4-AFB4-1CEFB7FA64AB}"/>
    <cellStyle name="Normal 9 6 4 4" xfId="10372" xr:uid="{668C2CCE-21E3-431C-8E8E-17BFE50F0380}"/>
    <cellStyle name="Normal 9 6 4 5" xfId="18813" xr:uid="{02E2A613-565B-4314-BFBB-BD14EAC032E7}"/>
    <cellStyle name="Normal 9 6 4 6" xfId="27253" xr:uid="{68C4A4C7-0152-4120-B5B2-532D77548AD5}"/>
    <cellStyle name="Normal 9 6 5" xfId="2247" xr:uid="{00000000-0005-0000-0000-00007F200000}"/>
    <cellStyle name="Normal 9 6 5 2" xfId="4476" xr:uid="{00000000-0005-0000-0000-000080200000}"/>
    <cellStyle name="Normal 9 6 5 2 2" xfId="8698" xr:uid="{00000000-0005-0000-0000-000081200000}"/>
    <cellStyle name="Normal 9 6 5 2 2 2" xfId="17148" xr:uid="{42D462BF-EC9E-4342-967F-876933ECF62B}"/>
    <cellStyle name="Normal 9 6 5 2 2 3" xfId="25588" xr:uid="{5FBDCAE5-780C-4BB4-9616-5129E971001B}"/>
    <cellStyle name="Normal 9 6 5 2 2 4" xfId="34028" xr:uid="{1348CCD9-E381-42A4-B06A-057C56DB3E4B}"/>
    <cellStyle name="Normal 9 6 5 2 3" xfId="12930" xr:uid="{0D75922E-0B3A-43D6-801C-F48BE2A3AC6D}"/>
    <cellStyle name="Normal 9 6 5 2 4" xfId="21371" xr:uid="{AB055DC5-EC4A-44EA-9791-66A2269EF69A}"/>
    <cellStyle name="Normal 9 6 5 2 5" xfId="29811" xr:uid="{C7D8B6FF-F97F-48F5-8F31-A3B9FDEC5D61}"/>
    <cellStyle name="Normal 9 6 5 3" xfId="6553" xr:uid="{00000000-0005-0000-0000-000082200000}"/>
    <cellStyle name="Normal 9 6 5 3 2" xfId="15003" xr:uid="{2BB8492A-1DE5-41A5-8E1F-92E0FAD1766C}"/>
    <cellStyle name="Normal 9 6 5 3 3" xfId="23443" xr:uid="{77986E6D-A13B-4F9C-BA8C-3D4D489584CF}"/>
    <cellStyle name="Normal 9 6 5 3 4" xfId="31883" xr:uid="{DE1957B4-2707-419C-B4BA-12E3F6C93665}"/>
    <cellStyle name="Normal 9 6 5 4" xfId="10785" xr:uid="{4F24629D-DADF-4E77-80FD-991EFE33E627}"/>
    <cellStyle name="Normal 9 6 5 5" xfId="19226" xr:uid="{6FB404E9-9831-4FE6-A223-3E3B3BEB4E56}"/>
    <cellStyle name="Normal 9 6 5 6" xfId="27666" xr:uid="{4D9B433D-B152-4208-98E5-91FDE72C994B}"/>
    <cellStyle name="Normal 9 6 6" xfId="2683" xr:uid="{00000000-0005-0000-0000-000083200000}"/>
    <cellStyle name="Normal 9 6 6 2" xfId="6966" xr:uid="{00000000-0005-0000-0000-000084200000}"/>
    <cellStyle name="Normal 9 6 6 2 2" xfId="15416" xr:uid="{3C0879B9-EA28-41BB-8C7B-E060304FC138}"/>
    <cellStyle name="Normal 9 6 6 2 3" xfId="23856" xr:uid="{2913759D-0A57-4D25-80C4-44010895F5C3}"/>
    <cellStyle name="Normal 9 6 6 2 4" xfId="32296" xr:uid="{C2268CF3-E7AC-422D-AB2D-EAE498B6757B}"/>
    <cellStyle name="Normal 9 6 6 3" xfId="11198" xr:uid="{DD4F0E7A-DDC3-43CA-806C-A4C348C89FB1}"/>
    <cellStyle name="Normal 9 6 6 4" xfId="19639" xr:uid="{869B6DE5-35F7-44DD-824A-0657471C5541}"/>
    <cellStyle name="Normal 9 6 6 5" xfId="28079" xr:uid="{1F341C33-BDEE-427B-8E9F-6BD85A455DA4}"/>
    <cellStyle name="Normal 9 6 7" xfId="4901" xr:uid="{00000000-0005-0000-0000-000085200000}"/>
    <cellStyle name="Normal 9 6 7 2" xfId="13351" xr:uid="{1A174BB3-8B99-43BF-9C70-2FC35C35A7EE}"/>
    <cellStyle name="Normal 9 6 7 3" xfId="21791" xr:uid="{5FFC730A-F153-4175-BC20-C4EF81955E21}"/>
    <cellStyle name="Normal 9 6 7 4" xfId="30231" xr:uid="{3C8569C8-4DA0-40FA-ADCA-91A43198B4CE}"/>
    <cellStyle name="Normal 9 6 8" xfId="9133" xr:uid="{72CB1315-DD35-4722-94F7-388921B997F2}"/>
    <cellStyle name="Normal 9 6 9" xfId="17574" xr:uid="{8541F9AA-E442-445F-B2A5-6DEE2CDCD1E4}"/>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0 2 2" xfId="15497" xr:uid="{E646E004-5BC3-49AB-A06C-8177687DFB56}"/>
    <cellStyle name="Note 2 2 10 2 3" xfId="23937" xr:uid="{02E3B9CC-50FF-4EDD-9829-3B3A3C210371}"/>
    <cellStyle name="Note 2 2 10 2 4" xfId="32377" xr:uid="{359F8D52-86B7-4D97-9569-23594B35D870}"/>
    <cellStyle name="Note 2 2 10 3" xfId="11279" xr:uid="{4D4ED89A-181A-403E-965B-D15BC3DCFA62}"/>
    <cellStyle name="Note 2 2 10 4" xfId="19720" xr:uid="{4BB66DBB-AC11-489B-925B-FCF86AFC9B81}"/>
    <cellStyle name="Note 2 2 10 5" xfId="28160" xr:uid="{5DE9CF9A-9C51-4627-97F7-4C324A5AB40D}"/>
    <cellStyle name="Note 2 2 11" xfId="4902" xr:uid="{00000000-0005-0000-0000-000094200000}"/>
    <cellStyle name="Note 2 2 11 2" xfId="13352" xr:uid="{0C2FFB77-4966-461D-A55D-8720EEBF2D48}"/>
    <cellStyle name="Note 2 2 11 3" xfId="21792" xr:uid="{3DCB9350-C8FA-4DB6-AD1B-05D29F7A8BC6}"/>
    <cellStyle name="Note 2 2 11 4" xfId="30232" xr:uid="{3562DF24-DE19-4818-B58A-BD6B869E4699}"/>
    <cellStyle name="Note 2 2 12" xfId="9134" xr:uid="{947DBAE4-E692-4E86-9767-084A7E21601B}"/>
    <cellStyle name="Note 2 2 13" xfId="17575" xr:uid="{00A19E5E-F4A0-4169-A2E0-5C7F518622C3}"/>
    <cellStyle name="Note 2 2 14" xfId="26015" xr:uid="{126A6ED0-9953-4E35-84F2-97F0058DF57B}"/>
    <cellStyle name="Note 2 2 2" xfId="546" xr:uid="{00000000-0005-0000-0000-000095200000}"/>
    <cellStyle name="Note 2 2 2 10" xfId="4903" xr:uid="{00000000-0005-0000-0000-000096200000}"/>
    <cellStyle name="Note 2 2 2 10 2" xfId="13353" xr:uid="{4F63F1A0-A7DD-4890-BAFE-CB0AC06B50F9}"/>
    <cellStyle name="Note 2 2 2 10 3" xfId="21793" xr:uid="{CF35ACB4-3935-4318-B6E9-A20365B77734}"/>
    <cellStyle name="Note 2 2 2 10 4" xfId="30233" xr:uid="{109F9C2B-00DE-480A-812B-16155A2DB61F}"/>
    <cellStyle name="Note 2 2 2 11" xfId="9135" xr:uid="{23B2569E-7171-4E9A-A936-1085F7F1F466}"/>
    <cellStyle name="Note 2 2 2 12" xfId="17576" xr:uid="{7C9C054E-17B9-4DA3-B8C8-00E36CE8F577}"/>
    <cellStyle name="Note 2 2 2 13" xfId="26016" xr:uid="{1A99CD7C-1237-46F6-B983-01842077A238}"/>
    <cellStyle name="Note 2 2 2 2" xfId="547" xr:uid="{00000000-0005-0000-0000-000097200000}"/>
    <cellStyle name="Note 2 2 2 2 10" xfId="9136" xr:uid="{79AB7535-7211-469C-9A29-E284D69A3D5A}"/>
    <cellStyle name="Note 2 2 2 2 11" xfId="17577" xr:uid="{D1287F95-55B0-4D21-B086-0F308C20D318}"/>
    <cellStyle name="Note 2 2 2 2 12" xfId="26017" xr:uid="{1BC80634-986A-43BF-97BF-5714CA06E7BE}"/>
    <cellStyle name="Note 2 2 2 2 2" xfId="1008" xr:uid="{00000000-0005-0000-0000-000098200000}"/>
    <cellStyle name="Note 2 2 2 2 2 2" xfId="3240" xr:uid="{00000000-0005-0000-0000-000099200000}"/>
    <cellStyle name="Note 2 2 2 2 2 2 2" xfId="7462" xr:uid="{00000000-0005-0000-0000-00009A200000}"/>
    <cellStyle name="Note 2 2 2 2 2 2 2 2" xfId="15912" xr:uid="{77D2393B-D63C-40EA-A9AD-92DF9E324508}"/>
    <cellStyle name="Note 2 2 2 2 2 2 2 3" xfId="24352" xr:uid="{FC1E1EBA-0DAE-41B2-AC5E-1F863E615F3B}"/>
    <cellStyle name="Note 2 2 2 2 2 2 2 4" xfId="32792" xr:uid="{BFF1363E-B35E-491B-A58D-C1960855CCDB}"/>
    <cellStyle name="Note 2 2 2 2 2 2 3" xfId="11694" xr:uid="{58B3745E-2853-4EED-834C-3A6161E866AC}"/>
    <cellStyle name="Note 2 2 2 2 2 2 4" xfId="20135" xr:uid="{B638CDB6-6BE8-4E67-9E68-01B7422BBBB8}"/>
    <cellStyle name="Note 2 2 2 2 2 2 5" xfId="28575" xr:uid="{0964A095-1E86-4066-AD9A-25FCD9BEE15E}"/>
    <cellStyle name="Note 2 2 2 2 2 3" xfId="5317" xr:uid="{00000000-0005-0000-0000-00009B200000}"/>
    <cellStyle name="Note 2 2 2 2 2 3 2" xfId="13767" xr:uid="{D53957B9-9819-497F-83CA-69FB264D15D0}"/>
    <cellStyle name="Note 2 2 2 2 2 3 3" xfId="22207" xr:uid="{AD34720D-6A4D-4726-B100-7DAA7D401622}"/>
    <cellStyle name="Note 2 2 2 2 2 3 4" xfId="30647" xr:uid="{0EC3AF4D-073F-4245-9330-3C66D72E31F8}"/>
    <cellStyle name="Note 2 2 2 2 2 4" xfId="9549" xr:uid="{F6580809-F45B-46AB-98F3-0E0D27702DC4}"/>
    <cellStyle name="Note 2 2 2 2 2 5" xfId="17990" xr:uid="{56C60CDD-C04E-465C-A2CA-572BA5D3BB96}"/>
    <cellStyle name="Note 2 2 2 2 2 6" xfId="26430" xr:uid="{B171F529-8BC7-4D13-B6AD-CCC3F386E266}"/>
    <cellStyle name="Note 2 2 2 2 3" xfId="1423" xr:uid="{00000000-0005-0000-0000-00009C200000}"/>
    <cellStyle name="Note 2 2 2 2 3 2" xfId="3653" xr:uid="{00000000-0005-0000-0000-00009D200000}"/>
    <cellStyle name="Note 2 2 2 2 3 2 2" xfId="7875" xr:uid="{00000000-0005-0000-0000-00009E200000}"/>
    <cellStyle name="Note 2 2 2 2 3 2 2 2" xfId="16325" xr:uid="{1E24ED08-E467-409E-BA96-A694C380273E}"/>
    <cellStyle name="Note 2 2 2 2 3 2 2 3" xfId="24765" xr:uid="{123DF876-427F-4F81-B21D-1C7947AB8AED}"/>
    <cellStyle name="Note 2 2 2 2 3 2 2 4" xfId="33205" xr:uid="{D124BE18-62B6-487E-8F26-A49729C46C31}"/>
    <cellStyle name="Note 2 2 2 2 3 2 3" xfId="12107" xr:uid="{97F7759A-5D47-4968-99DF-0FCE3845441C}"/>
    <cellStyle name="Note 2 2 2 2 3 2 4" xfId="20548" xr:uid="{45DD4BD3-842D-4C73-BFF3-6B197038DFD0}"/>
    <cellStyle name="Note 2 2 2 2 3 2 5" xfId="28988" xr:uid="{93203A1A-8171-453D-9C46-BA3C3B30BA7C}"/>
    <cellStyle name="Note 2 2 2 2 3 3" xfId="5730" xr:uid="{00000000-0005-0000-0000-00009F200000}"/>
    <cellStyle name="Note 2 2 2 2 3 3 2" xfId="14180" xr:uid="{D4B92122-FDB0-4240-9779-850F5A9901E6}"/>
    <cellStyle name="Note 2 2 2 2 3 3 3" xfId="22620" xr:uid="{91135BB6-59B9-458C-B6AF-3E5E6DD80885}"/>
    <cellStyle name="Note 2 2 2 2 3 3 4" xfId="31060" xr:uid="{FAF7F5CC-8415-421A-B1EC-69BA001BFF6A}"/>
    <cellStyle name="Note 2 2 2 2 3 4" xfId="9962" xr:uid="{7CDB35E5-82CD-46ED-B87E-77733F46020F}"/>
    <cellStyle name="Note 2 2 2 2 3 5" xfId="18403" xr:uid="{1839796E-331E-497C-ADB3-ADD70C992535}"/>
    <cellStyle name="Note 2 2 2 2 3 6" xfId="26843" xr:uid="{10D66C41-B345-4F16-A2BD-8E9F140F1020}"/>
    <cellStyle name="Note 2 2 2 2 4" xfId="1837" xr:uid="{00000000-0005-0000-0000-0000A0200000}"/>
    <cellStyle name="Note 2 2 2 2 4 2" xfId="4066" xr:uid="{00000000-0005-0000-0000-0000A1200000}"/>
    <cellStyle name="Note 2 2 2 2 4 2 2" xfId="8288" xr:uid="{00000000-0005-0000-0000-0000A2200000}"/>
    <cellStyle name="Note 2 2 2 2 4 2 2 2" xfId="16738" xr:uid="{950217C2-AC76-4F71-86CB-D2DCF553D5C3}"/>
    <cellStyle name="Note 2 2 2 2 4 2 2 3" xfId="25178" xr:uid="{74313FBD-8159-459E-88B0-8A9DF1DEF8E4}"/>
    <cellStyle name="Note 2 2 2 2 4 2 2 4" xfId="33618" xr:uid="{59E75859-64CD-4964-8DD4-A7C272C35188}"/>
    <cellStyle name="Note 2 2 2 2 4 2 3" xfId="12520" xr:uid="{3F47A06D-1ED2-43EF-99B8-0462330270E3}"/>
    <cellStyle name="Note 2 2 2 2 4 2 4" xfId="20961" xr:uid="{7C6525DE-844E-41F6-8FC6-38B47620441C}"/>
    <cellStyle name="Note 2 2 2 2 4 2 5" xfId="29401" xr:uid="{9D7B7694-0128-4279-9599-687B877D8123}"/>
    <cellStyle name="Note 2 2 2 2 4 3" xfId="6143" xr:uid="{00000000-0005-0000-0000-0000A3200000}"/>
    <cellStyle name="Note 2 2 2 2 4 3 2" xfId="14593" xr:uid="{B4BCCEAB-F5F7-4C90-9862-C9ADFA14E206}"/>
    <cellStyle name="Note 2 2 2 2 4 3 3" xfId="23033" xr:uid="{C0643523-6D4A-4EB2-91FD-A73D40B6F3A8}"/>
    <cellStyle name="Note 2 2 2 2 4 3 4" xfId="31473" xr:uid="{135548BF-284E-475A-8269-6C0DAE3BF453}"/>
    <cellStyle name="Note 2 2 2 2 4 4" xfId="10375" xr:uid="{FC064A7A-AACC-4947-96EF-2EBD2DEF31D3}"/>
    <cellStyle name="Note 2 2 2 2 4 5" xfId="18816" xr:uid="{513F2B12-FEF6-430A-B62D-3BC0193783F0}"/>
    <cellStyle name="Note 2 2 2 2 4 6" xfId="27256" xr:uid="{92DEF752-830C-493C-8EAE-0C1AF72F1336}"/>
    <cellStyle name="Note 2 2 2 2 5" xfId="2250" xr:uid="{00000000-0005-0000-0000-0000A4200000}"/>
    <cellStyle name="Note 2 2 2 2 5 2" xfId="4479" xr:uid="{00000000-0005-0000-0000-0000A5200000}"/>
    <cellStyle name="Note 2 2 2 2 5 2 2" xfId="8701" xr:uid="{00000000-0005-0000-0000-0000A6200000}"/>
    <cellStyle name="Note 2 2 2 2 5 2 2 2" xfId="17151" xr:uid="{C5CEC3CD-CBCA-4B5A-AC4F-70AE7ECA078C}"/>
    <cellStyle name="Note 2 2 2 2 5 2 2 3" xfId="25591" xr:uid="{00FC86ED-C706-40B7-A864-76024D66037A}"/>
    <cellStyle name="Note 2 2 2 2 5 2 2 4" xfId="34031" xr:uid="{97C414CB-E6A5-4A5A-A65B-0DB55BAF8195}"/>
    <cellStyle name="Note 2 2 2 2 5 2 3" xfId="12933" xr:uid="{E21D1C39-5B3B-4234-B323-E51C53D1A0F7}"/>
    <cellStyle name="Note 2 2 2 2 5 2 4" xfId="21374" xr:uid="{4C738183-C790-47AD-8318-D907126C49B8}"/>
    <cellStyle name="Note 2 2 2 2 5 2 5" xfId="29814" xr:uid="{518768EC-21A4-422C-B3A6-EF09FF5C84C8}"/>
    <cellStyle name="Note 2 2 2 2 5 3" xfId="6556" xr:uid="{00000000-0005-0000-0000-0000A7200000}"/>
    <cellStyle name="Note 2 2 2 2 5 3 2" xfId="15006" xr:uid="{AFCE1F89-3D13-437C-B56A-BB17861B44E5}"/>
    <cellStyle name="Note 2 2 2 2 5 3 3" xfId="23446" xr:uid="{2578886B-FF29-4DB3-90AD-F45E4F800036}"/>
    <cellStyle name="Note 2 2 2 2 5 3 4" xfId="31886" xr:uid="{80D8A64F-CE0A-4A87-8B68-3B0B2EB72207}"/>
    <cellStyle name="Note 2 2 2 2 5 4" xfId="10788" xr:uid="{66749999-0451-4E4C-9176-064852D559C1}"/>
    <cellStyle name="Note 2 2 2 2 5 5" xfId="19229" xr:uid="{05C84049-1B8C-4A11-A9C6-520B3143BB4A}"/>
    <cellStyle name="Note 2 2 2 2 5 6" xfId="27669" xr:uid="{44A25567-5F10-458F-9A6C-04CBD3EECBDE}"/>
    <cellStyle name="Note 2 2 2 2 6" xfId="2686" xr:uid="{00000000-0005-0000-0000-0000A8200000}"/>
    <cellStyle name="Note 2 2 2 2 6 2" xfId="6969" xr:uid="{00000000-0005-0000-0000-0000A9200000}"/>
    <cellStyle name="Note 2 2 2 2 6 2 2" xfId="15419" xr:uid="{55B3F2E0-007D-4F28-AC4C-94A42B8BC436}"/>
    <cellStyle name="Note 2 2 2 2 6 2 3" xfId="23859" xr:uid="{FDBED2E4-1B2B-46CB-8E3D-06CD371CA77E}"/>
    <cellStyle name="Note 2 2 2 2 6 2 4" xfId="32299" xr:uid="{03512611-10D1-4C13-934E-0FD059BAF311}"/>
    <cellStyle name="Note 2 2 2 2 6 3" xfId="11201" xr:uid="{57378C7A-8962-4CB3-8A07-20953B5C73D5}"/>
    <cellStyle name="Note 2 2 2 2 6 4" xfId="19642" xr:uid="{1A749603-3B9D-405F-9A8B-C04AFAE0A49A}"/>
    <cellStyle name="Note 2 2 2 2 6 5" xfId="28082" xr:uid="{489DCFDC-DDA6-41FE-9CF1-CD62E8BF84B3}"/>
    <cellStyle name="Note 2 2 2 2 7" xfId="2745" xr:uid="{00000000-0005-0000-0000-0000AA200000}"/>
    <cellStyle name="Note 2 2 2 2 8" xfId="2826" xr:uid="{00000000-0005-0000-0000-0000AB200000}"/>
    <cellStyle name="Note 2 2 2 2 8 2" xfId="7049" xr:uid="{00000000-0005-0000-0000-0000AC200000}"/>
    <cellStyle name="Note 2 2 2 2 8 2 2" xfId="15499" xr:uid="{E2ECAD69-8FE1-47DA-89E2-99579EC01669}"/>
    <cellStyle name="Note 2 2 2 2 8 2 3" xfId="23939" xr:uid="{4788AE0C-7756-4397-AEF9-C1C50742F95D}"/>
    <cellStyle name="Note 2 2 2 2 8 2 4" xfId="32379" xr:uid="{E2479010-2EB5-4AF1-98C7-EB914A54CD13}"/>
    <cellStyle name="Note 2 2 2 2 8 3" xfId="11281" xr:uid="{2B66B327-70A3-48F1-B169-6D277451F009}"/>
    <cellStyle name="Note 2 2 2 2 8 4" xfId="19722" xr:uid="{075B7B7A-F09E-407B-83C2-DEB3BFE3AA62}"/>
    <cellStyle name="Note 2 2 2 2 8 5" xfId="28162" xr:uid="{2E12B938-A890-405B-BFCC-D7B94EB7A691}"/>
    <cellStyle name="Note 2 2 2 2 9" xfId="4904" xr:uid="{00000000-0005-0000-0000-0000AD200000}"/>
    <cellStyle name="Note 2 2 2 2 9 2" xfId="13354" xr:uid="{16E1BF67-7C0A-47EF-A18C-148F1BC7FDED}"/>
    <cellStyle name="Note 2 2 2 2 9 3" xfId="21794" xr:uid="{E4320AEC-844E-4A00-836F-2C46ABB1F9F7}"/>
    <cellStyle name="Note 2 2 2 2 9 4" xfId="30234" xr:uid="{031F0D47-DB72-4022-947F-8AFBA0461FC2}"/>
    <cellStyle name="Note 2 2 2 3" xfId="1007" xr:uid="{00000000-0005-0000-0000-0000AE200000}"/>
    <cellStyle name="Note 2 2 2 3 2" xfId="3239" xr:uid="{00000000-0005-0000-0000-0000AF200000}"/>
    <cellStyle name="Note 2 2 2 3 2 2" xfId="7461" xr:uid="{00000000-0005-0000-0000-0000B0200000}"/>
    <cellStyle name="Note 2 2 2 3 2 2 2" xfId="15911" xr:uid="{58F15111-59AA-472A-A037-133D999BF458}"/>
    <cellStyle name="Note 2 2 2 3 2 2 3" xfId="24351" xr:uid="{4A8AE397-FD18-45A1-9C12-CC379260A23F}"/>
    <cellStyle name="Note 2 2 2 3 2 2 4" xfId="32791" xr:uid="{B7DCFD92-6417-41AA-9A37-B1AC26018031}"/>
    <cellStyle name="Note 2 2 2 3 2 3" xfId="11693" xr:uid="{CC38FE59-40C6-43EF-BBB9-28361FD1AC37}"/>
    <cellStyle name="Note 2 2 2 3 2 4" xfId="20134" xr:uid="{A30924A8-D6D7-4CCE-A9EA-2BF791F69A98}"/>
    <cellStyle name="Note 2 2 2 3 2 5" xfId="28574" xr:uid="{53B24351-9FC8-4303-B020-7FDBEC0AB1F6}"/>
    <cellStyle name="Note 2 2 2 3 3" xfId="5316" xr:uid="{00000000-0005-0000-0000-0000B1200000}"/>
    <cellStyle name="Note 2 2 2 3 3 2" xfId="13766" xr:uid="{2176A8BB-A66A-4780-B880-87C99F2EF164}"/>
    <cellStyle name="Note 2 2 2 3 3 3" xfId="22206" xr:uid="{C1F3846A-8C3B-4197-AE97-550CF033695C}"/>
    <cellStyle name="Note 2 2 2 3 3 4" xfId="30646" xr:uid="{247F6DDF-96D7-435E-A50D-9187032D7D4A}"/>
    <cellStyle name="Note 2 2 2 3 4" xfId="9548" xr:uid="{E34DECC4-8F54-45A2-BF73-CF3C757D4045}"/>
    <cellStyle name="Note 2 2 2 3 5" xfId="17989" xr:uid="{9D8AB988-4D35-46C4-849A-8E1E92CB702F}"/>
    <cellStyle name="Note 2 2 2 3 6" xfId="26429" xr:uid="{FFDA3270-E43C-49F0-936E-D6A162A16BC5}"/>
    <cellStyle name="Note 2 2 2 4" xfId="1422" xr:uid="{00000000-0005-0000-0000-0000B2200000}"/>
    <cellStyle name="Note 2 2 2 4 2" xfId="3652" xr:uid="{00000000-0005-0000-0000-0000B3200000}"/>
    <cellStyle name="Note 2 2 2 4 2 2" xfId="7874" xr:uid="{00000000-0005-0000-0000-0000B4200000}"/>
    <cellStyle name="Note 2 2 2 4 2 2 2" xfId="16324" xr:uid="{10AF9FE5-7800-42C6-8B4E-E01EC5C2932F}"/>
    <cellStyle name="Note 2 2 2 4 2 2 3" xfId="24764" xr:uid="{00EC6703-FF33-44F4-AD00-BBDB7512FAA9}"/>
    <cellStyle name="Note 2 2 2 4 2 2 4" xfId="33204" xr:uid="{0A6E52EE-8C69-4479-82DC-EE9C8558F0D5}"/>
    <cellStyle name="Note 2 2 2 4 2 3" xfId="12106" xr:uid="{3B4D75CE-720D-4A55-99FE-0B20818D2979}"/>
    <cellStyle name="Note 2 2 2 4 2 4" xfId="20547" xr:uid="{B549B7A6-F479-4336-A297-226F6C5799A1}"/>
    <cellStyle name="Note 2 2 2 4 2 5" xfId="28987" xr:uid="{8B48C788-5471-481E-9BD8-C1101BD8275E}"/>
    <cellStyle name="Note 2 2 2 4 3" xfId="5729" xr:uid="{00000000-0005-0000-0000-0000B5200000}"/>
    <cellStyle name="Note 2 2 2 4 3 2" xfId="14179" xr:uid="{EE46D2CE-A329-4958-9763-3B1D159EA05D}"/>
    <cellStyle name="Note 2 2 2 4 3 3" xfId="22619" xr:uid="{98E88288-12FF-4C60-9F50-B11DF529C621}"/>
    <cellStyle name="Note 2 2 2 4 3 4" xfId="31059" xr:uid="{C712D5CD-1D35-4E17-88F2-F2D5AAB79CE9}"/>
    <cellStyle name="Note 2 2 2 4 4" xfId="9961" xr:uid="{0D0AF0EE-091E-4A3E-B98F-2596DE830954}"/>
    <cellStyle name="Note 2 2 2 4 5" xfId="18402" xr:uid="{93466960-1C5A-4C17-95ED-C831170C5E84}"/>
    <cellStyle name="Note 2 2 2 4 6" xfId="26842" xr:uid="{BEA605FE-49A1-4D2B-AFC5-23ADE3682807}"/>
    <cellStyle name="Note 2 2 2 5" xfId="1836" xr:uid="{00000000-0005-0000-0000-0000B6200000}"/>
    <cellStyle name="Note 2 2 2 5 2" xfId="4065" xr:uid="{00000000-0005-0000-0000-0000B7200000}"/>
    <cellStyle name="Note 2 2 2 5 2 2" xfId="8287" xr:uid="{00000000-0005-0000-0000-0000B8200000}"/>
    <cellStyle name="Note 2 2 2 5 2 2 2" xfId="16737" xr:uid="{F3912AEF-10AD-4B46-9F8C-6F97278DBCBC}"/>
    <cellStyle name="Note 2 2 2 5 2 2 3" xfId="25177" xr:uid="{DA1CB933-593D-4428-8C09-790411F59B05}"/>
    <cellStyle name="Note 2 2 2 5 2 2 4" xfId="33617" xr:uid="{065ACE75-AAAA-475A-AE36-F5C6ABA060BE}"/>
    <cellStyle name="Note 2 2 2 5 2 3" xfId="12519" xr:uid="{27D11E75-4335-45F7-AB4E-5AFDB6F3E041}"/>
    <cellStyle name="Note 2 2 2 5 2 4" xfId="20960" xr:uid="{30EBADC9-B697-405C-9C85-FDB5CE428071}"/>
    <cellStyle name="Note 2 2 2 5 2 5" xfId="29400" xr:uid="{8D99AEBC-EDCA-4C05-A568-AAE66BA57497}"/>
    <cellStyle name="Note 2 2 2 5 3" xfId="6142" xr:uid="{00000000-0005-0000-0000-0000B9200000}"/>
    <cellStyle name="Note 2 2 2 5 3 2" xfId="14592" xr:uid="{C3BA136D-0229-4AF4-8789-86155B1ACA8A}"/>
    <cellStyle name="Note 2 2 2 5 3 3" xfId="23032" xr:uid="{E83F4718-A14F-4D68-99AE-691576F4CEE7}"/>
    <cellStyle name="Note 2 2 2 5 3 4" xfId="31472" xr:uid="{6A974C5E-45BE-4AAF-9F8A-D62CEB4B928E}"/>
    <cellStyle name="Note 2 2 2 5 4" xfId="10374" xr:uid="{045E2ED3-F7C7-4B39-978A-B953239B60F1}"/>
    <cellStyle name="Note 2 2 2 5 5" xfId="18815" xr:uid="{0B27B84B-9971-4D93-81ED-BDA74DCCFE75}"/>
    <cellStyle name="Note 2 2 2 5 6" xfId="27255" xr:uid="{9DCA4121-2CB3-453D-A12B-D87E3C3E49DB}"/>
    <cellStyle name="Note 2 2 2 6" xfId="2249" xr:uid="{00000000-0005-0000-0000-0000BA200000}"/>
    <cellStyle name="Note 2 2 2 6 2" xfId="4478" xr:uid="{00000000-0005-0000-0000-0000BB200000}"/>
    <cellStyle name="Note 2 2 2 6 2 2" xfId="8700" xr:uid="{00000000-0005-0000-0000-0000BC200000}"/>
    <cellStyle name="Note 2 2 2 6 2 2 2" xfId="17150" xr:uid="{DDAC9D28-0EBE-4285-B8B7-AC0FBB0F7A43}"/>
    <cellStyle name="Note 2 2 2 6 2 2 3" xfId="25590" xr:uid="{95471380-D04F-48AE-93B6-9950838672E9}"/>
    <cellStyle name="Note 2 2 2 6 2 2 4" xfId="34030" xr:uid="{26D8BB03-D668-47D0-8FC7-997CA0132A38}"/>
    <cellStyle name="Note 2 2 2 6 2 3" xfId="12932" xr:uid="{41A1712C-7300-44E0-9D03-116FC1672D64}"/>
    <cellStyle name="Note 2 2 2 6 2 4" xfId="21373" xr:uid="{8E125F23-F43B-452D-BC49-FB6B5B0EFB3E}"/>
    <cellStyle name="Note 2 2 2 6 2 5" xfId="29813" xr:uid="{2BDD9948-7236-4985-98D1-F427392208A7}"/>
    <cellStyle name="Note 2 2 2 6 3" xfId="6555" xr:uid="{00000000-0005-0000-0000-0000BD200000}"/>
    <cellStyle name="Note 2 2 2 6 3 2" xfId="15005" xr:uid="{4E737E7D-7CD9-4BAF-B98E-825EDE7648C4}"/>
    <cellStyle name="Note 2 2 2 6 3 3" xfId="23445" xr:uid="{EC365EC3-393E-449B-9670-F1BC404CAC1B}"/>
    <cellStyle name="Note 2 2 2 6 3 4" xfId="31885" xr:uid="{5FE11F13-54E6-4139-9E56-1F63AA100FD9}"/>
    <cellStyle name="Note 2 2 2 6 4" xfId="10787" xr:uid="{8C984873-B310-48A8-9F29-0084F79F55EA}"/>
    <cellStyle name="Note 2 2 2 6 5" xfId="19228" xr:uid="{18FF6406-67D6-4777-B3F7-1D96A27FCDD9}"/>
    <cellStyle name="Note 2 2 2 6 6" xfId="27668" xr:uid="{57A9C606-53CC-42E6-B0DA-E366F06045B5}"/>
    <cellStyle name="Note 2 2 2 7" xfId="2685" xr:uid="{00000000-0005-0000-0000-0000BE200000}"/>
    <cellStyle name="Note 2 2 2 7 2" xfId="6968" xr:uid="{00000000-0005-0000-0000-0000BF200000}"/>
    <cellStyle name="Note 2 2 2 7 2 2" xfId="15418" xr:uid="{0D29D1EF-F4C5-49ED-9D2A-9E8B72599324}"/>
    <cellStyle name="Note 2 2 2 7 2 3" xfId="23858" xr:uid="{3AD0DAAF-1727-4BD5-9F72-4077A18604F0}"/>
    <cellStyle name="Note 2 2 2 7 2 4" xfId="32298" xr:uid="{65C01E18-7814-4359-8A48-DC4499EC595B}"/>
    <cellStyle name="Note 2 2 2 7 3" xfId="11200" xr:uid="{85527CC0-D294-4E70-B663-A1EFEF9E13F2}"/>
    <cellStyle name="Note 2 2 2 7 4" xfId="19641" xr:uid="{88D8F774-E13E-4A7B-8DBC-8CB15450E219}"/>
    <cellStyle name="Note 2 2 2 7 5" xfId="28081" xr:uid="{CE185954-9FE4-4587-A0C4-EC48B589BF96}"/>
    <cellStyle name="Note 2 2 2 8" xfId="2744" xr:uid="{00000000-0005-0000-0000-0000C0200000}"/>
    <cellStyle name="Note 2 2 2 9" xfId="2825" xr:uid="{00000000-0005-0000-0000-0000C1200000}"/>
    <cellStyle name="Note 2 2 2 9 2" xfId="7048" xr:uid="{00000000-0005-0000-0000-0000C2200000}"/>
    <cellStyle name="Note 2 2 2 9 2 2" xfId="15498" xr:uid="{7E84B4BB-96DD-4610-887C-17C1372A2500}"/>
    <cellStyle name="Note 2 2 2 9 2 3" xfId="23938" xr:uid="{0E8F25BD-9263-45A6-827A-6E19C03FF6BB}"/>
    <cellStyle name="Note 2 2 2 9 2 4" xfId="32378" xr:uid="{EA7800A4-4AD9-444D-B40B-18C5971AA583}"/>
    <cellStyle name="Note 2 2 2 9 3" xfId="11280" xr:uid="{51B41ADE-5262-4218-866F-071AFC886863}"/>
    <cellStyle name="Note 2 2 2 9 4" xfId="19721" xr:uid="{60EA76EA-B508-4751-8BAC-55EA3E7C92ED}"/>
    <cellStyle name="Note 2 2 2 9 5" xfId="28161" xr:uid="{1767DB73-99A2-483A-B3C7-87B12B418440}"/>
    <cellStyle name="Note 2 2 3" xfId="548" xr:uid="{00000000-0005-0000-0000-0000C3200000}"/>
    <cellStyle name="Note 2 2 3 10" xfId="9137" xr:uid="{F8FD5E5E-2C21-4E61-92BA-97FBBE49D453}"/>
    <cellStyle name="Note 2 2 3 11" xfId="17578" xr:uid="{128239FF-3CD3-4919-A04B-B14997927E48}"/>
    <cellStyle name="Note 2 2 3 12" xfId="26018" xr:uid="{4C94909F-339B-4551-A221-8C0D818EC5C0}"/>
    <cellStyle name="Note 2 2 3 2" xfId="1009" xr:uid="{00000000-0005-0000-0000-0000C4200000}"/>
    <cellStyle name="Note 2 2 3 2 2" xfId="3241" xr:uid="{00000000-0005-0000-0000-0000C5200000}"/>
    <cellStyle name="Note 2 2 3 2 2 2" xfId="7463" xr:uid="{00000000-0005-0000-0000-0000C6200000}"/>
    <cellStyle name="Note 2 2 3 2 2 2 2" xfId="15913" xr:uid="{B8AAD6D7-CE14-40FB-AC22-A6DC7DBB0564}"/>
    <cellStyle name="Note 2 2 3 2 2 2 3" xfId="24353" xr:uid="{DE199AF7-4327-4391-8E17-D9B04A1AF4A5}"/>
    <cellStyle name="Note 2 2 3 2 2 2 4" xfId="32793" xr:uid="{AF7256A0-E6B0-4AB8-8E53-C459C0ADAC98}"/>
    <cellStyle name="Note 2 2 3 2 2 3" xfId="11695" xr:uid="{853AE246-6C05-4BCD-890E-8D076EE2524E}"/>
    <cellStyle name="Note 2 2 3 2 2 4" xfId="20136" xr:uid="{1B0BEAE7-3F3D-40FA-931F-1FC30FDD662C}"/>
    <cellStyle name="Note 2 2 3 2 2 5" xfId="28576" xr:uid="{880D7FDF-804D-4221-BF98-957ABD247E82}"/>
    <cellStyle name="Note 2 2 3 2 3" xfId="5318" xr:uid="{00000000-0005-0000-0000-0000C7200000}"/>
    <cellStyle name="Note 2 2 3 2 3 2" xfId="13768" xr:uid="{AAFA894B-F5AF-4F75-8971-C7F882677174}"/>
    <cellStyle name="Note 2 2 3 2 3 3" xfId="22208" xr:uid="{82F4E447-57CB-44AA-8AC1-AA5DA9E3E8BC}"/>
    <cellStyle name="Note 2 2 3 2 3 4" xfId="30648" xr:uid="{568667FA-71D4-43C8-9543-D64754388859}"/>
    <cellStyle name="Note 2 2 3 2 4" xfId="9550" xr:uid="{94C2F96C-55C8-435E-908E-5B2FDB83D783}"/>
    <cellStyle name="Note 2 2 3 2 5" xfId="17991" xr:uid="{4E81755B-4CA7-43C1-A14E-AB274C17924B}"/>
    <cellStyle name="Note 2 2 3 2 6" xfId="26431" xr:uid="{0B83856D-5584-47D3-AD6B-98C3991A058E}"/>
    <cellStyle name="Note 2 2 3 3" xfId="1424" xr:uid="{00000000-0005-0000-0000-0000C8200000}"/>
    <cellStyle name="Note 2 2 3 3 2" xfId="3654" xr:uid="{00000000-0005-0000-0000-0000C9200000}"/>
    <cellStyle name="Note 2 2 3 3 2 2" xfId="7876" xr:uid="{00000000-0005-0000-0000-0000CA200000}"/>
    <cellStyle name="Note 2 2 3 3 2 2 2" xfId="16326" xr:uid="{3B476B40-76D3-4975-98F8-FB345C2BF14C}"/>
    <cellStyle name="Note 2 2 3 3 2 2 3" xfId="24766" xr:uid="{DCB87BE2-4726-41F2-BEF3-BED19AC0CC3E}"/>
    <cellStyle name="Note 2 2 3 3 2 2 4" xfId="33206" xr:uid="{7A98D1C4-380A-42C9-9D17-FD6E8F32F9D8}"/>
    <cellStyle name="Note 2 2 3 3 2 3" xfId="12108" xr:uid="{BFCDCE10-4D3D-45B4-9542-414C1DC7C62E}"/>
    <cellStyle name="Note 2 2 3 3 2 4" xfId="20549" xr:uid="{275492F8-DC98-45D4-9A78-D8805EFBE005}"/>
    <cellStyle name="Note 2 2 3 3 2 5" xfId="28989" xr:uid="{52C1A5E5-32FC-4FBE-A340-4257848080FC}"/>
    <cellStyle name="Note 2 2 3 3 3" xfId="5731" xr:uid="{00000000-0005-0000-0000-0000CB200000}"/>
    <cellStyle name="Note 2 2 3 3 3 2" xfId="14181" xr:uid="{F7700EF1-1519-4FF4-98FA-E83D0509A7E6}"/>
    <cellStyle name="Note 2 2 3 3 3 3" xfId="22621" xr:uid="{6D28FFE3-055B-45D4-9D65-D3802A363426}"/>
    <cellStyle name="Note 2 2 3 3 3 4" xfId="31061" xr:uid="{0D60DC58-5616-4E39-8EE0-7D88CCD54705}"/>
    <cellStyle name="Note 2 2 3 3 4" xfId="9963" xr:uid="{03986C35-5F59-4589-8996-8543782EC600}"/>
    <cellStyle name="Note 2 2 3 3 5" xfId="18404" xr:uid="{42FA8DB0-AB4C-4457-AF11-24DB6E3A7650}"/>
    <cellStyle name="Note 2 2 3 3 6" xfId="26844" xr:uid="{0FAE5369-52D0-465B-BBF6-CB0788118082}"/>
    <cellStyle name="Note 2 2 3 4" xfId="1838" xr:uid="{00000000-0005-0000-0000-0000CC200000}"/>
    <cellStyle name="Note 2 2 3 4 2" xfId="4067" xr:uid="{00000000-0005-0000-0000-0000CD200000}"/>
    <cellStyle name="Note 2 2 3 4 2 2" xfId="8289" xr:uid="{00000000-0005-0000-0000-0000CE200000}"/>
    <cellStyle name="Note 2 2 3 4 2 2 2" xfId="16739" xr:uid="{D7110FDB-9A87-48A6-89E9-E906AC1B5EC7}"/>
    <cellStyle name="Note 2 2 3 4 2 2 3" xfId="25179" xr:uid="{0963DEB3-CC64-4DDB-A4DC-AC60671D363A}"/>
    <cellStyle name="Note 2 2 3 4 2 2 4" xfId="33619" xr:uid="{00E3E975-C540-460E-B25E-24BC8859B5F5}"/>
    <cellStyle name="Note 2 2 3 4 2 3" xfId="12521" xr:uid="{E690CBA0-2484-4702-A4B3-4F96314BEE80}"/>
    <cellStyle name="Note 2 2 3 4 2 4" xfId="20962" xr:uid="{85EA3030-D399-4AEF-BA44-0858DFA713E0}"/>
    <cellStyle name="Note 2 2 3 4 2 5" xfId="29402" xr:uid="{415BE502-3E3B-4463-95D1-D5C8152B7F3F}"/>
    <cellStyle name="Note 2 2 3 4 3" xfId="6144" xr:uid="{00000000-0005-0000-0000-0000CF200000}"/>
    <cellStyle name="Note 2 2 3 4 3 2" xfId="14594" xr:uid="{9C73B4EF-2540-452C-AC68-26CA69A12DFE}"/>
    <cellStyle name="Note 2 2 3 4 3 3" xfId="23034" xr:uid="{2CFE1083-1F29-4B1E-AA4B-F7CF40404716}"/>
    <cellStyle name="Note 2 2 3 4 3 4" xfId="31474" xr:uid="{71A0F286-9D44-4FD5-88CB-14950DE268AF}"/>
    <cellStyle name="Note 2 2 3 4 4" xfId="10376" xr:uid="{35ECBB9F-B2DE-4D42-9DA0-90CEC0D2FE56}"/>
    <cellStyle name="Note 2 2 3 4 5" xfId="18817" xr:uid="{A4D4404B-7169-46CF-B066-322F95CC7051}"/>
    <cellStyle name="Note 2 2 3 4 6" xfId="27257" xr:uid="{AB9B7182-73DA-45E5-AC16-0D4A34E4AC33}"/>
    <cellStyle name="Note 2 2 3 5" xfId="2251" xr:uid="{00000000-0005-0000-0000-0000D0200000}"/>
    <cellStyle name="Note 2 2 3 5 2" xfId="4480" xr:uid="{00000000-0005-0000-0000-0000D1200000}"/>
    <cellStyle name="Note 2 2 3 5 2 2" xfId="8702" xr:uid="{00000000-0005-0000-0000-0000D2200000}"/>
    <cellStyle name="Note 2 2 3 5 2 2 2" xfId="17152" xr:uid="{542FD319-0011-410D-8F9E-FD75A81338B9}"/>
    <cellStyle name="Note 2 2 3 5 2 2 3" xfId="25592" xr:uid="{8F6DDF55-FBBB-452E-B3C0-6FA9F77BDCBB}"/>
    <cellStyle name="Note 2 2 3 5 2 2 4" xfId="34032" xr:uid="{4599F35C-6549-4074-8746-4AAD8FDDA600}"/>
    <cellStyle name="Note 2 2 3 5 2 3" xfId="12934" xr:uid="{A8068368-321B-4104-A8B7-4CB9F4575B1C}"/>
    <cellStyle name="Note 2 2 3 5 2 4" xfId="21375" xr:uid="{5CA32AB9-A7E6-4179-ADF3-4079E3CD6B20}"/>
    <cellStyle name="Note 2 2 3 5 2 5" xfId="29815" xr:uid="{4F2FEAE4-3B20-4D1B-BAFF-F1F59DE18AD3}"/>
    <cellStyle name="Note 2 2 3 5 3" xfId="6557" xr:uid="{00000000-0005-0000-0000-0000D3200000}"/>
    <cellStyle name="Note 2 2 3 5 3 2" xfId="15007" xr:uid="{22F77CFC-7D2A-4BA4-9EAC-D8AED54DC31E}"/>
    <cellStyle name="Note 2 2 3 5 3 3" xfId="23447" xr:uid="{DED4795F-2232-46FF-A29E-25AAB20396D3}"/>
    <cellStyle name="Note 2 2 3 5 3 4" xfId="31887" xr:uid="{8BF50515-A597-4132-9D53-A0126F63B58D}"/>
    <cellStyle name="Note 2 2 3 5 4" xfId="10789" xr:uid="{384E7271-B491-4D28-8EB7-B92DDB8E6662}"/>
    <cellStyle name="Note 2 2 3 5 5" xfId="19230" xr:uid="{0D9F633B-EBE2-40BD-A77F-0DF4B847944A}"/>
    <cellStyle name="Note 2 2 3 5 6" xfId="27670" xr:uid="{6254DA7E-716E-490E-9493-96D4C770042D}"/>
    <cellStyle name="Note 2 2 3 6" xfId="2687" xr:uid="{00000000-0005-0000-0000-0000D4200000}"/>
    <cellStyle name="Note 2 2 3 6 2" xfId="6970" xr:uid="{00000000-0005-0000-0000-0000D5200000}"/>
    <cellStyle name="Note 2 2 3 6 2 2" xfId="15420" xr:uid="{6D2FC55D-C910-472F-BE35-C484A7162BB5}"/>
    <cellStyle name="Note 2 2 3 6 2 3" xfId="23860" xr:uid="{7C350AB2-2710-423B-9322-6AAFAE261767}"/>
    <cellStyle name="Note 2 2 3 6 2 4" xfId="32300" xr:uid="{AE9507D5-0C1C-40E7-B888-F662EC1A6B7E}"/>
    <cellStyle name="Note 2 2 3 6 3" xfId="11202" xr:uid="{D43AB18E-1F13-4266-A011-4E0C25EB5FD7}"/>
    <cellStyle name="Note 2 2 3 6 4" xfId="19643" xr:uid="{8C40AC4E-F2DF-4766-94FB-2898D16C5A1F}"/>
    <cellStyle name="Note 2 2 3 6 5" xfId="28083" xr:uid="{585526E0-DD7D-47FD-BCFE-43D1D08AA1BF}"/>
    <cellStyle name="Note 2 2 3 7" xfId="2746" xr:uid="{00000000-0005-0000-0000-0000D6200000}"/>
    <cellStyle name="Note 2 2 3 8" xfId="2827" xr:uid="{00000000-0005-0000-0000-0000D7200000}"/>
    <cellStyle name="Note 2 2 3 8 2" xfId="7050" xr:uid="{00000000-0005-0000-0000-0000D8200000}"/>
    <cellStyle name="Note 2 2 3 8 2 2" xfId="15500" xr:uid="{469F70E8-315B-4369-A363-9FF347D8325B}"/>
    <cellStyle name="Note 2 2 3 8 2 3" xfId="23940" xr:uid="{00AC4627-BB5A-4234-BE5C-ED0B30E9C6DD}"/>
    <cellStyle name="Note 2 2 3 8 2 4" xfId="32380" xr:uid="{8CCE0CA2-DD9A-405C-A7E1-42DCE6B0EE40}"/>
    <cellStyle name="Note 2 2 3 8 3" xfId="11282" xr:uid="{B528EDD2-946A-4816-B202-3544125E2715}"/>
    <cellStyle name="Note 2 2 3 8 4" xfId="19723" xr:uid="{8E881388-2BE4-4609-A8D2-40BB7DB0E4C6}"/>
    <cellStyle name="Note 2 2 3 8 5" xfId="28163" xr:uid="{3E11DD08-04CC-4CB9-A362-0BD152DD9D44}"/>
    <cellStyle name="Note 2 2 3 9" xfId="4905" xr:uid="{00000000-0005-0000-0000-0000D9200000}"/>
    <cellStyle name="Note 2 2 3 9 2" xfId="13355" xr:uid="{8E3AC3AD-AAE0-49AC-8F43-524C4F2B57BD}"/>
    <cellStyle name="Note 2 2 3 9 3" xfId="21795" xr:uid="{A5DABD2A-A907-47F3-88A5-DB58755F817C}"/>
    <cellStyle name="Note 2 2 3 9 4" xfId="30235" xr:uid="{5B5F25A2-8AAF-488F-B878-05CC176DE8B8}"/>
    <cellStyle name="Note 2 2 4" xfId="1006" xr:uid="{00000000-0005-0000-0000-0000DA200000}"/>
    <cellStyle name="Note 2 2 4 2" xfId="3238" xr:uid="{00000000-0005-0000-0000-0000DB200000}"/>
    <cellStyle name="Note 2 2 4 2 2" xfId="7460" xr:uid="{00000000-0005-0000-0000-0000DC200000}"/>
    <cellStyle name="Note 2 2 4 2 2 2" xfId="15910" xr:uid="{585655BA-5966-4098-8B32-5FC0EE8B8FBC}"/>
    <cellStyle name="Note 2 2 4 2 2 3" xfId="24350" xr:uid="{38B45E27-20C6-4DA3-9AA6-CC3D7D07C1AD}"/>
    <cellStyle name="Note 2 2 4 2 2 4" xfId="32790" xr:uid="{5D783365-88E4-4536-A47C-35C07FF3D2CD}"/>
    <cellStyle name="Note 2 2 4 2 3" xfId="11692" xr:uid="{1FE48922-8A1C-4654-8A73-3D6253B158F8}"/>
    <cellStyle name="Note 2 2 4 2 4" xfId="20133" xr:uid="{9B6C045C-88B2-4EA7-899E-E6D39D0A48B4}"/>
    <cellStyle name="Note 2 2 4 2 5" xfId="28573" xr:uid="{9D92DDEE-71AF-43AF-8DE0-B55DE7670F62}"/>
    <cellStyle name="Note 2 2 4 3" xfId="5315" xr:uid="{00000000-0005-0000-0000-0000DD200000}"/>
    <cellStyle name="Note 2 2 4 3 2" xfId="13765" xr:uid="{421D9298-E471-4E20-9CE3-B3BF77EA40DD}"/>
    <cellStyle name="Note 2 2 4 3 3" xfId="22205" xr:uid="{5BA4FE77-EB53-438A-A85A-16777BAA4BDD}"/>
    <cellStyle name="Note 2 2 4 3 4" xfId="30645" xr:uid="{C40E5AD0-435D-451D-8BD7-DF5169C52C82}"/>
    <cellStyle name="Note 2 2 4 4" xfId="9547" xr:uid="{88F655E5-5E08-4D2A-AE57-CB6405DBE82C}"/>
    <cellStyle name="Note 2 2 4 5" xfId="17988" xr:uid="{5360691E-6B72-4266-A49D-96D17B3A7DDC}"/>
    <cellStyle name="Note 2 2 4 6" xfId="26428" xr:uid="{3D1A4B95-F6C7-4F56-B0D5-1887F5E9CEFD}"/>
    <cellStyle name="Note 2 2 5" xfId="1421" xr:uid="{00000000-0005-0000-0000-0000DE200000}"/>
    <cellStyle name="Note 2 2 5 2" xfId="3651" xr:uid="{00000000-0005-0000-0000-0000DF200000}"/>
    <cellStyle name="Note 2 2 5 2 2" xfId="7873" xr:uid="{00000000-0005-0000-0000-0000E0200000}"/>
    <cellStyle name="Note 2 2 5 2 2 2" xfId="16323" xr:uid="{386AFD0A-245F-4D74-B404-FDDEE2B3C338}"/>
    <cellStyle name="Note 2 2 5 2 2 3" xfId="24763" xr:uid="{1EC5BD3C-6053-4026-B9BD-CF3C22F78D5B}"/>
    <cellStyle name="Note 2 2 5 2 2 4" xfId="33203" xr:uid="{62BCFFDE-6D8B-427C-AFBD-93B544B1F9F7}"/>
    <cellStyle name="Note 2 2 5 2 3" xfId="12105" xr:uid="{87EB8350-1BC0-49C4-AB1A-D70DA8ADAEEF}"/>
    <cellStyle name="Note 2 2 5 2 4" xfId="20546" xr:uid="{B77CA4BF-9825-4224-8176-B5E0D9D096C1}"/>
    <cellStyle name="Note 2 2 5 2 5" xfId="28986" xr:uid="{56E9E466-D50D-4D7D-8BFD-D0FD0963D45C}"/>
    <cellStyle name="Note 2 2 5 3" xfId="5728" xr:uid="{00000000-0005-0000-0000-0000E1200000}"/>
    <cellStyle name="Note 2 2 5 3 2" xfId="14178" xr:uid="{16AE734E-2A50-4693-A3C8-41562A20BB89}"/>
    <cellStyle name="Note 2 2 5 3 3" xfId="22618" xr:uid="{BAF530F1-D280-41D6-A94E-4C47ED76B796}"/>
    <cellStyle name="Note 2 2 5 3 4" xfId="31058" xr:uid="{309E85EA-D45B-4D31-8125-968473CA9335}"/>
    <cellStyle name="Note 2 2 5 4" xfId="9960" xr:uid="{F95CECE5-B37E-4D00-858D-E5AC88AE7760}"/>
    <cellStyle name="Note 2 2 5 5" xfId="18401" xr:uid="{AC6AD230-FC77-411D-960E-71363E2FAC5B}"/>
    <cellStyle name="Note 2 2 5 6" xfId="26841" xr:uid="{CA3F86B1-370D-497B-9659-60A0520EE219}"/>
    <cellStyle name="Note 2 2 6" xfId="1835" xr:uid="{00000000-0005-0000-0000-0000E2200000}"/>
    <cellStyle name="Note 2 2 6 2" xfId="4064" xr:uid="{00000000-0005-0000-0000-0000E3200000}"/>
    <cellStyle name="Note 2 2 6 2 2" xfId="8286" xr:uid="{00000000-0005-0000-0000-0000E4200000}"/>
    <cellStyle name="Note 2 2 6 2 2 2" xfId="16736" xr:uid="{EF9F2C85-EB40-4EF4-A2BC-1614E535BB71}"/>
    <cellStyle name="Note 2 2 6 2 2 3" xfId="25176" xr:uid="{FEEEDC60-457A-4832-B9F9-38D8924DF3B3}"/>
    <cellStyle name="Note 2 2 6 2 2 4" xfId="33616" xr:uid="{E50CCE0E-9752-4376-B141-D785FB5EA372}"/>
    <cellStyle name="Note 2 2 6 2 3" xfId="12518" xr:uid="{00FA3D01-FC39-48BA-B75D-AF1E4A075655}"/>
    <cellStyle name="Note 2 2 6 2 4" xfId="20959" xr:uid="{B58B524D-09AD-4254-BE04-DE129763B479}"/>
    <cellStyle name="Note 2 2 6 2 5" xfId="29399" xr:uid="{DBB712C8-E71E-4F84-BB66-B6FCB38CAB8E}"/>
    <cellStyle name="Note 2 2 6 3" xfId="6141" xr:uid="{00000000-0005-0000-0000-0000E5200000}"/>
    <cellStyle name="Note 2 2 6 3 2" xfId="14591" xr:uid="{6A6C14D7-98FC-4FFC-827A-43709D83951A}"/>
    <cellStyle name="Note 2 2 6 3 3" xfId="23031" xr:uid="{C55B0533-26A9-4017-8CB8-3973E3BAC07A}"/>
    <cellStyle name="Note 2 2 6 3 4" xfId="31471" xr:uid="{337058CC-7FF7-4336-BA64-4C0CF2EA3800}"/>
    <cellStyle name="Note 2 2 6 4" xfId="10373" xr:uid="{12BE4979-5E6E-4DFD-8734-E4B8D8A5C7D4}"/>
    <cellStyle name="Note 2 2 6 5" xfId="18814" xr:uid="{5D56DF85-B705-4449-A811-5659E1DED676}"/>
    <cellStyle name="Note 2 2 6 6" xfId="27254" xr:uid="{71F5163E-26A3-4808-A5C5-75034E0AECE0}"/>
    <cellStyle name="Note 2 2 7" xfId="2248" xr:uid="{00000000-0005-0000-0000-0000E6200000}"/>
    <cellStyle name="Note 2 2 7 2" xfId="4477" xr:uid="{00000000-0005-0000-0000-0000E7200000}"/>
    <cellStyle name="Note 2 2 7 2 2" xfId="8699" xr:uid="{00000000-0005-0000-0000-0000E8200000}"/>
    <cellStyle name="Note 2 2 7 2 2 2" xfId="17149" xr:uid="{EB82D01A-3465-4767-B4DD-248DB8DFF750}"/>
    <cellStyle name="Note 2 2 7 2 2 3" xfId="25589" xr:uid="{F8B34204-3D18-4730-9944-EB1983B6D727}"/>
    <cellStyle name="Note 2 2 7 2 2 4" xfId="34029" xr:uid="{FC3F25CD-E367-4A78-AAB6-86678DE113E4}"/>
    <cellStyle name="Note 2 2 7 2 3" xfId="12931" xr:uid="{9AB48910-D6D4-4D64-A4B9-E8A2EEDE85BB}"/>
    <cellStyle name="Note 2 2 7 2 4" xfId="21372" xr:uid="{F4944FBE-E1C4-40A2-947D-F3EE23BECE95}"/>
    <cellStyle name="Note 2 2 7 2 5" xfId="29812" xr:uid="{C34FCA42-1FCB-4006-A204-31ACB7A5FB77}"/>
    <cellStyle name="Note 2 2 7 3" xfId="6554" xr:uid="{00000000-0005-0000-0000-0000E9200000}"/>
    <cellStyle name="Note 2 2 7 3 2" xfId="15004" xr:uid="{2BF53E61-2A14-4616-A5CE-E03D32B31F6D}"/>
    <cellStyle name="Note 2 2 7 3 3" xfId="23444" xr:uid="{B448D49F-0E41-4E06-BA29-426B2576C6A5}"/>
    <cellStyle name="Note 2 2 7 3 4" xfId="31884" xr:uid="{D7902EC4-923F-4566-95B0-43B70EB62B7B}"/>
    <cellStyle name="Note 2 2 7 4" xfId="10786" xr:uid="{75D2C389-E103-4891-B316-B86E0F0F737A}"/>
    <cellStyle name="Note 2 2 7 5" xfId="19227" xr:uid="{B05CD97B-AB36-43B1-95C1-B31CCB41BFDF}"/>
    <cellStyle name="Note 2 2 7 6" xfId="27667" xr:uid="{E4B7D500-BC24-4F10-A2BC-D2EECD513ED2}"/>
    <cellStyle name="Note 2 2 8" xfId="2684" xr:uid="{00000000-0005-0000-0000-0000EA200000}"/>
    <cellStyle name="Note 2 2 8 2" xfId="6967" xr:uid="{00000000-0005-0000-0000-0000EB200000}"/>
    <cellStyle name="Note 2 2 8 2 2" xfId="15417" xr:uid="{9ED3286C-EE42-4076-923B-075A47716BA2}"/>
    <cellStyle name="Note 2 2 8 2 3" xfId="23857" xr:uid="{8EB08B6F-8400-48DA-BAE6-4BAA32757C1C}"/>
    <cellStyle name="Note 2 2 8 2 4" xfId="32297" xr:uid="{F2D4010D-66D5-4DE1-A495-EA7A4A75A74D}"/>
    <cellStyle name="Note 2 2 8 3" xfId="11199" xr:uid="{06C85D6A-059F-413E-A1C6-A63BDCF9E69F}"/>
    <cellStyle name="Note 2 2 8 4" xfId="19640" xr:uid="{D2AED5E3-0C85-43D9-8BF4-20C582F05248}"/>
    <cellStyle name="Note 2 2 8 5" xfId="28080" xr:uid="{28F08D2D-1E33-4853-8A9A-2497350F9F3F}"/>
    <cellStyle name="Note 2 2 9" xfId="2743" xr:uid="{00000000-0005-0000-0000-0000EC200000}"/>
    <cellStyle name="Note 2 3" xfId="549" xr:uid="{00000000-0005-0000-0000-0000ED200000}"/>
    <cellStyle name="Note 2 3 10" xfId="4906" xr:uid="{00000000-0005-0000-0000-0000EE200000}"/>
    <cellStyle name="Note 2 3 10 2" xfId="13356" xr:uid="{DE29438E-61E2-4B1C-B39B-1AA76A254135}"/>
    <cellStyle name="Note 2 3 10 3" xfId="21796" xr:uid="{31ED65B1-108F-4CFC-B54D-F590491ACA30}"/>
    <cellStyle name="Note 2 3 10 4" xfId="30236" xr:uid="{DB26F8F2-BD71-4025-866B-90FD816E5F29}"/>
    <cellStyle name="Note 2 3 11" xfId="9138" xr:uid="{93A4B867-E465-4946-9B73-123C7DD869EC}"/>
    <cellStyle name="Note 2 3 12" xfId="17579" xr:uid="{D3F60CF4-76D3-4ED5-B443-7306D6802964}"/>
    <cellStyle name="Note 2 3 13" xfId="26019" xr:uid="{37FBCF21-196B-4311-8D6C-25E6169432B1}"/>
    <cellStyle name="Note 2 3 2" xfId="550" xr:uid="{00000000-0005-0000-0000-0000EF200000}"/>
    <cellStyle name="Note 2 3 2 10" xfId="9139" xr:uid="{EC52EB48-F64E-482E-853D-65581D2AE243}"/>
    <cellStyle name="Note 2 3 2 11" xfId="17580" xr:uid="{42D10781-3EFE-40C6-B6A8-727B9FCB9602}"/>
    <cellStyle name="Note 2 3 2 12" xfId="26020" xr:uid="{33F731F7-5B46-4714-BCAF-561C74E4991D}"/>
    <cellStyle name="Note 2 3 2 2" xfId="1011" xr:uid="{00000000-0005-0000-0000-0000F0200000}"/>
    <cellStyle name="Note 2 3 2 2 2" xfId="3243" xr:uid="{00000000-0005-0000-0000-0000F1200000}"/>
    <cellStyle name="Note 2 3 2 2 2 2" xfId="7465" xr:uid="{00000000-0005-0000-0000-0000F2200000}"/>
    <cellStyle name="Note 2 3 2 2 2 2 2" xfId="15915" xr:uid="{C29CFE6A-D138-48FB-A7A5-08CAD3DD5E54}"/>
    <cellStyle name="Note 2 3 2 2 2 2 3" xfId="24355" xr:uid="{1E3F330D-43CE-44BA-9F70-F470F3350ACD}"/>
    <cellStyle name="Note 2 3 2 2 2 2 4" xfId="32795" xr:uid="{D3B59149-13CE-4E88-9D4A-EFD7ECB40D63}"/>
    <cellStyle name="Note 2 3 2 2 2 3" xfId="11697" xr:uid="{445D457F-0969-4C47-8694-D777BCCAA8C1}"/>
    <cellStyle name="Note 2 3 2 2 2 4" xfId="20138" xr:uid="{B6B83266-C51F-488F-9534-DEAA3575DD92}"/>
    <cellStyle name="Note 2 3 2 2 2 5" xfId="28578" xr:uid="{F7B8F0CE-EA0B-4D43-AC0F-335124502FC7}"/>
    <cellStyle name="Note 2 3 2 2 3" xfId="5320" xr:uid="{00000000-0005-0000-0000-0000F3200000}"/>
    <cellStyle name="Note 2 3 2 2 3 2" xfId="13770" xr:uid="{204E9385-12A0-47D2-9A3E-927C372A36A2}"/>
    <cellStyle name="Note 2 3 2 2 3 3" xfId="22210" xr:uid="{2EFC0187-C4EA-4B57-A9F9-BEC9C5381381}"/>
    <cellStyle name="Note 2 3 2 2 3 4" xfId="30650" xr:uid="{1C48512A-A37C-40CD-8B50-DCB1BF509E10}"/>
    <cellStyle name="Note 2 3 2 2 4" xfId="9552" xr:uid="{381BA9D9-89E8-4BAA-A690-BBF51C404FF3}"/>
    <cellStyle name="Note 2 3 2 2 5" xfId="17993" xr:uid="{D27C165B-39CD-475F-A24B-18EFE6D4D18A}"/>
    <cellStyle name="Note 2 3 2 2 6" xfId="26433" xr:uid="{EDCBCAC4-7533-4F64-A166-C8733A212E51}"/>
    <cellStyle name="Note 2 3 2 3" xfId="1426" xr:uid="{00000000-0005-0000-0000-0000F4200000}"/>
    <cellStyle name="Note 2 3 2 3 2" xfId="3656" xr:uid="{00000000-0005-0000-0000-0000F5200000}"/>
    <cellStyle name="Note 2 3 2 3 2 2" xfId="7878" xr:uid="{00000000-0005-0000-0000-0000F6200000}"/>
    <cellStyle name="Note 2 3 2 3 2 2 2" xfId="16328" xr:uid="{332A091F-E3AF-4B6B-8610-4C72FDDFF789}"/>
    <cellStyle name="Note 2 3 2 3 2 2 3" xfId="24768" xr:uid="{B21E6357-FF84-4781-BE99-20283B40E57F}"/>
    <cellStyle name="Note 2 3 2 3 2 2 4" xfId="33208" xr:uid="{040AD686-3296-4E64-BCFF-3EB25923628A}"/>
    <cellStyle name="Note 2 3 2 3 2 3" xfId="12110" xr:uid="{0ABD34FC-FD9E-4F68-9811-7667B5FB6CD2}"/>
    <cellStyle name="Note 2 3 2 3 2 4" xfId="20551" xr:uid="{E86CB437-5719-4D50-A829-2D6C81885991}"/>
    <cellStyle name="Note 2 3 2 3 2 5" xfId="28991" xr:uid="{B00A1A7B-0C54-42FA-B6B8-C180A5990593}"/>
    <cellStyle name="Note 2 3 2 3 3" xfId="5733" xr:uid="{00000000-0005-0000-0000-0000F7200000}"/>
    <cellStyle name="Note 2 3 2 3 3 2" xfId="14183" xr:uid="{94582C74-70D2-497C-9D0A-00A95AC7BB85}"/>
    <cellStyle name="Note 2 3 2 3 3 3" xfId="22623" xr:uid="{D6232742-9E06-4093-869B-ADE31493A984}"/>
    <cellStyle name="Note 2 3 2 3 3 4" xfId="31063" xr:uid="{3D4C52C0-9640-4FE1-A0CD-18F4A85A6AF2}"/>
    <cellStyle name="Note 2 3 2 3 4" xfId="9965" xr:uid="{8B53952F-226D-4CDA-BA68-0368107EB3D2}"/>
    <cellStyle name="Note 2 3 2 3 5" xfId="18406" xr:uid="{57DAAC42-F9F7-4156-84AC-9035B03D89B5}"/>
    <cellStyle name="Note 2 3 2 3 6" xfId="26846" xr:uid="{A8F79065-F900-43A1-9C6B-17E17DC3CD57}"/>
    <cellStyle name="Note 2 3 2 4" xfId="1840" xr:uid="{00000000-0005-0000-0000-0000F8200000}"/>
    <cellStyle name="Note 2 3 2 4 2" xfId="4069" xr:uid="{00000000-0005-0000-0000-0000F9200000}"/>
    <cellStyle name="Note 2 3 2 4 2 2" xfId="8291" xr:uid="{00000000-0005-0000-0000-0000FA200000}"/>
    <cellStyle name="Note 2 3 2 4 2 2 2" xfId="16741" xr:uid="{2E6134FE-814A-4685-B919-FC2AB0714415}"/>
    <cellStyle name="Note 2 3 2 4 2 2 3" xfId="25181" xr:uid="{783E0E93-B4B9-4866-A47F-BE429B38C419}"/>
    <cellStyle name="Note 2 3 2 4 2 2 4" xfId="33621" xr:uid="{4579C23B-B09E-4911-BC2E-60A4E250F647}"/>
    <cellStyle name="Note 2 3 2 4 2 3" xfId="12523" xr:uid="{FED5C6C9-64E8-4F0C-BBE7-704E19E7EE1C}"/>
    <cellStyle name="Note 2 3 2 4 2 4" xfId="20964" xr:uid="{20CF8355-44A4-45C6-BB4B-5A7DECB36C44}"/>
    <cellStyle name="Note 2 3 2 4 2 5" xfId="29404" xr:uid="{6244D5B3-0EF6-485A-BC01-3FACCBC100CC}"/>
    <cellStyle name="Note 2 3 2 4 3" xfId="6146" xr:uid="{00000000-0005-0000-0000-0000FB200000}"/>
    <cellStyle name="Note 2 3 2 4 3 2" xfId="14596" xr:uid="{8A90A8C2-7BE3-4EA9-98EF-F7302EAB0ACC}"/>
    <cellStyle name="Note 2 3 2 4 3 3" xfId="23036" xr:uid="{9678ADC7-2B32-4DCA-9508-F828621DE7E5}"/>
    <cellStyle name="Note 2 3 2 4 3 4" xfId="31476" xr:uid="{C591020B-FB6E-47B9-9744-48AA11E759A4}"/>
    <cellStyle name="Note 2 3 2 4 4" xfId="10378" xr:uid="{C6EE676F-0822-487C-A1AF-89685DFD7E55}"/>
    <cellStyle name="Note 2 3 2 4 5" xfId="18819" xr:uid="{4DEB14EF-9C56-4978-959E-C23B6A85D081}"/>
    <cellStyle name="Note 2 3 2 4 6" xfId="27259" xr:uid="{4673A7CD-226D-439D-AA25-23EF59752D4C}"/>
    <cellStyle name="Note 2 3 2 5" xfId="2253" xr:uid="{00000000-0005-0000-0000-0000FC200000}"/>
    <cellStyle name="Note 2 3 2 5 2" xfId="4482" xr:uid="{00000000-0005-0000-0000-0000FD200000}"/>
    <cellStyle name="Note 2 3 2 5 2 2" xfId="8704" xr:uid="{00000000-0005-0000-0000-0000FE200000}"/>
    <cellStyle name="Note 2 3 2 5 2 2 2" xfId="17154" xr:uid="{675833A4-D8BA-48F3-915E-B26930617F0B}"/>
    <cellStyle name="Note 2 3 2 5 2 2 3" xfId="25594" xr:uid="{362703A3-FD3B-413C-9A0F-6BEE39B11A2C}"/>
    <cellStyle name="Note 2 3 2 5 2 2 4" xfId="34034" xr:uid="{75F3722F-8BFB-4033-B079-8D37A48D1768}"/>
    <cellStyle name="Note 2 3 2 5 2 3" xfId="12936" xr:uid="{5BA330B0-F818-424B-8BA3-AC83310591A8}"/>
    <cellStyle name="Note 2 3 2 5 2 4" xfId="21377" xr:uid="{3A453591-CB5E-4D8A-A256-CCD328D07DBF}"/>
    <cellStyle name="Note 2 3 2 5 2 5" xfId="29817" xr:uid="{C94D668F-6A28-44A7-A3D5-31EFD394DF58}"/>
    <cellStyle name="Note 2 3 2 5 3" xfId="6559" xr:uid="{00000000-0005-0000-0000-0000FF200000}"/>
    <cellStyle name="Note 2 3 2 5 3 2" xfId="15009" xr:uid="{4DE280B3-743C-47AA-8F8A-761E5127A7CF}"/>
    <cellStyle name="Note 2 3 2 5 3 3" xfId="23449" xr:uid="{0E771E8A-73B7-47CE-BEA4-FED7523FE995}"/>
    <cellStyle name="Note 2 3 2 5 3 4" xfId="31889" xr:uid="{FD847691-531C-4482-B5F3-18D7A3E8A4BB}"/>
    <cellStyle name="Note 2 3 2 5 4" xfId="10791" xr:uid="{EEB6C37A-94AD-4C77-99C2-B3FAF7AA4863}"/>
    <cellStyle name="Note 2 3 2 5 5" xfId="19232" xr:uid="{9A74AB8D-FC55-4362-9C0B-71B1451681BB}"/>
    <cellStyle name="Note 2 3 2 5 6" xfId="27672" xr:uid="{1D2377CF-8BAA-4F72-8CC9-1EAA6873CA57}"/>
    <cellStyle name="Note 2 3 2 6" xfId="2689" xr:uid="{00000000-0005-0000-0000-000000210000}"/>
    <cellStyle name="Note 2 3 2 6 2" xfId="6972" xr:uid="{00000000-0005-0000-0000-000001210000}"/>
    <cellStyle name="Note 2 3 2 6 2 2" xfId="15422" xr:uid="{4215DB48-9556-4BD1-BF8B-D7F94FFDE8A6}"/>
    <cellStyle name="Note 2 3 2 6 2 3" xfId="23862" xr:uid="{6A984DDD-DED8-4220-B84F-259747EEA2D5}"/>
    <cellStyle name="Note 2 3 2 6 2 4" xfId="32302" xr:uid="{7A379428-96F9-42F9-8147-D27410BEADD9}"/>
    <cellStyle name="Note 2 3 2 6 3" xfId="11204" xr:uid="{5CE45A00-C16B-4C36-A22F-28FE517F777E}"/>
    <cellStyle name="Note 2 3 2 6 4" xfId="19645" xr:uid="{6063E5FC-7591-4982-87A4-57D337CB5DCA}"/>
    <cellStyle name="Note 2 3 2 6 5" xfId="28085" xr:uid="{841AE2CF-D439-4308-8C00-1C69E128ECE9}"/>
    <cellStyle name="Note 2 3 2 7" xfId="2748" xr:uid="{00000000-0005-0000-0000-000002210000}"/>
    <cellStyle name="Note 2 3 2 8" xfId="2829" xr:uid="{00000000-0005-0000-0000-000003210000}"/>
    <cellStyle name="Note 2 3 2 8 2" xfId="7052" xr:uid="{00000000-0005-0000-0000-000004210000}"/>
    <cellStyle name="Note 2 3 2 8 2 2" xfId="15502" xr:uid="{EA4759E0-9E84-46E5-B855-836511BC1E9D}"/>
    <cellStyle name="Note 2 3 2 8 2 3" xfId="23942" xr:uid="{2C91B8BC-958F-4114-83E7-8C4DE42FCDAE}"/>
    <cellStyle name="Note 2 3 2 8 2 4" xfId="32382" xr:uid="{2CA05FD1-12B0-4679-9BDA-8ECF65727A3C}"/>
    <cellStyle name="Note 2 3 2 8 3" xfId="11284" xr:uid="{30C52A51-B61A-4253-8368-7708879B2297}"/>
    <cellStyle name="Note 2 3 2 8 4" xfId="19725" xr:uid="{36316BA1-388F-4AA5-A182-D8E510E0D5E4}"/>
    <cellStyle name="Note 2 3 2 8 5" xfId="28165" xr:uid="{E9FF4B63-0E59-4AA3-8487-BAB82AB47A05}"/>
    <cellStyle name="Note 2 3 2 9" xfId="4907" xr:uid="{00000000-0005-0000-0000-000005210000}"/>
    <cellStyle name="Note 2 3 2 9 2" xfId="13357" xr:uid="{371D4172-442F-4EB2-8191-D4C8D7BC9263}"/>
    <cellStyle name="Note 2 3 2 9 3" xfId="21797" xr:uid="{548DDBE6-07E8-4026-84BE-39AB3BC4B3D8}"/>
    <cellStyle name="Note 2 3 2 9 4" xfId="30237" xr:uid="{969A9827-1B37-41C3-8E66-CC23D1A250AF}"/>
    <cellStyle name="Note 2 3 3" xfId="1010" xr:uid="{00000000-0005-0000-0000-000006210000}"/>
    <cellStyle name="Note 2 3 3 2" xfId="3242" xr:uid="{00000000-0005-0000-0000-000007210000}"/>
    <cellStyle name="Note 2 3 3 2 2" xfId="7464" xr:uid="{00000000-0005-0000-0000-000008210000}"/>
    <cellStyle name="Note 2 3 3 2 2 2" xfId="15914" xr:uid="{44D361A4-7CEF-46FA-A968-7CABE5D4D797}"/>
    <cellStyle name="Note 2 3 3 2 2 3" xfId="24354" xr:uid="{0C4CFA89-3DB5-4B30-B52F-8BA7C88AE34C}"/>
    <cellStyle name="Note 2 3 3 2 2 4" xfId="32794" xr:uid="{5B0D3E44-2128-4594-89A2-D1CC1DCCDC9D}"/>
    <cellStyle name="Note 2 3 3 2 3" xfId="11696" xr:uid="{1872B87D-B272-4E69-9E31-827862DE2EC2}"/>
    <cellStyle name="Note 2 3 3 2 4" xfId="20137" xr:uid="{43309605-5F6B-4AA0-A135-AE77F850BDC3}"/>
    <cellStyle name="Note 2 3 3 2 5" xfId="28577" xr:uid="{5A91A2DF-D588-4073-93D7-E07DE9F13D56}"/>
    <cellStyle name="Note 2 3 3 3" xfId="5319" xr:uid="{00000000-0005-0000-0000-000009210000}"/>
    <cellStyle name="Note 2 3 3 3 2" xfId="13769" xr:uid="{6621C95D-64BD-499B-929E-ECCFE5798BE4}"/>
    <cellStyle name="Note 2 3 3 3 3" xfId="22209" xr:uid="{C4C0A96C-A2D9-448E-93E5-8EF3EE3298AE}"/>
    <cellStyle name="Note 2 3 3 3 4" xfId="30649" xr:uid="{EC3D61C0-E6D3-4560-8732-7610DB59389B}"/>
    <cellStyle name="Note 2 3 3 4" xfId="9551" xr:uid="{5F81ABD9-97A0-4324-8EC5-FE7B583652AD}"/>
    <cellStyle name="Note 2 3 3 5" xfId="17992" xr:uid="{B33C85D1-AA39-4508-A0E2-22B125328259}"/>
    <cellStyle name="Note 2 3 3 6" xfId="26432" xr:uid="{49D5E866-9D0D-475C-BD3E-837728B9A85E}"/>
    <cellStyle name="Note 2 3 4" xfId="1425" xr:uid="{00000000-0005-0000-0000-00000A210000}"/>
    <cellStyle name="Note 2 3 4 2" xfId="3655" xr:uid="{00000000-0005-0000-0000-00000B210000}"/>
    <cellStyle name="Note 2 3 4 2 2" xfId="7877" xr:uid="{00000000-0005-0000-0000-00000C210000}"/>
    <cellStyle name="Note 2 3 4 2 2 2" xfId="16327" xr:uid="{F82A0F2E-004F-4771-9048-3DC3E9586AAE}"/>
    <cellStyle name="Note 2 3 4 2 2 3" xfId="24767" xr:uid="{36EC3074-1663-463C-8B2B-B932395C8367}"/>
    <cellStyle name="Note 2 3 4 2 2 4" xfId="33207" xr:uid="{81622021-F19C-4B9C-A60F-600A34D1CAA9}"/>
    <cellStyle name="Note 2 3 4 2 3" xfId="12109" xr:uid="{C49D7124-C5D1-46BC-83B4-FAF10237E66B}"/>
    <cellStyle name="Note 2 3 4 2 4" xfId="20550" xr:uid="{E8DE5F06-8B5B-49C9-950E-EAB8C4A70CD1}"/>
    <cellStyle name="Note 2 3 4 2 5" xfId="28990" xr:uid="{0C455680-F187-4CF8-A5F4-9EB45C67330B}"/>
    <cellStyle name="Note 2 3 4 3" xfId="5732" xr:uid="{00000000-0005-0000-0000-00000D210000}"/>
    <cellStyle name="Note 2 3 4 3 2" xfId="14182" xr:uid="{A5164A15-8704-4008-96CD-EEAB73582EB6}"/>
    <cellStyle name="Note 2 3 4 3 3" xfId="22622" xr:uid="{1EEA31C4-57FB-48C8-A71C-9075015808E9}"/>
    <cellStyle name="Note 2 3 4 3 4" xfId="31062" xr:uid="{FFA18C59-4F2B-4FC8-A0A4-DDA224C0CAD9}"/>
    <cellStyle name="Note 2 3 4 4" xfId="9964" xr:uid="{B4AA0C35-079B-4AF4-95E9-C1530E5E25E6}"/>
    <cellStyle name="Note 2 3 4 5" xfId="18405" xr:uid="{85EECED7-0558-417E-909A-667BDD714913}"/>
    <cellStyle name="Note 2 3 4 6" xfId="26845" xr:uid="{45770EFA-5AB4-4351-B0BA-B8F499F5A142}"/>
    <cellStyle name="Note 2 3 5" xfId="1839" xr:uid="{00000000-0005-0000-0000-00000E210000}"/>
    <cellStyle name="Note 2 3 5 2" xfId="4068" xr:uid="{00000000-0005-0000-0000-00000F210000}"/>
    <cellStyle name="Note 2 3 5 2 2" xfId="8290" xr:uid="{00000000-0005-0000-0000-000010210000}"/>
    <cellStyle name="Note 2 3 5 2 2 2" xfId="16740" xr:uid="{A8203107-B09F-49EB-8014-B4B40942AE6B}"/>
    <cellStyle name="Note 2 3 5 2 2 3" xfId="25180" xr:uid="{38E7D168-9FCC-48E1-9A2C-CDC59F4FA9AD}"/>
    <cellStyle name="Note 2 3 5 2 2 4" xfId="33620" xr:uid="{B2ABDBD6-75DA-4623-97C9-611C9E6482B7}"/>
    <cellStyle name="Note 2 3 5 2 3" xfId="12522" xr:uid="{A64BE4D7-2AB7-46A2-BB6D-6DF733B460FC}"/>
    <cellStyle name="Note 2 3 5 2 4" xfId="20963" xr:uid="{70ABFFE3-052F-48D4-822B-97D305640907}"/>
    <cellStyle name="Note 2 3 5 2 5" xfId="29403" xr:uid="{858F7DAC-010E-4788-B24E-50F3DE9B5B5E}"/>
    <cellStyle name="Note 2 3 5 3" xfId="6145" xr:uid="{00000000-0005-0000-0000-000011210000}"/>
    <cellStyle name="Note 2 3 5 3 2" xfId="14595" xr:uid="{AAB57CE1-3F11-427C-BA90-56D99DBDACBB}"/>
    <cellStyle name="Note 2 3 5 3 3" xfId="23035" xr:uid="{37A10A21-24AD-4063-BF3F-A3548208961C}"/>
    <cellStyle name="Note 2 3 5 3 4" xfId="31475" xr:uid="{5F6D16A1-CB6B-4200-B6B7-AF5A40A50426}"/>
    <cellStyle name="Note 2 3 5 4" xfId="10377" xr:uid="{AF5E2AF3-2A7B-4725-8844-E5A0DA444B99}"/>
    <cellStyle name="Note 2 3 5 5" xfId="18818" xr:uid="{E9A9E751-88B5-402C-ACDA-730A7EB3225D}"/>
    <cellStyle name="Note 2 3 5 6" xfId="27258" xr:uid="{FBC328A0-F7F4-4A80-B794-87E5817ACBAD}"/>
    <cellStyle name="Note 2 3 6" xfId="2252" xr:uid="{00000000-0005-0000-0000-000012210000}"/>
    <cellStyle name="Note 2 3 6 2" xfId="4481" xr:uid="{00000000-0005-0000-0000-000013210000}"/>
    <cellStyle name="Note 2 3 6 2 2" xfId="8703" xr:uid="{00000000-0005-0000-0000-000014210000}"/>
    <cellStyle name="Note 2 3 6 2 2 2" xfId="17153" xr:uid="{DAD7920A-2DD6-443E-B47C-EE6B7A70AD04}"/>
    <cellStyle name="Note 2 3 6 2 2 3" xfId="25593" xr:uid="{B0C7F224-A2E8-4497-A28B-DC8A668FF8CA}"/>
    <cellStyle name="Note 2 3 6 2 2 4" xfId="34033" xr:uid="{CD4581E3-CB8C-47B5-84AE-0CA70AFC60ED}"/>
    <cellStyle name="Note 2 3 6 2 3" xfId="12935" xr:uid="{8B3F007B-FF2A-4ED7-86A8-BB78F2E7CCAA}"/>
    <cellStyle name="Note 2 3 6 2 4" xfId="21376" xr:uid="{D2ACE493-86AA-4891-BF4D-B522C5607402}"/>
    <cellStyle name="Note 2 3 6 2 5" xfId="29816" xr:uid="{E49F772B-2615-4DA7-AE5F-64D27D64B126}"/>
    <cellStyle name="Note 2 3 6 3" xfId="6558" xr:uid="{00000000-0005-0000-0000-000015210000}"/>
    <cellStyle name="Note 2 3 6 3 2" xfId="15008" xr:uid="{912C6E63-8B71-4A9D-9165-3EDC051BE8CD}"/>
    <cellStyle name="Note 2 3 6 3 3" xfId="23448" xr:uid="{28AC704A-570F-4A9A-B327-4B831716850B}"/>
    <cellStyle name="Note 2 3 6 3 4" xfId="31888" xr:uid="{8F7D7EA6-C9A5-4419-8753-5CF2F5294A6B}"/>
    <cellStyle name="Note 2 3 6 4" xfId="10790" xr:uid="{B8D44D4E-F4A9-42BE-8F91-282177E9DB8D}"/>
    <cellStyle name="Note 2 3 6 5" xfId="19231" xr:uid="{0D2F4AF0-E5B8-4BFC-A826-853A98763B9E}"/>
    <cellStyle name="Note 2 3 6 6" xfId="27671" xr:uid="{2194BFEF-3F59-4214-9FE5-5762CDB38491}"/>
    <cellStyle name="Note 2 3 7" xfId="2688" xr:uid="{00000000-0005-0000-0000-000016210000}"/>
    <cellStyle name="Note 2 3 7 2" xfId="6971" xr:uid="{00000000-0005-0000-0000-000017210000}"/>
    <cellStyle name="Note 2 3 7 2 2" xfId="15421" xr:uid="{781311E7-9857-4717-B318-72C71AF746F9}"/>
    <cellStyle name="Note 2 3 7 2 3" xfId="23861" xr:uid="{05262208-56F8-4209-808F-22EDA8549366}"/>
    <cellStyle name="Note 2 3 7 2 4" xfId="32301" xr:uid="{ABC49A0C-278E-4015-9DC2-352A49E0B201}"/>
    <cellStyle name="Note 2 3 7 3" xfId="11203" xr:uid="{83577A56-A6FF-4F5D-AA73-55F0286C6A78}"/>
    <cellStyle name="Note 2 3 7 4" xfId="19644" xr:uid="{4BA40D0D-8E4A-453E-A1F2-10DC789D88C4}"/>
    <cellStyle name="Note 2 3 7 5" xfId="28084" xr:uid="{4ECDCDCD-8E94-41EA-82CA-845859A4E9BC}"/>
    <cellStyle name="Note 2 3 8" xfId="2747" xr:uid="{00000000-0005-0000-0000-000018210000}"/>
    <cellStyle name="Note 2 3 9" xfId="2828" xr:uid="{00000000-0005-0000-0000-000019210000}"/>
    <cellStyle name="Note 2 3 9 2" xfId="7051" xr:uid="{00000000-0005-0000-0000-00001A210000}"/>
    <cellStyle name="Note 2 3 9 2 2" xfId="15501" xr:uid="{7F1E094B-0CAC-44BB-867E-F811772A60CB}"/>
    <cellStyle name="Note 2 3 9 2 3" xfId="23941" xr:uid="{338FB2BB-6EC7-4893-9DC9-0ADE6BA20E42}"/>
    <cellStyle name="Note 2 3 9 2 4" xfId="32381" xr:uid="{B763EFE3-E24D-4689-959A-EB598CE18DE9}"/>
    <cellStyle name="Note 2 3 9 3" xfId="11283" xr:uid="{0B317399-B875-4BF8-91D1-B43E0DADE539}"/>
    <cellStyle name="Note 2 3 9 4" xfId="19724" xr:uid="{89A5FECD-6D70-4E06-A038-CFCA09C418EA}"/>
    <cellStyle name="Note 2 3 9 5" xfId="28164" xr:uid="{113862FF-6557-4B98-8E17-B3D3CFDB53E9}"/>
    <cellStyle name="Note 2 4" xfId="551" xr:uid="{00000000-0005-0000-0000-00001B210000}"/>
    <cellStyle name="Note 2 4 10" xfId="9140" xr:uid="{56357CD4-2BD0-46EA-9933-67566556BD0F}"/>
    <cellStyle name="Note 2 4 11" xfId="17581" xr:uid="{85BDF49E-38BA-432E-B17C-F9E1D49E693A}"/>
    <cellStyle name="Note 2 4 12" xfId="26021" xr:uid="{39C3F1EA-0407-4BDD-B46D-690F2A78A83B}"/>
    <cellStyle name="Note 2 4 2" xfId="1012" xr:uid="{00000000-0005-0000-0000-00001C210000}"/>
    <cellStyle name="Note 2 4 2 2" xfId="3244" xr:uid="{00000000-0005-0000-0000-00001D210000}"/>
    <cellStyle name="Note 2 4 2 2 2" xfId="7466" xr:uid="{00000000-0005-0000-0000-00001E210000}"/>
    <cellStyle name="Note 2 4 2 2 2 2" xfId="15916" xr:uid="{D9C06E57-2BAA-4211-9E40-1D0BBEA94559}"/>
    <cellStyle name="Note 2 4 2 2 2 3" xfId="24356" xr:uid="{C8D5049E-0AB5-420E-B660-7EC1C00DAE50}"/>
    <cellStyle name="Note 2 4 2 2 2 4" xfId="32796" xr:uid="{8CE3B43A-B1D1-4C43-881E-F9BDF36FCB28}"/>
    <cellStyle name="Note 2 4 2 2 3" xfId="11698" xr:uid="{18F7ECA3-789A-4225-8AD2-0A7238D0B243}"/>
    <cellStyle name="Note 2 4 2 2 4" xfId="20139" xr:uid="{D6995AA6-424C-488A-B67E-182A295F25D5}"/>
    <cellStyle name="Note 2 4 2 2 5" xfId="28579" xr:uid="{9F79D822-70D5-4BD3-9197-5C74A090435B}"/>
    <cellStyle name="Note 2 4 2 3" xfId="5321" xr:uid="{00000000-0005-0000-0000-00001F210000}"/>
    <cellStyle name="Note 2 4 2 3 2" xfId="13771" xr:uid="{EE41454B-8EAF-4D30-8116-66EA5BA8930B}"/>
    <cellStyle name="Note 2 4 2 3 3" xfId="22211" xr:uid="{95BA6607-1A15-49E3-82C3-86AFDBD7C27E}"/>
    <cellStyle name="Note 2 4 2 3 4" xfId="30651" xr:uid="{71DFC08C-8498-4688-9A0C-4184F2002527}"/>
    <cellStyle name="Note 2 4 2 4" xfId="9553" xr:uid="{81BEED3E-ABAE-42EE-8FCA-52508BC07B45}"/>
    <cellStyle name="Note 2 4 2 5" xfId="17994" xr:uid="{7E009DD9-97CC-462F-A637-22956EF46EEB}"/>
    <cellStyle name="Note 2 4 2 6" xfId="26434" xr:uid="{431888BF-B81A-4F41-A9FE-394BCFD2DDDF}"/>
    <cellStyle name="Note 2 4 3" xfId="1427" xr:uid="{00000000-0005-0000-0000-000020210000}"/>
    <cellStyle name="Note 2 4 3 2" xfId="3657" xr:uid="{00000000-0005-0000-0000-000021210000}"/>
    <cellStyle name="Note 2 4 3 2 2" xfId="7879" xr:uid="{00000000-0005-0000-0000-000022210000}"/>
    <cellStyle name="Note 2 4 3 2 2 2" xfId="16329" xr:uid="{093E9216-E8B7-4CAB-B628-4D292B64FC0F}"/>
    <cellStyle name="Note 2 4 3 2 2 3" xfId="24769" xr:uid="{69FA31B5-C8EB-49C2-A92D-E868432CC3B5}"/>
    <cellStyle name="Note 2 4 3 2 2 4" xfId="33209" xr:uid="{970D8974-1CB2-47FE-A435-D076FC29089F}"/>
    <cellStyle name="Note 2 4 3 2 3" xfId="12111" xr:uid="{D0DA1D8D-9978-47D1-87E9-54AF7E2142DF}"/>
    <cellStyle name="Note 2 4 3 2 4" xfId="20552" xr:uid="{3AF7EDB4-EC6A-4CB9-AF96-0FD58B0FDD1F}"/>
    <cellStyle name="Note 2 4 3 2 5" xfId="28992" xr:uid="{138D91EB-58C2-4889-9CEE-1CD802FE6A5C}"/>
    <cellStyle name="Note 2 4 3 3" xfId="5734" xr:uid="{00000000-0005-0000-0000-000023210000}"/>
    <cellStyle name="Note 2 4 3 3 2" xfId="14184" xr:uid="{88530797-158C-487C-9C3B-0A03CD844A5B}"/>
    <cellStyle name="Note 2 4 3 3 3" xfId="22624" xr:uid="{7A6D3550-6F6C-4E64-99D9-3011BD6DCF4D}"/>
    <cellStyle name="Note 2 4 3 3 4" xfId="31064" xr:uid="{4DB963CB-FE89-418B-8987-673A7B8096FE}"/>
    <cellStyle name="Note 2 4 3 4" xfId="9966" xr:uid="{47DF932A-7B8C-4CF0-B9AE-6137B104FFC5}"/>
    <cellStyle name="Note 2 4 3 5" xfId="18407" xr:uid="{C36C406E-EE8C-4A69-84C4-FA350F25C6EE}"/>
    <cellStyle name="Note 2 4 3 6" xfId="26847" xr:uid="{6D724582-517D-41C0-831B-64E521D52DF0}"/>
    <cellStyle name="Note 2 4 4" xfId="1841" xr:uid="{00000000-0005-0000-0000-000024210000}"/>
    <cellStyle name="Note 2 4 4 2" xfId="4070" xr:uid="{00000000-0005-0000-0000-000025210000}"/>
    <cellStyle name="Note 2 4 4 2 2" xfId="8292" xr:uid="{00000000-0005-0000-0000-000026210000}"/>
    <cellStyle name="Note 2 4 4 2 2 2" xfId="16742" xr:uid="{ED68485D-F47A-45FF-97DA-E65EE50A9F90}"/>
    <cellStyle name="Note 2 4 4 2 2 3" xfId="25182" xr:uid="{50D3E164-473D-44C0-87C5-D67AE8CBE8BD}"/>
    <cellStyle name="Note 2 4 4 2 2 4" xfId="33622" xr:uid="{C2B13177-EFA0-4447-8707-251F394BA48E}"/>
    <cellStyle name="Note 2 4 4 2 3" xfId="12524" xr:uid="{5C670281-FDF8-4E9D-92F6-CC5138B405E3}"/>
    <cellStyle name="Note 2 4 4 2 4" xfId="20965" xr:uid="{F953B481-992C-4E31-9506-C031C9D148FD}"/>
    <cellStyle name="Note 2 4 4 2 5" xfId="29405" xr:uid="{3E0B7F73-7B45-4E84-963B-39D001F575CE}"/>
    <cellStyle name="Note 2 4 4 3" xfId="6147" xr:uid="{00000000-0005-0000-0000-000027210000}"/>
    <cellStyle name="Note 2 4 4 3 2" xfId="14597" xr:uid="{BFFF59F8-B295-42BF-9494-9C9CC7D3E63F}"/>
    <cellStyle name="Note 2 4 4 3 3" xfId="23037" xr:uid="{E68C3AED-CF32-415E-A6E6-DE2E68E0DD18}"/>
    <cellStyle name="Note 2 4 4 3 4" xfId="31477" xr:uid="{105ACB35-B3CC-4777-8465-9C19CBA95C63}"/>
    <cellStyle name="Note 2 4 4 4" xfId="10379" xr:uid="{05BC42FF-6355-4BF7-90CB-A884390C5081}"/>
    <cellStyle name="Note 2 4 4 5" xfId="18820" xr:uid="{A3EAB05E-3D63-47E2-ADAD-F8AC25DEC035}"/>
    <cellStyle name="Note 2 4 4 6" xfId="27260" xr:uid="{92402651-1F01-4EAC-9D54-FFC88C80FB41}"/>
    <cellStyle name="Note 2 4 5" xfId="2254" xr:uid="{00000000-0005-0000-0000-000028210000}"/>
    <cellStyle name="Note 2 4 5 2" xfId="4483" xr:uid="{00000000-0005-0000-0000-000029210000}"/>
    <cellStyle name="Note 2 4 5 2 2" xfId="8705" xr:uid="{00000000-0005-0000-0000-00002A210000}"/>
    <cellStyle name="Note 2 4 5 2 2 2" xfId="17155" xr:uid="{534D57D8-111F-41E9-8A09-E526D5683B02}"/>
    <cellStyle name="Note 2 4 5 2 2 3" xfId="25595" xr:uid="{CFE8F5A9-81E1-4B7B-9355-FA5CF14BA563}"/>
    <cellStyle name="Note 2 4 5 2 2 4" xfId="34035" xr:uid="{75C13E45-1034-425D-93FF-4B36FF5DF968}"/>
    <cellStyle name="Note 2 4 5 2 3" xfId="12937" xr:uid="{857D3D30-EDEB-4386-B2D6-2E878B3F55B5}"/>
    <cellStyle name="Note 2 4 5 2 4" xfId="21378" xr:uid="{7867FE51-0650-4D73-821F-295D0A52023C}"/>
    <cellStyle name="Note 2 4 5 2 5" xfId="29818" xr:uid="{E5ADF42C-9D1A-4739-89AD-6422A0BE8DC7}"/>
    <cellStyle name="Note 2 4 5 3" xfId="6560" xr:uid="{00000000-0005-0000-0000-00002B210000}"/>
    <cellStyle name="Note 2 4 5 3 2" xfId="15010" xr:uid="{A520F5F0-AA6D-4B92-8B02-4A6B1314919D}"/>
    <cellStyle name="Note 2 4 5 3 3" xfId="23450" xr:uid="{1F5F718E-6F14-41CA-8066-8974C5F8E03A}"/>
    <cellStyle name="Note 2 4 5 3 4" xfId="31890" xr:uid="{E620070B-0A18-47AB-9814-95454D0DD87B}"/>
    <cellStyle name="Note 2 4 5 4" xfId="10792" xr:uid="{FA2AB3BA-9131-4241-AFAF-0ADEBA3A76B9}"/>
    <cellStyle name="Note 2 4 5 5" xfId="19233" xr:uid="{3A69284F-203D-43FC-B476-53E09CE4BF66}"/>
    <cellStyle name="Note 2 4 5 6" xfId="27673" xr:uid="{8EBC07B9-9BA3-49F4-BA23-96DD941F3C03}"/>
    <cellStyle name="Note 2 4 6" xfId="2690" xr:uid="{00000000-0005-0000-0000-00002C210000}"/>
    <cellStyle name="Note 2 4 6 2" xfId="6973" xr:uid="{00000000-0005-0000-0000-00002D210000}"/>
    <cellStyle name="Note 2 4 6 2 2" xfId="15423" xr:uid="{D40AB79D-684B-44B0-8F17-CE7275EDAAD2}"/>
    <cellStyle name="Note 2 4 6 2 3" xfId="23863" xr:uid="{CF90054B-BB1E-459F-BABB-B4735DA87BDD}"/>
    <cellStyle name="Note 2 4 6 2 4" xfId="32303" xr:uid="{132986F2-827D-4040-BE99-702AC641A343}"/>
    <cellStyle name="Note 2 4 6 3" xfId="11205" xr:uid="{065627C7-5BD9-496F-B857-2608B4E91EEA}"/>
    <cellStyle name="Note 2 4 6 4" xfId="19646" xr:uid="{114A508B-88AB-4975-8CB0-28ECA3A8E974}"/>
    <cellStyle name="Note 2 4 6 5" xfId="28086" xr:uid="{C0601A1A-FD85-407C-AA14-4BFB07225440}"/>
    <cellStyle name="Note 2 4 7" xfId="2749" xr:uid="{00000000-0005-0000-0000-00002E210000}"/>
    <cellStyle name="Note 2 4 8" xfId="2830" xr:uid="{00000000-0005-0000-0000-00002F210000}"/>
    <cellStyle name="Note 2 4 8 2" xfId="7053" xr:uid="{00000000-0005-0000-0000-000030210000}"/>
    <cellStyle name="Note 2 4 8 2 2" xfId="15503" xr:uid="{EB191C0E-3F55-409D-8037-09CCA7F4F0E9}"/>
    <cellStyle name="Note 2 4 8 2 3" xfId="23943" xr:uid="{BF9848E5-0F73-474E-9750-A09789FC35BE}"/>
    <cellStyle name="Note 2 4 8 2 4" xfId="32383" xr:uid="{224685B9-2B6C-4BC8-8ED8-05CF77D3A27E}"/>
    <cellStyle name="Note 2 4 8 3" xfId="11285" xr:uid="{D8FD854E-303E-4B12-9BED-B3A9C1B9FA8C}"/>
    <cellStyle name="Note 2 4 8 4" xfId="19726" xr:uid="{D88E2E65-28AE-4F74-8099-ADA23993B025}"/>
    <cellStyle name="Note 2 4 8 5" xfId="28166" xr:uid="{052BC416-5D12-4A45-9221-390923F01242}"/>
    <cellStyle name="Note 2 4 9" xfId="4908" xr:uid="{00000000-0005-0000-0000-000031210000}"/>
    <cellStyle name="Note 2 4 9 2" xfId="13358" xr:uid="{7CC84934-26E4-4504-B9AD-70581A894F75}"/>
    <cellStyle name="Note 2 4 9 3" xfId="21798" xr:uid="{C1E47104-A428-4F1D-A485-06F34344215E}"/>
    <cellStyle name="Note 2 4 9 4" xfId="30238" xr:uid="{31E9118F-9F06-438B-9DEA-70829D53B043}"/>
    <cellStyle name="Note 2 5" xfId="552" xr:uid="{00000000-0005-0000-0000-000032210000}"/>
    <cellStyle name="Note 2 5 10" xfId="9141" xr:uid="{B4A01041-3041-4BF0-AFB8-FCFD4576A762}"/>
    <cellStyle name="Note 2 5 11" xfId="17582" xr:uid="{4B3416F5-70CB-440B-A652-F1FE0D3C3F52}"/>
    <cellStyle name="Note 2 5 12" xfId="26022" xr:uid="{AE6D5026-9E06-4829-B35D-27D204862C4D}"/>
    <cellStyle name="Note 2 5 2" xfId="1013" xr:uid="{00000000-0005-0000-0000-000033210000}"/>
    <cellStyle name="Note 2 5 2 2" xfId="3245" xr:uid="{00000000-0005-0000-0000-000034210000}"/>
    <cellStyle name="Note 2 5 2 2 2" xfId="7467" xr:uid="{00000000-0005-0000-0000-000035210000}"/>
    <cellStyle name="Note 2 5 2 2 2 2" xfId="15917" xr:uid="{1774F689-932C-4A25-99BB-19D15088F1AE}"/>
    <cellStyle name="Note 2 5 2 2 2 3" xfId="24357" xr:uid="{16C8A9B1-2B7A-4ED2-BB2A-6967CBDCB664}"/>
    <cellStyle name="Note 2 5 2 2 2 4" xfId="32797" xr:uid="{CDE35796-126E-48BA-A13F-076747EA7911}"/>
    <cellStyle name="Note 2 5 2 2 3" xfId="11699" xr:uid="{F25A6D9E-EF1E-4FF0-B210-4EE28CAE580D}"/>
    <cellStyle name="Note 2 5 2 2 4" xfId="20140" xr:uid="{BC956D91-A933-4478-A704-E9C9059DF9AF}"/>
    <cellStyle name="Note 2 5 2 2 5" xfId="28580" xr:uid="{3ACB1472-EBAF-4620-9ABB-11CBBF0F6F55}"/>
    <cellStyle name="Note 2 5 2 3" xfId="5322" xr:uid="{00000000-0005-0000-0000-000036210000}"/>
    <cellStyle name="Note 2 5 2 3 2" xfId="13772" xr:uid="{3940650E-EB10-44D1-98F6-321057E00315}"/>
    <cellStyle name="Note 2 5 2 3 3" xfId="22212" xr:uid="{64C50490-CA7B-4EE5-AC82-D29AEFA9ADCE}"/>
    <cellStyle name="Note 2 5 2 3 4" xfId="30652" xr:uid="{0DCD20F8-C6CD-4908-B509-1B458082D681}"/>
    <cellStyle name="Note 2 5 2 4" xfId="9554" xr:uid="{BBCCFDA8-7310-4BB4-83C1-048DE4F65CD7}"/>
    <cellStyle name="Note 2 5 2 5" xfId="17995" xr:uid="{D258A633-1ADB-41DD-B987-D985C139117B}"/>
    <cellStyle name="Note 2 5 2 6" xfId="26435" xr:uid="{18DDE21C-DF42-4411-9437-1533BF2767D2}"/>
    <cellStyle name="Note 2 5 3" xfId="1428" xr:uid="{00000000-0005-0000-0000-000037210000}"/>
    <cellStyle name="Note 2 5 3 2" xfId="3658" xr:uid="{00000000-0005-0000-0000-000038210000}"/>
    <cellStyle name="Note 2 5 3 2 2" xfId="7880" xr:uid="{00000000-0005-0000-0000-000039210000}"/>
    <cellStyle name="Note 2 5 3 2 2 2" xfId="16330" xr:uid="{D63AD6CB-24BD-47D3-8714-4E1A8F5C7A8D}"/>
    <cellStyle name="Note 2 5 3 2 2 3" xfId="24770" xr:uid="{EEAD9083-462F-40B6-9B1B-F0BB18D0DD14}"/>
    <cellStyle name="Note 2 5 3 2 2 4" xfId="33210" xr:uid="{7B3A4AE1-5864-44CD-99C7-36C9CF3EC4AB}"/>
    <cellStyle name="Note 2 5 3 2 3" xfId="12112" xr:uid="{E93B54FB-8C2A-4B51-9BDA-8A5FDFEB94A6}"/>
    <cellStyle name="Note 2 5 3 2 4" xfId="20553" xr:uid="{3CDF9B60-A03D-47AD-A2EC-CA7BE0F48792}"/>
    <cellStyle name="Note 2 5 3 2 5" xfId="28993" xr:uid="{EFE20906-04F6-4496-89E7-12C9FB68FCD6}"/>
    <cellStyle name="Note 2 5 3 3" xfId="5735" xr:uid="{00000000-0005-0000-0000-00003A210000}"/>
    <cellStyle name="Note 2 5 3 3 2" xfId="14185" xr:uid="{F182F2B4-832F-4F15-A189-84BA02A60E20}"/>
    <cellStyle name="Note 2 5 3 3 3" xfId="22625" xr:uid="{CF03BA5A-2635-4C19-A23D-B14B5B60D3EE}"/>
    <cellStyle name="Note 2 5 3 3 4" xfId="31065" xr:uid="{8BBC8849-9049-4964-82DD-7A2DA0238C78}"/>
    <cellStyle name="Note 2 5 3 4" xfId="9967" xr:uid="{66CA20A5-A932-443F-B458-DB34057AC9C1}"/>
    <cellStyle name="Note 2 5 3 5" xfId="18408" xr:uid="{CAB1F516-5ACD-4D05-A1DD-B2631E6B5595}"/>
    <cellStyle name="Note 2 5 3 6" xfId="26848" xr:uid="{6D7ED720-9D87-40D1-AB5C-1E7B66304FE5}"/>
    <cellStyle name="Note 2 5 4" xfId="1842" xr:uid="{00000000-0005-0000-0000-00003B210000}"/>
    <cellStyle name="Note 2 5 4 2" xfId="4071" xr:uid="{00000000-0005-0000-0000-00003C210000}"/>
    <cellStyle name="Note 2 5 4 2 2" xfId="8293" xr:uid="{00000000-0005-0000-0000-00003D210000}"/>
    <cellStyle name="Note 2 5 4 2 2 2" xfId="16743" xr:uid="{6D229C31-272B-4799-99F4-E97163E2C39E}"/>
    <cellStyle name="Note 2 5 4 2 2 3" xfId="25183" xr:uid="{CB01A087-F2FC-4720-A12E-791248166414}"/>
    <cellStyle name="Note 2 5 4 2 2 4" xfId="33623" xr:uid="{3B2E73CC-23A5-4206-8D81-7A0D8A44A4E8}"/>
    <cellStyle name="Note 2 5 4 2 3" xfId="12525" xr:uid="{1E564F77-9591-43B3-8F3B-766FEFCF7B24}"/>
    <cellStyle name="Note 2 5 4 2 4" xfId="20966" xr:uid="{E352540F-C9CD-48E1-936E-90B95DCF18C0}"/>
    <cellStyle name="Note 2 5 4 2 5" xfId="29406" xr:uid="{69C707B8-FFF7-41DC-A01E-E0FFEE7FC356}"/>
    <cellStyle name="Note 2 5 4 3" xfId="6148" xr:uid="{00000000-0005-0000-0000-00003E210000}"/>
    <cellStyle name="Note 2 5 4 3 2" xfId="14598" xr:uid="{AA6D36CE-BFA2-4029-A143-7107F96C6372}"/>
    <cellStyle name="Note 2 5 4 3 3" xfId="23038" xr:uid="{B28530DE-C262-4417-B043-C6CCE81ACCB5}"/>
    <cellStyle name="Note 2 5 4 3 4" xfId="31478" xr:uid="{EE6E8B28-55EB-499E-8906-EB995F155961}"/>
    <cellStyle name="Note 2 5 4 4" xfId="10380" xr:uid="{DA3282F8-AF6C-4E3B-8878-678A2035216B}"/>
    <cellStyle name="Note 2 5 4 5" xfId="18821" xr:uid="{299D0CDC-EBA8-40E8-AD54-E91C4258B718}"/>
    <cellStyle name="Note 2 5 4 6" xfId="27261" xr:uid="{14A7A45E-8E32-4481-A4D6-494AB3A8BA2F}"/>
    <cellStyle name="Note 2 5 5" xfId="2255" xr:uid="{00000000-0005-0000-0000-00003F210000}"/>
    <cellStyle name="Note 2 5 5 2" xfId="4484" xr:uid="{00000000-0005-0000-0000-000040210000}"/>
    <cellStyle name="Note 2 5 5 2 2" xfId="8706" xr:uid="{00000000-0005-0000-0000-000041210000}"/>
    <cellStyle name="Note 2 5 5 2 2 2" xfId="17156" xr:uid="{99830F91-A3EC-4584-AB5E-EFB4DAED08F5}"/>
    <cellStyle name="Note 2 5 5 2 2 3" xfId="25596" xr:uid="{984167B9-4604-4FC9-9816-62E97E985CE2}"/>
    <cellStyle name="Note 2 5 5 2 2 4" xfId="34036" xr:uid="{12AFBBB6-2682-4B26-90E9-169C3321F03E}"/>
    <cellStyle name="Note 2 5 5 2 3" xfId="12938" xr:uid="{D260E360-F010-48FF-BF89-67E2B2B4C0C5}"/>
    <cellStyle name="Note 2 5 5 2 4" xfId="21379" xr:uid="{16933A77-1091-4CC4-95B1-EC65F9B9B7FF}"/>
    <cellStyle name="Note 2 5 5 2 5" xfId="29819" xr:uid="{3FD7BF3C-45E6-41BC-AAC0-5FA7A740EE81}"/>
    <cellStyle name="Note 2 5 5 3" xfId="6561" xr:uid="{00000000-0005-0000-0000-000042210000}"/>
    <cellStyle name="Note 2 5 5 3 2" xfId="15011" xr:uid="{378A425E-F3AD-4AD1-8352-5B712A74450D}"/>
    <cellStyle name="Note 2 5 5 3 3" xfId="23451" xr:uid="{7031BB76-14B1-4DC2-A5A1-59E53EF4FCFC}"/>
    <cellStyle name="Note 2 5 5 3 4" xfId="31891" xr:uid="{605448D8-B463-4AF6-9EF0-34241616B7F2}"/>
    <cellStyle name="Note 2 5 5 4" xfId="10793" xr:uid="{34EF615F-8048-4DE6-8E39-F4AC966D25AB}"/>
    <cellStyle name="Note 2 5 5 5" xfId="19234" xr:uid="{415DEBFF-6B5E-461E-B39A-AF2493561097}"/>
    <cellStyle name="Note 2 5 5 6" xfId="27674" xr:uid="{82C975EE-7CE5-4353-89C7-A0C3070D4F56}"/>
    <cellStyle name="Note 2 5 6" xfId="2691" xr:uid="{00000000-0005-0000-0000-000043210000}"/>
    <cellStyle name="Note 2 5 6 2" xfId="6974" xr:uid="{00000000-0005-0000-0000-000044210000}"/>
    <cellStyle name="Note 2 5 6 2 2" xfId="15424" xr:uid="{A2C37619-7770-4053-9CDC-58EDE084126E}"/>
    <cellStyle name="Note 2 5 6 2 3" xfId="23864" xr:uid="{D3506399-3A13-4DDA-9206-339EBBF7A11B}"/>
    <cellStyle name="Note 2 5 6 2 4" xfId="32304" xr:uid="{9E7A8030-4AE7-4C4A-9337-6D30E33AC13C}"/>
    <cellStyle name="Note 2 5 6 3" xfId="11206" xr:uid="{E7347588-393F-4E5D-8CEF-5FD6EFE940D9}"/>
    <cellStyle name="Note 2 5 6 4" xfId="19647" xr:uid="{11174609-99FB-4B81-A693-EAD9B8BD368A}"/>
    <cellStyle name="Note 2 5 6 5" xfId="28087" xr:uid="{23087379-C762-420A-AD5F-2F91FD86C839}"/>
    <cellStyle name="Note 2 5 7" xfId="2750" xr:uid="{00000000-0005-0000-0000-000045210000}"/>
    <cellStyle name="Note 2 5 8" xfId="2831" xr:uid="{00000000-0005-0000-0000-000046210000}"/>
    <cellStyle name="Note 2 5 8 2" xfId="7054" xr:uid="{00000000-0005-0000-0000-000047210000}"/>
    <cellStyle name="Note 2 5 8 2 2" xfId="15504" xr:uid="{51396F69-CF24-4DD6-89E0-C1B5D231228E}"/>
    <cellStyle name="Note 2 5 8 2 3" xfId="23944" xr:uid="{4A1A926F-BB21-455D-84B1-E8C202F43813}"/>
    <cellStyle name="Note 2 5 8 2 4" xfId="32384" xr:uid="{73D450FE-C132-4623-AD0F-DB5D099512C7}"/>
    <cellStyle name="Note 2 5 8 3" xfId="11286" xr:uid="{C51C728F-48B0-49F2-A010-46CC08BE336A}"/>
    <cellStyle name="Note 2 5 8 4" xfId="19727" xr:uid="{D360D6C9-2572-42D3-98F3-89B45457BFEC}"/>
    <cellStyle name="Note 2 5 8 5" xfId="28167" xr:uid="{64529C5B-5E0A-4EE6-84EE-B8D19035F44B}"/>
    <cellStyle name="Note 2 5 9" xfId="4909" xr:uid="{00000000-0005-0000-0000-000048210000}"/>
    <cellStyle name="Note 2 5 9 2" xfId="13359" xr:uid="{BFBF30D5-35BC-4F31-BB6C-7ABA94AF00F4}"/>
    <cellStyle name="Note 2 5 9 3" xfId="21799" xr:uid="{5D33F33B-3246-4CE9-865C-A26943C9E884}"/>
    <cellStyle name="Note 2 5 9 4" xfId="30239" xr:uid="{1BC7129E-4329-405A-9235-1D1D9A410C23}"/>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0 2 2" xfId="15505" xr:uid="{CC173B05-02BF-4C6A-877A-04E9E1073E41}"/>
    <cellStyle name="Note 3 2 10 2 3" xfId="23945" xr:uid="{77E17D69-3537-49DA-96CC-FCA3A3D2CE0B}"/>
    <cellStyle name="Note 3 2 10 2 4" xfId="32385" xr:uid="{F7879BB3-0FFE-43EF-B371-DBC3CF06FCAD}"/>
    <cellStyle name="Note 3 2 10 3" xfId="11287" xr:uid="{4C77C98D-20E1-40B9-99A6-07A1A6D3FF4D}"/>
    <cellStyle name="Note 3 2 10 4" xfId="19728" xr:uid="{2F127C50-7289-4980-9A22-163DE419D0CA}"/>
    <cellStyle name="Note 3 2 10 5" xfId="28168" xr:uid="{6C3B8168-BCFF-4C7D-937B-C5E4B9B1DC2A}"/>
    <cellStyle name="Note 3 2 11" xfId="4910" xr:uid="{00000000-0005-0000-0000-00004D210000}"/>
    <cellStyle name="Note 3 2 11 2" xfId="13360" xr:uid="{A6E117C8-47AA-425C-A175-11D1289F5744}"/>
    <cellStyle name="Note 3 2 11 3" xfId="21800" xr:uid="{64150235-24A4-4CD0-8F33-9E076054AB95}"/>
    <cellStyle name="Note 3 2 11 4" xfId="30240" xr:uid="{C2682959-B2AC-4B32-BA54-AAE547CA3EE7}"/>
    <cellStyle name="Note 3 2 12" xfId="9142" xr:uid="{2A150EE1-861F-4544-BFE7-71C802A10B7F}"/>
    <cellStyle name="Note 3 2 13" xfId="17583" xr:uid="{089CE736-8B36-44E8-8057-114D9C7D5C0F}"/>
    <cellStyle name="Note 3 2 14" xfId="26023" xr:uid="{027C3CF5-AD48-49DF-B095-C69D163C4E24}"/>
    <cellStyle name="Note 3 2 2" xfId="555" xr:uid="{00000000-0005-0000-0000-00004E210000}"/>
    <cellStyle name="Note 3 2 2 10" xfId="4911" xr:uid="{00000000-0005-0000-0000-00004F210000}"/>
    <cellStyle name="Note 3 2 2 10 2" xfId="13361" xr:uid="{07EDD20F-6B6E-484C-A8EE-96C9AE66441C}"/>
    <cellStyle name="Note 3 2 2 10 3" xfId="21801" xr:uid="{DBA8D1C5-6394-435A-B36A-0015BDE23B1A}"/>
    <cellStyle name="Note 3 2 2 10 4" xfId="30241" xr:uid="{A416CB32-3D37-4570-9792-E07F9A6B569F}"/>
    <cellStyle name="Note 3 2 2 11" xfId="9143" xr:uid="{CA4E3ACC-B8BB-4795-AC18-8A530CBDD012}"/>
    <cellStyle name="Note 3 2 2 12" xfId="17584" xr:uid="{0797E663-B47D-466B-A641-5025F68C7B1B}"/>
    <cellStyle name="Note 3 2 2 13" xfId="26024" xr:uid="{1D446776-3D52-426C-9A9D-3CF12294FB59}"/>
    <cellStyle name="Note 3 2 2 2" xfId="556" xr:uid="{00000000-0005-0000-0000-000050210000}"/>
    <cellStyle name="Note 3 2 2 2 10" xfId="9144" xr:uid="{452C4B35-2E3D-4E4A-B144-A5113710E678}"/>
    <cellStyle name="Note 3 2 2 2 11" xfId="17585" xr:uid="{5516692E-C661-42BC-B931-39B60B874268}"/>
    <cellStyle name="Note 3 2 2 2 12" xfId="26025" xr:uid="{8C8CC21F-E508-4FFC-BEEE-52681A6B9648}"/>
    <cellStyle name="Note 3 2 2 2 2" xfId="1016" xr:uid="{00000000-0005-0000-0000-000051210000}"/>
    <cellStyle name="Note 3 2 2 2 2 2" xfId="3248" xr:uid="{00000000-0005-0000-0000-000052210000}"/>
    <cellStyle name="Note 3 2 2 2 2 2 2" xfId="7470" xr:uid="{00000000-0005-0000-0000-000053210000}"/>
    <cellStyle name="Note 3 2 2 2 2 2 2 2" xfId="15920" xr:uid="{0F057C41-00F5-4290-BC2C-A1E4136D79FE}"/>
    <cellStyle name="Note 3 2 2 2 2 2 2 3" xfId="24360" xr:uid="{05C33215-D38A-4487-AD22-2DF37BD9009C}"/>
    <cellStyle name="Note 3 2 2 2 2 2 2 4" xfId="32800" xr:uid="{2610869C-9C01-4039-947F-737A9A8774ED}"/>
    <cellStyle name="Note 3 2 2 2 2 2 3" xfId="11702" xr:uid="{E8151FDE-E02B-4170-8264-FA98FB8223E7}"/>
    <cellStyle name="Note 3 2 2 2 2 2 4" xfId="20143" xr:uid="{DDFFE8B9-5BE7-4AF0-978C-11C421C47C51}"/>
    <cellStyle name="Note 3 2 2 2 2 2 5" xfId="28583" xr:uid="{B5800302-9315-4D9A-9351-BE8F1062191E}"/>
    <cellStyle name="Note 3 2 2 2 2 3" xfId="5325" xr:uid="{00000000-0005-0000-0000-000054210000}"/>
    <cellStyle name="Note 3 2 2 2 2 3 2" xfId="13775" xr:uid="{D1782A5B-5E72-47FF-8E59-E16655AE8074}"/>
    <cellStyle name="Note 3 2 2 2 2 3 3" xfId="22215" xr:uid="{31D8F000-ABFC-4F81-8E49-2062F0BF278E}"/>
    <cellStyle name="Note 3 2 2 2 2 3 4" xfId="30655" xr:uid="{E70C3AED-CCE6-44D0-8DE8-AB6067F71F94}"/>
    <cellStyle name="Note 3 2 2 2 2 4" xfId="9557" xr:uid="{A8917940-3EA2-499A-B844-F4378AB0CC46}"/>
    <cellStyle name="Note 3 2 2 2 2 5" xfId="17998" xr:uid="{BBC094AC-771B-417A-B80F-37B2A4965A58}"/>
    <cellStyle name="Note 3 2 2 2 2 6" xfId="26438" xr:uid="{43B758CF-E801-4232-BC4E-02080E4E76B2}"/>
    <cellStyle name="Note 3 2 2 2 3" xfId="1431" xr:uid="{00000000-0005-0000-0000-000055210000}"/>
    <cellStyle name="Note 3 2 2 2 3 2" xfId="3661" xr:uid="{00000000-0005-0000-0000-000056210000}"/>
    <cellStyle name="Note 3 2 2 2 3 2 2" xfId="7883" xr:uid="{00000000-0005-0000-0000-000057210000}"/>
    <cellStyle name="Note 3 2 2 2 3 2 2 2" xfId="16333" xr:uid="{C075E7A7-9787-4993-9BA3-03EA2685D333}"/>
    <cellStyle name="Note 3 2 2 2 3 2 2 3" xfId="24773" xr:uid="{FC38EBD0-A2B4-4CBD-AC68-B8CE04CF6223}"/>
    <cellStyle name="Note 3 2 2 2 3 2 2 4" xfId="33213" xr:uid="{ADF43543-9D33-4024-8D1C-5AD33DBCDB0E}"/>
    <cellStyle name="Note 3 2 2 2 3 2 3" xfId="12115" xr:uid="{7D93FFAD-CBBD-4185-9287-F525585C99F1}"/>
    <cellStyle name="Note 3 2 2 2 3 2 4" xfId="20556" xr:uid="{8C97851F-2CE8-42E1-942F-DF6CF2CDDC15}"/>
    <cellStyle name="Note 3 2 2 2 3 2 5" xfId="28996" xr:uid="{96D3C294-2CE6-476D-81CB-4908E841A816}"/>
    <cellStyle name="Note 3 2 2 2 3 3" xfId="5738" xr:uid="{00000000-0005-0000-0000-000058210000}"/>
    <cellStyle name="Note 3 2 2 2 3 3 2" xfId="14188" xr:uid="{BCAA2AD6-CCCA-45D9-971C-C3898CA9A8D8}"/>
    <cellStyle name="Note 3 2 2 2 3 3 3" xfId="22628" xr:uid="{E49A5138-1A3C-4B1E-A839-F64D079AD43A}"/>
    <cellStyle name="Note 3 2 2 2 3 3 4" xfId="31068" xr:uid="{415A84CA-231B-413E-AAD8-7E73AC687880}"/>
    <cellStyle name="Note 3 2 2 2 3 4" xfId="9970" xr:uid="{A9C1D69C-D1B1-435B-838B-E0EF4329D420}"/>
    <cellStyle name="Note 3 2 2 2 3 5" xfId="18411" xr:uid="{FF45F628-0F79-41E7-97AE-BF0292463A07}"/>
    <cellStyle name="Note 3 2 2 2 3 6" xfId="26851" xr:uid="{3AC5D04B-C7BD-4341-976B-E6EF9C91734F}"/>
    <cellStyle name="Note 3 2 2 2 4" xfId="1845" xr:uid="{00000000-0005-0000-0000-000059210000}"/>
    <cellStyle name="Note 3 2 2 2 4 2" xfId="4074" xr:uid="{00000000-0005-0000-0000-00005A210000}"/>
    <cellStyle name="Note 3 2 2 2 4 2 2" xfId="8296" xr:uid="{00000000-0005-0000-0000-00005B210000}"/>
    <cellStyle name="Note 3 2 2 2 4 2 2 2" xfId="16746" xr:uid="{116C87A1-6C09-47F1-B1CC-8EA6989E7B51}"/>
    <cellStyle name="Note 3 2 2 2 4 2 2 3" xfId="25186" xr:uid="{6F8AB00D-ACD0-4383-87C6-ED68CDF80305}"/>
    <cellStyle name="Note 3 2 2 2 4 2 2 4" xfId="33626" xr:uid="{09884CEE-AE19-4277-A287-28A8DCAFCBB2}"/>
    <cellStyle name="Note 3 2 2 2 4 2 3" xfId="12528" xr:uid="{26287741-B7D7-4716-8935-E533AD3FE5E6}"/>
    <cellStyle name="Note 3 2 2 2 4 2 4" xfId="20969" xr:uid="{E9BD5685-FFEC-4738-8390-30780B0F3534}"/>
    <cellStyle name="Note 3 2 2 2 4 2 5" xfId="29409" xr:uid="{4A5707B2-8646-4FB0-9306-61A8001AA7E7}"/>
    <cellStyle name="Note 3 2 2 2 4 3" xfId="6151" xr:uid="{00000000-0005-0000-0000-00005C210000}"/>
    <cellStyle name="Note 3 2 2 2 4 3 2" xfId="14601" xr:uid="{8955364C-823D-478D-9AE9-B1DC2DF6C19B}"/>
    <cellStyle name="Note 3 2 2 2 4 3 3" xfId="23041" xr:uid="{3B327DF7-7210-4F0E-8AF4-09F2B4562DA2}"/>
    <cellStyle name="Note 3 2 2 2 4 3 4" xfId="31481" xr:uid="{891517CF-5619-40EF-B0F2-98B10B5CCD62}"/>
    <cellStyle name="Note 3 2 2 2 4 4" xfId="10383" xr:uid="{17E529AC-651F-4814-803D-58BF557BA846}"/>
    <cellStyle name="Note 3 2 2 2 4 5" xfId="18824" xr:uid="{59480076-8685-42DF-9F05-841FAF845CC8}"/>
    <cellStyle name="Note 3 2 2 2 4 6" xfId="27264" xr:uid="{9CD119B7-A51B-4849-BC52-C4F6D7CD49C7}"/>
    <cellStyle name="Note 3 2 2 2 5" xfId="2258" xr:uid="{00000000-0005-0000-0000-00005D210000}"/>
    <cellStyle name="Note 3 2 2 2 5 2" xfId="4487" xr:uid="{00000000-0005-0000-0000-00005E210000}"/>
    <cellStyle name="Note 3 2 2 2 5 2 2" xfId="8709" xr:uid="{00000000-0005-0000-0000-00005F210000}"/>
    <cellStyle name="Note 3 2 2 2 5 2 2 2" xfId="17159" xr:uid="{0A58B23E-15D4-4546-8BD0-B49B754269F9}"/>
    <cellStyle name="Note 3 2 2 2 5 2 2 3" xfId="25599" xr:uid="{2A95ED80-225C-4147-8983-75A68913113B}"/>
    <cellStyle name="Note 3 2 2 2 5 2 2 4" xfId="34039" xr:uid="{DCD7AA5B-8CC8-4551-ABE5-606558CA454D}"/>
    <cellStyle name="Note 3 2 2 2 5 2 3" xfId="12941" xr:uid="{DE7F3DB6-DACA-422D-AECA-339FEC841E63}"/>
    <cellStyle name="Note 3 2 2 2 5 2 4" xfId="21382" xr:uid="{B78951A8-C310-48A9-B8E4-E2276537C221}"/>
    <cellStyle name="Note 3 2 2 2 5 2 5" xfId="29822" xr:uid="{5B40AB38-522E-4593-AD87-420B4737B0C2}"/>
    <cellStyle name="Note 3 2 2 2 5 3" xfId="6564" xr:uid="{00000000-0005-0000-0000-000060210000}"/>
    <cellStyle name="Note 3 2 2 2 5 3 2" xfId="15014" xr:uid="{4A890804-4144-4348-9652-7EFF588129C5}"/>
    <cellStyle name="Note 3 2 2 2 5 3 3" xfId="23454" xr:uid="{4B492B3C-117C-4D39-96C3-C6FA8FD2C7B6}"/>
    <cellStyle name="Note 3 2 2 2 5 3 4" xfId="31894" xr:uid="{07A21A5F-AF56-4732-8F08-B9CDD32D62B5}"/>
    <cellStyle name="Note 3 2 2 2 5 4" xfId="10796" xr:uid="{9E5A4BF1-2669-45DD-83D8-6E7575B33365}"/>
    <cellStyle name="Note 3 2 2 2 5 5" xfId="19237" xr:uid="{4ED2FF5C-D087-4CBA-8A62-CA1F761F7386}"/>
    <cellStyle name="Note 3 2 2 2 5 6" xfId="27677" xr:uid="{84522808-EA4E-496B-BEB8-AE7921ADE145}"/>
    <cellStyle name="Note 3 2 2 2 6" xfId="2694" xr:uid="{00000000-0005-0000-0000-000061210000}"/>
    <cellStyle name="Note 3 2 2 2 6 2" xfId="6977" xr:uid="{00000000-0005-0000-0000-000062210000}"/>
    <cellStyle name="Note 3 2 2 2 6 2 2" xfId="15427" xr:uid="{3753784C-2243-4615-9AEE-361084971960}"/>
    <cellStyle name="Note 3 2 2 2 6 2 3" xfId="23867" xr:uid="{15B57E10-E3AB-40B5-8C7C-BEDA458526E5}"/>
    <cellStyle name="Note 3 2 2 2 6 2 4" xfId="32307" xr:uid="{73969FA4-E954-4094-AADD-EA92137DAEF0}"/>
    <cellStyle name="Note 3 2 2 2 6 3" xfId="11209" xr:uid="{127EDA02-505C-4E63-AA6F-573B564ED869}"/>
    <cellStyle name="Note 3 2 2 2 6 4" xfId="19650" xr:uid="{1AACAED3-555A-4BAF-AB66-0334D4F30E5C}"/>
    <cellStyle name="Note 3 2 2 2 6 5" xfId="28090" xr:uid="{7867EB31-7AD7-4360-BFAC-9FE4785D3781}"/>
    <cellStyle name="Note 3 2 2 2 7" xfId="2753" xr:uid="{00000000-0005-0000-0000-000063210000}"/>
    <cellStyle name="Note 3 2 2 2 8" xfId="2834" xr:uid="{00000000-0005-0000-0000-000064210000}"/>
    <cellStyle name="Note 3 2 2 2 8 2" xfId="7057" xr:uid="{00000000-0005-0000-0000-000065210000}"/>
    <cellStyle name="Note 3 2 2 2 8 2 2" xfId="15507" xr:uid="{3C442796-EEB2-4520-92F0-26DD92527724}"/>
    <cellStyle name="Note 3 2 2 2 8 2 3" xfId="23947" xr:uid="{2947615B-ACB3-4248-9786-C356CDA5650B}"/>
    <cellStyle name="Note 3 2 2 2 8 2 4" xfId="32387" xr:uid="{30C4A600-9055-4CB3-A6D9-3EBE57EA433C}"/>
    <cellStyle name="Note 3 2 2 2 8 3" xfId="11289" xr:uid="{BFD308DB-0250-43D3-B5B7-1578CD7F70C1}"/>
    <cellStyle name="Note 3 2 2 2 8 4" xfId="19730" xr:uid="{01557C21-B698-45D3-B3D0-FD1A0FC1F42D}"/>
    <cellStyle name="Note 3 2 2 2 8 5" xfId="28170" xr:uid="{DA5C4A95-5051-4DA9-8AC2-FCB7EAE42333}"/>
    <cellStyle name="Note 3 2 2 2 9" xfId="4912" xr:uid="{00000000-0005-0000-0000-000066210000}"/>
    <cellStyle name="Note 3 2 2 2 9 2" xfId="13362" xr:uid="{F9DAA3E8-52A4-4A49-A913-5956FE71C6ED}"/>
    <cellStyle name="Note 3 2 2 2 9 3" xfId="21802" xr:uid="{101590EF-A7A5-4ADC-B2DD-B1E884788BBC}"/>
    <cellStyle name="Note 3 2 2 2 9 4" xfId="30242" xr:uid="{E2CA099F-0FAB-493B-B397-79897E7CA830}"/>
    <cellStyle name="Note 3 2 2 3" xfId="1015" xr:uid="{00000000-0005-0000-0000-000067210000}"/>
    <cellStyle name="Note 3 2 2 3 2" xfId="3247" xr:uid="{00000000-0005-0000-0000-000068210000}"/>
    <cellStyle name="Note 3 2 2 3 2 2" xfId="7469" xr:uid="{00000000-0005-0000-0000-000069210000}"/>
    <cellStyle name="Note 3 2 2 3 2 2 2" xfId="15919" xr:uid="{32AD5C4D-8518-435F-AA34-4F64D117EDF3}"/>
    <cellStyle name="Note 3 2 2 3 2 2 3" xfId="24359" xr:uid="{53A6E86B-EB86-4C0E-BFE5-9DE449EBC79B}"/>
    <cellStyle name="Note 3 2 2 3 2 2 4" xfId="32799" xr:uid="{F074FFAE-41CF-4571-8C4A-B040EA792FDB}"/>
    <cellStyle name="Note 3 2 2 3 2 3" xfId="11701" xr:uid="{756179B5-2125-43DC-AFD6-9B4C33D68C97}"/>
    <cellStyle name="Note 3 2 2 3 2 4" xfId="20142" xr:uid="{27FF6482-DB34-42B9-9172-7E38FC98A19C}"/>
    <cellStyle name="Note 3 2 2 3 2 5" xfId="28582" xr:uid="{169D5EB1-A836-4304-968B-FB61F6DD55FF}"/>
    <cellStyle name="Note 3 2 2 3 3" xfId="5324" xr:uid="{00000000-0005-0000-0000-00006A210000}"/>
    <cellStyle name="Note 3 2 2 3 3 2" xfId="13774" xr:uid="{554BE644-CB42-4C51-A112-C5710CA58D68}"/>
    <cellStyle name="Note 3 2 2 3 3 3" xfId="22214" xr:uid="{A4F0C6B0-88D1-406E-9141-D1CEB9622F92}"/>
    <cellStyle name="Note 3 2 2 3 3 4" xfId="30654" xr:uid="{A9CE4DD0-E9E8-457E-9AA4-9BDE70F34B55}"/>
    <cellStyle name="Note 3 2 2 3 4" xfId="9556" xr:uid="{F7FC3E3E-BF7D-47BA-BE84-04D51A6F2835}"/>
    <cellStyle name="Note 3 2 2 3 5" xfId="17997" xr:uid="{F7331BF8-B29F-46FE-BB4B-37560F4C1390}"/>
    <cellStyle name="Note 3 2 2 3 6" xfId="26437" xr:uid="{DD143008-3D15-4258-964D-DA2446589549}"/>
    <cellStyle name="Note 3 2 2 4" xfId="1430" xr:uid="{00000000-0005-0000-0000-00006B210000}"/>
    <cellStyle name="Note 3 2 2 4 2" xfId="3660" xr:uid="{00000000-0005-0000-0000-00006C210000}"/>
    <cellStyle name="Note 3 2 2 4 2 2" xfId="7882" xr:uid="{00000000-0005-0000-0000-00006D210000}"/>
    <cellStyle name="Note 3 2 2 4 2 2 2" xfId="16332" xr:uid="{CF61751A-3F4F-4882-B03F-C1A100F70EC4}"/>
    <cellStyle name="Note 3 2 2 4 2 2 3" xfId="24772" xr:uid="{37722AAB-0D0F-4013-B011-CB731C6F5F5D}"/>
    <cellStyle name="Note 3 2 2 4 2 2 4" xfId="33212" xr:uid="{9EB22F4F-246F-448E-BEC2-549149D2A2BB}"/>
    <cellStyle name="Note 3 2 2 4 2 3" xfId="12114" xr:uid="{61D2E894-6228-4E17-AB78-6A472E162879}"/>
    <cellStyle name="Note 3 2 2 4 2 4" xfId="20555" xr:uid="{E0BE4598-45FA-41B5-97A7-0F92A04C1663}"/>
    <cellStyle name="Note 3 2 2 4 2 5" xfId="28995" xr:uid="{B78406CE-7D13-4D2A-907F-BCC72BF76CDE}"/>
    <cellStyle name="Note 3 2 2 4 3" xfId="5737" xr:uid="{00000000-0005-0000-0000-00006E210000}"/>
    <cellStyle name="Note 3 2 2 4 3 2" xfId="14187" xr:uid="{A6509E68-F176-4E52-9C94-54DDF4AFBE8B}"/>
    <cellStyle name="Note 3 2 2 4 3 3" xfId="22627" xr:uid="{A0C87E0E-D4DF-4F1C-98CF-996B311AC062}"/>
    <cellStyle name="Note 3 2 2 4 3 4" xfId="31067" xr:uid="{306C6B94-6DED-4678-983B-D70E2D4FDDAC}"/>
    <cellStyle name="Note 3 2 2 4 4" xfId="9969" xr:uid="{C2485333-EC96-4D26-9A7D-1A9D41C39A9E}"/>
    <cellStyle name="Note 3 2 2 4 5" xfId="18410" xr:uid="{8EC896CA-3556-42C2-89B3-62D53CC6BCF0}"/>
    <cellStyle name="Note 3 2 2 4 6" xfId="26850" xr:uid="{57942DE9-488C-491B-9963-64DE8D91AD00}"/>
    <cellStyle name="Note 3 2 2 5" xfId="1844" xr:uid="{00000000-0005-0000-0000-00006F210000}"/>
    <cellStyle name="Note 3 2 2 5 2" xfId="4073" xr:uid="{00000000-0005-0000-0000-000070210000}"/>
    <cellStyle name="Note 3 2 2 5 2 2" xfId="8295" xr:uid="{00000000-0005-0000-0000-000071210000}"/>
    <cellStyle name="Note 3 2 2 5 2 2 2" xfId="16745" xr:uid="{57D01ACC-0D16-4832-ACEA-78BA434E6E82}"/>
    <cellStyle name="Note 3 2 2 5 2 2 3" xfId="25185" xr:uid="{471D2A7C-BF98-4F7F-A614-5BCB02FD0A6A}"/>
    <cellStyle name="Note 3 2 2 5 2 2 4" xfId="33625" xr:uid="{F491392B-3C89-4EF6-9E7E-30ADB100B601}"/>
    <cellStyle name="Note 3 2 2 5 2 3" xfId="12527" xr:uid="{E6306FD6-61ED-42BD-BA3E-D7AC42B853BA}"/>
    <cellStyle name="Note 3 2 2 5 2 4" xfId="20968" xr:uid="{32D1FE5F-C694-4137-8EF3-5C0BD17BE9A6}"/>
    <cellStyle name="Note 3 2 2 5 2 5" xfId="29408" xr:uid="{A2CD6FE1-DD8B-4E99-A6BD-38B91B944A01}"/>
    <cellStyle name="Note 3 2 2 5 3" xfId="6150" xr:uid="{00000000-0005-0000-0000-000072210000}"/>
    <cellStyle name="Note 3 2 2 5 3 2" xfId="14600" xr:uid="{51019FA6-7764-4C7B-A8B1-4C211779BACF}"/>
    <cellStyle name="Note 3 2 2 5 3 3" xfId="23040" xr:uid="{40ECF8C1-4C71-41D8-998C-D80FD7E5BCD2}"/>
    <cellStyle name="Note 3 2 2 5 3 4" xfId="31480" xr:uid="{43959B26-E4BE-4683-B704-90816282AFF5}"/>
    <cellStyle name="Note 3 2 2 5 4" xfId="10382" xr:uid="{3CB2A4D7-BF3C-41BD-8777-4667FA6E9904}"/>
    <cellStyle name="Note 3 2 2 5 5" xfId="18823" xr:uid="{9E2FA227-EECA-4AE6-8C4E-9776CAF829C6}"/>
    <cellStyle name="Note 3 2 2 5 6" xfId="27263" xr:uid="{13B8638D-574C-438A-B7DC-F93FDA40A37C}"/>
    <cellStyle name="Note 3 2 2 6" xfId="2257" xr:uid="{00000000-0005-0000-0000-000073210000}"/>
    <cellStyle name="Note 3 2 2 6 2" xfId="4486" xr:uid="{00000000-0005-0000-0000-000074210000}"/>
    <cellStyle name="Note 3 2 2 6 2 2" xfId="8708" xr:uid="{00000000-0005-0000-0000-000075210000}"/>
    <cellStyle name="Note 3 2 2 6 2 2 2" xfId="17158" xr:uid="{5FD0695A-84DA-40F6-8FC8-93C2AB77755D}"/>
    <cellStyle name="Note 3 2 2 6 2 2 3" xfId="25598" xr:uid="{502952B6-4345-4F2E-8841-CC1563DA5471}"/>
    <cellStyle name="Note 3 2 2 6 2 2 4" xfId="34038" xr:uid="{A051A679-0BDE-4D94-88C6-B8486BD3CE3A}"/>
    <cellStyle name="Note 3 2 2 6 2 3" xfId="12940" xr:uid="{46551BD2-A4C7-4786-A8CB-EA7D4AE05D35}"/>
    <cellStyle name="Note 3 2 2 6 2 4" xfId="21381" xr:uid="{0FE85D19-BEA3-4633-8473-9BCC401A03A4}"/>
    <cellStyle name="Note 3 2 2 6 2 5" xfId="29821" xr:uid="{7B584481-94AC-4CF7-9404-D1A63AE8A71C}"/>
    <cellStyle name="Note 3 2 2 6 3" xfId="6563" xr:uid="{00000000-0005-0000-0000-000076210000}"/>
    <cellStyle name="Note 3 2 2 6 3 2" xfId="15013" xr:uid="{950D67C1-F811-4C5F-B197-BC7D19E71394}"/>
    <cellStyle name="Note 3 2 2 6 3 3" xfId="23453" xr:uid="{5BF7D75C-6EE6-40E9-9C10-B0DB4A334115}"/>
    <cellStyle name="Note 3 2 2 6 3 4" xfId="31893" xr:uid="{34C5DD6D-9E39-41E1-9783-13D58A5A2FB9}"/>
    <cellStyle name="Note 3 2 2 6 4" xfId="10795" xr:uid="{2A1C0C1F-49F5-46B6-9FAA-F9737C5F2D7E}"/>
    <cellStyle name="Note 3 2 2 6 5" xfId="19236" xr:uid="{19ABE36A-E9BA-48EE-A0F3-730071252E61}"/>
    <cellStyle name="Note 3 2 2 6 6" xfId="27676" xr:uid="{1F72652B-F84E-4B51-AC60-C1C44904BA3E}"/>
    <cellStyle name="Note 3 2 2 7" xfId="2693" xr:uid="{00000000-0005-0000-0000-000077210000}"/>
    <cellStyle name="Note 3 2 2 7 2" xfId="6976" xr:uid="{00000000-0005-0000-0000-000078210000}"/>
    <cellStyle name="Note 3 2 2 7 2 2" xfId="15426" xr:uid="{BD37A012-5CBD-4CC4-B72D-55CAACFCAFCC}"/>
    <cellStyle name="Note 3 2 2 7 2 3" xfId="23866" xr:uid="{183F6473-4F78-4B0B-A6E0-0FB4EA714A3D}"/>
    <cellStyle name="Note 3 2 2 7 2 4" xfId="32306" xr:uid="{FE1590C9-C66A-4CE0-9921-004A6A99F608}"/>
    <cellStyle name="Note 3 2 2 7 3" xfId="11208" xr:uid="{3E9F996B-4C7D-4951-9891-DC2B1B115253}"/>
    <cellStyle name="Note 3 2 2 7 4" xfId="19649" xr:uid="{05CD9EB6-CF73-4498-93C0-0741B8FBF6C3}"/>
    <cellStyle name="Note 3 2 2 7 5" xfId="28089" xr:uid="{7354B844-FEDB-4CBC-920D-86668873488B}"/>
    <cellStyle name="Note 3 2 2 8" xfId="2752" xr:uid="{00000000-0005-0000-0000-000079210000}"/>
    <cellStyle name="Note 3 2 2 9" xfId="2833" xr:uid="{00000000-0005-0000-0000-00007A210000}"/>
    <cellStyle name="Note 3 2 2 9 2" xfId="7056" xr:uid="{00000000-0005-0000-0000-00007B210000}"/>
    <cellStyle name="Note 3 2 2 9 2 2" xfId="15506" xr:uid="{BC666085-B8AF-48B2-91DE-0CA40EC150C4}"/>
    <cellStyle name="Note 3 2 2 9 2 3" xfId="23946" xr:uid="{BCE27E3A-D6B4-4410-B824-0DDBC22FC9FD}"/>
    <cellStyle name="Note 3 2 2 9 2 4" xfId="32386" xr:uid="{FED515A9-8FD3-4B11-AA76-7560253D610F}"/>
    <cellStyle name="Note 3 2 2 9 3" xfId="11288" xr:uid="{8A104C47-5692-43B5-8353-0B5CB273AA25}"/>
    <cellStyle name="Note 3 2 2 9 4" xfId="19729" xr:uid="{A7D42992-BF80-429F-A88E-6BADE4820F84}"/>
    <cellStyle name="Note 3 2 2 9 5" xfId="28169" xr:uid="{5C5E20D9-E515-4FAA-BD66-4FCAFDE79BFC}"/>
    <cellStyle name="Note 3 2 3" xfId="557" xr:uid="{00000000-0005-0000-0000-00007C210000}"/>
    <cellStyle name="Note 3 2 3 10" xfId="9145" xr:uid="{9AD67288-99A7-4E26-8E52-64FA77575AC7}"/>
    <cellStyle name="Note 3 2 3 11" xfId="17586" xr:uid="{29662E6B-35D6-45DA-A21B-FA2028F7E12F}"/>
    <cellStyle name="Note 3 2 3 12" xfId="26026" xr:uid="{339723BC-ADEF-4F02-B4D0-05362EBD4411}"/>
    <cellStyle name="Note 3 2 3 2" xfId="1017" xr:uid="{00000000-0005-0000-0000-00007D210000}"/>
    <cellStyle name="Note 3 2 3 2 2" xfId="3249" xr:uid="{00000000-0005-0000-0000-00007E210000}"/>
    <cellStyle name="Note 3 2 3 2 2 2" xfId="7471" xr:uid="{00000000-0005-0000-0000-00007F210000}"/>
    <cellStyle name="Note 3 2 3 2 2 2 2" xfId="15921" xr:uid="{1C8A5EF4-5173-4AB2-8721-329867B0BED9}"/>
    <cellStyle name="Note 3 2 3 2 2 2 3" xfId="24361" xr:uid="{A8DC67CE-4FDE-4332-869F-05806B90EC8E}"/>
    <cellStyle name="Note 3 2 3 2 2 2 4" xfId="32801" xr:uid="{51D47DF4-356A-4530-A921-3A968E0D7503}"/>
    <cellStyle name="Note 3 2 3 2 2 3" xfId="11703" xr:uid="{45C4AB88-529B-4832-ABCB-2B9DC6275373}"/>
    <cellStyle name="Note 3 2 3 2 2 4" xfId="20144" xr:uid="{C118FD56-AF4D-441C-BA1C-C487AAD602AA}"/>
    <cellStyle name="Note 3 2 3 2 2 5" xfId="28584" xr:uid="{4F30F91C-0982-49F4-8244-8A53814F99E7}"/>
    <cellStyle name="Note 3 2 3 2 3" xfId="5326" xr:uid="{00000000-0005-0000-0000-000080210000}"/>
    <cellStyle name="Note 3 2 3 2 3 2" xfId="13776" xr:uid="{F84F8DB2-0CD5-4EA4-A6EF-5AECDA48D55B}"/>
    <cellStyle name="Note 3 2 3 2 3 3" xfId="22216" xr:uid="{24DAD4DB-E96A-46ED-A89D-20C89D34CC0D}"/>
    <cellStyle name="Note 3 2 3 2 3 4" xfId="30656" xr:uid="{B7C8293F-0442-4044-A419-3E6585D9125F}"/>
    <cellStyle name="Note 3 2 3 2 4" xfId="9558" xr:uid="{A051DF61-6910-4C1E-A3EA-06F21309FE16}"/>
    <cellStyle name="Note 3 2 3 2 5" xfId="17999" xr:uid="{0A112149-9AAC-447F-A3DB-BEBD7B45C702}"/>
    <cellStyle name="Note 3 2 3 2 6" xfId="26439" xr:uid="{1E1A7640-0E10-42C6-8133-592330857544}"/>
    <cellStyle name="Note 3 2 3 3" xfId="1432" xr:uid="{00000000-0005-0000-0000-000081210000}"/>
    <cellStyle name="Note 3 2 3 3 2" xfId="3662" xr:uid="{00000000-0005-0000-0000-000082210000}"/>
    <cellStyle name="Note 3 2 3 3 2 2" xfId="7884" xr:uid="{00000000-0005-0000-0000-000083210000}"/>
    <cellStyle name="Note 3 2 3 3 2 2 2" xfId="16334" xr:uid="{13F5AB56-B663-4D1E-BCA8-DDAFFD2666DE}"/>
    <cellStyle name="Note 3 2 3 3 2 2 3" xfId="24774" xr:uid="{E1C5419F-39EC-4490-9BB2-240DC57787B1}"/>
    <cellStyle name="Note 3 2 3 3 2 2 4" xfId="33214" xr:uid="{9971D422-EED9-471E-910F-4AA9D46D4F20}"/>
    <cellStyle name="Note 3 2 3 3 2 3" xfId="12116" xr:uid="{B38BF9D0-00C1-471A-904B-3118452E882F}"/>
    <cellStyle name="Note 3 2 3 3 2 4" xfId="20557" xr:uid="{EE09C136-B893-4BB2-B184-F2D6147E45B5}"/>
    <cellStyle name="Note 3 2 3 3 2 5" xfId="28997" xr:uid="{858F266A-852D-48C6-B555-6C4763F665B7}"/>
    <cellStyle name="Note 3 2 3 3 3" xfId="5739" xr:uid="{00000000-0005-0000-0000-000084210000}"/>
    <cellStyle name="Note 3 2 3 3 3 2" xfId="14189" xr:uid="{23CBF038-5DC1-4A8E-8812-CDCCA47FF05E}"/>
    <cellStyle name="Note 3 2 3 3 3 3" xfId="22629" xr:uid="{72DADD21-E1EC-44AE-A987-FC51B7F2AA68}"/>
    <cellStyle name="Note 3 2 3 3 3 4" xfId="31069" xr:uid="{88ACDD23-EE96-47C7-8501-CEFF8A35FE28}"/>
    <cellStyle name="Note 3 2 3 3 4" xfId="9971" xr:uid="{FDFB9B14-22EE-4B46-8F90-E78DAC66DB17}"/>
    <cellStyle name="Note 3 2 3 3 5" xfId="18412" xr:uid="{6E86AC90-E1EA-4784-959F-9068E46AF85B}"/>
    <cellStyle name="Note 3 2 3 3 6" xfId="26852" xr:uid="{298FE783-66D2-418F-95FB-9F6FB3A47E21}"/>
    <cellStyle name="Note 3 2 3 4" xfId="1846" xr:uid="{00000000-0005-0000-0000-000085210000}"/>
    <cellStyle name="Note 3 2 3 4 2" xfId="4075" xr:uid="{00000000-0005-0000-0000-000086210000}"/>
    <cellStyle name="Note 3 2 3 4 2 2" xfId="8297" xr:uid="{00000000-0005-0000-0000-000087210000}"/>
    <cellStyle name="Note 3 2 3 4 2 2 2" xfId="16747" xr:uid="{6ADED8CB-2F16-42C1-BF2F-92BAD247DD5F}"/>
    <cellStyle name="Note 3 2 3 4 2 2 3" xfId="25187" xr:uid="{67EFF568-0971-4BDF-916C-54909151EAC3}"/>
    <cellStyle name="Note 3 2 3 4 2 2 4" xfId="33627" xr:uid="{D3FF652E-FE9B-4F8B-8777-073D05FE1073}"/>
    <cellStyle name="Note 3 2 3 4 2 3" xfId="12529" xr:uid="{B60944BE-4A17-41A6-8DE6-7586946B0E39}"/>
    <cellStyle name="Note 3 2 3 4 2 4" xfId="20970" xr:uid="{B0223B90-7D5B-4028-A960-4312AB3B7233}"/>
    <cellStyle name="Note 3 2 3 4 2 5" xfId="29410" xr:uid="{D7BCA145-D3B3-4268-A1A4-668CD290ADEC}"/>
    <cellStyle name="Note 3 2 3 4 3" xfId="6152" xr:uid="{00000000-0005-0000-0000-000088210000}"/>
    <cellStyle name="Note 3 2 3 4 3 2" xfId="14602" xr:uid="{A2A2391B-E24C-44CF-88EF-4D22B5079065}"/>
    <cellStyle name="Note 3 2 3 4 3 3" xfId="23042" xr:uid="{29490011-8E23-4A5B-85A7-26511FB154D9}"/>
    <cellStyle name="Note 3 2 3 4 3 4" xfId="31482" xr:uid="{F5F1A56C-BC30-4F33-A101-08121ED7CBDC}"/>
    <cellStyle name="Note 3 2 3 4 4" xfId="10384" xr:uid="{0D3E5229-0DA1-4456-91B0-D240531C94CC}"/>
    <cellStyle name="Note 3 2 3 4 5" xfId="18825" xr:uid="{475ED222-5227-43AB-9FF7-38029230B0BB}"/>
    <cellStyle name="Note 3 2 3 4 6" xfId="27265" xr:uid="{5D326B90-72EE-4E17-A0B5-BAE311F69058}"/>
    <cellStyle name="Note 3 2 3 5" xfId="2259" xr:uid="{00000000-0005-0000-0000-000089210000}"/>
    <cellStyle name="Note 3 2 3 5 2" xfId="4488" xr:uid="{00000000-0005-0000-0000-00008A210000}"/>
    <cellStyle name="Note 3 2 3 5 2 2" xfId="8710" xr:uid="{00000000-0005-0000-0000-00008B210000}"/>
    <cellStyle name="Note 3 2 3 5 2 2 2" xfId="17160" xr:uid="{A661D491-C233-427B-892E-1E118AEA6935}"/>
    <cellStyle name="Note 3 2 3 5 2 2 3" xfId="25600" xr:uid="{B0798CE2-EAD7-48BC-9EC0-4709357217F8}"/>
    <cellStyle name="Note 3 2 3 5 2 2 4" xfId="34040" xr:uid="{9298E0CD-C516-4AA9-AA64-192F2A56CCF3}"/>
    <cellStyle name="Note 3 2 3 5 2 3" xfId="12942" xr:uid="{23C72384-4353-4602-8CB5-76320EEA5A1D}"/>
    <cellStyle name="Note 3 2 3 5 2 4" xfId="21383" xr:uid="{B42EA342-5BDD-4E5A-BF12-5F14422C475B}"/>
    <cellStyle name="Note 3 2 3 5 2 5" xfId="29823" xr:uid="{3BB80C1F-9A62-4E5C-9C39-FFF92F7F7168}"/>
    <cellStyle name="Note 3 2 3 5 3" xfId="6565" xr:uid="{00000000-0005-0000-0000-00008C210000}"/>
    <cellStyle name="Note 3 2 3 5 3 2" xfId="15015" xr:uid="{8490E743-7108-4604-9AA0-A78A2F2A71AC}"/>
    <cellStyle name="Note 3 2 3 5 3 3" xfId="23455" xr:uid="{DD34A12C-309C-4DA5-990B-9CFDB243E53B}"/>
    <cellStyle name="Note 3 2 3 5 3 4" xfId="31895" xr:uid="{0D01DA80-769D-4AE0-9B54-55C1B0FE8BBE}"/>
    <cellStyle name="Note 3 2 3 5 4" xfId="10797" xr:uid="{564769C8-72A0-40F4-9214-9F00705B4E27}"/>
    <cellStyle name="Note 3 2 3 5 5" xfId="19238" xr:uid="{3BE81E16-A82B-4EFA-B5B4-50A1CA08549A}"/>
    <cellStyle name="Note 3 2 3 5 6" xfId="27678" xr:uid="{3A28EDE3-0CC1-435B-B114-E280390D4C05}"/>
    <cellStyle name="Note 3 2 3 6" xfId="2695" xr:uid="{00000000-0005-0000-0000-00008D210000}"/>
    <cellStyle name="Note 3 2 3 6 2" xfId="6978" xr:uid="{00000000-0005-0000-0000-00008E210000}"/>
    <cellStyle name="Note 3 2 3 6 2 2" xfId="15428" xr:uid="{97B995D8-281A-4958-AAD3-D8FC72DDA59A}"/>
    <cellStyle name="Note 3 2 3 6 2 3" xfId="23868" xr:uid="{C98F565F-EFE4-4877-AB5F-521125C677F1}"/>
    <cellStyle name="Note 3 2 3 6 2 4" xfId="32308" xr:uid="{1879B287-D05C-4D67-87DB-9907035A8C9A}"/>
    <cellStyle name="Note 3 2 3 6 3" xfId="11210" xr:uid="{0C8EE7B7-EC02-46D5-ACFE-058BD08988A0}"/>
    <cellStyle name="Note 3 2 3 6 4" xfId="19651" xr:uid="{F8F03C9E-AC02-43C4-92FA-373237F064D4}"/>
    <cellStyle name="Note 3 2 3 6 5" xfId="28091" xr:uid="{C1338E50-133B-4A39-BFEE-0BBB3D3B1A36}"/>
    <cellStyle name="Note 3 2 3 7" xfId="2754" xr:uid="{00000000-0005-0000-0000-00008F210000}"/>
    <cellStyle name="Note 3 2 3 8" xfId="2835" xr:uid="{00000000-0005-0000-0000-000090210000}"/>
    <cellStyle name="Note 3 2 3 8 2" xfId="7058" xr:uid="{00000000-0005-0000-0000-000091210000}"/>
    <cellStyle name="Note 3 2 3 8 2 2" xfId="15508" xr:uid="{3488DFE7-D74F-4630-A075-2A2FE0FE0460}"/>
    <cellStyle name="Note 3 2 3 8 2 3" xfId="23948" xr:uid="{57CD80F9-C726-49A0-ADBD-3FEE3764C06B}"/>
    <cellStyle name="Note 3 2 3 8 2 4" xfId="32388" xr:uid="{1ECC60F9-75CE-43A6-B20D-E5B65A99D869}"/>
    <cellStyle name="Note 3 2 3 8 3" xfId="11290" xr:uid="{D9C3619C-2CC5-4ABE-8479-DD2C09FBC5D1}"/>
    <cellStyle name="Note 3 2 3 8 4" xfId="19731" xr:uid="{F33F5FCA-041E-4EB8-8FBB-70DEBC68C23D}"/>
    <cellStyle name="Note 3 2 3 8 5" xfId="28171" xr:uid="{D7F0D23D-2EB7-4168-9A64-D7A65188FD1D}"/>
    <cellStyle name="Note 3 2 3 9" xfId="4913" xr:uid="{00000000-0005-0000-0000-000092210000}"/>
    <cellStyle name="Note 3 2 3 9 2" xfId="13363" xr:uid="{A268E207-061A-4BFE-92AE-D48B6BF8943B}"/>
    <cellStyle name="Note 3 2 3 9 3" xfId="21803" xr:uid="{B28B0201-D9A2-4CE9-88E1-3003109DDABA}"/>
    <cellStyle name="Note 3 2 3 9 4" xfId="30243" xr:uid="{EA6B5F49-1FD3-41A2-8CB2-BC1F82F281A4}"/>
    <cellStyle name="Note 3 2 4" xfId="1014" xr:uid="{00000000-0005-0000-0000-000093210000}"/>
    <cellStyle name="Note 3 2 4 2" xfId="3246" xr:uid="{00000000-0005-0000-0000-000094210000}"/>
    <cellStyle name="Note 3 2 4 2 2" xfId="7468" xr:uid="{00000000-0005-0000-0000-000095210000}"/>
    <cellStyle name="Note 3 2 4 2 2 2" xfId="15918" xr:uid="{F41F633C-15BB-408E-98CF-6845D957B451}"/>
    <cellStyle name="Note 3 2 4 2 2 3" xfId="24358" xr:uid="{7B45A201-C5E4-4DEC-8C4E-207D067317F8}"/>
    <cellStyle name="Note 3 2 4 2 2 4" xfId="32798" xr:uid="{BED49729-C532-4111-B45C-EFD249394DE6}"/>
    <cellStyle name="Note 3 2 4 2 3" xfId="11700" xr:uid="{CF99656B-8D48-4410-A4BC-644FC33F7341}"/>
    <cellStyle name="Note 3 2 4 2 4" xfId="20141" xr:uid="{FF7A60E5-0D45-4CC2-ABBF-B3A17FA04432}"/>
    <cellStyle name="Note 3 2 4 2 5" xfId="28581" xr:uid="{CA6677B9-5656-4040-8431-2752D7D5E414}"/>
    <cellStyle name="Note 3 2 4 3" xfId="5323" xr:uid="{00000000-0005-0000-0000-000096210000}"/>
    <cellStyle name="Note 3 2 4 3 2" xfId="13773" xr:uid="{D4DB6A13-C3C0-40E8-9839-DE586CEFC9EC}"/>
    <cellStyle name="Note 3 2 4 3 3" xfId="22213" xr:uid="{F5D51CCA-B422-4940-AA89-C876482F45EE}"/>
    <cellStyle name="Note 3 2 4 3 4" xfId="30653" xr:uid="{13B89B67-7D42-4979-B9CA-CB0CE7A53E5E}"/>
    <cellStyle name="Note 3 2 4 4" xfId="9555" xr:uid="{3BF0E310-A84D-4FB5-9524-32B76A584B42}"/>
    <cellStyle name="Note 3 2 4 5" xfId="17996" xr:uid="{A15E8DA6-61D7-450E-A470-A1153F134CD1}"/>
    <cellStyle name="Note 3 2 4 6" xfId="26436" xr:uid="{06FA1E55-FC78-4148-808B-B367F98EF651}"/>
    <cellStyle name="Note 3 2 5" xfId="1429" xr:uid="{00000000-0005-0000-0000-000097210000}"/>
    <cellStyle name="Note 3 2 5 2" xfId="3659" xr:uid="{00000000-0005-0000-0000-000098210000}"/>
    <cellStyle name="Note 3 2 5 2 2" xfId="7881" xr:uid="{00000000-0005-0000-0000-000099210000}"/>
    <cellStyle name="Note 3 2 5 2 2 2" xfId="16331" xr:uid="{2D8AE4DB-F9BF-41AE-9BC0-0D953DF91B5C}"/>
    <cellStyle name="Note 3 2 5 2 2 3" xfId="24771" xr:uid="{0E8981CC-8F83-43AC-91BF-42D06BDA5059}"/>
    <cellStyle name="Note 3 2 5 2 2 4" xfId="33211" xr:uid="{AE3C4185-5E55-4A20-8B7B-99C813F7C820}"/>
    <cellStyle name="Note 3 2 5 2 3" xfId="12113" xr:uid="{88F9EE68-1722-45F4-8983-0B8D54A30DCF}"/>
    <cellStyle name="Note 3 2 5 2 4" xfId="20554" xr:uid="{B95055FA-0E31-401C-8C88-78785E3CA860}"/>
    <cellStyle name="Note 3 2 5 2 5" xfId="28994" xr:uid="{F861E611-D01D-4CD3-B863-D457EE185E10}"/>
    <cellStyle name="Note 3 2 5 3" xfId="5736" xr:uid="{00000000-0005-0000-0000-00009A210000}"/>
    <cellStyle name="Note 3 2 5 3 2" xfId="14186" xr:uid="{B8310536-4A48-475E-9104-9DC86B690DB5}"/>
    <cellStyle name="Note 3 2 5 3 3" xfId="22626" xr:uid="{88ACDAAF-617A-48A5-B205-DC506D376D8C}"/>
    <cellStyle name="Note 3 2 5 3 4" xfId="31066" xr:uid="{754E630D-59AC-4D92-B0C3-BCB7A5CFE332}"/>
    <cellStyle name="Note 3 2 5 4" xfId="9968" xr:uid="{ECDBA1CF-42C9-4127-A508-85EA51C5D6A1}"/>
    <cellStyle name="Note 3 2 5 5" xfId="18409" xr:uid="{C17D41D3-ED1B-4ACD-8F04-5E804EA219DE}"/>
    <cellStyle name="Note 3 2 5 6" xfId="26849" xr:uid="{2257439E-4509-4540-9294-756729EC278B}"/>
    <cellStyle name="Note 3 2 6" xfId="1843" xr:uid="{00000000-0005-0000-0000-00009B210000}"/>
    <cellStyle name="Note 3 2 6 2" xfId="4072" xr:uid="{00000000-0005-0000-0000-00009C210000}"/>
    <cellStyle name="Note 3 2 6 2 2" xfId="8294" xr:uid="{00000000-0005-0000-0000-00009D210000}"/>
    <cellStyle name="Note 3 2 6 2 2 2" xfId="16744" xr:uid="{C873EFA4-E114-4960-88EB-F348A25D5A89}"/>
    <cellStyle name="Note 3 2 6 2 2 3" xfId="25184" xr:uid="{8A038034-C1AA-44B4-A8DC-AF0174DD0163}"/>
    <cellStyle name="Note 3 2 6 2 2 4" xfId="33624" xr:uid="{D002AAD9-990F-4B46-91CD-8EC138467EDB}"/>
    <cellStyle name="Note 3 2 6 2 3" xfId="12526" xr:uid="{2CE64A9D-CCF8-4900-AEF9-A2A1847BEFD2}"/>
    <cellStyle name="Note 3 2 6 2 4" xfId="20967" xr:uid="{0DBF5E58-E167-45E8-8F78-52DE306EDC79}"/>
    <cellStyle name="Note 3 2 6 2 5" xfId="29407" xr:uid="{009F862A-0F60-454B-9334-CE06DB5C5BA6}"/>
    <cellStyle name="Note 3 2 6 3" xfId="6149" xr:uid="{00000000-0005-0000-0000-00009E210000}"/>
    <cellStyle name="Note 3 2 6 3 2" xfId="14599" xr:uid="{3050432E-FAE7-431D-9448-0F4FC6EE8C3C}"/>
    <cellStyle name="Note 3 2 6 3 3" xfId="23039" xr:uid="{BAABE24D-E0B2-44FC-B85B-A8AFD304109F}"/>
    <cellStyle name="Note 3 2 6 3 4" xfId="31479" xr:uid="{55117752-F548-4E93-8A45-D9DCD32DBBF4}"/>
    <cellStyle name="Note 3 2 6 4" xfId="10381" xr:uid="{349A8666-D4BB-45CF-A82D-CA30BF8DBC24}"/>
    <cellStyle name="Note 3 2 6 5" xfId="18822" xr:uid="{AEEFFAA2-76A5-4812-8CCA-78C8BF0A8FA5}"/>
    <cellStyle name="Note 3 2 6 6" xfId="27262" xr:uid="{32BD7B33-E855-4DAD-A176-247EF156CD64}"/>
    <cellStyle name="Note 3 2 7" xfId="2256" xr:uid="{00000000-0005-0000-0000-00009F210000}"/>
    <cellStyle name="Note 3 2 7 2" xfId="4485" xr:uid="{00000000-0005-0000-0000-0000A0210000}"/>
    <cellStyle name="Note 3 2 7 2 2" xfId="8707" xr:uid="{00000000-0005-0000-0000-0000A1210000}"/>
    <cellStyle name="Note 3 2 7 2 2 2" xfId="17157" xr:uid="{0BF814FE-40D6-42FB-AC21-99F0F511ABC0}"/>
    <cellStyle name="Note 3 2 7 2 2 3" xfId="25597" xr:uid="{622914F0-EBE2-4055-BAAF-35C0D2CE64BC}"/>
    <cellStyle name="Note 3 2 7 2 2 4" xfId="34037" xr:uid="{5DE83E7B-E0D1-4EAF-994D-FF7551CCE5BF}"/>
    <cellStyle name="Note 3 2 7 2 3" xfId="12939" xr:uid="{F323B623-8E40-402A-B74F-1608A0AB145A}"/>
    <cellStyle name="Note 3 2 7 2 4" xfId="21380" xr:uid="{3F3CE97E-2607-4CAE-B337-E77E3ECA6EFB}"/>
    <cellStyle name="Note 3 2 7 2 5" xfId="29820" xr:uid="{3F1BF215-2A40-4D93-A253-168739A6E94F}"/>
    <cellStyle name="Note 3 2 7 3" xfId="6562" xr:uid="{00000000-0005-0000-0000-0000A2210000}"/>
    <cellStyle name="Note 3 2 7 3 2" xfId="15012" xr:uid="{DE939933-2FD4-41B7-814B-C1C82C3EB0E3}"/>
    <cellStyle name="Note 3 2 7 3 3" xfId="23452" xr:uid="{71D86013-B4F5-43D9-9F6C-90D613149540}"/>
    <cellStyle name="Note 3 2 7 3 4" xfId="31892" xr:uid="{80AB6988-B960-4732-8506-06135609D750}"/>
    <cellStyle name="Note 3 2 7 4" xfId="10794" xr:uid="{8A6C314D-0EB3-4764-B7A8-512F91E0FAB4}"/>
    <cellStyle name="Note 3 2 7 5" xfId="19235" xr:uid="{93578431-BB10-4746-A035-A476F0F363CE}"/>
    <cellStyle name="Note 3 2 7 6" xfId="27675" xr:uid="{AF8A136A-7E84-441F-8B7F-A7F6D74B92CA}"/>
    <cellStyle name="Note 3 2 8" xfId="2692" xr:uid="{00000000-0005-0000-0000-0000A3210000}"/>
    <cellStyle name="Note 3 2 8 2" xfId="6975" xr:uid="{00000000-0005-0000-0000-0000A4210000}"/>
    <cellStyle name="Note 3 2 8 2 2" xfId="15425" xr:uid="{2DA7D086-A665-46C0-A16B-DF24359596E2}"/>
    <cellStyle name="Note 3 2 8 2 3" xfId="23865" xr:uid="{B3C824B2-B646-43DF-8E98-40455FE09C51}"/>
    <cellStyle name="Note 3 2 8 2 4" xfId="32305" xr:uid="{732AC263-7337-4FCE-B2A2-2738AE3C885B}"/>
    <cellStyle name="Note 3 2 8 3" xfId="11207" xr:uid="{3D79B0AF-6449-4BB9-AB2E-717683B09D79}"/>
    <cellStyle name="Note 3 2 8 4" xfId="19648" xr:uid="{6EFA94E2-E939-4D27-9E25-451B470FDDE1}"/>
    <cellStyle name="Note 3 2 8 5" xfId="28088" xr:uid="{DB35EB67-E7B1-4E12-84AA-EFA396DA4DF5}"/>
    <cellStyle name="Note 3 2 9" xfId="2751" xr:uid="{00000000-0005-0000-0000-0000A5210000}"/>
    <cellStyle name="Note 3 3" xfId="558" xr:uid="{00000000-0005-0000-0000-0000A6210000}"/>
    <cellStyle name="Note 3 3 10" xfId="4914" xr:uid="{00000000-0005-0000-0000-0000A7210000}"/>
    <cellStyle name="Note 3 3 10 2" xfId="13364" xr:uid="{3C9725CE-CC54-41F1-9BAE-F29BC71ABA37}"/>
    <cellStyle name="Note 3 3 10 3" xfId="21804" xr:uid="{0A9FA213-BFDC-4292-ADCD-184E8B84A973}"/>
    <cellStyle name="Note 3 3 10 4" xfId="30244" xr:uid="{74391B2C-2963-4DDB-AFD5-EAD84BC27253}"/>
    <cellStyle name="Note 3 3 11" xfId="9146" xr:uid="{D8F8FFD3-3153-4D51-9DB2-16756F5A1115}"/>
    <cellStyle name="Note 3 3 12" xfId="17587" xr:uid="{6A4F0190-3BB1-42DD-8A7E-5E6FCC7392C4}"/>
    <cellStyle name="Note 3 3 13" xfId="26027" xr:uid="{7855DC45-D879-4F91-8B29-01248798BE90}"/>
    <cellStyle name="Note 3 3 2" xfId="559" xr:uid="{00000000-0005-0000-0000-0000A8210000}"/>
    <cellStyle name="Note 3 3 2 10" xfId="9147" xr:uid="{C0501D1B-D24D-4D2F-97C2-83A4B18EFF2D}"/>
    <cellStyle name="Note 3 3 2 11" xfId="17588" xr:uid="{67026C66-83BD-47EC-9794-49B0600D8518}"/>
    <cellStyle name="Note 3 3 2 12" xfId="26028" xr:uid="{ECBC695B-2AF8-40A3-A3CC-D9A3898C9664}"/>
    <cellStyle name="Note 3 3 2 2" xfId="1019" xr:uid="{00000000-0005-0000-0000-0000A9210000}"/>
    <cellStyle name="Note 3 3 2 2 2" xfId="3251" xr:uid="{00000000-0005-0000-0000-0000AA210000}"/>
    <cellStyle name="Note 3 3 2 2 2 2" xfId="7473" xr:uid="{00000000-0005-0000-0000-0000AB210000}"/>
    <cellStyle name="Note 3 3 2 2 2 2 2" xfId="15923" xr:uid="{2D5FB91E-A343-41D6-946F-867E0135FEF4}"/>
    <cellStyle name="Note 3 3 2 2 2 2 3" xfId="24363" xr:uid="{5AA882BB-90D4-46AE-A8AE-EAEFA3D573F5}"/>
    <cellStyle name="Note 3 3 2 2 2 2 4" xfId="32803" xr:uid="{0FD07517-B5BF-4868-9D7C-EDCE3D539888}"/>
    <cellStyle name="Note 3 3 2 2 2 3" xfId="11705" xr:uid="{5F8A8AE5-73B5-4422-BB73-EF25E1DD07EE}"/>
    <cellStyle name="Note 3 3 2 2 2 4" xfId="20146" xr:uid="{7D51437F-D8B0-48EC-9159-DB8245F51C4D}"/>
    <cellStyle name="Note 3 3 2 2 2 5" xfId="28586" xr:uid="{A919A3C0-93B9-4BCC-80E3-7C0BC835D1A8}"/>
    <cellStyle name="Note 3 3 2 2 3" xfId="5328" xr:uid="{00000000-0005-0000-0000-0000AC210000}"/>
    <cellStyle name="Note 3 3 2 2 3 2" xfId="13778" xr:uid="{5BDD5E30-AC70-46A1-B71D-E941FB0434BD}"/>
    <cellStyle name="Note 3 3 2 2 3 3" xfId="22218" xr:uid="{5DBE0118-2D89-4830-A2A6-96501FC9791B}"/>
    <cellStyle name="Note 3 3 2 2 3 4" xfId="30658" xr:uid="{9F9B2A02-3D75-45B0-ABB4-E61C42753CCC}"/>
    <cellStyle name="Note 3 3 2 2 4" xfId="9560" xr:uid="{56F96A13-FC53-4E65-9931-CF36FE971C0F}"/>
    <cellStyle name="Note 3 3 2 2 5" xfId="18001" xr:uid="{1289A5F4-04C7-4BB2-A98E-991A2BD8382F}"/>
    <cellStyle name="Note 3 3 2 2 6" xfId="26441" xr:uid="{46496516-93FE-4ED6-B9BC-FFD6734FBD99}"/>
    <cellStyle name="Note 3 3 2 3" xfId="1434" xr:uid="{00000000-0005-0000-0000-0000AD210000}"/>
    <cellStyle name="Note 3 3 2 3 2" xfId="3664" xr:uid="{00000000-0005-0000-0000-0000AE210000}"/>
    <cellStyle name="Note 3 3 2 3 2 2" xfId="7886" xr:uid="{00000000-0005-0000-0000-0000AF210000}"/>
    <cellStyle name="Note 3 3 2 3 2 2 2" xfId="16336" xr:uid="{C31B8FCA-3D0A-4584-9073-6768B40B8635}"/>
    <cellStyle name="Note 3 3 2 3 2 2 3" xfId="24776" xr:uid="{947B385F-779D-4094-AD63-D3299A1C54AC}"/>
    <cellStyle name="Note 3 3 2 3 2 2 4" xfId="33216" xr:uid="{DB4893C6-8624-48AA-8AE1-6F482BC201CA}"/>
    <cellStyle name="Note 3 3 2 3 2 3" xfId="12118" xr:uid="{3C4DBB51-2B7C-45B1-9DC7-32773B8E23F4}"/>
    <cellStyle name="Note 3 3 2 3 2 4" xfId="20559" xr:uid="{AD96B23C-A302-479E-ACE4-D5401E669793}"/>
    <cellStyle name="Note 3 3 2 3 2 5" xfId="28999" xr:uid="{DC0CA59A-54AB-416B-A89D-26CABA7757C8}"/>
    <cellStyle name="Note 3 3 2 3 3" xfId="5741" xr:uid="{00000000-0005-0000-0000-0000B0210000}"/>
    <cellStyle name="Note 3 3 2 3 3 2" xfId="14191" xr:uid="{BEDB8D43-35E0-4677-BADB-23A52684CC39}"/>
    <cellStyle name="Note 3 3 2 3 3 3" xfId="22631" xr:uid="{E53CFD06-CB0A-430D-8953-5A71F2044429}"/>
    <cellStyle name="Note 3 3 2 3 3 4" xfId="31071" xr:uid="{3017168A-BABC-4FB3-8502-6FDB283EAB9F}"/>
    <cellStyle name="Note 3 3 2 3 4" xfId="9973" xr:uid="{302F1B6F-8D92-411C-9A11-3773BA6D48DB}"/>
    <cellStyle name="Note 3 3 2 3 5" xfId="18414" xr:uid="{2F90FD19-FCA5-43E5-94F7-4AB300162553}"/>
    <cellStyle name="Note 3 3 2 3 6" xfId="26854" xr:uid="{393CB018-993C-4031-94FD-5ACAE9394C08}"/>
    <cellStyle name="Note 3 3 2 4" xfId="1848" xr:uid="{00000000-0005-0000-0000-0000B1210000}"/>
    <cellStyle name="Note 3 3 2 4 2" xfId="4077" xr:uid="{00000000-0005-0000-0000-0000B2210000}"/>
    <cellStyle name="Note 3 3 2 4 2 2" xfId="8299" xr:uid="{00000000-0005-0000-0000-0000B3210000}"/>
    <cellStyle name="Note 3 3 2 4 2 2 2" xfId="16749" xr:uid="{B0B834E9-D72E-4E8F-BEDE-9E9922BBDD73}"/>
    <cellStyle name="Note 3 3 2 4 2 2 3" xfId="25189" xr:uid="{BCBB4314-570E-459A-918C-6226D416742B}"/>
    <cellStyle name="Note 3 3 2 4 2 2 4" xfId="33629" xr:uid="{F40ADF12-7396-4BF5-85C5-9DD32E58C96A}"/>
    <cellStyle name="Note 3 3 2 4 2 3" xfId="12531" xr:uid="{7275D14A-23A2-4335-8216-31A80C709009}"/>
    <cellStyle name="Note 3 3 2 4 2 4" xfId="20972" xr:uid="{CF7D8EBC-C28F-40B2-AFBF-DC3FCAB13869}"/>
    <cellStyle name="Note 3 3 2 4 2 5" xfId="29412" xr:uid="{C83351BD-0F8E-432B-AE7E-6D015906B3A0}"/>
    <cellStyle name="Note 3 3 2 4 3" xfId="6154" xr:uid="{00000000-0005-0000-0000-0000B4210000}"/>
    <cellStyle name="Note 3 3 2 4 3 2" xfId="14604" xr:uid="{590013B1-A671-47B7-8351-E17A32DAEB28}"/>
    <cellStyle name="Note 3 3 2 4 3 3" xfId="23044" xr:uid="{E8122697-38FC-42C9-8302-6E783DD45A53}"/>
    <cellStyle name="Note 3 3 2 4 3 4" xfId="31484" xr:uid="{A191395E-3424-473F-992F-1F164D484D95}"/>
    <cellStyle name="Note 3 3 2 4 4" xfId="10386" xr:uid="{E4533A26-4477-4F31-A71B-87975894D3A5}"/>
    <cellStyle name="Note 3 3 2 4 5" xfId="18827" xr:uid="{88062328-045D-4274-9FD5-00F69A40DF30}"/>
    <cellStyle name="Note 3 3 2 4 6" xfId="27267" xr:uid="{AE1B3D25-1D07-4F7F-9F56-E349F773843D}"/>
    <cellStyle name="Note 3 3 2 5" xfId="2261" xr:uid="{00000000-0005-0000-0000-0000B5210000}"/>
    <cellStyle name="Note 3 3 2 5 2" xfId="4490" xr:uid="{00000000-0005-0000-0000-0000B6210000}"/>
    <cellStyle name="Note 3 3 2 5 2 2" xfId="8712" xr:uid="{00000000-0005-0000-0000-0000B7210000}"/>
    <cellStyle name="Note 3 3 2 5 2 2 2" xfId="17162" xr:uid="{A54E11AB-ECAD-4A54-BF4C-9AD8D0658021}"/>
    <cellStyle name="Note 3 3 2 5 2 2 3" xfId="25602" xr:uid="{9F224D24-2693-49DB-914D-2F03E656ADCD}"/>
    <cellStyle name="Note 3 3 2 5 2 2 4" xfId="34042" xr:uid="{70482004-BFEA-4514-84FC-4A1EA8546E24}"/>
    <cellStyle name="Note 3 3 2 5 2 3" xfId="12944" xr:uid="{3377EF28-10AC-40E5-B3FC-AB2DF2826474}"/>
    <cellStyle name="Note 3 3 2 5 2 4" xfId="21385" xr:uid="{DD981550-97D2-49EF-962C-998DDEB3DF7E}"/>
    <cellStyle name="Note 3 3 2 5 2 5" xfId="29825" xr:uid="{45A2FA40-E849-42C1-BF00-FA3AA70325AC}"/>
    <cellStyle name="Note 3 3 2 5 3" xfId="6567" xr:uid="{00000000-0005-0000-0000-0000B8210000}"/>
    <cellStyle name="Note 3 3 2 5 3 2" xfId="15017" xr:uid="{B8497594-0DFA-4351-BFAF-0CF509C7CD36}"/>
    <cellStyle name="Note 3 3 2 5 3 3" xfId="23457" xr:uid="{E1D48CDD-825C-4339-BC47-C126A494D4D0}"/>
    <cellStyle name="Note 3 3 2 5 3 4" xfId="31897" xr:uid="{5B5E6BB0-DE58-4471-B3AA-A5C4EE5AC71F}"/>
    <cellStyle name="Note 3 3 2 5 4" xfId="10799" xr:uid="{B7F4AF08-0261-4453-93C4-E13076B1551F}"/>
    <cellStyle name="Note 3 3 2 5 5" xfId="19240" xr:uid="{DC4F7D10-0F08-467B-8336-E92452599BD8}"/>
    <cellStyle name="Note 3 3 2 5 6" xfId="27680" xr:uid="{1A173DB9-614B-4608-B93D-E0BA5454A04B}"/>
    <cellStyle name="Note 3 3 2 6" xfId="2697" xr:uid="{00000000-0005-0000-0000-0000B9210000}"/>
    <cellStyle name="Note 3 3 2 6 2" xfId="6980" xr:uid="{00000000-0005-0000-0000-0000BA210000}"/>
    <cellStyle name="Note 3 3 2 6 2 2" xfId="15430" xr:uid="{BA91CBAB-2CAB-4A7E-9630-D1F445703593}"/>
    <cellStyle name="Note 3 3 2 6 2 3" xfId="23870" xr:uid="{BB16B992-E0C8-446D-B53E-430E5A48AAAD}"/>
    <cellStyle name="Note 3 3 2 6 2 4" xfId="32310" xr:uid="{5996F919-2B62-4F7F-9F73-BB0297726904}"/>
    <cellStyle name="Note 3 3 2 6 3" xfId="11212" xr:uid="{973E15AA-9339-460F-A840-5083B10C6494}"/>
    <cellStyle name="Note 3 3 2 6 4" xfId="19653" xr:uid="{3E2F23CE-32B3-40B2-BF5E-4F5D7A2DA3CE}"/>
    <cellStyle name="Note 3 3 2 6 5" xfId="28093" xr:uid="{4D0C482A-DAAB-43AE-98EF-07030D087DB4}"/>
    <cellStyle name="Note 3 3 2 7" xfId="2756" xr:uid="{00000000-0005-0000-0000-0000BB210000}"/>
    <cellStyle name="Note 3 3 2 8" xfId="2837" xr:uid="{00000000-0005-0000-0000-0000BC210000}"/>
    <cellStyle name="Note 3 3 2 8 2" xfId="7060" xr:uid="{00000000-0005-0000-0000-0000BD210000}"/>
    <cellStyle name="Note 3 3 2 8 2 2" xfId="15510" xr:uid="{5276821E-159A-448E-86A9-152EFDB5392C}"/>
    <cellStyle name="Note 3 3 2 8 2 3" xfId="23950" xr:uid="{A2E98B01-E4F0-4E79-8D57-C39E1B2BEBE1}"/>
    <cellStyle name="Note 3 3 2 8 2 4" xfId="32390" xr:uid="{3EDD11A9-B91E-42D0-BB5E-5D3AAF7F7F80}"/>
    <cellStyle name="Note 3 3 2 8 3" xfId="11292" xr:uid="{81FFF1AA-DFCF-49B0-9C3B-129572A560AC}"/>
    <cellStyle name="Note 3 3 2 8 4" xfId="19733" xr:uid="{B2503926-1F2F-4A0A-BDFF-C3A3156DC82F}"/>
    <cellStyle name="Note 3 3 2 8 5" xfId="28173" xr:uid="{46291995-092A-4DD6-B1A9-FF126119FA9F}"/>
    <cellStyle name="Note 3 3 2 9" xfId="4915" xr:uid="{00000000-0005-0000-0000-0000BE210000}"/>
    <cellStyle name="Note 3 3 2 9 2" xfId="13365" xr:uid="{5AC508A4-9A90-4655-B3B5-2182B6FAE37F}"/>
    <cellStyle name="Note 3 3 2 9 3" xfId="21805" xr:uid="{B97239B0-3585-47A9-A407-39AB26C9580B}"/>
    <cellStyle name="Note 3 3 2 9 4" xfId="30245" xr:uid="{4D40B6BE-E346-4B89-B826-7D2C1171FAD7}"/>
    <cellStyle name="Note 3 3 3" xfId="1018" xr:uid="{00000000-0005-0000-0000-0000BF210000}"/>
    <cellStyle name="Note 3 3 3 2" xfId="3250" xr:uid="{00000000-0005-0000-0000-0000C0210000}"/>
    <cellStyle name="Note 3 3 3 2 2" xfId="7472" xr:uid="{00000000-0005-0000-0000-0000C1210000}"/>
    <cellStyle name="Note 3 3 3 2 2 2" xfId="15922" xr:uid="{E39BC494-F48D-4D40-BE67-E11B77236255}"/>
    <cellStyle name="Note 3 3 3 2 2 3" xfId="24362" xr:uid="{FB898F03-945E-479B-BA2A-D4018E092BA3}"/>
    <cellStyle name="Note 3 3 3 2 2 4" xfId="32802" xr:uid="{18B64641-A728-4D63-A8CB-57ED9C8ECE05}"/>
    <cellStyle name="Note 3 3 3 2 3" xfId="11704" xr:uid="{A24B726A-B053-4A38-90A3-A8D38EFD091D}"/>
    <cellStyle name="Note 3 3 3 2 4" xfId="20145" xr:uid="{8750CB95-A718-4DD9-B2C1-3E4AF25C0828}"/>
    <cellStyle name="Note 3 3 3 2 5" xfId="28585" xr:uid="{4642ABC4-7CE7-45B8-8546-E90A24D8D0A8}"/>
    <cellStyle name="Note 3 3 3 3" xfId="5327" xr:uid="{00000000-0005-0000-0000-0000C2210000}"/>
    <cellStyle name="Note 3 3 3 3 2" xfId="13777" xr:uid="{C0933FB9-638E-4DE1-89DD-2E5C8595571A}"/>
    <cellStyle name="Note 3 3 3 3 3" xfId="22217" xr:uid="{DBD8E460-4B55-4E7F-A89B-D1B4EAAB8309}"/>
    <cellStyle name="Note 3 3 3 3 4" xfId="30657" xr:uid="{972396F0-1AA6-4C4C-8EEF-AC8624092923}"/>
    <cellStyle name="Note 3 3 3 4" xfId="9559" xr:uid="{E941452B-6E25-4AD7-BD49-48B6A2A46FFA}"/>
    <cellStyle name="Note 3 3 3 5" xfId="18000" xr:uid="{EA899FA4-4670-4917-BD22-526148E6047F}"/>
    <cellStyle name="Note 3 3 3 6" xfId="26440" xr:uid="{81FF508E-98F5-4481-8FA0-C72C4FB0031C}"/>
    <cellStyle name="Note 3 3 4" xfId="1433" xr:uid="{00000000-0005-0000-0000-0000C3210000}"/>
    <cellStyle name="Note 3 3 4 2" xfId="3663" xr:uid="{00000000-0005-0000-0000-0000C4210000}"/>
    <cellStyle name="Note 3 3 4 2 2" xfId="7885" xr:uid="{00000000-0005-0000-0000-0000C5210000}"/>
    <cellStyle name="Note 3 3 4 2 2 2" xfId="16335" xr:uid="{6C25E4DE-AB2D-428A-ACC0-415915C759E7}"/>
    <cellStyle name="Note 3 3 4 2 2 3" xfId="24775" xr:uid="{278D1308-3A2E-4245-8637-AC9FA403A9D1}"/>
    <cellStyle name="Note 3 3 4 2 2 4" xfId="33215" xr:uid="{6D6A1B2E-70E8-45B3-9CE5-706FE72AE0B4}"/>
    <cellStyle name="Note 3 3 4 2 3" xfId="12117" xr:uid="{F5E99D0D-F404-46E2-BB4D-2099652CCEBB}"/>
    <cellStyle name="Note 3 3 4 2 4" xfId="20558" xr:uid="{60DE8D5F-BAC3-4ABC-B545-77CF583CD7CA}"/>
    <cellStyle name="Note 3 3 4 2 5" xfId="28998" xr:uid="{7B7C2FEB-411D-4A94-9AEF-54E13AD108DC}"/>
    <cellStyle name="Note 3 3 4 3" xfId="5740" xr:uid="{00000000-0005-0000-0000-0000C6210000}"/>
    <cellStyle name="Note 3 3 4 3 2" xfId="14190" xr:uid="{512AC19B-2F22-4601-8DB7-0C51292FAA69}"/>
    <cellStyle name="Note 3 3 4 3 3" xfId="22630" xr:uid="{B28EE32D-1251-4FB2-82E5-ADDB5AC534BD}"/>
    <cellStyle name="Note 3 3 4 3 4" xfId="31070" xr:uid="{D56447FA-CF1C-4591-9989-79C5E130A401}"/>
    <cellStyle name="Note 3 3 4 4" xfId="9972" xr:uid="{0D063CFD-23B9-4332-B1C3-62C37978ECC3}"/>
    <cellStyle name="Note 3 3 4 5" xfId="18413" xr:uid="{FD5DCD97-4E84-41F3-8C96-17673675A025}"/>
    <cellStyle name="Note 3 3 4 6" xfId="26853" xr:uid="{BC93DF01-055E-4E6D-A1F4-602DA43BB3A1}"/>
    <cellStyle name="Note 3 3 5" xfId="1847" xr:uid="{00000000-0005-0000-0000-0000C7210000}"/>
    <cellStyle name="Note 3 3 5 2" xfId="4076" xr:uid="{00000000-0005-0000-0000-0000C8210000}"/>
    <cellStyle name="Note 3 3 5 2 2" xfId="8298" xr:uid="{00000000-0005-0000-0000-0000C9210000}"/>
    <cellStyle name="Note 3 3 5 2 2 2" xfId="16748" xr:uid="{316992D1-A15A-49CB-AEC0-7319951BA9C5}"/>
    <cellStyle name="Note 3 3 5 2 2 3" xfId="25188" xr:uid="{9D77F453-2C93-44AE-9C1F-0464289ABB98}"/>
    <cellStyle name="Note 3 3 5 2 2 4" xfId="33628" xr:uid="{091D2ED7-B56E-4903-BAAC-2145C1837288}"/>
    <cellStyle name="Note 3 3 5 2 3" xfId="12530" xr:uid="{F011917E-E3FB-4D14-B4EE-2AED97DFBF05}"/>
    <cellStyle name="Note 3 3 5 2 4" xfId="20971" xr:uid="{2A631C5A-CBAB-4FD5-8538-DC0C704A3672}"/>
    <cellStyle name="Note 3 3 5 2 5" xfId="29411" xr:uid="{658727EC-21A0-4487-A056-26564EC72FCA}"/>
    <cellStyle name="Note 3 3 5 3" xfId="6153" xr:uid="{00000000-0005-0000-0000-0000CA210000}"/>
    <cellStyle name="Note 3 3 5 3 2" xfId="14603" xr:uid="{71FE90A9-F457-4A3C-AF36-3E80214CFB4A}"/>
    <cellStyle name="Note 3 3 5 3 3" xfId="23043" xr:uid="{2D866316-F723-46F0-9BCA-3ED5DD758A0E}"/>
    <cellStyle name="Note 3 3 5 3 4" xfId="31483" xr:uid="{8C11EEB7-7152-4BE8-910E-BB6546A3D2C7}"/>
    <cellStyle name="Note 3 3 5 4" xfId="10385" xr:uid="{C99603E9-8281-4319-9AEA-A9D55A817DDC}"/>
    <cellStyle name="Note 3 3 5 5" xfId="18826" xr:uid="{CA793DE3-B3AC-4C5B-A951-358EEB8B7C03}"/>
    <cellStyle name="Note 3 3 5 6" xfId="27266" xr:uid="{A75ADA5D-6E13-4E5E-AD71-8905AB2FD3C2}"/>
    <cellStyle name="Note 3 3 6" xfId="2260" xr:uid="{00000000-0005-0000-0000-0000CB210000}"/>
    <cellStyle name="Note 3 3 6 2" xfId="4489" xr:uid="{00000000-0005-0000-0000-0000CC210000}"/>
    <cellStyle name="Note 3 3 6 2 2" xfId="8711" xr:uid="{00000000-0005-0000-0000-0000CD210000}"/>
    <cellStyle name="Note 3 3 6 2 2 2" xfId="17161" xr:uid="{25A68FC1-5A3A-4DA0-A606-8D55E6B15F2B}"/>
    <cellStyle name="Note 3 3 6 2 2 3" xfId="25601" xr:uid="{D0646CFD-C517-44FD-A90F-0633E4EE6EE5}"/>
    <cellStyle name="Note 3 3 6 2 2 4" xfId="34041" xr:uid="{6CC3ABD0-DC9B-431D-8ED1-5857B32A86AC}"/>
    <cellStyle name="Note 3 3 6 2 3" xfId="12943" xr:uid="{6E0D3088-4E34-4E6E-8F9C-E02FAC6958B6}"/>
    <cellStyle name="Note 3 3 6 2 4" xfId="21384" xr:uid="{6AD140C6-4720-4DCE-BE7E-3B1DF5799994}"/>
    <cellStyle name="Note 3 3 6 2 5" xfId="29824" xr:uid="{A6B3D66B-D53B-47A7-B937-73CC22C18E12}"/>
    <cellStyle name="Note 3 3 6 3" xfId="6566" xr:uid="{00000000-0005-0000-0000-0000CE210000}"/>
    <cellStyle name="Note 3 3 6 3 2" xfId="15016" xr:uid="{CB9A38B0-4E75-4F5C-8C79-F6270099E6E3}"/>
    <cellStyle name="Note 3 3 6 3 3" xfId="23456" xr:uid="{E99DB0E8-3BCC-4CBE-93BC-BC0B309DB3A5}"/>
    <cellStyle name="Note 3 3 6 3 4" xfId="31896" xr:uid="{15476730-3E43-4C12-9EC9-204D4031A9B3}"/>
    <cellStyle name="Note 3 3 6 4" xfId="10798" xr:uid="{AEC1BBE1-A5FC-40EB-8A6D-5F99FB48DC8A}"/>
    <cellStyle name="Note 3 3 6 5" xfId="19239" xr:uid="{618F4E4A-197F-46FC-84C2-520AD45E77BB}"/>
    <cellStyle name="Note 3 3 6 6" xfId="27679" xr:uid="{2B8C4D97-7AEB-4868-A537-8EE96999816A}"/>
    <cellStyle name="Note 3 3 7" xfId="2696" xr:uid="{00000000-0005-0000-0000-0000CF210000}"/>
    <cellStyle name="Note 3 3 7 2" xfId="6979" xr:uid="{00000000-0005-0000-0000-0000D0210000}"/>
    <cellStyle name="Note 3 3 7 2 2" xfId="15429" xr:uid="{3DE0EDFB-DD19-48C3-A6EA-CD12F332D64D}"/>
    <cellStyle name="Note 3 3 7 2 3" xfId="23869" xr:uid="{5A527802-C84B-4927-BB8A-291124BEE1DC}"/>
    <cellStyle name="Note 3 3 7 2 4" xfId="32309" xr:uid="{E70542A2-339A-4E5C-BE1F-B914705160CD}"/>
    <cellStyle name="Note 3 3 7 3" xfId="11211" xr:uid="{4E1A0493-0161-46E4-A25F-ECCCFA514AEC}"/>
    <cellStyle name="Note 3 3 7 4" xfId="19652" xr:uid="{437F1B2D-F742-427D-A626-1A6D750FAD3A}"/>
    <cellStyle name="Note 3 3 7 5" xfId="28092" xr:uid="{A4FD9686-B5A1-4A2F-A30C-4F2FD115811F}"/>
    <cellStyle name="Note 3 3 8" xfId="2755" xr:uid="{00000000-0005-0000-0000-0000D1210000}"/>
    <cellStyle name="Note 3 3 9" xfId="2836" xr:uid="{00000000-0005-0000-0000-0000D2210000}"/>
    <cellStyle name="Note 3 3 9 2" xfId="7059" xr:uid="{00000000-0005-0000-0000-0000D3210000}"/>
    <cellStyle name="Note 3 3 9 2 2" xfId="15509" xr:uid="{B20226F3-CF62-479E-9FE1-33242841D99F}"/>
    <cellStyle name="Note 3 3 9 2 3" xfId="23949" xr:uid="{EECDC6AD-603E-465F-8389-63ACE50473A8}"/>
    <cellStyle name="Note 3 3 9 2 4" xfId="32389" xr:uid="{41F8131D-50B9-4445-97BD-8318D08B68BF}"/>
    <cellStyle name="Note 3 3 9 3" xfId="11291" xr:uid="{252944D3-7228-44F4-B6C2-CDE7C9BBD907}"/>
    <cellStyle name="Note 3 3 9 4" xfId="19732" xr:uid="{745F1326-75F9-41B2-8471-5B3E842370E4}"/>
    <cellStyle name="Note 3 3 9 5" xfId="28172" xr:uid="{CF129F21-7EA2-4096-BEDD-9D1D1958B1BB}"/>
    <cellStyle name="Note 3 4" xfId="560" xr:uid="{00000000-0005-0000-0000-0000D4210000}"/>
    <cellStyle name="Note 3 4 10" xfId="9148" xr:uid="{0A9E447F-1394-48D0-9741-E82C23619F8A}"/>
    <cellStyle name="Note 3 4 11" xfId="17589" xr:uid="{78F77636-E6E5-4924-82A2-F2CA7EFDBC6E}"/>
    <cellStyle name="Note 3 4 12" xfId="26029" xr:uid="{E90DF66F-A024-4A53-B48C-63503FE92D9D}"/>
    <cellStyle name="Note 3 4 2" xfId="1020" xr:uid="{00000000-0005-0000-0000-0000D5210000}"/>
    <cellStyle name="Note 3 4 2 2" xfId="3252" xr:uid="{00000000-0005-0000-0000-0000D6210000}"/>
    <cellStyle name="Note 3 4 2 2 2" xfId="7474" xr:uid="{00000000-0005-0000-0000-0000D7210000}"/>
    <cellStyle name="Note 3 4 2 2 2 2" xfId="15924" xr:uid="{41EB463D-F8BE-460A-97CE-2E4C803098C6}"/>
    <cellStyle name="Note 3 4 2 2 2 3" xfId="24364" xr:uid="{58904E8B-DC89-49D2-9E02-718408117448}"/>
    <cellStyle name="Note 3 4 2 2 2 4" xfId="32804" xr:uid="{1A3579BC-2294-4061-8148-AA566549EE45}"/>
    <cellStyle name="Note 3 4 2 2 3" xfId="11706" xr:uid="{E3DC45C4-2417-42BC-ACD3-8766F5A15886}"/>
    <cellStyle name="Note 3 4 2 2 4" xfId="20147" xr:uid="{A556945B-97BF-47D7-A4D0-6626EA2E21A0}"/>
    <cellStyle name="Note 3 4 2 2 5" xfId="28587" xr:uid="{FDEFA79A-C136-4204-9100-13D3D0D84B13}"/>
    <cellStyle name="Note 3 4 2 3" xfId="5329" xr:uid="{00000000-0005-0000-0000-0000D8210000}"/>
    <cellStyle name="Note 3 4 2 3 2" xfId="13779" xr:uid="{1C9958AF-F086-4C9F-BF0A-C4B491427497}"/>
    <cellStyle name="Note 3 4 2 3 3" xfId="22219" xr:uid="{999C7461-7272-4E6C-8A6B-9AE4EFD74DAE}"/>
    <cellStyle name="Note 3 4 2 3 4" xfId="30659" xr:uid="{85A10DF2-A837-4B19-BB9C-F292E3D62B6F}"/>
    <cellStyle name="Note 3 4 2 4" xfId="9561" xr:uid="{9C3BA1A2-CBAB-473A-B00A-E4008699486E}"/>
    <cellStyle name="Note 3 4 2 5" xfId="18002" xr:uid="{819AB690-10C9-4A24-930D-89CEFB812B44}"/>
    <cellStyle name="Note 3 4 2 6" xfId="26442" xr:uid="{07A162DF-0D93-4AC0-9C3D-D9BB8B743EE8}"/>
    <cellStyle name="Note 3 4 3" xfId="1435" xr:uid="{00000000-0005-0000-0000-0000D9210000}"/>
    <cellStyle name="Note 3 4 3 2" xfId="3665" xr:uid="{00000000-0005-0000-0000-0000DA210000}"/>
    <cellStyle name="Note 3 4 3 2 2" xfId="7887" xr:uid="{00000000-0005-0000-0000-0000DB210000}"/>
    <cellStyle name="Note 3 4 3 2 2 2" xfId="16337" xr:uid="{A47FA586-34D8-4690-8161-D827D3EFCF2E}"/>
    <cellStyle name="Note 3 4 3 2 2 3" xfId="24777" xr:uid="{01E4B12F-863F-45CB-B822-1F003491F337}"/>
    <cellStyle name="Note 3 4 3 2 2 4" xfId="33217" xr:uid="{67D54BF9-47D6-488F-B323-88F87AFDD280}"/>
    <cellStyle name="Note 3 4 3 2 3" xfId="12119" xr:uid="{F8E81082-8037-4C75-A86C-C50EAFBB903D}"/>
    <cellStyle name="Note 3 4 3 2 4" xfId="20560" xr:uid="{DBF87AF1-DD99-4642-82BA-CB9E748647C8}"/>
    <cellStyle name="Note 3 4 3 2 5" xfId="29000" xr:uid="{37953B96-9A02-40ED-8EA1-15F9B06953D9}"/>
    <cellStyle name="Note 3 4 3 3" xfId="5742" xr:uid="{00000000-0005-0000-0000-0000DC210000}"/>
    <cellStyle name="Note 3 4 3 3 2" xfId="14192" xr:uid="{A1B8E757-D225-4C52-B89C-7FE3D669955F}"/>
    <cellStyle name="Note 3 4 3 3 3" xfId="22632" xr:uid="{A827053D-0423-4F31-ACDE-D3F355D915DD}"/>
    <cellStyle name="Note 3 4 3 3 4" xfId="31072" xr:uid="{4312E45F-81DA-4EB8-BEFC-CA10D46A8B07}"/>
    <cellStyle name="Note 3 4 3 4" xfId="9974" xr:uid="{E41643FD-CBFE-43C8-808A-7E55A7F373D5}"/>
    <cellStyle name="Note 3 4 3 5" xfId="18415" xr:uid="{02C6908C-ABB2-4B46-B552-153C5C0F6CC4}"/>
    <cellStyle name="Note 3 4 3 6" xfId="26855" xr:uid="{F3D368D1-5915-4380-8F72-48AA148B6422}"/>
    <cellStyle name="Note 3 4 4" xfId="1849" xr:uid="{00000000-0005-0000-0000-0000DD210000}"/>
    <cellStyle name="Note 3 4 4 2" xfId="4078" xr:uid="{00000000-0005-0000-0000-0000DE210000}"/>
    <cellStyle name="Note 3 4 4 2 2" xfId="8300" xr:uid="{00000000-0005-0000-0000-0000DF210000}"/>
    <cellStyle name="Note 3 4 4 2 2 2" xfId="16750" xr:uid="{A1FCCBEB-8F7E-454C-A89E-58A07F568192}"/>
    <cellStyle name="Note 3 4 4 2 2 3" xfId="25190" xr:uid="{A1D3457B-989A-47DE-9FEB-A3D1FC8AC898}"/>
    <cellStyle name="Note 3 4 4 2 2 4" xfId="33630" xr:uid="{A3031134-B981-4933-804E-C9D40058A5F4}"/>
    <cellStyle name="Note 3 4 4 2 3" xfId="12532" xr:uid="{5D46964E-397D-466F-BFF9-1D30A333CC11}"/>
    <cellStyle name="Note 3 4 4 2 4" xfId="20973" xr:uid="{CDE18E95-43CC-4E6B-A728-FA6FBB9A44D7}"/>
    <cellStyle name="Note 3 4 4 2 5" xfId="29413" xr:uid="{A9C49380-C7A4-45F9-9478-F6D9A900BABD}"/>
    <cellStyle name="Note 3 4 4 3" xfId="6155" xr:uid="{00000000-0005-0000-0000-0000E0210000}"/>
    <cellStyle name="Note 3 4 4 3 2" xfId="14605" xr:uid="{F33589D0-0BCB-4244-BDFA-E3E3E1C82F18}"/>
    <cellStyle name="Note 3 4 4 3 3" xfId="23045" xr:uid="{EFBAD741-40CC-4ED9-A47E-95AC5C72C731}"/>
    <cellStyle name="Note 3 4 4 3 4" xfId="31485" xr:uid="{4B0A34D0-BD2D-4450-A51D-FA57E6ACCF89}"/>
    <cellStyle name="Note 3 4 4 4" xfId="10387" xr:uid="{F3EF446C-FC0A-4CCF-BFBF-5BDF8741E0D9}"/>
    <cellStyle name="Note 3 4 4 5" xfId="18828" xr:uid="{D40DF284-C813-49A6-A22D-AEC43F43E56D}"/>
    <cellStyle name="Note 3 4 4 6" xfId="27268" xr:uid="{30E18240-7DF3-437D-9D94-63055354610B}"/>
    <cellStyle name="Note 3 4 5" xfId="2262" xr:uid="{00000000-0005-0000-0000-0000E1210000}"/>
    <cellStyle name="Note 3 4 5 2" xfId="4491" xr:uid="{00000000-0005-0000-0000-0000E2210000}"/>
    <cellStyle name="Note 3 4 5 2 2" xfId="8713" xr:uid="{00000000-0005-0000-0000-0000E3210000}"/>
    <cellStyle name="Note 3 4 5 2 2 2" xfId="17163" xr:uid="{0D9EF034-8F99-4EDF-AF0F-4FF5F0161065}"/>
    <cellStyle name="Note 3 4 5 2 2 3" xfId="25603" xr:uid="{F3249966-7266-4CC7-B462-9CDEA941D078}"/>
    <cellStyle name="Note 3 4 5 2 2 4" xfId="34043" xr:uid="{C9439EBB-B518-4810-A9E7-57A9361AFE0C}"/>
    <cellStyle name="Note 3 4 5 2 3" xfId="12945" xr:uid="{5BDC6455-1AD5-49D8-8B36-7D43E199B57A}"/>
    <cellStyle name="Note 3 4 5 2 4" xfId="21386" xr:uid="{CD66FB5F-E6A9-4CAB-9E49-849FB9D82732}"/>
    <cellStyle name="Note 3 4 5 2 5" xfId="29826" xr:uid="{2B7AAA80-CECF-4059-9C0E-2DA14D36A46D}"/>
    <cellStyle name="Note 3 4 5 3" xfId="6568" xr:uid="{00000000-0005-0000-0000-0000E4210000}"/>
    <cellStyle name="Note 3 4 5 3 2" xfId="15018" xr:uid="{DF9C52D4-CF04-424F-AE96-8C4384B8BF9F}"/>
    <cellStyle name="Note 3 4 5 3 3" xfId="23458" xr:uid="{253FCE46-B9F4-4201-8A8C-FEA1A2042CDD}"/>
    <cellStyle name="Note 3 4 5 3 4" xfId="31898" xr:uid="{3F0F4452-B1A8-4D56-B15F-DE9F318D2A59}"/>
    <cellStyle name="Note 3 4 5 4" xfId="10800" xr:uid="{2854FB16-42D4-49AD-BFB1-DAF6C8EDD212}"/>
    <cellStyle name="Note 3 4 5 5" xfId="19241" xr:uid="{F06DD0C1-2F13-438E-BB14-E68AF6C46B0A}"/>
    <cellStyle name="Note 3 4 5 6" xfId="27681" xr:uid="{44BED4C8-9CF8-4401-BE12-82D7BCC7EE71}"/>
    <cellStyle name="Note 3 4 6" xfId="2698" xr:uid="{00000000-0005-0000-0000-0000E5210000}"/>
    <cellStyle name="Note 3 4 6 2" xfId="6981" xr:uid="{00000000-0005-0000-0000-0000E6210000}"/>
    <cellStyle name="Note 3 4 6 2 2" xfId="15431" xr:uid="{75D7E4FA-D019-4B5F-9D87-24A1B8E44693}"/>
    <cellStyle name="Note 3 4 6 2 3" xfId="23871" xr:uid="{155D0348-CB44-4508-BB18-7AED4F77BA49}"/>
    <cellStyle name="Note 3 4 6 2 4" xfId="32311" xr:uid="{464E123E-454A-422E-B0BF-30CCFEE6F3D5}"/>
    <cellStyle name="Note 3 4 6 3" xfId="11213" xr:uid="{19900736-52F0-4DAD-BD9C-C8ED186265C1}"/>
    <cellStyle name="Note 3 4 6 4" xfId="19654" xr:uid="{BA376CFF-CFAA-4607-B3F4-7E21E265AC23}"/>
    <cellStyle name="Note 3 4 6 5" xfId="28094" xr:uid="{D584DE25-1628-4EBA-9E6B-37F0B4BF57B6}"/>
    <cellStyle name="Note 3 4 7" xfId="2757" xr:uid="{00000000-0005-0000-0000-0000E7210000}"/>
    <cellStyle name="Note 3 4 8" xfId="2838" xr:uid="{00000000-0005-0000-0000-0000E8210000}"/>
    <cellStyle name="Note 3 4 8 2" xfId="7061" xr:uid="{00000000-0005-0000-0000-0000E9210000}"/>
    <cellStyle name="Note 3 4 8 2 2" xfId="15511" xr:uid="{F286D5A4-7B20-4473-AA24-E5DD36341344}"/>
    <cellStyle name="Note 3 4 8 2 3" xfId="23951" xr:uid="{0197A696-8FC7-4FD7-A570-FE6E9B640D9E}"/>
    <cellStyle name="Note 3 4 8 2 4" xfId="32391" xr:uid="{7D47FA59-92BF-476E-8B10-867EEA738C9F}"/>
    <cellStyle name="Note 3 4 8 3" xfId="11293" xr:uid="{4A6B93BB-EA38-44EE-BD8F-89EE8E0199F0}"/>
    <cellStyle name="Note 3 4 8 4" xfId="19734" xr:uid="{97259A9E-B00A-40B3-815E-A5FF07E3A55A}"/>
    <cellStyle name="Note 3 4 8 5" xfId="28174" xr:uid="{34C655D1-8DED-4A49-A479-73214532344F}"/>
    <cellStyle name="Note 3 4 9" xfId="4916" xr:uid="{00000000-0005-0000-0000-0000EA210000}"/>
    <cellStyle name="Note 3 4 9 2" xfId="13366" xr:uid="{CBC4DF02-BFA8-4FCA-9F83-C214D000D14B}"/>
    <cellStyle name="Note 3 4 9 3" xfId="21806" xr:uid="{D5F45922-6050-4655-ADD7-BA906B433578}"/>
    <cellStyle name="Note 3 4 9 4" xfId="30246" xr:uid="{9E97BA79-DC3B-4C89-B484-39BE00B12955}"/>
    <cellStyle name="Note 3 5" xfId="561" xr:uid="{00000000-0005-0000-0000-0000EB210000}"/>
    <cellStyle name="Note 3 5 10" xfId="9149" xr:uid="{F4287634-EC2E-4BF4-B752-1109D07DAA19}"/>
    <cellStyle name="Note 3 5 11" xfId="17590" xr:uid="{8DC5C8D2-852C-4A60-BBD9-33285A565612}"/>
    <cellStyle name="Note 3 5 12" xfId="26030" xr:uid="{A8E62A5B-592C-47CF-A5A0-386736C15F8C}"/>
    <cellStyle name="Note 3 5 2" xfId="1021" xr:uid="{00000000-0005-0000-0000-0000EC210000}"/>
    <cellStyle name="Note 3 5 2 2" xfId="3253" xr:uid="{00000000-0005-0000-0000-0000ED210000}"/>
    <cellStyle name="Note 3 5 2 2 2" xfId="7475" xr:uid="{00000000-0005-0000-0000-0000EE210000}"/>
    <cellStyle name="Note 3 5 2 2 2 2" xfId="15925" xr:uid="{85222FEC-618C-4DAA-97A0-F474E94A606F}"/>
    <cellStyle name="Note 3 5 2 2 2 3" xfId="24365" xr:uid="{2876B9C0-CB2E-4F1B-BF51-FE58B76B1EE6}"/>
    <cellStyle name="Note 3 5 2 2 2 4" xfId="32805" xr:uid="{96648D8C-70A7-4460-A7B9-0F4B404DFBCB}"/>
    <cellStyle name="Note 3 5 2 2 3" xfId="11707" xr:uid="{3962D42F-D47B-42C9-BCF7-1A3B3471E92E}"/>
    <cellStyle name="Note 3 5 2 2 4" xfId="20148" xr:uid="{15723DD2-5293-4B02-84B5-68ACFB1E9D0B}"/>
    <cellStyle name="Note 3 5 2 2 5" xfId="28588" xr:uid="{A5CED2C0-0638-43B8-A4BB-8D73663114A7}"/>
    <cellStyle name="Note 3 5 2 3" xfId="5330" xr:uid="{00000000-0005-0000-0000-0000EF210000}"/>
    <cellStyle name="Note 3 5 2 3 2" xfId="13780" xr:uid="{A143CCD0-9CDD-4321-837A-307D53AB7B06}"/>
    <cellStyle name="Note 3 5 2 3 3" xfId="22220" xr:uid="{02FBA526-80E3-4490-8711-8B4E8D894CF6}"/>
    <cellStyle name="Note 3 5 2 3 4" xfId="30660" xr:uid="{AA46F561-83AB-435A-9DEE-55DBA26B8EC8}"/>
    <cellStyle name="Note 3 5 2 4" xfId="9562" xr:uid="{2F854D03-892D-4A2B-ABE3-4EB08FE07F98}"/>
    <cellStyle name="Note 3 5 2 5" xfId="18003" xr:uid="{1BF97BF0-349B-4A1E-B438-0544225C1DE0}"/>
    <cellStyle name="Note 3 5 2 6" xfId="26443" xr:uid="{BCD19AB6-ADDD-407C-A58E-B218902C9A8E}"/>
    <cellStyle name="Note 3 5 3" xfId="1436" xr:uid="{00000000-0005-0000-0000-0000F0210000}"/>
    <cellStyle name="Note 3 5 3 2" xfId="3666" xr:uid="{00000000-0005-0000-0000-0000F1210000}"/>
    <cellStyle name="Note 3 5 3 2 2" xfId="7888" xr:uid="{00000000-0005-0000-0000-0000F2210000}"/>
    <cellStyle name="Note 3 5 3 2 2 2" xfId="16338" xr:uid="{7E56F99C-3627-4F52-B848-EDAE13626672}"/>
    <cellStyle name="Note 3 5 3 2 2 3" xfId="24778" xr:uid="{99841EAC-134D-485E-9854-2AF49B26CD1C}"/>
    <cellStyle name="Note 3 5 3 2 2 4" xfId="33218" xr:uid="{5718D72A-BDED-4BE9-81FE-A2C427F7D9E6}"/>
    <cellStyle name="Note 3 5 3 2 3" xfId="12120" xr:uid="{DAD724DE-41D9-4D26-97D0-7E676467D639}"/>
    <cellStyle name="Note 3 5 3 2 4" xfId="20561" xr:uid="{6157484F-6413-4174-B4E5-2C0437DD7428}"/>
    <cellStyle name="Note 3 5 3 2 5" xfId="29001" xr:uid="{A6D6F871-7AC2-4C07-80F2-DD026BAC5A75}"/>
    <cellStyle name="Note 3 5 3 3" xfId="5743" xr:uid="{00000000-0005-0000-0000-0000F3210000}"/>
    <cellStyle name="Note 3 5 3 3 2" xfId="14193" xr:uid="{BF47CB19-8517-41AA-87F5-41D640BFB459}"/>
    <cellStyle name="Note 3 5 3 3 3" xfId="22633" xr:uid="{5DF72101-4029-498F-A6BD-3D5DF3497DB1}"/>
    <cellStyle name="Note 3 5 3 3 4" xfId="31073" xr:uid="{C3537B46-2FD3-4209-A2E7-35C77793C6C6}"/>
    <cellStyle name="Note 3 5 3 4" xfId="9975" xr:uid="{C09B1CBE-4370-4512-AECA-D60E1F96A3F7}"/>
    <cellStyle name="Note 3 5 3 5" xfId="18416" xr:uid="{44A63C1A-4049-4FB7-B51E-D2A49EC703A6}"/>
    <cellStyle name="Note 3 5 3 6" xfId="26856" xr:uid="{28C17508-373B-4501-9CAB-E138CE6EBBD9}"/>
    <cellStyle name="Note 3 5 4" xfId="1850" xr:uid="{00000000-0005-0000-0000-0000F4210000}"/>
    <cellStyle name="Note 3 5 4 2" xfId="4079" xr:uid="{00000000-0005-0000-0000-0000F5210000}"/>
    <cellStyle name="Note 3 5 4 2 2" xfId="8301" xr:uid="{00000000-0005-0000-0000-0000F6210000}"/>
    <cellStyle name="Note 3 5 4 2 2 2" xfId="16751" xr:uid="{8652F9E7-F15B-45C4-B372-CCFB2EFFEAA3}"/>
    <cellStyle name="Note 3 5 4 2 2 3" xfId="25191" xr:uid="{2BC3872B-5F10-4DAD-97CE-45232C589661}"/>
    <cellStyle name="Note 3 5 4 2 2 4" xfId="33631" xr:uid="{FA5EDD58-A2F8-4A5D-BD28-EF1C8111F8BD}"/>
    <cellStyle name="Note 3 5 4 2 3" xfId="12533" xr:uid="{BD1B79F9-EF03-4C97-AC2D-5CC16CEB6090}"/>
    <cellStyle name="Note 3 5 4 2 4" xfId="20974" xr:uid="{C839F9DB-8C5B-4123-BE41-20F69D26410A}"/>
    <cellStyle name="Note 3 5 4 2 5" xfId="29414" xr:uid="{20835F2D-F221-46C1-ACDF-0A490AF908B9}"/>
    <cellStyle name="Note 3 5 4 3" xfId="6156" xr:uid="{00000000-0005-0000-0000-0000F7210000}"/>
    <cellStyle name="Note 3 5 4 3 2" xfId="14606" xr:uid="{E214D894-BA32-4C92-9BA2-6C328C880DB8}"/>
    <cellStyle name="Note 3 5 4 3 3" xfId="23046" xr:uid="{CA39569D-C449-4E67-B30C-62FA6C9F396F}"/>
    <cellStyle name="Note 3 5 4 3 4" xfId="31486" xr:uid="{713CBECE-70DF-4826-8F0E-F6C59DC82B80}"/>
    <cellStyle name="Note 3 5 4 4" xfId="10388" xr:uid="{9E9712A2-3EFB-4717-B89D-32B88178C275}"/>
    <cellStyle name="Note 3 5 4 5" xfId="18829" xr:uid="{C8B22ADA-CFF6-4010-A74C-1BB752DEC015}"/>
    <cellStyle name="Note 3 5 4 6" xfId="27269" xr:uid="{F71E0F77-A732-40AC-9E14-767C11F69260}"/>
    <cellStyle name="Note 3 5 5" xfId="2263" xr:uid="{00000000-0005-0000-0000-0000F8210000}"/>
    <cellStyle name="Note 3 5 5 2" xfId="4492" xr:uid="{00000000-0005-0000-0000-0000F9210000}"/>
    <cellStyle name="Note 3 5 5 2 2" xfId="8714" xr:uid="{00000000-0005-0000-0000-0000FA210000}"/>
    <cellStyle name="Note 3 5 5 2 2 2" xfId="17164" xr:uid="{88F5F94C-B6B5-45CC-B6F5-CB58CDFCC98D}"/>
    <cellStyle name="Note 3 5 5 2 2 3" xfId="25604" xr:uid="{1D14E723-C681-48CB-B427-48A277A2CC83}"/>
    <cellStyle name="Note 3 5 5 2 2 4" xfId="34044" xr:uid="{0B47186E-6457-43CC-950B-27101CAA33B0}"/>
    <cellStyle name="Note 3 5 5 2 3" xfId="12946" xr:uid="{9BE49343-75C2-4640-91BE-F2C26510AA35}"/>
    <cellStyle name="Note 3 5 5 2 4" xfId="21387" xr:uid="{92AF557B-B901-484E-9301-5B09251CA88C}"/>
    <cellStyle name="Note 3 5 5 2 5" xfId="29827" xr:uid="{D7DB2241-333A-4FBD-95E2-10F171E53148}"/>
    <cellStyle name="Note 3 5 5 3" xfId="6569" xr:uid="{00000000-0005-0000-0000-0000FB210000}"/>
    <cellStyle name="Note 3 5 5 3 2" xfId="15019" xr:uid="{0EF40DB6-4B4F-435A-92ED-3385B057EE7B}"/>
    <cellStyle name="Note 3 5 5 3 3" xfId="23459" xr:uid="{4C85043A-51B0-467A-8D55-7CACBA48E37B}"/>
    <cellStyle name="Note 3 5 5 3 4" xfId="31899" xr:uid="{3B140622-C15B-4C17-AA67-49E42BCC3804}"/>
    <cellStyle name="Note 3 5 5 4" xfId="10801" xr:uid="{10217591-5650-49D8-8407-EEB2D6227AB2}"/>
    <cellStyle name="Note 3 5 5 5" xfId="19242" xr:uid="{1F27C43F-A082-48EF-98D1-A91BEEA42188}"/>
    <cellStyle name="Note 3 5 5 6" xfId="27682" xr:uid="{DBA4EF52-2127-4CF3-A0E8-A459792511BA}"/>
    <cellStyle name="Note 3 5 6" xfId="2699" xr:uid="{00000000-0005-0000-0000-0000FC210000}"/>
    <cellStyle name="Note 3 5 6 2" xfId="6982" xr:uid="{00000000-0005-0000-0000-0000FD210000}"/>
    <cellStyle name="Note 3 5 6 2 2" xfId="15432" xr:uid="{96E88A1D-CE89-47A7-B140-7AAE139E58E3}"/>
    <cellStyle name="Note 3 5 6 2 3" xfId="23872" xr:uid="{4CFF8C6E-1AF6-4BB5-8AD9-B05B8435DA8F}"/>
    <cellStyle name="Note 3 5 6 2 4" xfId="32312" xr:uid="{A5F8E48F-B41C-4674-BC2E-2749D01B6625}"/>
    <cellStyle name="Note 3 5 6 3" xfId="11214" xr:uid="{3A8D2B58-3E45-40E9-B2CC-15C378206175}"/>
    <cellStyle name="Note 3 5 6 4" xfId="19655" xr:uid="{138F7089-CD33-4F16-AEC1-634894A687FB}"/>
    <cellStyle name="Note 3 5 6 5" xfId="28095" xr:uid="{A9182733-88D9-4557-A5BE-BAA0C7FC693A}"/>
    <cellStyle name="Note 3 5 7" xfId="2758" xr:uid="{00000000-0005-0000-0000-0000FE210000}"/>
    <cellStyle name="Note 3 5 8" xfId="2839" xr:uid="{00000000-0005-0000-0000-0000FF210000}"/>
    <cellStyle name="Note 3 5 8 2" xfId="7062" xr:uid="{00000000-0005-0000-0000-000000220000}"/>
    <cellStyle name="Note 3 5 8 2 2" xfId="15512" xr:uid="{B26E6C55-923E-47C9-850A-901DEE9046DB}"/>
    <cellStyle name="Note 3 5 8 2 3" xfId="23952" xr:uid="{1EAA9F2E-7C5D-4C5D-9A2A-AF74CF8771E0}"/>
    <cellStyle name="Note 3 5 8 2 4" xfId="32392" xr:uid="{D68A0DB8-7D0A-4CD4-9627-6F466DBF0249}"/>
    <cellStyle name="Note 3 5 8 3" xfId="11294" xr:uid="{FBDD7F28-D292-4F67-8E11-C47108972B7D}"/>
    <cellStyle name="Note 3 5 8 4" xfId="19735" xr:uid="{AE9510A0-19A6-45EE-BF34-94C85C8C4362}"/>
    <cellStyle name="Note 3 5 8 5" xfId="28175" xr:uid="{73D5A1CF-6D82-4791-8AB2-7B077CC039EE}"/>
    <cellStyle name="Note 3 5 9" xfId="4917" xr:uid="{00000000-0005-0000-0000-000001220000}"/>
    <cellStyle name="Note 3 5 9 2" xfId="13367" xr:uid="{4E3B8799-7FCC-40BF-AEE1-EE572F28403B}"/>
    <cellStyle name="Note 3 5 9 3" xfId="21807" xr:uid="{DD23609A-B60A-42B5-A867-0DC54C83F216}"/>
    <cellStyle name="Note 3 5 9 4" xfId="30247" xr:uid="{D36B88A2-10B3-4D11-B0D1-0DE022E0D0AE}"/>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3 2" xfId="12950" xr:uid="{7290F892-452D-418C-822A-25A62759A827}"/>
    <cellStyle name="Percent 3 3" xfId="21390" xr:uid="{1BA02721-134A-4307-AEA2-638E6D24CF85}"/>
    <cellStyle name="Percent 3 4" xfId="29830" xr:uid="{B061638A-915A-47A5-A9C9-2316BEC528B4}"/>
    <cellStyle name="Percent 4" xfId="4502" xr:uid="{00000000-0005-0000-0000-000007220000}"/>
    <cellStyle name="Percent 4 2" xfId="8717" xr:uid="{00000000-0005-0000-0000-000008220000}"/>
    <cellStyle name="Percent 4 2 2" xfId="17167" xr:uid="{02B9B1C4-551C-4A11-91A2-AC4FFBE29D9A}"/>
    <cellStyle name="Percent 4 2 3" xfId="25607" xr:uid="{DFE1160C-C919-489D-A84D-4AFDA494EBC5}"/>
    <cellStyle name="Percent 4 2 4" xfId="34047" xr:uid="{71D6403B-7FCC-400E-832B-760C4BA5F4C2}"/>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Percent 4 3 2 2 3" xfId="17176" xr:uid="{DD63D3B1-4848-4682-A8E3-C26AFD0BE664}"/>
    <cellStyle name="Percent 4 3 2 2 4" xfId="25616" xr:uid="{18C09435-6D77-4BCC-AA89-DA4B53665258}"/>
    <cellStyle name="Percent 4 3 2 2 5" xfId="34056" xr:uid="{CDDAA33B-8CB8-4B0B-BDB2-4D56BC4CB471}"/>
    <cellStyle name="Percent 4 3 2 3" xfId="17173" xr:uid="{06E18309-F048-4E13-8A4B-68B38CD7EE7B}"/>
    <cellStyle name="Percent 4 3 2 4" xfId="25613" xr:uid="{DF78F589-1DE9-48C7-ACAB-06E1FA46E569}"/>
    <cellStyle name="Percent 4 3 2 5" xfId="34053" xr:uid="{5271058B-4441-48D7-BA64-E32FDB0FB855}"/>
    <cellStyle name="Percent 4 3 3" xfId="17170" xr:uid="{046776ED-445C-4B32-A8EB-823AE8E6D125}"/>
    <cellStyle name="Percent 4 3 4" xfId="25610" xr:uid="{55CB0DEE-679F-4770-8A5E-6391B98CEFE6}"/>
    <cellStyle name="Percent 4 3 5" xfId="34050" xr:uid="{26DA762F-98DE-4812-9CAD-BF3A38A42140}"/>
    <cellStyle name="Percent 4 4" xfId="12953" xr:uid="{243A6E7B-4950-4D6B-95F6-357ED240A76F}"/>
    <cellStyle name="Percent 4 5" xfId="21393" xr:uid="{56DD87A8-BBD3-4910-A31F-08455BA5B29F}"/>
    <cellStyle name="Percent 4 6" xfId="29833" xr:uid="{B253C826-CF2B-41C3-8129-C80DE843313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3">
    <dxf>
      <font>
        <b val="0"/>
        <i val="0"/>
        <strike val="0"/>
        <condense val="0"/>
        <extend val="0"/>
        <outline val="0"/>
        <shadow val="0"/>
        <u val="none"/>
        <vertAlign val="baseline"/>
        <sz val="11"/>
        <color theme="1"/>
        <name val="Arial"/>
        <family val="2"/>
        <scheme val="none"/>
      </font>
      <numFmt numFmtId="13" formatCode="0%"/>
      <protection locked="1" hidden="0"/>
    </dxf>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61</xdr:row>
      <xdr:rowOff>0</xdr:rowOff>
    </xdr:from>
    <xdr:to>
      <xdr:col>0</xdr:col>
      <xdr:colOff>533400</xdr:colOff>
      <xdr:row>69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61</xdr:row>
      <xdr:rowOff>0</xdr:rowOff>
    </xdr:from>
    <xdr:to>
      <xdr:col>0</xdr:col>
      <xdr:colOff>527685</xdr:colOff>
      <xdr:row>69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61</xdr:row>
      <xdr:rowOff>0</xdr:rowOff>
    </xdr:from>
    <xdr:to>
      <xdr:col>8</xdr:col>
      <xdr:colOff>11430</xdr:colOff>
      <xdr:row>69</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14</xdr:row>
      <xdr:rowOff>0</xdr:rowOff>
    </xdr:from>
    <xdr:to>
      <xdr:col>4</xdr:col>
      <xdr:colOff>148590</xdr:colOff>
      <xdr:row>15</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20</xdr:row>
      <xdr:rowOff>0</xdr:rowOff>
    </xdr:from>
    <xdr:to>
      <xdr:col>8</xdr:col>
      <xdr:colOff>348615</xdr:colOff>
      <xdr:row>53</xdr:row>
      <xdr:rowOff>81222</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12700</xdr:colOff>
          <xdr:row>77</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85725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P:\California\Possible%20Projects\HGAH%20-%20RAD%20for%20PRAC\George%20McDonald%20Court\Financial\Working%20Budget\GMC%20-%20Working%20Budget%20_CDLAC_TCAC%20January%202025%20.xlsx" TargetMode="External"/><Relationship Id="rId1" Type="http://schemas.openxmlformats.org/officeDocument/2006/relationships/externalLinkPath" Target="file:///P:\California\Possible%20Projects\HGAH%20-%20RAD%20for%20PRAC\George%20McDonald%20Court\Financial\Working%20Budget\GMC%20-%20Working%20Budget%20_CDLAC_TCAC%20January%202025%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ummary"/>
      <sheetName val="Development Proforma-Acq-Rehab"/>
      <sheetName val="Operating Proforma"/>
      <sheetName val="2024 Dev Fee TCAC Calculator"/>
      <sheetName val="Developer Fee LAHD vs TCAC"/>
      <sheetName val="LAHD Dev Proforma"/>
      <sheetName val="LAHD Ops Budget"/>
      <sheetName val="CDLAC_TCAC Ops Budget"/>
      <sheetName val="S&amp;U Attachment 40"/>
      <sheetName val="Reserves"/>
      <sheetName val="Bond Cost of Issuance"/>
      <sheetName val="Contracts"/>
      <sheetName val="Relocation"/>
      <sheetName val="HUD RECAP CNA Rent Bump"/>
      <sheetName val="Attachment 8 Rehab Summary"/>
      <sheetName val="Walton Est 3 Adjusted"/>
      <sheetName val="Walton 2R Estimate for Adj for "/>
      <sheetName val="Attachment 40 Unit-SF Data"/>
      <sheetName val="Accrued Interest"/>
    </sheetNames>
    <sheetDataSet>
      <sheetData sheetId="0"/>
      <sheetData sheetId="1">
        <row r="12">
          <cell r="D12">
            <v>9868650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02" totalsRowShown="0" headerRowDxfId="122">
  <autoFilter ref="BD2:BF102" xr:uid="{20D12FE9-D671-46AE-8E74-697FC9E00D36}"/>
  <tableColumns count="3">
    <tableColumn id="1" xr3:uid="{6D57456F-8765-4265-AAB0-1C6229D75231}" name="Key"/>
    <tableColumn id="2" xr3:uid="{364B4D43-EEAF-424D-B3F3-B1165A9E3181}" name="Value" dataDxfId="121"/>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6B3E8F7-B28C-4B26-AA8C-01D2EF23D436}" name="Table2" displayName="Table2" ref="BM8:BM13" totalsRowShown="0" headerRowDxfId="120" dataDxfId="119" headerRowCellStyle="Normal 16 3" dataCellStyle="Normal 16 3">
  <autoFilter ref="BM8:BM13" xr:uid="{EC5E3245-E94C-4732-9264-A1FF7840F5A2}"/>
  <tableColumns count="1">
    <tableColumn id="1" xr3:uid="{E87F798D-9094-4F6E-94EB-ABEE95220A01}" name="Construction Type" dataDxfId="118"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44" totalsRowShown="0" headerRowDxfId="117" dataDxfId="116" headerRowCellStyle="Normal 15" dataCellStyle="Normal 15">
  <autoFilter ref="L19:U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5" dataCellStyle="Normal 15">
      <calculatedColumnFormula>IFERROR(MIN(4,MATCH(Application!B718,UnitSizes,0)-1),"")</calculatedColumnFormula>
    </tableColumn>
    <tableColumn id="3" xr3:uid="{3C170205-C158-4CBB-8CF5-9AF725351349}" name="Quantity" dataDxfId="114" dataCellStyle="Normal 15">
      <calculatedColumnFormula>Application!G718</calculatedColumnFormula>
    </tableColumn>
    <tableColumn id="6" xr3:uid="{7C05B4DE-3AC1-47F3-9C25-D16553367CFA}" name="iAMI" dataDxfId="113" dataCellStyle="Percent">
      <calculatedColumnFormula>Application!AC718</calculatedColumnFormula>
    </tableColumn>
    <tableColumn id="7" xr3:uid="{2B6706B4-1A54-4104-A649-2FE0A4FF8E92}" name="AMI" dataDxfId="0" dataCellStyle="Percent">
      <calculatedColumnFormula>IF(Cdlac[[#This Row],[Quantity]]&gt;0,IF(Cdlac[[#This Row],[Federal]],30%,IF(AND(OR(NOT($G$38),$G$38=""),$G$43),40%,Cdlac[[#This Row],[iAMI]])),"")</calculatedColumnFormula>
    </tableColumn>
    <tableColumn id="8" xr3:uid="{A8EB42BE-4789-45EE-A11C-67C20CB0D91B}" name="Restricted Rent" dataDxfId="112" dataCellStyle="Normal 15">
      <calculatedColumnFormula array="1">IF(Cdlac[[#This Row],[Quantity]]&gt;0,INDEX(TcacRents,$P$18,Cdlac[[#This Row],[Bedrooms]]+1)*Cdlac[[#This Row],[AMI]],"")</calculatedColumnFormula>
    </tableColumn>
    <tableColumn id="1" xr3:uid="{DB79DEA5-8C58-4800-B67F-14CBEB0E0B62}" name="Preservation Rent" dataDxfId="111" dataCellStyle="Normal 15"/>
    <tableColumn id="9" xr3:uid="{E7AC364D-B07B-4A38-B74E-DAE64921E290}" name="Fair Market Rent" dataDxfId="110" dataCellStyle="Normal 15">
      <calculatedColumnFormula array="1">IF(Cdlac[[#This Row],[Quantity]]&gt;0,INDEX(HudFmrs,$P$18,Cdlac[[#This Row],[Bedrooms]]+1),"")</calculatedColumnFormula>
    </tableColumn>
    <tableColumn id="10" xr3:uid="{630C504C-0251-4207-88FB-451973BE380A}" name="Delta" dataDxfId="109"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08" dataCellStyle="Normal 15">
      <calculatedColumnFormula>IF(Cdlac[[#This Row],[Quantity]]&gt;0,AND(Application!AK718&lt;&gt;"N/A",Application!AK718&lt;&gt;"")*Cdlac[[#This Row],[Quantity]],"")</calculatedColumnFormula>
    </tableColumn>
    <tableColumn id="4" xr3:uid="{5D52F6BE-992B-4621-8785-ED1E8B62A78F}" name="Federal" dataDxfId="107"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5/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workbookViewId="0">
      <selection sqref="A1:AL2"/>
    </sheetView>
  </sheetViews>
  <sheetFormatPr defaultColWidth="0" defaultRowHeight="12.5" zeroHeight="1"/>
  <cols>
    <col min="1" max="5" width="2.54296875" customWidth="1"/>
    <col min="6" max="6" width="3" customWidth="1"/>
    <col min="7" max="36" width="2.54296875" customWidth="1"/>
    <col min="37" max="38" width="2.7265625" customWidth="1"/>
    <col min="39" max="16384" width="2.54296875" hidden="1"/>
  </cols>
  <sheetData>
    <row r="1" spans="1:38">
      <c r="A1" s="1280" t="s">
        <v>549</v>
      </c>
      <c r="B1" s="1280"/>
      <c r="C1" s="1280"/>
      <c r="D1" s="1280"/>
      <c r="E1" s="1280"/>
      <c r="F1" s="1280"/>
      <c r="G1" s="1280"/>
      <c r="H1" s="1280"/>
      <c r="I1" s="1280"/>
      <c r="J1" s="1280"/>
      <c r="K1" s="1280"/>
      <c r="L1" s="1280"/>
      <c r="M1" s="1280"/>
      <c r="N1" s="1280"/>
      <c r="O1" s="1280"/>
      <c r="P1" s="1280"/>
      <c r="Q1" s="1280"/>
      <c r="R1" s="1280"/>
      <c r="S1" s="1280"/>
      <c r="T1" s="1280"/>
      <c r="U1" s="1280"/>
      <c r="V1" s="1280"/>
      <c r="W1" s="1280"/>
      <c r="X1" s="1280"/>
      <c r="Y1" s="1280"/>
      <c r="Z1" s="1280"/>
      <c r="AA1" s="1280"/>
      <c r="AB1" s="1280"/>
      <c r="AC1" s="1280"/>
      <c r="AD1" s="1280"/>
      <c r="AE1" s="1280"/>
      <c r="AF1" s="1280"/>
      <c r="AG1" s="1280"/>
      <c r="AH1" s="1280"/>
      <c r="AI1" s="1280"/>
      <c r="AJ1" s="1280"/>
      <c r="AK1" s="1280"/>
      <c r="AL1" s="1280"/>
    </row>
    <row r="2" spans="1:38" ht="13" thickBot="1">
      <c r="A2" s="1281"/>
      <c r="B2" s="1281"/>
      <c r="C2" s="1281"/>
      <c r="D2" s="1281"/>
      <c r="E2" s="1281"/>
      <c r="F2" s="1281"/>
      <c r="G2" s="1281"/>
      <c r="H2" s="1281"/>
      <c r="I2" s="1281"/>
      <c r="J2" s="1281"/>
      <c r="K2" s="1281"/>
      <c r="L2" s="1281"/>
      <c r="M2" s="1281"/>
      <c r="N2" s="1281"/>
      <c r="O2" s="1281"/>
      <c r="P2" s="1281"/>
      <c r="Q2" s="1281"/>
      <c r="R2" s="1281"/>
      <c r="S2" s="1281"/>
      <c r="T2" s="1281"/>
      <c r="U2" s="1281"/>
      <c r="V2" s="1281"/>
      <c r="W2" s="1281"/>
      <c r="X2" s="1281"/>
      <c r="Y2" s="1281"/>
      <c r="Z2" s="1281"/>
      <c r="AA2" s="1281"/>
      <c r="AB2" s="1281"/>
      <c r="AC2" s="1281"/>
      <c r="AD2" s="1281"/>
      <c r="AE2" s="1281"/>
      <c r="AF2" s="1281"/>
      <c r="AG2" s="1281"/>
      <c r="AH2" s="1281"/>
      <c r="AI2" s="1281"/>
      <c r="AJ2" s="1281"/>
      <c r="AK2" s="1281"/>
      <c r="AL2" s="1281"/>
    </row>
    <row r="3" spans="1:38" ht="13" thickTop="1"/>
    <row r="4" spans="1:38" s="5" customFormat="1" ht="13">
      <c r="B4" s="11" t="s">
        <v>555</v>
      </c>
      <c r="C4" s="11" t="s">
        <v>507</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ht="13">
      <c r="B5" s="2"/>
      <c r="C5" s="2"/>
      <c r="D5" s="4"/>
      <c r="E5" s="4"/>
      <c r="F5" s="4"/>
      <c r="G5" s="4"/>
      <c r="H5" s="4"/>
      <c r="I5" s="4"/>
      <c r="J5" s="4"/>
      <c r="K5" s="4"/>
      <c r="L5" s="4"/>
      <c r="M5" s="4"/>
      <c r="N5" s="4"/>
      <c r="O5" s="4"/>
      <c r="P5" s="4"/>
      <c r="Q5" s="4"/>
      <c r="R5" s="4"/>
      <c r="S5" s="4"/>
      <c r="T5" s="4"/>
      <c r="U5" s="4"/>
      <c r="V5" s="4"/>
      <c r="W5" s="4"/>
      <c r="X5" s="4"/>
      <c r="Y5" s="4"/>
      <c r="Z5" s="4"/>
      <c r="AA5" s="4"/>
      <c r="AB5" s="4"/>
    </row>
    <row r="6" spans="1:38" ht="13">
      <c r="A6" s="4"/>
      <c r="C6" s="2" t="s">
        <v>206</v>
      </c>
      <c r="D6" s="2" t="s">
        <v>329</v>
      </c>
      <c r="F6" s="4"/>
      <c r="G6" s="4"/>
      <c r="H6" s="4"/>
      <c r="I6" s="4"/>
      <c r="J6" s="4"/>
      <c r="K6" s="4"/>
      <c r="L6" s="4"/>
      <c r="M6" s="4"/>
      <c r="N6" s="4"/>
      <c r="O6" s="4"/>
      <c r="P6" s="4"/>
      <c r="Q6" s="4"/>
      <c r="R6" s="4"/>
      <c r="S6" s="4"/>
      <c r="T6" s="4"/>
      <c r="U6" s="4"/>
      <c r="V6" s="4"/>
      <c r="W6" s="4"/>
      <c r="X6" s="4"/>
      <c r="Y6" s="4"/>
      <c r="Z6" s="4"/>
      <c r="AA6" s="4"/>
      <c r="AB6" s="4"/>
    </row>
    <row r="7" spans="1:38" ht="13.15" customHeight="1">
      <c r="A7" s="205"/>
      <c r="B7" s="205"/>
      <c r="C7" s="206"/>
      <c r="D7" s="1270" t="s">
        <v>2035</v>
      </c>
      <c r="E7" s="1270"/>
      <c r="F7" s="1270"/>
      <c r="G7" s="1270"/>
      <c r="H7" s="1270"/>
      <c r="I7" s="1270"/>
      <c r="J7" s="1270"/>
      <c r="K7" s="1270"/>
      <c r="L7" s="1270"/>
      <c r="M7" s="1270"/>
      <c r="N7" s="1270"/>
      <c r="O7" s="1270"/>
      <c r="P7" s="1270"/>
      <c r="Q7" s="1270"/>
      <c r="R7" s="1270"/>
      <c r="S7" s="1270"/>
      <c r="T7" s="1270"/>
      <c r="U7" s="1270"/>
      <c r="V7" s="1270"/>
      <c r="W7" s="1270"/>
      <c r="X7" s="1270"/>
      <c r="Y7" s="1270"/>
      <c r="Z7" s="1270"/>
      <c r="AA7" s="1270"/>
      <c r="AB7" s="1270"/>
      <c r="AC7" s="1270"/>
      <c r="AD7" s="1270"/>
      <c r="AE7" s="1270"/>
      <c r="AF7" s="1270"/>
      <c r="AG7" s="1270"/>
      <c r="AH7" s="1270"/>
      <c r="AI7" s="1270"/>
      <c r="AJ7" s="1270"/>
      <c r="AK7" s="1270"/>
      <c r="AL7" s="456"/>
    </row>
    <row r="8" spans="1:38" ht="13">
      <c r="A8" s="205"/>
      <c r="B8" s="205"/>
      <c r="C8" s="206"/>
      <c r="D8" s="1270"/>
      <c r="E8" s="1270"/>
      <c r="F8" s="1270"/>
      <c r="G8" s="1270"/>
      <c r="H8" s="1270"/>
      <c r="I8" s="1270"/>
      <c r="J8" s="1270"/>
      <c r="K8" s="1270"/>
      <c r="L8" s="1270"/>
      <c r="M8" s="1270"/>
      <c r="N8" s="1270"/>
      <c r="O8" s="1270"/>
      <c r="P8" s="1270"/>
      <c r="Q8" s="1270"/>
      <c r="R8" s="1270"/>
      <c r="S8" s="1270"/>
      <c r="T8" s="1270"/>
      <c r="U8" s="1270"/>
      <c r="V8" s="1270"/>
      <c r="W8" s="1270"/>
      <c r="X8" s="1270"/>
      <c r="Y8" s="1270"/>
      <c r="Z8" s="1270"/>
      <c r="AA8" s="1270"/>
      <c r="AB8" s="1270"/>
      <c r="AC8" s="1270"/>
      <c r="AD8" s="1270"/>
      <c r="AE8" s="1270"/>
      <c r="AF8" s="1270"/>
      <c r="AG8" s="1270"/>
      <c r="AH8" s="1270"/>
      <c r="AI8" s="1270"/>
      <c r="AJ8" s="1270"/>
      <c r="AK8" s="1270"/>
      <c r="AL8" s="456"/>
    </row>
    <row r="9" spans="1:38" ht="13">
      <c r="A9" s="205"/>
      <c r="B9" s="205"/>
      <c r="C9" s="206"/>
      <c r="D9" s="1270"/>
      <c r="E9" s="1270"/>
      <c r="F9" s="1270"/>
      <c r="G9" s="1270"/>
      <c r="H9" s="1270"/>
      <c r="I9" s="1270"/>
      <c r="J9" s="1270"/>
      <c r="K9" s="1270"/>
      <c r="L9" s="1270"/>
      <c r="M9" s="1270"/>
      <c r="N9" s="1270"/>
      <c r="O9" s="1270"/>
      <c r="P9" s="1270"/>
      <c r="Q9" s="1270"/>
      <c r="R9" s="1270"/>
      <c r="S9" s="1270"/>
      <c r="T9" s="1270"/>
      <c r="U9" s="1270"/>
      <c r="V9" s="1270"/>
      <c r="W9" s="1270"/>
      <c r="X9" s="1270"/>
      <c r="Y9" s="1270"/>
      <c r="Z9" s="1270"/>
      <c r="AA9" s="1270"/>
      <c r="AB9" s="1270"/>
      <c r="AC9" s="1270"/>
      <c r="AD9" s="1270"/>
      <c r="AE9" s="1270"/>
      <c r="AF9" s="1270"/>
      <c r="AG9" s="1270"/>
      <c r="AH9" s="1270"/>
      <c r="AI9" s="1270"/>
      <c r="AJ9" s="1270"/>
      <c r="AK9" s="1270"/>
      <c r="AL9" s="456"/>
    </row>
    <row r="10" spans="1:38" ht="13">
      <c r="A10" s="205"/>
      <c r="B10" s="205"/>
      <c r="C10" s="206"/>
      <c r="D10" s="456"/>
      <c r="E10" s="456"/>
      <c r="F10" s="456"/>
      <c r="G10" s="456"/>
      <c r="H10" s="456"/>
      <c r="I10" s="456"/>
      <c r="J10" s="456"/>
      <c r="K10" s="456"/>
      <c r="L10" s="456"/>
      <c r="M10" s="456"/>
      <c r="N10" s="456"/>
      <c r="O10" s="456"/>
      <c r="P10" s="456"/>
      <c r="Q10" s="456"/>
      <c r="R10" s="456"/>
      <c r="S10" s="456"/>
      <c r="T10" s="456"/>
      <c r="U10" s="456"/>
      <c r="V10" s="456"/>
      <c r="W10" s="456"/>
      <c r="X10" s="456"/>
      <c r="Y10" s="456"/>
      <c r="Z10" s="456"/>
      <c r="AA10" s="456"/>
      <c r="AB10" s="456"/>
      <c r="AC10" s="456"/>
      <c r="AD10" s="456"/>
      <c r="AE10" s="456"/>
      <c r="AF10" s="456"/>
      <c r="AG10" s="456"/>
      <c r="AH10" s="456"/>
      <c r="AI10" s="456"/>
      <c r="AJ10" s="456"/>
      <c r="AK10" s="456"/>
      <c r="AL10" s="456"/>
    </row>
    <row r="11" spans="1:38" ht="13" customHeight="1">
      <c r="A11" s="205"/>
      <c r="B11" s="205"/>
      <c r="C11" s="206"/>
      <c r="D11" s="1270" t="s">
        <v>2036</v>
      </c>
      <c r="E11" s="1270"/>
      <c r="F11" s="1270"/>
      <c r="G11" s="1270"/>
      <c r="H11" s="1270"/>
      <c r="I11" s="1270"/>
      <c r="J11" s="1270"/>
      <c r="K11" s="1270"/>
      <c r="L11" s="1270"/>
      <c r="M11" s="1270"/>
      <c r="N11" s="1270"/>
      <c r="O11" s="1270"/>
      <c r="P11" s="1270"/>
      <c r="Q11" s="1270"/>
      <c r="R11" s="1270"/>
      <c r="S11" s="1270"/>
      <c r="T11" s="1270"/>
      <c r="U11" s="1270"/>
      <c r="V11" s="1270"/>
      <c r="W11" s="1270"/>
      <c r="X11" s="1270"/>
      <c r="Y11" s="1270"/>
      <c r="Z11" s="1270"/>
      <c r="AA11" s="1270"/>
      <c r="AB11" s="1270"/>
      <c r="AC11" s="1270"/>
      <c r="AD11" s="1270"/>
      <c r="AE11" s="1270"/>
      <c r="AF11" s="1270"/>
      <c r="AG11" s="1270"/>
      <c r="AH11" s="1270"/>
      <c r="AI11" s="1270"/>
      <c r="AJ11" s="1270"/>
      <c r="AK11" s="1270"/>
      <c r="AL11" s="456"/>
    </row>
    <row r="12" spans="1:38" ht="13">
      <c r="A12" s="205"/>
      <c r="B12" s="205"/>
      <c r="C12" s="206"/>
      <c r="D12" s="1270"/>
      <c r="E12" s="1270"/>
      <c r="F12" s="1270"/>
      <c r="G12" s="1270"/>
      <c r="H12" s="1270"/>
      <c r="I12" s="1270"/>
      <c r="J12" s="1270"/>
      <c r="K12" s="1270"/>
      <c r="L12" s="1270"/>
      <c r="M12" s="1270"/>
      <c r="N12" s="1270"/>
      <c r="O12" s="1270"/>
      <c r="P12" s="1270"/>
      <c r="Q12" s="1270"/>
      <c r="R12" s="1270"/>
      <c r="S12" s="1270"/>
      <c r="T12" s="1270"/>
      <c r="U12" s="1270"/>
      <c r="V12" s="1270"/>
      <c r="W12" s="1270"/>
      <c r="X12" s="1270"/>
      <c r="Y12" s="1270"/>
      <c r="Z12" s="1270"/>
      <c r="AA12" s="1270"/>
      <c r="AB12" s="1270"/>
      <c r="AC12" s="1270"/>
      <c r="AD12" s="1270"/>
      <c r="AE12" s="1270"/>
      <c r="AF12" s="1270"/>
      <c r="AG12" s="1270"/>
      <c r="AH12" s="1270"/>
      <c r="AI12" s="1270"/>
      <c r="AJ12" s="1270"/>
      <c r="AK12" s="1270"/>
      <c r="AL12" s="456"/>
    </row>
    <row r="13" spans="1:38" ht="13">
      <c r="A13" s="205"/>
      <c r="B13" s="205"/>
      <c r="C13" s="206"/>
      <c r="D13" s="1270"/>
      <c r="E13" s="1270"/>
      <c r="F13" s="1270"/>
      <c r="G13" s="1270"/>
      <c r="H13" s="1270"/>
      <c r="I13" s="1270"/>
      <c r="J13" s="1270"/>
      <c r="K13" s="1270"/>
      <c r="L13" s="1270"/>
      <c r="M13" s="1270"/>
      <c r="N13" s="1270"/>
      <c r="O13" s="1270"/>
      <c r="P13" s="1270"/>
      <c r="Q13" s="1270"/>
      <c r="R13" s="1270"/>
      <c r="S13" s="1270"/>
      <c r="T13" s="1270"/>
      <c r="U13" s="1270"/>
      <c r="V13" s="1270"/>
      <c r="W13" s="1270"/>
      <c r="X13" s="1270"/>
      <c r="Y13" s="1270"/>
      <c r="Z13" s="1270"/>
      <c r="AA13" s="1270"/>
      <c r="AB13" s="1270"/>
      <c r="AC13" s="1270"/>
      <c r="AD13" s="1270"/>
      <c r="AE13" s="1270"/>
      <c r="AF13" s="1270"/>
      <c r="AG13" s="1270"/>
      <c r="AH13" s="1270"/>
      <c r="AI13" s="1270"/>
      <c r="AJ13" s="1270"/>
      <c r="AK13" s="1270"/>
      <c r="AL13" s="456"/>
    </row>
    <row r="14" spans="1:38" ht="13">
      <c r="A14" s="205"/>
      <c r="B14" s="205"/>
      <c r="C14" s="206"/>
      <c r="D14" s="442"/>
      <c r="E14" s="442"/>
      <c r="F14" s="442"/>
      <c r="G14" s="442"/>
      <c r="H14" s="442"/>
      <c r="I14" s="442"/>
      <c r="J14" s="442"/>
      <c r="K14" s="442"/>
      <c r="L14" s="442"/>
      <c r="M14" s="442"/>
      <c r="N14" s="442"/>
      <c r="O14" s="442"/>
      <c r="P14" s="442"/>
      <c r="Q14" s="442"/>
      <c r="R14" s="442"/>
      <c r="S14" s="442"/>
      <c r="T14" s="442"/>
      <c r="U14" s="442"/>
      <c r="V14" s="442"/>
      <c r="W14" s="442"/>
      <c r="X14" s="442"/>
      <c r="Y14" s="442"/>
      <c r="Z14" s="442"/>
      <c r="AA14" s="442"/>
      <c r="AB14" s="442"/>
      <c r="AC14" s="442"/>
      <c r="AD14" s="442"/>
      <c r="AE14" s="442"/>
      <c r="AF14" s="442"/>
      <c r="AG14" s="442"/>
      <c r="AH14" s="442"/>
      <c r="AI14" s="442"/>
      <c r="AJ14" s="442"/>
      <c r="AK14" s="442"/>
      <c r="AL14" s="456"/>
    </row>
    <row r="15" spans="1:38" ht="13.15" customHeight="1">
      <c r="A15" s="205"/>
      <c r="B15" s="205"/>
      <c r="C15" s="206"/>
      <c r="D15" s="1270" t="s">
        <v>2606</v>
      </c>
      <c r="E15" s="1270"/>
      <c r="F15" s="1270"/>
      <c r="G15" s="1270"/>
      <c r="H15" s="1270"/>
      <c r="I15" s="1270"/>
      <c r="J15" s="1270"/>
      <c r="K15" s="1270"/>
      <c r="L15" s="1270"/>
      <c r="M15" s="1270"/>
      <c r="N15" s="1270"/>
      <c r="O15" s="1270"/>
      <c r="P15" s="1270"/>
      <c r="Q15" s="1270"/>
      <c r="R15" s="1270"/>
      <c r="S15" s="1270"/>
      <c r="T15" s="1270"/>
      <c r="U15" s="1270"/>
      <c r="V15" s="1270"/>
      <c r="W15" s="1270"/>
      <c r="X15" s="1270"/>
      <c r="Y15" s="1270"/>
      <c r="Z15" s="1270"/>
      <c r="AA15" s="1270"/>
      <c r="AB15" s="1270"/>
      <c r="AC15" s="1270"/>
      <c r="AD15" s="1270"/>
      <c r="AE15" s="1270"/>
      <c r="AF15" s="1270"/>
      <c r="AG15" s="1270"/>
      <c r="AH15" s="1270"/>
      <c r="AI15" s="1270"/>
      <c r="AJ15" s="1270"/>
      <c r="AK15" s="1270"/>
      <c r="AL15" s="456"/>
    </row>
    <row r="16" spans="1:38" ht="13.15" customHeight="1">
      <c r="A16" s="205"/>
      <c r="B16" s="205"/>
      <c r="C16" s="206"/>
      <c r="D16" s="1270"/>
      <c r="E16" s="1270"/>
      <c r="F16" s="1270"/>
      <c r="G16" s="1270"/>
      <c r="H16" s="1270"/>
      <c r="I16" s="1270"/>
      <c r="J16" s="1270"/>
      <c r="K16" s="1270"/>
      <c r="L16" s="1270"/>
      <c r="M16" s="1270"/>
      <c r="N16" s="1270"/>
      <c r="O16" s="1270"/>
      <c r="P16" s="1270"/>
      <c r="Q16" s="1270"/>
      <c r="R16" s="1270"/>
      <c r="S16" s="1270"/>
      <c r="T16" s="1270"/>
      <c r="U16" s="1270"/>
      <c r="V16" s="1270"/>
      <c r="W16" s="1270"/>
      <c r="X16" s="1270"/>
      <c r="Y16" s="1270"/>
      <c r="Z16" s="1270"/>
      <c r="AA16" s="1270"/>
      <c r="AB16" s="1270"/>
      <c r="AC16" s="1270"/>
      <c r="AD16" s="1270"/>
      <c r="AE16" s="1270"/>
      <c r="AF16" s="1270"/>
      <c r="AG16" s="1270"/>
      <c r="AH16" s="1270"/>
      <c r="AI16" s="1270"/>
      <c r="AJ16" s="1270"/>
      <c r="AK16" s="1270"/>
      <c r="AL16" s="456"/>
    </row>
    <row r="17" spans="1:38" ht="13">
      <c r="A17" s="205"/>
      <c r="B17" s="205"/>
      <c r="C17" s="206"/>
      <c r="D17" s="1270"/>
      <c r="E17" s="1270"/>
      <c r="F17" s="1270"/>
      <c r="G17" s="1270"/>
      <c r="H17" s="1270"/>
      <c r="I17" s="1270"/>
      <c r="J17" s="1270"/>
      <c r="K17" s="1270"/>
      <c r="L17" s="1270"/>
      <c r="M17" s="1270"/>
      <c r="N17" s="1270"/>
      <c r="O17" s="1270"/>
      <c r="P17" s="1270"/>
      <c r="Q17" s="1270"/>
      <c r="R17" s="1270"/>
      <c r="S17" s="1270"/>
      <c r="T17" s="1270"/>
      <c r="U17" s="1270"/>
      <c r="V17" s="1270"/>
      <c r="W17" s="1270"/>
      <c r="X17" s="1270"/>
      <c r="Y17" s="1270"/>
      <c r="Z17" s="1270"/>
      <c r="AA17" s="1270"/>
      <c r="AB17" s="1270"/>
      <c r="AC17" s="1270"/>
      <c r="AD17" s="1270"/>
      <c r="AE17" s="1270"/>
      <c r="AF17" s="1270"/>
      <c r="AG17" s="1270"/>
      <c r="AH17" s="1270"/>
      <c r="AI17" s="1270"/>
      <c r="AJ17" s="1270"/>
      <c r="AK17" s="1270"/>
      <c r="AL17" s="456"/>
    </row>
    <row r="18" spans="1:38" ht="13">
      <c r="A18" s="205"/>
      <c r="B18" s="205"/>
      <c r="C18" s="206"/>
      <c r="D18" s="520" t="s">
        <v>2605</v>
      </c>
      <c r="E18" s="442"/>
      <c r="G18" s="442"/>
      <c r="H18" s="442"/>
      <c r="I18" s="442"/>
      <c r="J18" s="1283" t="s">
        <v>2604</v>
      </c>
      <c r="K18" s="1283"/>
      <c r="L18" s="1283"/>
      <c r="M18" s="1283"/>
      <c r="N18" s="1283"/>
      <c r="O18" s="1283"/>
      <c r="P18" s="1283"/>
      <c r="Q18" s="1283"/>
      <c r="R18" s="1283"/>
      <c r="S18" s="1283"/>
      <c r="T18" s="1283"/>
      <c r="U18" s="1283"/>
      <c r="V18" s="1283"/>
      <c r="W18" s="1283"/>
      <c r="X18" s="1283"/>
      <c r="Y18" s="1283"/>
      <c r="Z18" s="1283"/>
      <c r="AA18" s="1283"/>
      <c r="AB18" s="1283"/>
      <c r="AC18" s="1283"/>
      <c r="AD18" s="1283"/>
      <c r="AE18" s="1283"/>
      <c r="AF18" s="1283"/>
      <c r="AG18" s="1283"/>
      <c r="AH18" s="1283"/>
      <c r="AI18" s="1283"/>
      <c r="AJ18" s="1283"/>
      <c r="AK18" s="1283"/>
      <c r="AL18" s="456"/>
    </row>
    <row r="19" spans="1:38" ht="13">
      <c r="A19" s="205"/>
      <c r="B19" s="205"/>
      <c r="C19" s="206"/>
      <c r="D19" s="442"/>
      <c r="E19" s="442"/>
      <c r="F19" s="1258"/>
      <c r="G19" s="442"/>
      <c r="H19" s="442"/>
      <c r="I19" s="442"/>
      <c r="J19" s="442"/>
      <c r="K19" s="442"/>
      <c r="L19" s="442"/>
      <c r="M19" s="442"/>
      <c r="N19" s="442"/>
      <c r="O19" s="442"/>
      <c r="P19" s="442"/>
      <c r="Q19" s="442"/>
      <c r="R19" s="442"/>
      <c r="S19" s="442"/>
      <c r="T19" s="442"/>
      <c r="U19" s="442"/>
      <c r="V19" s="442"/>
      <c r="W19" s="442"/>
      <c r="X19" s="442"/>
      <c r="Y19" s="442"/>
      <c r="Z19" s="442"/>
      <c r="AA19" s="442"/>
      <c r="AB19" s="442"/>
      <c r="AC19" s="442"/>
      <c r="AD19" s="442"/>
      <c r="AE19" s="442"/>
      <c r="AF19" s="442"/>
      <c r="AG19" s="442"/>
      <c r="AH19" s="442"/>
      <c r="AI19" s="442"/>
      <c r="AJ19" s="442"/>
      <c r="AK19" s="442"/>
      <c r="AL19" s="456"/>
    </row>
    <row r="20" spans="1:38" ht="13.15" customHeight="1">
      <c r="A20" s="205"/>
      <c r="B20" s="205"/>
      <c r="C20" s="206"/>
      <c r="D20" s="1270" t="s">
        <v>2037</v>
      </c>
      <c r="E20" s="1270"/>
      <c r="F20" s="1270"/>
      <c r="G20" s="1270"/>
      <c r="H20" s="1270"/>
      <c r="I20" s="1270"/>
      <c r="J20" s="1270"/>
      <c r="K20" s="1270"/>
      <c r="L20" s="1270"/>
      <c r="M20" s="1270"/>
      <c r="N20" s="1270"/>
      <c r="O20" s="1270"/>
      <c r="P20" s="1270"/>
      <c r="Q20" s="1270"/>
      <c r="R20" s="1270"/>
      <c r="S20" s="1270"/>
      <c r="T20" s="1270"/>
      <c r="U20" s="1270"/>
      <c r="V20" s="1270"/>
      <c r="W20" s="1270"/>
      <c r="X20" s="1270"/>
      <c r="Y20" s="1270"/>
      <c r="Z20" s="1270"/>
      <c r="AA20" s="1270"/>
      <c r="AB20" s="1270"/>
      <c r="AC20" s="1270"/>
      <c r="AD20" s="1270"/>
      <c r="AE20" s="1270"/>
      <c r="AF20" s="1270"/>
      <c r="AG20" s="1270"/>
      <c r="AH20" s="1270"/>
      <c r="AI20" s="1270"/>
      <c r="AJ20" s="1270"/>
      <c r="AK20" s="1270"/>
      <c r="AL20" s="205"/>
    </row>
    <row r="21" spans="1:38" ht="13">
      <c r="A21" s="205"/>
      <c r="B21" s="205"/>
      <c r="C21" s="206"/>
      <c r="D21" s="1270"/>
      <c r="E21" s="1270"/>
      <c r="F21" s="1270"/>
      <c r="G21" s="1270"/>
      <c r="H21" s="1270"/>
      <c r="I21" s="1270"/>
      <c r="J21" s="1270"/>
      <c r="K21" s="1270"/>
      <c r="L21" s="1270"/>
      <c r="M21" s="1270"/>
      <c r="N21" s="1270"/>
      <c r="O21" s="1270"/>
      <c r="P21" s="1270"/>
      <c r="Q21" s="1270"/>
      <c r="R21" s="1270"/>
      <c r="S21" s="1270"/>
      <c r="T21" s="1270"/>
      <c r="U21" s="1270"/>
      <c r="V21" s="1270"/>
      <c r="W21" s="1270"/>
      <c r="X21" s="1270"/>
      <c r="Y21" s="1270"/>
      <c r="Z21" s="1270"/>
      <c r="AA21" s="1270"/>
      <c r="AB21" s="1270"/>
      <c r="AC21" s="1270"/>
      <c r="AD21" s="1270"/>
      <c r="AE21" s="1270"/>
      <c r="AF21" s="1270"/>
      <c r="AG21" s="1270"/>
      <c r="AH21" s="1270"/>
      <c r="AI21" s="1270"/>
      <c r="AJ21" s="1270"/>
      <c r="AK21" s="1270"/>
      <c r="AL21" s="205"/>
    </row>
    <row r="22" spans="1:38" ht="13">
      <c r="A22" s="205"/>
      <c r="B22" s="205"/>
      <c r="C22" s="206"/>
      <c r="D22" s="1270"/>
      <c r="E22" s="1270"/>
      <c r="F22" s="1270"/>
      <c r="G22" s="1270"/>
      <c r="H22" s="1270"/>
      <c r="I22" s="1270"/>
      <c r="J22" s="1270"/>
      <c r="K22" s="1270"/>
      <c r="L22" s="1270"/>
      <c r="M22" s="1270"/>
      <c r="N22" s="1270"/>
      <c r="O22" s="1270"/>
      <c r="P22" s="1270"/>
      <c r="Q22" s="1270"/>
      <c r="R22" s="1270"/>
      <c r="S22" s="1270"/>
      <c r="T22" s="1270"/>
      <c r="U22" s="1270"/>
      <c r="V22" s="1270"/>
      <c r="W22" s="1270"/>
      <c r="X22" s="1270"/>
      <c r="Y22" s="1270"/>
      <c r="Z22" s="1270"/>
      <c r="AA22" s="1270"/>
      <c r="AB22" s="1270"/>
      <c r="AC22" s="1270"/>
      <c r="AD22" s="1270"/>
      <c r="AE22" s="1270"/>
      <c r="AF22" s="1270"/>
      <c r="AG22" s="1270"/>
      <c r="AH22" s="1270"/>
      <c r="AI22" s="1270"/>
      <c r="AJ22" s="1270"/>
      <c r="AK22" s="1270"/>
      <c r="AL22" s="205"/>
    </row>
    <row r="23" spans="1:38" ht="13.15" customHeight="1">
      <c r="A23" s="205"/>
      <c r="B23" s="205"/>
      <c r="C23" s="206"/>
      <c r="D23" s="1270"/>
      <c r="E23" s="1270"/>
      <c r="F23" s="1270"/>
      <c r="G23" s="1270"/>
      <c r="H23" s="1270"/>
      <c r="I23" s="1270"/>
      <c r="J23" s="1270"/>
      <c r="K23" s="1270"/>
      <c r="L23" s="1270"/>
      <c r="M23" s="1270"/>
      <c r="N23" s="1270"/>
      <c r="O23" s="1270"/>
      <c r="P23" s="1270"/>
      <c r="Q23" s="1270"/>
      <c r="R23" s="1270"/>
      <c r="S23" s="1270"/>
      <c r="T23" s="1270"/>
      <c r="U23" s="1270"/>
      <c r="V23" s="1270"/>
      <c r="W23" s="1270"/>
      <c r="X23" s="1270"/>
      <c r="Y23" s="1270"/>
      <c r="Z23" s="1270"/>
      <c r="AA23" s="1270"/>
      <c r="AB23" s="1270"/>
      <c r="AC23" s="1270"/>
      <c r="AD23" s="1270"/>
      <c r="AE23" s="1270"/>
      <c r="AF23" s="1270"/>
      <c r="AG23" s="1270"/>
      <c r="AH23" s="1270"/>
      <c r="AI23" s="1270"/>
      <c r="AJ23" s="1270"/>
      <c r="AK23" s="1270"/>
      <c r="AL23" s="205"/>
    </row>
    <row r="24" spans="1:38" ht="13">
      <c r="A24" s="205"/>
      <c r="B24" s="205"/>
      <c r="C24" s="206"/>
      <c r="D24" s="1270"/>
      <c r="E24" s="1270"/>
      <c r="F24" s="1270"/>
      <c r="G24" s="1270"/>
      <c r="H24" s="1270"/>
      <c r="I24" s="1270"/>
      <c r="J24" s="1270"/>
      <c r="K24" s="1270"/>
      <c r="L24" s="1270"/>
      <c r="M24" s="1270"/>
      <c r="N24" s="1270"/>
      <c r="O24" s="1270"/>
      <c r="P24" s="1270"/>
      <c r="Q24" s="1270"/>
      <c r="R24" s="1270"/>
      <c r="S24" s="1270"/>
      <c r="T24" s="1270"/>
      <c r="U24" s="1270"/>
      <c r="V24" s="1270"/>
      <c r="W24" s="1270"/>
      <c r="X24" s="1270"/>
      <c r="Y24" s="1270"/>
      <c r="Z24" s="1270"/>
      <c r="AA24" s="1270"/>
      <c r="AB24" s="1270"/>
      <c r="AC24" s="1270"/>
      <c r="AD24" s="1270"/>
      <c r="AE24" s="1270"/>
      <c r="AF24" s="1270"/>
      <c r="AG24" s="1270"/>
      <c r="AH24" s="1270"/>
      <c r="AI24" s="1270"/>
      <c r="AJ24" s="1270"/>
      <c r="AK24" s="1270"/>
      <c r="AL24" s="205"/>
    </row>
    <row r="25" spans="1:38" ht="13">
      <c r="A25" s="205"/>
      <c r="B25" s="205"/>
      <c r="C25" s="206"/>
      <c r="D25" s="1270"/>
      <c r="E25" s="1270"/>
      <c r="F25" s="1270"/>
      <c r="G25" s="1270"/>
      <c r="H25" s="1270"/>
      <c r="I25" s="1270"/>
      <c r="J25" s="1270"/>
      <c r="K25" s="1270"/>
      <c r="L25" s="1270"/>
      <c r="M25" s="1270"/>
      <c r="N25" s="1270"/>
      <c r="O25" s="1270"/>
      <c r="P25" s="1270"/>
      <c r="Q25" s="1270"/>
      <c r="R25" s="1270"/>
      <c r="S25" s="1270"/>
      <c r="T25" s="1270"/>
      <c r="U25" s="1270"/>
      <c r="V25" s="1270"/>
      <c r="W25" s="1270"/>
      <c r="X25" s="1270"/>
      <c r="Y25" s="1270"/>
      <c r="Z25" s="1270"/>
      <c r="AA25" s="1270"/>
      <c r="AB25" s="1270"/>
      <c r="AC25" s="1270"/>
      <c r="AD25" s="1270"/>
      <c r="AE25" s="1270"/>
      <c r="AF25" s="1270"/>
      <c r="AG25" s="1270"/>
      <c r="AH25" s="1270"/>
      <c r="AI25" s="1270"/>
      <c r="AJ25" s="1270"/>
      <c r="AK25" s="1270"/>
      <c r="AL25" s="205"/>
    </row>
    <row r="26" spans="1:38" ht="13">
      <c r="A26" s="205"/>
      <c r="B26" s="205"/>
      <c r="C26" s="206"/>
      <c r="D26" s="1270"/>
      <c r="E26" s="1270"/>
      <c r="F26" s="1270"/>
      <c r="G26" s="1270"/>
      <c r="H26" s="1270"/>
      <c r="I26" s="1270"/>
      <c r="J26" s="1270"/>
      <c r="K26" s="1270"/>
      <c r="L26" s="1270"/>
      <c r="M26" s="1270"/>
      <c r="N26" s="1270"/>
      <c r="O26" s="1270"/>
      <c r="P26" s="1270"/>
      <c r="Q26" s="1270"/>
      <c r="R26" s="1270"/>
      <c r="S26" s="1270"/>
      <c r="T26" s="1270"/>
      <c r="U26" s="1270"/>
      <c r="V26" s="1270"/>
      <c r="W26" s="1270"/>
      <c r="X26" s="1270"/>
      <c r="Y26" s="1270"/>
      <c r="Z26" s="1270"/>
      <c r="AA26" s="1270"/>
      <c r="AB26" s="1270"/>
      <c r="AC26" s="1270"/>
      <c r="AD26" s="1270"/>
      <c r="AE26" s="1270"/>
      <c r="AF26" s="1270"/>
      <c r="AG26" s="1270"/>
      <c r="AH26" s="1270"/>
      <c r="AI26" s="1270"/>
      <c r="AJ26" s="1270"/>
      <c r="AK26" s="1270"/>
      <c r="AL26" s="205"/>
    </row>
    <row r="27" spans="1:38" ht="13">
      <c r="A27" s="205"/>
      <c r="B27" s="205"/>
      <c r="C27" s="206"/>
      <c r="D27" s="1270"/>
      <c r="E27" s="1270"/>
      <c r="F27" s="1270"/>
      <c r="G27" s="1270"/>
      <c r="H27" s="1270"/>
      <c r="I27" s="1270"/>
      <c r="J27" s="1270"/>
      <c r="K27" s="1270"/>
      <c r="L27" s="1270"/>
      <c r="M27" s="1270"/>
      <c r="N27" s="1270"/>
      <c r="O27" s="1270"/>
      <c r="P27" s="1270"/>
      <c r="Q27" s="1270"/>
      <c r="R27" s="1270"/>
      <c r="S27" s="1270"/>
      <c r="T27" s="1270"/>
      <c r="U27" s="1270"/>
      <c r="V27" s="1270"/>
      <c r="W27" s="1270"/>
      <c r="X27" s="1270"/>
      <c r="Y27" s="1270"/>
      <c r="Z27" s="1270"/>
      <c r="AA27" s="1270"/>
      <c r="AB27" s="1270"/>
      <c r="AC27" s="1270"/>
      <c r="AD27" s="1270"/>
      <c r="AE27" s="1270"/>
      <c r="AF27" s="1270"/>
      <c r="AG27" s="1270"/>
      <c r="AH27" s="1270"/>
      <c r="AI27" s="1270"/>
      <c r="AJ27" s="1270"/>
      <c r="AK27" s="1270"/>
      <c r="AL27" s="205"/>
    </row>
    <row r="28" spans="1:38" ht="13">
      <c r="A28" s="205"/>
      <c r="B28" s="205"/>
      <c r="C28" s="206"/>
      <c r="D28" s="1270"/>
      <c r="E28" s="1270"/>
      <c r="F28" s="1270"/>
      <c r="G28" s="1270"/>
      <c r="H28" s="1270"/>
      <c r="I28" s="1270"/>
      <c r="J28" s="1270"/>
      <c r="K28" s="1270"/>
      <c r="L28" s="1270"/>
      <c r="M28" s="1270"/>
      <c r="N28" s="1270"/>
      <c r="O28" s="1270"/>
      <c r="P28" s="1270"/>
      <c r="Q28" s="1270"/>
      <c r="R28" s="1270"/>
      <c r="S28" s="1270"/>
      <c r="T28" s="1270"/>
      <c r="U28" s="1270"/>
      <c r="V28" s="1270"/>
      <c r="W28" s="1270"/>
      <c r="X28" s="1270"/>
      <c r="Y28" s="1270"/>
      <c r="Z28" s="1270"/>
      <c r="AA28" s="1270"/>
      <c r="AB28" s="1270"/>
      <c r="AC28" s="1270"/>
      <c r="AD28" s="1270"/>
      <c r="AE28" s="1270"/>
      <c r="AF28" s="1270"/>
      <c r="AG28" s="1270"/>
      <c r="AH28" s="1270"/>
      <c r="AI28" s="1270"/>
      <c r="AJ28" s="1270"/>
      <c r="AK28" s="1270"/>
      <c r="AL28" s="205"/>
    </row>
    <row r="29" spans="1:38" ht="13">
      <c r="A29" s="205"/>
      <c r="B29" s="205"/>
      <c r="C29" s="206"/>
      <c r="D29" s="442"/>
      <c r="E29" s="442"/>
      <c r="F29" s="442"/>
      <c r="G29" s="442"/>
      <c r="H29" s="442"/>
      <c r="I29" s="442"/>
      <c r="J29" s="442"/>
      <c r="K29" s="442"/>
      <c r="L29" s="442"/>
      <c r="M29" s="442"/>
      <c r="N29" s="442"/>
      <c r="O29" s="442"/>
      <c r="P29" s="442"/>
      <c r="Q29" s="442"/>
      <c r="R29" s="442"/>
      <c r="S29" s="442"/>
      <c r="T29" s="442"/>
      <c r="U29" s="442"/>
      <c r="V29" s="442"/>
      <c r="W29" s="442"/>
      <c r="X29" s="442"/>
      <c r="Y29" s="442"/>
      <c r="Z29" s="442"/>
      <c r="AA29" s="442"/>
      <c r="AB29" s="442"/>
      <c r="AC29" s="442"/>
      <c r="AD29" s="442"/>
      <c r="AE29" s="442"/>
      <c r="AF29" s="442"/>
      <c r="AG29" s="442"/>
      <c r="AH29" s="442"/>
      <c r="AI29" s="442"/>
      <c r="AJ29" s="442"/>
      <c r="AK29" s="442"/>
      <c r="AL29" s="205"/>
    </row>
    <row r="30" spans="1:38" ht="13.15" customHeight="1">
      <c r="A30" s="205"/>
      <c r="B30" s="205"/>
      <c r="C30" s="206"/>
      <c r="D30" s="1270" t="s">
        <v>2038</v>
      </c>
      <c r="E30" s="1270"/>
      <c r="F30" s="1270"/>
      <c r="G30" s="1270"/>
      <c r="H30" s="1270"/>
      <c r="I30" s="1270"/>
      <c r="J30" s="1270"/>
      <c r="K30" s="1270"/>
      <c r="L30" s="1270"/>
      <c r="M30" s="1270"/>
      <c r="N30" s="1270"/>
      <c r="O30" s="1270"/>
      <c r="P30" s="1270"/>
      <c r="Q30" s="1270"/>
      <c r="R30" s="1270"/>
      <c r="S30" s="1270"/>
      <c r="T30" s="1270"/>
      <c r="U30" s="1270"/>
      <c r="V30" s="1270"/>
      <c r="W30" s="1270"/>
      <c r="X30" s="1270"/>
      <c r="Y30" s="1270"/>
      <c r="Z30" s="1270"/>
      <c r="AA30" s="1270"/>
      <c r="AB30" s="1270"/>
      <c r="AC30" s="1270"/>
      <c r="AD30" s="1270"/>
      <c r="AE30" s="1270"/>
      <c r="AF30" s="1270"/>
      <c r="AG30" s="1270"/>
      <c r="AH30" s="1270"/>
      <c r="AI30" s="1270"/>
      <c r="AJ30" s="1270"/>
      <c r="AK30" s="1270"/>
      <c r="AL30" s="205"/>
    </row>
    <row r="31" spans="1:38" ht="13">
      <c r="A31" s="205"/>
      <c r="B31" s="205"/>
      <c r="C31" s="206"/>
      <c r="D31" s="456"/>
      <c r="E31" s="1271" t="s">
        <v>2520</v>
      </c>
      <c r="F31" s="1272"/>
      <c r="G31" s="1272"/>
      <c r="H31" s="1272"/>
      <c r="I31" s="1272"/>
      <c r="J31" s="1272"/>
      <c r="K31" s="1272"/>
      <c r="L31" s="1272"/>
      <c r="M31" s="1272"/>
      <c r="N31" s="1272"/>
      <c r="O31" s="1272"/>
      <c r="P31" s="1272"/>
      <c r="Q31" s="1272"/>
      <c r="R31" s="1272"/>
      <c r="S31" s="1272"/>
      <c r="T31" s="1272"/>
      <c r="U31" s="1272"/>
      <c r="V31" s="1272"/>
      <c r="W31" s="1272"/>
      <c r="X31" s="1272"/>
      <c r="Y31" s="1272"/>
      <c r="Z31" s="1272"/>
      <c r="AA31" s="1272"/>
      <c r="AB31" s="1272"/>
      <c r="AC31" s="1272"/>
      <c r="AD31" s="1272"/>
      <c r="AE31" s="1272"/>
      <c r="AF31" s="1272"/>
      <c r="AG31" s="1272"/>
      <c r="AH31" s="1272"/>
      <c r="AI31" s="1272"/>
      <c r="AJ31" s="1272"/>
      <c r="AK31" s="1272"/>
      <c r="AL31" s="205"/>
    </row>
    <row r="32" spans="1:38" ht="13">
      <c r="A32" s="4"/>
      <c r="C32" s="2"/>
    </row>
    <row r="33" spans="1:38">
      <c r="A33" s="4"/>
      <c r="D33" s="1282" t="s">
        <v>2142</v>
      </c>
      <c r="E33" s="1282"/>
      <c r="F33" s="1282"/>
      <c r="G33" s="1282"/>
      <c r="H33" s="1282"/>
      <c r="I33" s="1282"/>
      <c r="J33" s="1282"/>
      <c r="K33" s="1282"/>
      <c r="L33" s="1282"/>
      <c r="M33" s="1282"/>
      <c r="N33" s="1282"/>
      <c r="O33" s="1282"/>
      <c r="P33" s="1282"/>
      <c r="Q33" s="1282"/>
      <c r="R33" s="1282"/>
      <c r="S33" s="1282"/>
      <c r="T33" s="1282"/>
      <c r="U33" s="1282"/>
      <c r="V33" s="1282"/>
      <c r="W33" s="1282"/>
      <c r="X33" s="1282"/>
      <c r="Y33" s="1282"/>
      <c r="Z33" s="1282"/>
      <c r="AA33" s="1282"/>
      <c r="AB33" s="1282"/>
      <c r="AC33" s="1282"/>
      <c r="AD33" s="1282"/>
      <c r="AE33" s="1282"/>
      <c r="AF33" s="1282"/>
      <c r="AG33" s="1282"/>
      <c r="AH33" s="1282"/>
      <c r="AI33" s="1282"/>
      <c r="AJ33" s="1282"/>
      <c r="AK33" s="1282"/>
    </row>
    <row r="34" spans="1:38">
      <c r="A34" s="4"/>
      <c r="D34" s="1282"/>
      <c r="E34" s="1282"/>
      <c r="F34" s="1282"/>
      <c r="G34" s="1282"/>
      <c r="H34" s="1282"/>
      <c r="I34" s="1282"/>
      <c r="J34" s="1282"/>
      <c r="K34" s="1282"/>
      <c r="L34" s="1282"/>
      <c r="M34" s="1282"/>
      <c r="N34" s="1282"/>
      <c r="O34" s="1282"/>
      <c r="P34" s="1282"/>
      <c r="Q34" s="1282"/>
      <c r="R34" s="1282"/>
      <c r="S34" s="1282"/>
      <c r="T34" s="1282"/>
      <c r="U34" s="1282"/>
      <c r="V34" s="1282"/>
      <c r="W34" s="1282"/>
      <c r="X34" s="1282"/>
      <c r="Y34" s="1282"/>
      <c r="Z34" s="1282"/>
      <c r="AA34" s="1282"/>
      <c r="AB34" s="1282"/>
      <c r="AC34" s="1282"/>
      <c r="AD34" s="1282"/>
      <c r="AE34" s="1282"/>
      <c r="AF34" s="1282"/>
      <c r="AG34" s="1282"/>
      <c r="AH34" s="1282"/>
      <c r="AI34" s="1282"/>
      <c r="AJ34" s="1282"/>
      <c r="AK34" s="1282"/>
    </row>
    <row r="35" spans="1:38" ht="13">
      <c r="A35" s="4"/>
      <c r="D35" s="120"/>
      <c r="E35" s="1277" t="s">
        <v>2045</v>
      </c>
      <c r="F35" s="1277"/>
      <c r="G35" s="1277"/>
      <c r="H35" s="1277"/>
      <c r="I35" s="1277"/>
      <c r="J35" s="1277"/>
      <c r="K35" s="1277"/>
      <c r="L35" s="1277"/>
      <c r="M35" s="1277"/>
      <c r="N35" s="1277"/>
      <c r="O35" s="1277"/>
      <c r="P35" s="1277"/>
      <c r="Q35" s="1277"/>
      <c r="R35" s="1277"/>
      <c r="S35" s="1277"/>
      <c r="T35" s="1277"/>
      <c r="U35" s="1277"/>
      <c r="V35" s="1277"/>
      <c r="W35" s="1277"/>
      <c r="X35" s="1277"/>
      <c r="Y35" s="1277"/>
      <c r="Z35" s="1277"/>
      <c r="AA35" s="1277"/>
      <c r="AB35" s="1277"/>
      <c r="AC35" s="1277"/>
      <c r="AD35" s="1277"/>
      <c r="AE35" s="1277"/>
      <c r="AF35" s="1277"/>
      <c r="AG35" s="1277"/>
      <c r="AH35" s="1277"/>
      <c r="AI35" s="1277"/>
      <c r="AJ35" s="1277"/>
      <c r="AK35" s="1277"/>
    </row>
    <row r="36" spans="1:38" ht="13">
      <c r="A36" s="4"/>
      <c r="D36" s="120"/>
      <c r="E36" s="1277" t="s">
        <v>2046</v>
      </c>
      <c r="F36" s="1277"/>
      <c r="G36" s="1277"/>
      <c r="H36" s="1277"/>
      <c r="I36" s="1277"/>
      <c r="J36" s="1277"/>
      <c r="K36" s="1277"/>
      <c r="L36" s="1277"/>
      <c r="M36" s="1277"/>
      <c r="N36" s="1277"/>
      <c r="O36" s="1277"/>
      <c r="P36" s="1277"/>
      <c r="Q36" s="1277"/>
      <c r="R36" s="1277"/>
      <c r="S36" s="1277"/>
      <c r="T36" s="1277"/>
      <c r="U36" s="1277"/>
      <c r="V36" s="1277"/>
      <c r="W36" s="1277"/>
      <c r="X36" s="1277"/>
      <c r="Y36" s="1277"/>
      <c r="Z36" s="1277"/>
      <c r="AA36" s="1277"/>
      <c r="AB36" s="1277"/>
      <c r="AC36" s="1277"/>
      <c r="AD36" s="1277"/>
      <c r="AE36" s="1277"/>
      <c r="AF36" s="1277"/>
      <c r="AG36" s="1277"/>
      <c r="AH36" s="1277"/>
      <c r="AI36" s="1277"/>
      <c r="AJ36" s="1277"/>
      <c r="AK36" s="1277"/>
    </row>
    <row r="37" spans="1:38" ht="13">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ht="13">
      <c r="A38" s="4"/>
      <c r="C38" s="2" t="s">
        <v>340</v>
      </c>
      <c r="D38" s="2" t="s">
        <v>736</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737</v>
      </c>
      <c r="F39" s="4"/>
      <c r="G39" s="4"/>
      <c r="H39" s="4"/>
      <c r="I39" s="4"/>
      <c r="J39" s="4"/>
      <c r="K39" s="4"/>
      <c r="L39" s="4"/>
      <c r="M39" s="4"/>
      <c r="N39" s="4"/>
      <c r="O39" s="4"/>
      <c r="P39" s="4"/>
      <c r="Q39" s="4"/>
      <c r="R39" s="4"/>
      <c r="S39" s="4"/>
      <c r="T39" s="4"/>
      <c r="U39" s="4"/>
      <c r="V39" s="4"/>
      <c r="W39" s="4"/>
      <c r="X39" s="4"/>
      <c r="Y39" s="4"/>
      <c r="Z39" s="4"/>
      <c r="AA39" s="4"/>
      <c r="AB39" s="4"/>
    </row>
    <row r="40" spans="1:38" s="1270" customFormat="1" ht="13.15" customHeight="1">
      <c r="A40" s="4"/>
      <c r="B40"/>
      <c r="C40" s="2"/>
      <c r="D40" s="4"/>
      <c r="E40" s="4" t="s">
        <v>652</v>
      </c>
      <c r="F40" s="1270" t="s">
        <v>1163</v>
      </c>
    </row>
    <row r="41" spans="1:38" s="1270" customFormat="1" ht="13.15" customHeight="1">
      <c r="A41" s="4"/>
      <c r="B41"/>
      <c r="C41" s="2"/>
      <c r="D41" s="4"/>
      <c r="E41" s="4"/>
    </row>
    <row r="42" spans="1:38" ht="13">
      <c r="A42" s="4"/>
      <c r="C42" s="2"/>
      <c r="D42" s="4"/>
      <c r="E42" s="4"/>
      <c r="F42" s="35" t="s">
        <v>686</v>
      </c>
      <c r="G42" s="4" t="s">
        <v>175</v>
      </c>
      <c r="H42" s="456"/>
      <c r="I42" s="456"/>
      <c r="J42" s="456"/>
      <c r="K42" s="456"/>
      <c r="L42" s="456"/>
      <c r="M42" s="456"/>
      <c r="N42" s="456"/>
      <c r="O42" s="456"/>
      <c r="P42" s="456"/>
      <c r="Q42" s="456"/>
      <c r="R42" s="456"/>
      <c r="S42" s="456"/>
      <c r="T42" s="456"/>
      <c r="U42" s="456"/>
      <c r="V42" s="456"/>
      <c r="W42" s="456"/>
      <c r="X42" s="456"/>
      <c r="Y42" s="456"/>
      <c r="Z42" s="456"/>
      <c r="AA42" s="456"/>
      <c r="AB42" s="456"/>
      <c r="AC42" s="456"/>
      <c r="AD42" s="456"/>
      <c r="AE42" s="456"/>
      <c r="AF42" s="456"/>
      <c r="AG42" s="456"/>
      <c r="AH42" s="456"/>
      <c r="AI42" s="456"/>
      <c r="AJ42" s="456"/>
      <c r="AK42" s="456"/>
    </row>
    <row r="43" spans="1:38" s="118" customFormat="1" ht="13.15" customHeight="1">
      <c r="A43" s="4"/>
      <c r="B43"/>
      <c r="C43" s="2"/>
      <c r="D43" s="4"/>
      <c r="E43" s="3" t="s">
        <v>347</v>
      </c>
      <c r="F43" s="1276" t="s">
        <v>1245</v>
      </c>
      <c r="G43" s="1276"/>
      <c r="H43" s="1276"/>
      <c r="I43" s="1276"/>
      <c r="J43" s="1276"/>
      <c r="K43" s="1276"/>
      <c r="L43" s="1276"/>
      <c r="M43" s="1276"/>
      <c r="N43" s="1276"/>
      <c r="O43" s="1276"/>
      <c r="P43" s="1276"/>
      <c r="Q43" s="1276"/>
      <c r="R43" s="1276"/>
      <c r="S43" s="1276"/>
      <c r="T43" s="1276"/>
      <c r="U43" s="1276"/>
      <c r="V43" s="1276"/>
      <c r="W43" s="1276"/>
      <c r="X43" s="1276"/>
      <c r="Y43" s="1276"/>
      <c r="Z43" s="1276"/>
      <c r="AA43" s="1276"/>
      <c r="AB43" s="1276"/>
      <c r="AC43" s="1276"/>
      <c r="AD43" s="1276"/>
      <c r="AE43" s="1276"/>
      <c r="AF43" s="1276"/>
      <c r="AG43" s="1276"/>
      <c r="AH43" s="1276"/>
      <c r="AI43" s="1276"/>
      <c r="AJ43" s="1276"/>
      <c r="AK43" s="1276"/>
      <c r="AL43" s="1276"/>
    </row>
    <row r="44" spans="1:38" s="118" customFormat="1" ht="13">
      <c r="A44" s="4"/>
      <c r="B44"/>
      <c r="C44" s="2"/>
      <c r="D44" s="4"/>
      <c r="E44" s="4"/>
      <c r="F44" s="1276"/>
      <c r="G44" s="1276"/>
      <c r="H44" s="1276"/>
      <c r="I44" s="1276"/>
      <c r="J44" s="1276"/>
      <c r="K44" s="1276"/>
      <c r="L44" s="1276"/>
      <c r="M44" s="1276"/>
      <c r="N44" s="1276"/>
      <c r="O44" s="1276"/>
      <c r="P44" s="1276"/>
      <c r="Q44" s="1276"/>
      <c r="R44" s="1276"/>
      <c r="S44" s="1276"/>
      <c r="T44" s="1276"/>
      <c r="U44" s="1276"/>
      <c r="V44" s="1276"/>
      <c r="W44" s="1276"/>
      <c r="X44" s="1276"/>
      <c r="Y44" s="1276"/>
      <c r="Z44" s="1276"/>
      <c r="AA44" s="1276"/>
      <c r="AB44" s="1276"/>
      <c r="AC44" s="1276"/>
      <c r="AD44" s="1276"/>
      <c r="AE44" s="1276"/>
      <c r="AF44" s="1276"/>
      <c r="AG44" s="1276"/>
      <c r="AH44" s="1276"/>
      <c r="AI44" s="1276"/>
      <c r="AJ44" s="1276"/>
      <c r="AK44" s="1276"/>
      <c r="AL44" s="1276"/>
    </row>
    <row r="45" spans="1:38" s="118" customFormat="1" ht="13.15" customHeight="1">
      <c r="A45" s="4"/>
      <c r="B45"/>
      <c r="C45" s="2"/>
      <c r="D45" s="4"/>
      <c r="E45" s="4"/>
      <c r="F45" s="1276"/>
      <c r="G45" s="1276"/>
      <c r="H45" s="1276"/>
      <c r="I45" s="1276"/>
      <c r="J45" s="1276"/>
      <c r="K45" s="1276"/>
      <c r="L45" s="1276"/>
      <c r="M45" s="1276"/>
      <c r="N45" s="1276"/>
      <c r="O45" s="1276"/>
      <c r="P45" s="1276"/>
      <c r="Q45" s="1276"/>
      <c r="R45" s="1276"/>
      <c r="S45" s="1276"/>
      <c r="T45" s="1276"/>
      <c r="U45" s="1276"/>
      <c r="V45" s="1276"/>
      <c r="W45" s="1276"/>
      <c r="X45" s="1276"/>
      <c r="Y45" s="1276"/>
      <c r="Z45" s="1276"/>
      <c r="AA45" s="1276"/>
      <c r="AB45" s="1276"/>
      <c r="AC45" s="1276"/>
      <c r="AD45" s="1276"/>
      <c r="AE45" s="1276"/>
      <c r="AF45" s="1276"/>
      <c r="AG45" s="1276"/>
      <c r="AH45" s="1276"/>
      <c r="AI45" s="1276"/>
      <c r="AJ45" s="1276"/>
      <c r="AK45" s="1276"/>
      <c r="AL45" s="1276"/>
    </row>
    <row r="46" spans="1:38" ht="13">
      <c r="A46" s="4"/>
      <c r="C46" s="2"/>
      <c r="D46" s="4"/>
      <c r="E46" s="4"/>
      <c r="F46" s="118" t="s">
        <v>686</v>
      </c>
      <c r="G46" s="3" t="s">
        <v>2039</v>
      </c>
      <c r="H46" s="478"/>
      <c r="I46" s="478"/>
      <c r="J46" s="478"/>
      <c r="K46" s="478"/>
      <c r="L46" s="478"/>
      <c r="M46" s="478"/>
      <c r="N46" s="478"/>
      <c r="O46" s="478"/>
      <c r="P46" s="478"/>
      <c r="Q46" s="478"/>
      <c r="R46" s="478"/>
      <c r="S46" s="478"/>
      <c r="T46" s="478"/>
      <c r="U46" s="478"/>
      <c r="V46" s="478"/>
      <c r="W46" s="478"/>
      <c r="X46" s="478"/>
      <c r="Y46" s="478"/>
      <c r="Z46" s="478"/>
      <c r="AA46" s="478"/>
      <c r="AB46" s="478"/>
      <c r="AC46" s="478"/>
      <c r="AD46" s="478"/>
      <c r="AE46" s="478"/>
      <c r="AF46" s="478"/>
      <c r="AG46" s="478"/>
      <c r="AH46" s="478"/>
      <c r="AI46" s="478"/>
      <c r="AJ46" s="478"/>
      <c r="AK46" s="478"/>
      <c r="AL46" s="478"/>
    </row>
    <row r="47" spans="1:38" ht="13">
      <c r="A47" s="4"/>
      <c r="C47" s="2"/>
      <c r="D47" s="4"/>
      <c r="E47" s="4"/>
      <c r="F47" s="35" t="s">
        <v>508</v>
      </c>
      <c r="G47" s="4" t="s">
        <v>546</v>
      </c>
      <c r="I47" s="4"/>
      <c r="J47" s="4"/>
      <c r="K47" s="4"/>
      <c r="L47" s="4"/>
      <c r="O47" s="4"/>
      <c r="P47" s="4"/>
      <c r="Q47" s="4"/>
      <c r="R47" s="4"/>
      <c r="S47" s="4"/>
      <c r="T47" s="4"/>
      <c r="U47" s="4"/>
      <c r="V47" s="4"/>
      <c r="W47" s="4"/>
      <c r="X47" s="4"/>
      <c r="Y47" s="4"/>
      <c r="Z47" s="4"/>
      <c r="AA47" s="4"/>
      <c r="AB47" s="4"/>
    </row>
    <row r="48" spans="1:38" ht="13">
      <c r="A48" s="4"/>
      <c r="C48" s="2"/>
      <c r="D48" s="4"/>
      <c r="E48" s="3" t="s">
        <v>348</v>
      </c>
      <c r="F48" s="1270" t="s">
        <v>2040</v>
      </c>
      <c r="G48" s="1270"/>
      <c r="H48" s="1270"/>
      <c r="I48" s="1270"/>
      <c r="J48" s="1270"/>
      <c r="K48" s="1270"/>
      <c r="L48" s="1270"/>
      <c r="M48" s="1270"/>
      <c r="N48" s="1270"/>
      <c r="O48" s="1270"/>
      <c r="P48" s="1270"/>
      <c r="Q48" s="1270"/>
      <c r="R48" s="1270"/>
      <c r="S48" s="1270"/>
      <c r="T48" s="1270"/>
      <c r="U48" s="1270"/>
      <c r="V48" s="1270"/>
      <c r="W48" s="1270"/>
      <c r="X48" s="1270"/>
      <c r="Y48" s="1270"/>
      <c r="Z48" s="1270"/>
      <c r="AA48" s="1270"/>
      <c r="AB48" s="1270"/>
      <c r="AC48" s="1270"/>
      <c r="AD48" s="1270"/>
      <c r="AE48" s="1270"/>
      <c r="AF48" s="1270"/>
      <c r="AG48" s="1270"/>
      <c r="AH48" s="1270"/>
      <c r="AI48" s="1270"/>
      <c r="AJ48" s="1270"/>
      <c r="AK48" s="1270"/>
    </row>
    <row r="49" spans="1:38" ht="13">
      <c r="A49" s="4"/>
      <c r="C49" s="2"/>
      <c r="D49" s="4"/>
      <c r="E49" s="4"/>
      <c r="F49" s="1270"/>
      <c r="G49" s="1270"/>
      <c r="H49" s="1270"/>
      <c r="I49" s="1270"/>
      <c r="J49" s="1270"/>
      <c r="K49" s="1270"/>
      <c r="L49" s="1270"/>
      <c r="M49" s="1270"/>
      <c r="N49" s="1270"/>
      <c r="O49" s="1270"/>
      <c r="P49" s="1270"/>
      <c r="Q49" s="1270"/>
      <c r="R49" s="1270"/>
      <c r="S49" s="1270"/>
      <c r="T49" s="1270"/>
      <c r="U49" s="1270"/>
      <c r="V49" s="1270"/>
      <c r="W49" s="1270"/>
      <c r="X49" s="1270"/>
      <c r="Y49" s="1270"/>
      <c r="Z49" s="1270"/>
      <c r="AA49" s="1270"/>
      <c r="AB49" s="1270"/>
      <c r="AC49" s="1270"/>
      <c r="AD49" s="1270"/>
      <c r="AE49" s="1270"/>
      <c r="AF49" s="1270"/>
      <c r="AG49" s="1270"/>
      <c r="AH49" s="1270"/>
      <c r="AI49" s="1270"/>
      <c r="AJ49" s="1270"/>
      <c r="AK49" s="1270"/>
    </row>
    <row r="50" spans="1:38" ht="13">
      <c r="A50" s="4"/>
      <c r="C50" s="2"/>
      <c r="D50" s="4"/>
      <c r="F50" s="1270"/>
      <c r="G50" s="1270"/>
      <c r="H50" s="1270"/>
      <c r="I50" s="1270"/>
      <c r="J50" s="1270"/>
      <c r="K50" s="1270"/>
      <c r="L50" s="1270"/>
      <c r="M50" s="1270"/>
      <c r="N50" s="1270"/>
      <c r="O50" s="1270"/>
      <c r="P50" s="1270"/>
      <c r="Q50" s="1270"/>
      <c r="R50" s="1270"/>
      <c r="S50" s="1270"/>
      <c r="T50" s="1270"/>
      <c r="U50" s="1270"/>
      <c r="V50" s="1270"/>
      <c r="W50" s="1270"/>
      <c r="X50" s="1270"/>
      <c r="Y50" s="1270"/>
      <c r="Z50" s="1270"/>
      <c r="AA50" s="1270"/>
      <c r="AB50" s="1270"/>
      <c r="AC50" s="1270"/>
      <c r="AD50" s="1270"/>
      <c r="AE50" s="1270"/>
      <c r="AF50" s="1270"/>
      <c r="AG50" s="1270"/>
      <c r="AH50" s="1270"/>
      <c r="AI50" s="1270"/>
      <c r="AJ50" s="1270"/>
      <c r="AK50" s="1270"/>
    </row>
    <row r="51" spans="1:38" ht="13">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ht="13">
      <c r="A52" s="4"/>
      <c r="C52" s="2"/>
      <c r="D52" s="4" t="s">
        <v>113</v>
      </c>
      <c r="E52" s="4" t="s">
        <v>650</v>
      </c>
      <c r="F52" s="4"/>
      <c r="G52" s="4"/>
      <c r="H52" s="4"/>
      <c r="I52" s="4"/>
      <c r="J52" s="171"/>
      <c r="K52" s="171"/>
      <c r="L52" s="171"/>
      <c r="M52" s="171"/>
      <c r="N52" s="171"/>
      <c r="O52" s="120"/>
      <c r="P52" s="120"/>
      <c r="Q52" s="120"/>
      <c r="R52" s="120"/>
      <c r="S52" s="120"/>
      <c r="T52" s="120"/>
      <c r="U52" s="4"/>
      <c r="V52" s="4"/>
      <c r="W52" s="4"/>
      <c r="X52" s="4"/>
      <c r="Y52" s="4"/>
      <c r="Z52" s="4"/>
      <c r="AA52" s="4"/>
      <c r="AB52" s="4"/>
    </row>
    <row r="53" spans="1:38" ht="13">
      <c r="A53" s="4"/>
      <c r="C53" s="2"/>
      <c r="D53" s="2"/>
      <c r="E53" s="4" t="s">
        <v>652</v>
      </c>
      <c r="F53" s="3" t="s">
        <v>1191</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15" customHeight="1">
      <c r="A54" s="205"/>
      <c r="B54" s="205"/>
      <c r="C54" s="206"/>
      <c r="D54" s="206"/>
      <c r="E54" s="205"/>
      <c r="F54" s="207" t="s">
        <v>686</v>
      </c>
      <c r="G54" s="1275" t="s">
        <v>1190</v>
      </c>
      <c r="H54" s="1275"/>
      <c r="I54" s="1275"/>
      <c r="J54" s="1275"/>
      <c r="K54" s="1275"/>
      <c r="L54" s="1275"/>
      <c r="M54" s="1275"/>
      <c r="N54" s="1275"/>
      <c r="O54" s="1275"/>
      <c r="P54" s="1275"/>
      <c r="Q54" s="1275"/>
      <c r="R54" s="1275"/>
      <c r="S54" s="1275"/>
      <c r="T54" s="1275"/>
      <c r="U54" s="1275"/>
      <c r="V54" s="1275"/>
      <c r="W54" s="1275"/>
      <c r="X54" s="1275"/>
      <c r="Y54" s="1275"/>
      <c r="Z54" s="1275"/>
      <c r="AA54" s="1275"/>
      <c r="AB54" s="1275"/>
      <c r="AC54" s="1275"/>
      <c r="AD54" s="1275"/>
      <c r="AE54" s="1275"/>
      <c r="AF54" s="1275"/>
      <c r="AG54" s="1275"/>
      <c r="AH54" s="1275"/>
      <c r="AI54" s="1275"/>
      <c r="AJ54" s="1275"/>
      <c r="AK54" s="1275"/>
      <c r="AL54" s="205"/>
    </row>
    <row r="55" spans="1:38" ht="13.15" customHeight="1">
      <c r="A55" s="205"/>
      <c r="B55" s="205"/>
      <c r="C55" s="206"/>
      <c r="D55" s="206"/>
      <c r="E55" s="205"/>
      <c r="F55" s="207"/>
      <c r="G55" s="479" t="s">
        <v>1192</v>
      </c>
      <c r="H55" s="454"/>
      <c r="I55" s="454"/>
      <c r="J55" s="454"/>
      <c r="K55" s="454"/>
      <c r="L55" s="454"/>
      <c r="M55" s="454"/>
      <c r="N55" s="454"/>
      <c r="O55" s="454"/>
      <c r="P55" s="454"/>
      <c r="Q55" s="454"/>
      <c r="R55" s="454"/>
      <c r="S55" s="454"/>
      <c r="T55" s="454"/>
      <c r="U55" s="454"/>
      <c r="V55" s="454"/>
      <c r="W55" s="454"/>
      <c r="X55" s="454"/>
      <c r="Y55" s="454"/>
      <c r="Z55" s="454"/>
      <c r="AA55" s="454"/>
      <c r="AB55" s="454"/>
      <c r="AC55" s="454"/>
      <c r="AD55" s="454"/>
      <c r="AE55" s="454"/>
      <c r="AF55" s="454"/>
      <c r="AG55" s="454"/>
      <c r="AH55" s="454"/>
      <c r="AI55" s="454"/>
      <c r="AJ55" s="454"/>
      <c r="AK55" s="454"/>
      <c r="AL55" s="205"/>
    </row>
    <row r="56" spans="1:38" ht="13">
      <c r="A56" s="205"/>
      <c r="B56" s="205"/>
      <c r="C56" s="206"/>
      <c r="D56" s="206"/>
      <c r="E56" s="205"/>
      <c r="F56" s="207"/>
      <c r="G56" s="1275" t="s">
        <v>574</v>
      </c>
      <c r="H56" s="1275"/>
      <c r="I56" s="1275"/>
      <c r="J56" s="453"/>
      <c r="K56" s="453"/>
      <c r="L56" s="453"/>
      <c r="M56" s="453"/>
      <c r="N56" s="453"/>
      <c r="O56" s="453"/>
      <c r="P56" s="453"/>
      <c r="Q56" s="453"/>
      <c r="R56" s="453"/>
      <c r="S56" s="453"/>
      <c r="T56" s="453"/>
      <c r="U56" s="453"/>
      <c r="V56" s="453"/>
      <c r="W56" s="453"/>
      <c r="X56" s="453"/>
      <c r="Y56" s="453"/>
      <c r="Z56" s="453"/>
      <c r="AA56" s="453"/>
      <c r="AB56" s="453"/>
      <c r="AC56" s="453"/>
      <c r="AD56" s="453"/>
      <c r="AE56" s="453"/>
      <c r="AF56" s="453"/>
      <c r="AG56" s="453"/>
      <c r="AH56" s="453"/>
      <c r="AI56" s="453"/>
      <c r="AJ56" s="453"/>
      <c r="AK56" s="453"/>
      <c r="AL56" s="205"/>
    </row>
    <row r="57" spans="1:38" ht="13.15" customHeight="1">
      <c r="A57" s="205"/>
      <c r="B57" s="206"/>
      <c r="C57" s="206"/>
      <c r="D57" s="206"/>
      <c r="E57" s="205"/>
      <c r="F57" s="207" t="s">
        <v>508</v>
      </c>
      <c r="G57" s="1275" t="s">
        <v>2041</v>
      </c>
      <c r="H57" s="1275"/>
      <c r="I57" s="1275"/>
      <c r="J57" s="1275"/>
      <c r="K57" s="1275"/>
      <c r="L57" s="1275"/>
      <c r="M57" s="1275"/>
      <c r="N57" s="1275"/>
      <c r="O57" s="1275"/>
      <c r="P57" s="1275"/>
      <c r="Q57" s="1275"/>
      <c r="R57" s="1275"/>
      <c r="S57" s="1275"/>
      <c r="T57" s="1275"/>
      <c r="U57" s="1275"/>
      <c r="V57" s="1275"/>
      <c r="W57" s="1275"/>
      <c r="X57" s="1275"/>
      <c r="Y57" s="1275"/>
      <c r="Z57" s="1275"/>
      <c r="AA57" s="1275"/>
      <c r="AB57" s="1275"/>
      <c r="AC57" s="1275"/>
      <c r="AD57" s="1275"/>
      <c r="AE57" s="1275"/>
      <c r="AF57" s="1275"/>
      <c r="AG57" s="1275"/>
      <c r="AH57" s="1275"/>
      <c r="AI57" s="1275"/>
      <c r="AJ57" s="1275"/>
      <c r="AK57" s="1275"/>
      <c r="AL57" s="1275"/>
    </row>
    <row r="58" spans="1:38" ht="13">
      <c r="A58" s="205"/>
      <c r="B58" s="205"/>
      <c r="C58" s="206"/>
      <c r="D58" s="206"/>
      <c r="E58" s="205"/>
      <c r="F58" s="207"/>
      <c r="G58" s="1275"/>
      <c r="H58" s="1275"/>
      <c r="I58" s="1275"/>
      <c r="J58" s="1275"/>
      <c r="K58" s="1275"/>
      <c r="L58" s="1275"/>
      <c r="M58" s="1275"/>
      <c r="N58" s="1275"/>
      <c r="O58" s="1275"/>
      <c r="P58" s="1275"/>
      <c r="Q58" s="1275"/>
      <c r="R58" s="1275"/>
      <c r="S58" s="1275"/>
      <c r="T58" s="1275"/>
      <c r="U58" s="1275"/>
      <c r="V58" s="1275"/>
      <c r="W58" s="1275"/>
      <c r="X58" s="1275"/>
      <c r="Y58" s="1275"/>
      <c r="Z58" s="1275"/>
      <c r="AA58" s="1275"/>
      <c r="AB58" s="1275"/>
      <c r="AC58" s="1275"/>
      <c r="AD58" s="1275"/>
      <c r="AE58" s="1275"/>
      <c r="AF58" s="1275"/>
      <c r="AG58" s="1275"/>
      <c r="AH58" s="1275"/>
      <c r="AI58" s="1275"/>
      <c r="AJ58" s="1275"/>
      <c r="AK58" s="1275"/>
      <c r="AL58" s="1275"/>
    </row>
    <row r="59" spans="1:38" ht="13">
      <c r="A59" s="205"/>
      <c r="B59" s="205"/>
      <c r="C59" s="206"/>
      <c r="D59" s="206"/>
      <c r="E59" s="205"/>
      <c r="F59" s="207"/>
      <c r="G59" s="480" t="s">
        <v>1278</v>
      </c>
      <c r="H59" s="453"/>
      <c r="I59" s="453"/>
      <c r="J59" s="453"/>
      <c r="K59" s="453"/>
      <c r="L59" s="453"/>
      <c r="M59" s="453"/>
      <c r="N59" s="453"/>
      <c r="O59" s="453"/>
      <c r="P59" s="453"/>
      <c r="Q59" s="453"/>
      <c r="R59" s="453"/>
      <c r="S59" s="453"/>
      <c r="T59" s="453"/>
      <c r="U59" s="453"/>
      <c r="V59" s="453"/>
      <c r="W59" s="453"/>
      <c r="X59" s="453"/>
      <c r="Y59" s="453"/>
      <c r="Z59" s="453"/>
      <c r="AA59" s="453"/>
      <c r="AB59" s="453"/>
      <c r="AC59" s="453"/>
      <c r="AD59" s="453"/>
      <c r="AE59" s="453"/>
      <c r="AF59" s="453"/>
      <c r="AG59" s="453"/>
      <c r="AH59" s="453"/>
      <c r="AI59" s="453"/>
      <c r="AJ59" s="453"/>
      <c r="AK59" s="453"/>
      <c r="AL59" s="205"/>
    </row>
    <row r="60" spans="1:38" ht="13">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ht="13">
      <c r="A61" s="4"/>
      <c r="B61" s="4"/>
      <c r="C61" s="4"/>
      <c r="D61" s="4" t="s">
        <v>119</v>
      </c>
      <c r="E61" s="4" t="s">
        <v>174</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ht="13">
      <c r="A62" s="4"/>
      <c r="C62" s="2"/>
      <c r="E62" s="3" t="s">
        <v>1164</v>
      </c>
      <c r="G62" s="4"/>
      <c r="H62" s="4"/>
      <c r="I62" s="4"/>
      <c r="J62" s="4"/>
      <c r="K62" s="4"/>
      <c r="L62" s="4"/>
      <c r="M62" s="4"/>
      <c r="N62" s="4"/>
      <c r="O62" s="4"/>
      <c r="P62" s="4"/>
      <c r="Q62" s="4"/>
      <c r="R62" s="4"/>
      <c r="S62" s="4"/>
      <c r="T62" s="4"/>
      <c r="U62" s="4"/>
      <c r="V62" s="4"/>
      <c r="W62" s="4"/>
      <c r="X62" s="4"/>
      <c r="Y62" s="4"/>
      <c r="Z62" s="4"/>
      <c r="AA62" s="4"/>
      <c r="AB62" s="4"/>
    </row>
    <row r="63" spans="1:38" ht="13">
      <c r="A63" s="4"/>
      <c r="C63" s="2"/>
      <c r="D63" s="4"/>
      <c r="E63" s="4" t="s">
        <v>652</v>
      </c>
      <c r="F63" s="4" t="s">
        <v>507</v>
      </c>
      <c r="G63" s="4"/>
      <c r="H63" s="4"/>
      <c r="I63" s="4"/>
      <c r="J63" s="4"/>
      <c r="K63" s="4"/>
      <c r="L63" s="4"/>
      <c r="M63" s="4"/>
      <c r="P63" s="4"/>
      <c r="Q63" s="4"/>
      <c r="R63" s="4"/>
      <c r="S63" s="4"/>
      <c r="T63" s="4"/>
      <c r="U63" s="4"/>
      <c r="V63" s="4"/>
      <c r="W63" s="4"/>
      <c r="X63" s="4"/>
      <c r="Y63" s="4"/>
      <c r="Z63" s="4"/>
      <c r="AA63" s="4"/>
      <c r="AB63" s="4"/>
    </row>
    <row r="64" spans="1:38" ht="13">
      <c r="A64" s="4"/>
      <c r="C64" s="2"/>
      <c r="D64" s="4"/>
      <c r="E64" s="4"/>
      <c r="F64" t="s">
        <v>686</v>
      </c>
      <c r="G64" s="1270" t="s">
        <v>1165</v>
      </c>
      <c r="H64" s="1270"/>
      <c r="I64" s="1270"/>
      <c r="J64" s="1270"/>
      <c r="K64" s="1270"/>
      <c r="L64" s="1270"/>
      <c r="M64" s="1270"/>
      <c r="N64" s="1270"/>
      <c r="O64" s="1270"/>
      <c r="P64" s="1270"/>
      <c r="Q64" s="1270"/>
      <c r="R64" s="1270"/>
      <c r="S64" s="1270"/>
      <c r="T64" s="1270"/>
      <c r="U64" s="1270"/>
      <c r="V64" s="1270"/>
      <c r="W64" s="1270"/>
      <c r="X64" s="1270"/>
      <c r="Y64" s="1270"/>
      <c r="Z64" s="1270"/>
      <c r="AA64" s="1270"/>
      <c r="AB64" s="1270"/>
      <c r="AC64" s="1270"/>
      <c r="AD64" s="1270"/>
      <c r="AE64" s="1270"/>
      <c r="AF64" s="1270"/>
      <c r="AG64" s="1270"/>
      <c r="AH64" s="1270"/>
      <c r="AI64" s="1270"/>
      <c r="AJ64" s="1270"/>
      <c r="AK64" s="1270"/>
    </row>
    <row r="65" spans="1:37" ht="13">
      <c r="A65" s="4"/>
      <c r="C65" s="2"/>
      <c r="D65" s="4"/>
      <c r="E65" s="4"/>
      <c r="G65" s="1270"/>
      <c r="H65" s="1270"/>
      <c r="I65" s="1270"/>
      <c r="J65" s="1270"/>
      <c r="K65" s="1270"/>
      <c r="L65" s="1270"/>
      <c r="M65" s="1270"/>
      <c r="N65" s="1270"/>
      <c r="O65" s="1270"/>
      <c r="P65" s="1270"/>
      <c r="Q65" s="1270"/>
      <c r="R65" s="1270"/>
      <c r="S65" s="1270"/>
      <c r="T65" s="1270"/>
      <c r="U65" s="1270"/>
      <c r="V65" s="1270"/>
      <c r="W65" s="1270"/>
      <c r="X65" s="1270"/>
      <c r="Y65" s="1270"/>
      <c r="Z65" s="1270"/>
      <c r="AA65" s="1270"/>
      <c r="AB65" s="1270"/>
      <c r="AC65" s="1270"/>
      <c r="AD65" s="1270"/>
      <c r="AE65" s="1270"/>
      <c r="AF65" s="1270"/>
      <c r="AG65" s="1270"/>
      <c r="AH65" s="1270"/>
      <c r="AI65" s="1270"/>
      <c r="AJ65" s="1270"/>
      <c r="AK65" s="1270"/>
    </row>
    <row r="66" spans="1:37" ht="13">
      <c r="A66" s="4"/>
      <c r="C66" s="2"/>
      <c r="D66" s="4"/>
      <c r="E66" s="4"/>
      <c r="G66" s="1270"/>
      <c r="H66" s="1270"/>
      <c r="I66" s="1270"/>
      <c r="J66" s="1270"/>
      <c r="K66" s="1270"/>
      <c r="L66" s="1270"/>
      <c r="M66" s="1270"/>
      <c r="N66" s="1270"/>
      <c r="O66" s="1270"/>
      <c r="P66" s="1270"/>
      <c r="Q66" s="1270"/>
      <c r="R66" s="1270"/>
      <c r="S66" s="1270"/>
      <c r="T66" s="1270"/>
      <c r="U66" s="1270"/>
      <c r="V66" s="1270"/>
      <c r="W66" s="1270"/>
      <c r="X66" s="1270"/>
      <c r="Y66" s="1270"/>
      <c r="Z66" s="1270"/>
      <c r="AA66" s="1270"/>
      <c r="AB66" s="1270"/>
      <c r="AC66" s="1270"/>
      <c r="AD66" s="1270"/>
      <c r="AE66" s="1270"/>
      <c r="AF66" s="1270"/>
      <c r="AG66" s="1270"/>
      <c r="AH66" s="1270"/>
      <c r="AI66" s="1270"/>
      <c r="AJ66" s="1270"/>
      <c r="AK66" s="1270"/>
    </row>
    <row r="67" spans="1:37" ht="13.15" customHeight="1">
      <c r="A67" s="4"/>
      <c r="C67" s="2"/>
      <c r="D67" s="4"/>
      <c r="E67" s="4"/>
      <c r="F67" t="s">
        <v>508</v>
      </c>
      <c r="G67" s="1270" t="s">
        <v>1166</v>
      </c>
      <c r="H67" s="1270"/>
      <c r="I67" s="1270"/>
      <c r="J67" s="1270"/>
      <c r="K67" s="1270"/>
      <c r="L67" s="1270"/>
      <c r="M67" s="1270"/>
      <c r="N67" s="1270"/>
      <c r="O67" s="1270"/>
      <c r="P67" s="1270"/>
      <c r="Q67" s="1270"/>
      <c r="R67" s="1270"/>
      <c r="S67" s="1270"/>
      <c r="T67" s="1270"/>
      <c r="U67" s="1270"/>
      <c r="V67" s="1270"/>
      <c r="W67" s="1270"/>
      <c r="X67" s="1270"/>
      <c r="Y67" s="1270"/>
      <c r="Z67" s="1270"/>
      <c r="AA67" s="1270"/>
      <c r="AB67" s="1270"/>
      <c r="AC67" s="1270"/>
      <c r="AD67" s="1270"/>
      <c r="AE67" s="1270"/>
      <c r="AF67" s="1270"/>
      <c r="AG67" s="1270"/>
      <c r="AH67" s="1270"/>
      <c r="AI67" s="1270"/>
      <c r="AJ67" s="1270"/>
      <c r="AK67" s="1270"/>
    </row>
    <row r="68" spans="1:37" ht="13">
      <c r="A68" s="4"/>
      <c r="C68" s="2"/>
      <c r="D68" s="4"/>
      <c r="E68" s="4"/>
      <c r="F68" s="27"/>
      <c r="G68" s="1270"/>
      <c r="H68" s="1270"/>
      <c r="I68" s="1270"/>
      <c r="J68" s="1270"/>
      <c r="K68" s="1270"/>
      <c r="L68" s="1270"/>
      <c r="M68" s="1270"/>
      <c r="N68" s="1270"/>
      <c r="O68" s="1270"/>
      <c r="P68" s="1270"/>
      <c r="Q68" s="1270"/>
      <c r="R68" s="1270"/>
      <c r="S68" s="1270"/>
      <c r="T68" s="1270"/>
      <c r="U68" s="1270"/>
      <c r="V68" s="1270"/>
      <c r="W68" s="1270"/>
      <c r="X68" s="1270"/>
      <c r="Y68" s="1270"/>
      <c r="Z68" s="1270"/>
      <c r="AA68" s="1270"/>
      <c r="AB68" s="1270"/>
      <c r="AC68" s="1270"/>
      <c r="AD68" s="1270"/>
      <c r="AE68" s="1270"/>
      <c r="AF68" s="1270"/>
      <c r="AG68" s="1270"/>
      <c r="AH68" s="1270"/>
      <c r="AI68" s="1270"/>
      <c r="AJ68" s="1270"/>
      <c r="AK68" s="1270"/>
    </row>
    <row r="69" spans="1:37" ht="13">
      <c r="A69" s="4"/>
      <c r="C69" s="2"/>
      <c r="D69" s="4"/>
      <c r="E69" s="4" t="s">
        <v>347</v>
      </c>
      <c r="F69" s="4" t="s">
        <v>420</v>
      </c>
      <c r="G69" s="456"/>
      <c r="H69" s="456"/>
      <c r="I69" s="456"/>
      <c r="J69" s="456"/>
      <c r="K69" s="456"/>
      <c r="L69" s="456"/>
      <c r="M69" s="456"/>
      <c r="N69" s="456"/>
      <c r="O69" s="456"/>
      <c r="P69" s="456"/>
      <c r="Q69" s="456"/>
      <c r="R69" s="456"/>
      <c r="S69" s="456"/>
      <c r="T69" s="456"/>
      <c r="U69" s="456"/>
      <c r="V69" s="456"/>
      <c r="W69" s="456"/>
      <c r="X69" s="456"/>
      <c r="Y69" s="456"/>
      <c r="Z69" s="456"/>
      <c r="AA69" s="456"/>
      <c r="AB69" s="456"/>
      <c r="AC69" s="456"/>
      <c r="AD69" s="456"/>
      <c r="AE69" s="456"/>
      <c r="AF69" s="456"/>
      <c r="AG69" s="456"/>
      <c r="AH69" s="456"/>
      <c r="AI69" s="456"/>
      <c r="AJ69" s="456"/>
      <c r="AK69" s="456"/>
    </row>
    <row r="70" spans="1:37" ht="13">
      <c r="A70" s="4"/>
      <c r="C70" s="2"/>
      <c r="D70" s="4"/>
      <c r="E70" s="4"/>
      <c r="F70" s="8" t="s">
        <v>686</v>
      </c>
      <c r="G70" s="1270" t="s">
        <v>1167</v>
      </c>
      <c r="H70" s="1270"/>
      <c r="I70" s="1270"/>
      <c r="J70" s="1270"/>
      <c r="K70" s="1270"/>
      <c r="L70" s="1270"/>
      <c r="M70" s="1270"/>
      <c r="N70" s="1270"/>
      <c r="O70" s="1270"/>
      <c r="P70" s="1270"/>
      <c r="Q70" s="1270"/>
      <c r="R70" s="1270"/>
      <c r="S70" s="1270"/>
      <c r="T70" s="1270"/>
      <c r="U70" s="1270"/>
      <c r="V70" s="1270"/>
      <c r="W70" s="1270"/>
      <c r="X70" s="1270"/>
      <c r="Y70" s="1270"/>
      <c r="Z70" s="1270"/>
      <c r="AA70" s="1270"/>
      <c r="AB70" s="1270"/>
      <c r="AC70" s="1270"/>
      <c r="AD70" s="1270"/>
      <c r="AE70" s="1270"/>
      <c r="AF70" s="1270"/>
      <c r="AG70" s="1270"/>
      <c r="AH70" s="1270"/>
      <c r="AI70" s="1270"/>
      <c r="AJ70" s="1270"/>
      <c r="AK70" s="1270"/>
    </row>
    <row r="71" spans="1:37" ht="13">
      <c r="A71" s="4"/>
      <c r="C71" s="2"/>
      <c r="D71" s="4"/>
      <c r="E71" s="4"/>
      <c r="F71" s="8"/>
      <c r="G71" s="1270"/>
      <c r="H71" s="1270"/>
      <c r="I71" s="1270"/>
      <c r="J71" s="1270"/>
      <c r="K71" s="1270"/>
      <c r="L71" s="1270"/>
      <c r="M71" s="1270"/>
      <c r="N71" s="1270"/>
      <c r="O71" s="1270"/>
      <c r="P71" s="1270"/>
      <c r="Q71" s="1270"/>
      <c r="R71" s="1270"/>
      <c r="S71" s="1270"/>
      <c r="T71" s="1270"/>
      <c r="U71" s="1270"/>
      <c r="V71" s="1270"/>
      <c r="W71" s="1270"/>
      <c r="X71" s="1270"/>
      <c r="Y71" s="1270"/>
      <c r="Z71" s="1270"/>
      <c r="AA71" s="1270"/>
      <c r="AB71" s="1270"/>
      <c r="AC71" s="1270"/>
      <c r="AD71" s="1270"/>
      <c r="AE71" s="1270"/>
      <c r="AF71" s="1270"/>
      <c r="AG71" s="1270"/>
      <c r="AH71" s="1270"/>
      <c r="AI71" s="1270"/>
      <c r="AJ71" s="1270"/>
      <c r="AK71" s="1270"/>
    </row>
    <row r="72" spans="1:37" ht="13">
      <c r="A72" s="4"/>
      <c r="C72" s="2"/>
      <c r="D72" s="4"/>
      <c r="E72" s="4"/>
      <c r="F72" s="8" t="s">
        <v>508</v>
      </c>
      <c r="G72" s="1270" t="s">
        <v>1168</v>
      </c>
      <c r="H72" s="1270"/>
      <c r="I72" s="1270"/>
      <c r="J72" s="1270"/>
      <c r="K72" s="1270"/>
      <c r="L72" s="1270"/>
      <c r="M72" s="1270"/>
      <c r="N72" s="1270"/>
      <c r="O72" s="1270"/>
      <c r="P72" s="1270"/>
      <c r="Q72" s="1270"/>
      <c r="R72" s="1270"/>
      <c r="S72" s="1270"/>
      <c r="T72" s="1270"/>
      <c r="U72" s="1270"/>
      <c r="V72" s="1270"/>
      <c r="W72" s="1270"/>
      <c r="X72" s="1270"/>
      <c r="Y72" s="1270"/>
      <c r="Z72" s="1270"/>
      <c r="AA72" s="1270"/>
      <c r="AB72" s="1270"/>
      <c r="AC72" s="1270"/>
      <c r="AD72" s="1270"/>
      <c r="AE72" s="1270"/>
      <c r="AF72" s="1270"/>
      <c r="AG72" s="1270"/>
      <c r="AH72" s="1270"/>
      <c r="AI72" s="1270"/>
      <c r="AJ72" s="1270"/>
      <c r="AK72" s="1270"/>
    </row>
    <row r="73" spans="1:37" ht="13">
      <c r="A73" s="4"/>
      <c r="C73" s="2"/>
      <c r="D73" s="4"/>
      <c r="E73" s="4"/>
      <c r="F73" s="8"/>
      <c r="G73" s="1270"/>
      <c r="H73" s="1270"/>
      <c r="I73" s="1270"/>
      <c r="J73" s="1270"/>
      <c r="K73" s="1270"/>
      <c r="L73" s="1270"/>
      <c r="M73" s="1270"/>
      <c r="N73" s="1270"/>
      <c r="O73" s="1270"/>
      <c r="P73" s="1270"/>
      <c r="Q73" s="1270"/>
      <c r="R73" s="1270"/>
      <c r="S73" s="1270"/>
      <c r="T73" s="1270"/>
      <c r="U73" s="1270"/>
      <c r="V73" s="1270"/>
      <c r="W73" s="1270"/>
      <c r="X73" s="1270"/>
      <c r="Y73" s="1270"/>
      <c r="Z73" s="1270"/>
      <c r="AA73" s="1270"/>
      <c r="AB73" s="1270"/>
      <c r="AC73" s="1270"/>
      <c r="AD73" s="1270"/>
      <c r="AE73" s="1270"/>
      <c r="AF73" s="1270"/>
      <c r="AG73" s="1270"/>
      <c r="AH73" s="1270"/>
      <c r="AI73" s="1270"/>
      <c r="AJ73" s="1270"/>
      <c r="AK73" s="1270"/>
    </row>
    <row r="74" spans="1:37" ht="13">
      <c r="A74" s="4"/>
      <c r="C74" s="2"/>
      <c r="D74" s="4"/>
      <c r="E74" s="4"/>
      <c r="F74" s="8"/>
      <c r="G74" s="120" t="s">
        <v>749</v>
      </c>
      <c r="H74" s="4"/>
      <c r="J74" s="120"/>
      <c r="K74" s="120"/>
      <c r="L74" s="120"/>
      <c r="P74" s="4"/>
      <c r="Q74" s="4"/>
      <c r="R74" s="4"/>
      <c r="S74" s="4"/>
      <c r="T74" s="4"/>
      <c r="U74" s="4"/>
      <c r="V74" s="4"/>
      <c r="W74" s="4"/>
      <c r="X74" s="4"/>
      <c r="Y74" s="4"/>
      <c r="Z74" s="4"/>
      <c r="AA74" s="4"/>
      <c r="AB74" s="4"/>
    </row>
    <row r="75" spans="1:37" ht="13">
      <c r="A75" s="4"/>
      <c r="C75" s="2"/>
      <c r="D75" s="4"/>
      <c r="E75" s="4"/>
      <c r="F75" s="8"/>
      <c r="G75" s="120" t="s">
        <v>863</v>
      </c>
      <c r="J75" s="120"/>
      <c r="K75" s="120"/>
      <c r="L75" s="120"/>
      <c r="P75" s="4"/>
      <c r="Q75" s="4"/>
      <c r="R75" s="4"/>
      <c r="S75" s="4"/>
      <c r="T75" s="4"/>
      <c r="U75" s="4"/>
      <c r="V75" s="4"/>
      <c r="W75" s="4"/>
      <c r="X75" s="4"/>
      <c r="Y75" s="4"/>
      <c r="Z75" s="4"/>
      <c r="AA75" s="4"/>
      <c r="AB75" s="4"/>
    </row>
    <row r="76" spans="1:37" ht="13">
      <c r="A76" s="4"/>
      <c r="C76" s="2"/>
      <c r="D76" s="4"/>
      <c r="E76" s="4"/>
      <c r="F76" s="8" t="s">
        <v>277</v>
      </c>
      <c r="G76" s="4" t="s">
        <v>1013</v>
      </c>
      <c r="H76" s="4"/>
      <c r="I76" s="4"/>
      <c r="K76" s="4"/>
      <c r="L76" s="4"/>
      <c r="M76" s="4"/>
      <c r="P76" s="4"/>
      <c r="Q76" s="4"/>
      <c r="R76" s="4"/>
      <c r="S76" s="4"/>
      <c r="T76" s="4"/>
      <c r="U76" s="4"/>
      <c r="V76" s="4"/>
      <c r="W76" s="4"/>
      <c r="X76" s="4"/>
      <c r="Y76" s="4"/>
      <c r="Z76" s="4"/>
      <c r="AA76" s="4"/>
      <c r="AB76" s="4"/>
    </row>
    <row r="77" spans="1:37" ht="13">
      <c r="A77" s="4"/>
      <c r="C77" s="2"/>
      <c r="D77" s="4"/>
      <c r="E77" s="4"/>
      <c r="F77" s="4"/>
      <c r="G77" s="4" t="s">
        <v>506</v>
      </c>
      <c r="H77" s="4" t="s">
        <v>864</v>
      </c>
      <c r="K77" s="4"/>
      <c r="L77" s="4"/>
      <c r="M77" s="4"/>
      <c r="P77" s="4"/>
      <c r="Q77" s="4"/>
      <c r="R77" s="4"/>
      <c r="S77" s="4"/>
      <c r="T77" s="4"/>
      <c r="U77" s="4"/>
      <c r="V77" s="4"/>
      <c r="W77" s="4"/>
      <c r="X77" s="4"/>
      <c r="Y77" s="4"/>
      <c r="Z77" s="4"/>
      <c r="AA77" s="4"/>
      <c r="AB77" s="4"/>
    </row>
    <row r="78" spans="1:37" ht="13">
      <c r="A78" s="4"/>
      <c r="C78" s="2"/>
      <c r="D78" s="4"/>
      <c r="E78" s="4"/>
      <c r="F78" s="4"/>
      <c r="G78" s="4" t="s">
        <v>756</v>
      </c>
      <c r="H78" s="4" t="s">
        <v>752</v>
      </c>
      <c r="K78" s="4"/>
      <c r="L78" s="4"/>
      <c r="M78" s="4"/>
      <c r="P78" s="4"/>
      <c r="Q78" s="4"/>
      <c r="R78" s="4"/>
      <c r="S78" s="4"/>
      <c r="T78" s="4"/>
      <c r="U78" s="4"/>
      <c r="V78" s="4"/>
      <c r="W78" s="4"/>
      <c r="X78" s="4"/>
      <c r="Y78" s="4"/>
      <c r="Z78" s="4"/>
      <c r="AA78" s="4"/>
      <c r="AB78" s="4"/>
    </row>
    <row r="79" spans="1:37" ht="13">
      <c r="A79" s="4"/>
      <c r="C79" s="2"/>
      <c r="D79" s="4"/>
      <c r="E79" s="4" t="s">
        <v>348</v>
      </c>
      <c r="F79" s="4" t="s">
        <v>22</v>
      </c>
      <c r="G79" s="4"/>
      <c r="H79" s="4"/>
      <c r="I79" s="4"/>
      <c r="J79" s="4"/>
      <c r="K79" s="4"/>
      <c r="L79" s="4"/>
      <c r="M79" s="4"/>
      <c r="P79" s="4"/>
      <c r="Q79" s="4"/>
      <c r="R79" s="4"/>
      <c r="S79" s="4"/>
      <c r="T79" s="4"/>
      <c r="U79" s="4"/>
      <c r="V79" s="4"/>
      <c r="W79" s="4"/>
      <c r="X79" s="4"/>
      <c r="Y79" s="4"/>
      <c r="Z79" s="4"/>
      <c r="AA79" s="4"/>
      <c r="AB79" s="4"/>
    </row>
    <row r="80" spans="1:37" ht="13">
      <c r="A80" s="4"/>
      <c r="C80" s="2"/>
      <c r="D80" s="4"/>
      <c r="E80" s="4"/>
      <c r="F80" s="8"/>
      <c r="G80" s="1270" t="s">
        <v>1169</v>
      </c>
      <c r="H80" s="1270"/>
      <c r="I80" s="1270"/>
      <c r="J80" s="1270"/>
      <c r="K80" s="1270"/>
      <c r="L80" s="1270"/>
      <c r="M80" s="1270"/>
      <c r="N80" s="1270"/>
      <c r="O80" s="1270"/>
      <c r="P80" s="1270"/>
      <c r="Q80" s="1270"/>
      <c r="R80" s="1270"/>
      <c r="S80" s="1270"/>
      <c r="T80" s="1270"/>
      <c r="U80" s="1270"/>
      <c r="V80" s="1270"/>
      <c r="W80" s="1270"/>
      <c r="X80" s="1270"/>
      <c r="Y80" s="1270"/>
      <c r="Z80" s="1270"/>
      <c r="AA80" s="1270"/>
      <c r="AB80" s="1270"/>
      <c r="AC80" s="1270"/>
      <c r="AD80" s="1270"/>
      <c r="AE80" s="1270"/>
      <c r="AF80" s="1270"/>
      <c r="AG80" s="1270"/>
      <c r="AH80" s="1270"/>
      <c r="AI80" s="1270"/>
      <c r="AJ80" s="1270"/>
      <c r="AK80" s="1270"/>
    </row>
    <row r="81" spans="1:37" ht="13">
      <c r="A81" s="4"/>
      <c r="C81" s="2"/>
      <c r="D81" s="4"/>
      <c r="E81" s="4"/>
      <c r="F81" s="4"/>
      <c r="G81" s="1270"/>
      <c r="H81" s="1270"/>
      <c r="I81" s="1270"/>
      <c r="J81" s="1270"/>
      <c r="K81" s="1270"/>
      <c r="L81" s="1270"/>
      <c r="M81" s="1270"/>
      <c r="N81" s="1270"/>
      <c r="O81" s="1270"/>
      <c r="P81" s="1270"/>
      <c r="Q81" s="1270"/>
      <c r="R81" s="1270"/>
      <c r="S81" s="1270"/>
      <c r="T81" s="1270"/>
      <c r="U81" s="1270"/>
      <c r="V81" s="1270"/>
      <c r="W81" s="1270"/>
      <c r="X81" s="1270"/>
      <c r="Y81" s="1270"/>
      <c r="Z81" s="1270"/>
      <c r="AA81" s="1270"/>
      <c r="AB81" s="1270"/>
      <c r="AC81" s="1270"/>
      <c r="AD81" s="1270"/>
      <c r="AE81" s="1270"/>
      <c r="AF81" s="1270"/>
      <c r="AG81" s="1270"/>
      <c r="AH81" s="1270"/>
      <c r="AI81" s="1270"/>
      <c r="AJ81" s="1270"/>
      <c r="AK81" s="1270"/>
    </row>
    <row r="82" spans="1:37" ht="13">
      <c r="A82" s="4"/>
      <c r="C82" s="2"/>
      <c r="D82" s="4"/>
      <c r="E82" s="4"/>
      <c r="F82" s="4"/>
      <c r="G82" s="1270"/>
      <c r="H82" s="1270"/>
      <c r="I82" s="1270"/>
      <c r="J82" s="1270"/>
      <c r="K82" s="1270"/>
      <c r="L82" s="1270"/>
      <c r="M82" s="1270"/>
      <c r="N82" s="1270"/>
      <c r="O82" s="1270"/>
      <c r="P82" s="1270"/>
      <c r="Q82" s="1270"/>
      <c r="R82" s="1270"/>
      <c r="S82" s="1270"/>
      <c r="T82" s="1270"/>
      <c r="U82" s="1270"/>
      <c r="V82" s="1270"/>
      <c r="W82" s="1270"/>
      <c r="X82" s="1270"/>
      <c r="Y82" s="1270"/>
      <c r="Z82" s="1270"/>
      <c r="AA82" s="1270"/>
      <c r="AB82" s="1270"/>
      <c r="AC82" s="1270"/>
      <c r="AD82" s="1270"/>
      <c r="AE82" s="1270"/>
      <c r="AF82" s="1270"/>
      <c r="AG82" s="1270"/>
      <c r="AH82" s="1270"/>
      <c r="AI82" s="1270"/>
      <c r="AJ82" s="1270"/>
      <c r="AK82" s="1270"/>
    </row>
    <row r="83" spans="1:37" ht="13">
      <c r="A83" s="4"/>
      <c r="C83" s="2"/>
      <c r="D83" s="4"/>
      <c r="E83" s="4" t="s">
        <v>443</v>
      </c>
      <c r="F83" s="4" t="s">
        <v>615</v>
      </c>
      <c r="G83" s="4"/>
      <c r="H83" s="4"/>
      <c r="I83" s="4"/>
      <c r="J83" s="4"/>
      <c r="K83" s="4"/>
      <c r="L83" s="4"/>
      <c r="M83" s="4"/>
      <c r="P83" s="4"/>
      <c r="Q83" s="4"/>
      <c r="R83" s="4"/>
      <c r="S83" s="4"/>
      <c r="T83" s="4"/>
      <c r="U83" s="4"/>
      <c r="V83" s="4"/>
      <c r="W83" s="4"/>
      <c r="X83" s="4"/>
      <c r="Y83" s="4"/>
      <c r="Z83" s="4"/>
      <c r="AA83" s="4"/>
      <c r="AB83" s="4"/>
    </row>
    <row r="84" spans="1:37" ht="13">
      <c r="A84" s="4"/>
      <c r="C84" s="2"/>
      <c r="D84" s="4"/>
      <c r="E84" s="4"/>
      <c r="F84" s="8"/>
      <c r="G84" s="1270" t="s">
        <v>1170</v>
      </c>
      <c r="H84" s="1270"/>
      <c r="I84" s="1270"/>
      <c r="J84" s="1270"/>
      <c r="K84" s="1270"/>
      <c r="L84" s="1270"/>
      <c r="M84" s="1270"/>
      <c r="N84" s="1270"/>
      <c r="O84" s="1270"/>
      <c r="P84" s="1270"/>
      <c r="Q84" s="1270"/>
      <c r="R84" s="1270"/>
      <c r="S84" s="1270"/>
      <c r="T84" s="1270"/>
      <c r="U84" s="1270"/>
      <c r="V84" s="1270"/>
      <c r="W84" s="1270"/>
      <c r="X84" s="1270"/>
      <c r="Y84" s="1270"/>
      <c r="Z84" s="1270"/>
      <c r="AA84" s="1270"/>
      <c r="AB84" s="1270"/>
      <c r="AC84" s="1270"/>
      <c r="AD84" s="1270"/>
      <c r="AE84" s="1270"/>
      <c r="AF84" s="1270"/>
      <c r="AG84" s="1270"/>
      <c r="AH84" s="1270"/>
      <c r="AI84" s="1270"/>
      <c r="AJ84" s="1270"/>
      <c r="AK84" s="1270"/>
    </row>
    <row r="85" spans="1:37" ht="13">
      <c r="A85" s="4"/>
      <c r="C85" s="2"/>
      <c r="D85" s="4"/>
      <c r="E85" s="4"/>
      <c r="F85" s="4"/>
      <c r="G85" s="1270"/>
      <c r="H85" s="1270"/>
      <c r="I85" s="1270"/>
      <c r="J85" s="1270"/>
      <c r="K85" s="1270"/>
      <c r="L85" s="1270"/>
      <c r="M85" s="1270"/>
      <c r="N85" s="1270"/>
      <c r="O85" s="1270"/>
      <c r="P85" s="1270"/>
      <c r="Q85" s="1270"/>
      <c r="R85" s="1270"/>
      <c r="S85" s="1270"/>
      <c r="T85" s="1270"/>
      <c r="U85" s="1270"/>
      <c r="V85" s="1270"/>
      <c r="W85" s="1270"/>
      <c r="X85" s="1270"/>
      <c r="Y85" s="1270"/>
      <c r="Z85" s="1270"/>
      <c r="AA85" s="1270"/>
      <c r="AB85" s="1270"/>
      <c r="AC85" s="1270"/>
      <c r="AD85" s="1270"/>
      <c r="AE85" s="1270"/>
      <c r="AF85" s="1270"/>
      <c r="AG85" s="1270"/>
      <c r="AH85" s="1270"/>
      <c r="AI85" s="1270"/>
      <c r="AJ85" s="1270"/>
      <c r="AK85" s="1270"/>
    </row>
    <row r="86" spans="1:37" ht="13">
      <c r="A86" s="4"/>
      <c r="C86" s="2"/>
      <c r="D86" s="4"/>
      <c r="E86" s="4"/>
      <c r="G86" s="1270"/>
      <c r="H86" s="1270"/>
      <c r="I86" s="1270"/>
      <c r="J86" s="1270"/>
      <c r="K86" s="1270"/>
      <c r="L86" s="1270"/>
      <c r="M86" s="1270"/>
      <c r="N86" s="1270"/>
      <c r="O86" s="1270"/>
      <c r="P86" s="1270"/>
      <c r="Q86" s="1270"/>
      <c r="R86" s="1270"/>
      <c r="S86" s="1270"/>
      <c r="T86" s="1270"/>
      <c r="U86" s="1270"/>
      <c r="V86" s="1270"/>
      <c r="W86" s="1270"/>
      <c r="X86" s="1270"/>
      <c r="Y86" s="1270"/>
      <c r="Z86" s="1270"/>
      <c r="AA86" s="1270"/>
      <c r="AB86" s="1270"/>
      <c r="AC86" s="1270"/>
      <c r="AD86" s="1270"/>
      <c r="AE86" s="1270"/>
      <c r="AF86" s="1270"/>
      <c r="AG86" s="1270"/>
      <c r="AH86" s="1270"/>
      <c r="AI86" s="1270"/>
      <c r="AJ86" s="1270"/>
      <c r="AK86" s="1270"/>
    </row>
    <row r="87" spans="1:37" ht="13">
      <c r="A87" s="4"/>
      <c r="C87" s="2"/>
      <c r="D87" s="4"/>
      <c r="E87" s="4" t="s">
        <v>261</v>
      </c>
      <c r="F87" t="s">
        <v>865</v>
      </c>
      <c r="G87" s="4"/>
      <c r="L87" s="4"/>
      <c r="M87" s="4"/>
      <c r="P87" s="4"/>
      <c r="Q87" s="4"/>
      <c r="R87" s="4"/>
      <c r="S87" s="4"/>
      <c r="T87" s="4"/>
      <c r="U87" s="4"/>
      <c r="V87" s="4"/>
      <c r="W87" s="4"/>
      <c r="X87" s="4"/>
      <c r="Y87" s="4"/>
      <c r="Z87" s="4"/>
      <c r="AA87" s="4"/>
      <c r="AB87" s="4"/>
    </row>
    <row r="88" spans="1:37" ht="13">
      <c r="A88" s="4"/>
      <c r="C88" s="2"/>
      <c r="D88" s="4"/>
      <c r="E88" s="4"/>
      <c r="G88" s="1273" t="s">
        <v>1171</v>
      </c>
      <c r="H88" s="1273"/>
      <c r="I88" s="1273"/>
      <c r="J88" s="1273"/>
      <c r="K88" s="1273"/>
      <c r="L88" s="1273"/>
      <c r="M88" s="1273"/>
      <c r="N88" s="1273"/>
      <c r="O88" s="1273"/>
      <c r="P88" s="1273"/>
      <c r="Q88" s="1273"/>
      <c r="R88" s="1273"/>
      <c r="S88" s="1273"/>
      <c r="T88" s="1273"/>
      <c r="U88" s="1273"/>
      <c r="V88" s="1273"/>
      <c r="W88" s="1273"/>
      <c r="X88" s="1273"/>
      <c r="Y88" s="1273"/>
      <c r="Z88" s="1273"/>
      <c r="AA88" s="1273"/>
      <c r="AB88" s="1273"/>
      <c r="AC88" s="1273"/>
      <c r="AD88" s="1273"/>
      <c r="AE88" s="1273"/>
      <c r="AF88" s="1273"/>
      <c r="AG88" s="1273"/>
      <c r="AH88" s="1273"/>
      <c r="AI88" s="1273"/>
      <c r="AJ88" s="1273"/>
      <c r="AK88" s="1273"/>
    </row>
    <row r="89" spans="1:37" ht="13">
      <c r="A89" s="4"/>
      <c r="C89" s="2"/>
      <c r="D89" s="4"/>
      <c r="E89" s="4"/>
      <c r="G89" s="1273"/>
      <c r="H89" s="1273"/>
      <c r="I89" s="1273"/>
      <c r="J89" s="1273"/>
      <c r="K89" s="1273"/>
      <c r="L89" s="1273"/>
      <c r="M89" s="1273"/>
      <c r="N89" s="1273"/>
      <c r="O89" s="1273"/>
      <c r="P89" s="1273"/>
      <c r="Q89" s="1273"/>
      <c r="R89" s="1273"/>
      <c r="S89" s="1273"/>
      <c r="T89" s="1273"/>
      <c r="U89" s="1273"/>
      <c r="V89" s="1273"/>
      <c r="W89" s="1273"/>
      <c r="X89" s="1273"/>
      <c r="Y89" s="1273"/>
      <c r="Z89" s="1273"/>
      <c r="AA89" s="1273"/>
      <c r="AB89" s="1273"/>
      <c r="AC89" s="1273"/>
      <c r="AD89" s="1273"/>
      <c r="AE89" s="1273"/>
      <c r="AF89" s="1273"/>
      <c r="AG89" s="1273"/>
      <c r="AH89" s="1273"/>
      <c r="AI89" s="1273"/>
      <c r="AJ89" s="1273"/>
      <c r="AK89" s="1273"/>
    </row>
    <row r="90" spans="1:37" ht="13">
      <c r="A90" s="4"/>
      <c r="C90" s="2"/>
      <c r="D90" s="4"/>
      <c r="E90" s="4"/>
      <c r="G90" s="1273"/>
      <c r="H90" s="1273"/>
      <c r="I90" s="1273"/>
      <c r="J90" s="1273"/>
      <c r="K90" s="1273"/>
      <c r="L90" s="1273"/>
      <c r="M90" s="1273"/>
      <c r="N90" s="1273"/>
      <c r="O90" s="1273"/>
      <c r="P90" s="1273"/>
      <c r="Q90" s="1273"/>
      <c r="R90" s="1273"/>
      <c r="S90" s="1273"/>
      <c r="T90" s="1273"/>
      <c r="U90" s="1273"/>
      <c r="V90" s="1273"/>
      <c r="W90" s="1273"/>
      <c r="X90" s="1273"/>
      <c r="Y90" s="1273"/>
      <c r="Z90" s="1273"/>
      <c r="AA90" s="1273"/>
      <c r="AB90" s="1273"/>
      <c r="AC90" s="1273"/>
      <c r="AD90" s="1273"/>
      <c r="AE90" s="1273"/>
      <c r="AF90" s="1273"/>
      <c r="AG90" s="1273"/>
      <c r="AH90" s="1273"/>
      <c r="AI90" s="1273"/>
      <c r="AJ90" s="1273"/>
      <c r="AK90" s="1273"/>
    </row>
    <row r="91" spans="1:37" ht="13">
      <c r="A91" s="4"/>
      <c r="C91" s="2"/>
      <c r="D91" s="4"/>
      <c r="E91" s="4" t="s">
        <v>262</v>
      </c>
      <c r="F91" s="4" t="s">
        <v>515</v>
      </c>
      <c r="G91" s="4"/>
      <c r="H91" s="4"/>
      <c r="I91" s="4"/>
      <c r="J91" s="4"/>
      <c r="K91" s="4"/>
      <c r="L91" s="4"/>
      <c r="M91" s="4"/>
      <c r="P91" s="4"/>
      <c r="Q91" s="4"/>
      <c r="R91" s="4"/>
      <c r="S91" s="4"/>
      <c r="T91" s="4"/>
      <c r="U91" s="4"/>
      <c r="V91" s="4"/>
      <c r="W91" s="4"/>
      <c r="X91" s="4"/>
      <c r="Y91" s="4"/>
      <c r="Z91" s="4"/>
      <c r="AA91" s="4"/>
      <c r="AB91" s="4"/>
    </row>
    <row r="92" spans="1:37" ht="13">
      <c r="A92" s="4"/>
      <c r="C92" s="2"/>
      <c r="D92" s="4"/>
      <c r="E92" s="4"/>
      <c r="F92" s="4"/>
      <c r="G92" s="1270" t="s">
        <v>1172</v>
      </c>
      <c r="H92" s="1270"/>
      <c r="I92" s="1270"/>
      <c r="J92" s="1270"/>
      <c r="K92" s="1270"/>
      <c r="L92" s="1270"/>
      <c r="M92" s="1270"/>
      <c r="N92" s="1270"/>
      <c r="O92" s="1270"/>
      <c r="P92" s="1270"/>
      <c r="Q92" s="1270"/>
      <c r="R92" s="1270"/>
      <c r="S92" s="1270"/>
      <c r="T92" s="1270"/>
      <c r="U92" s="1270"/>
      <c r="V92" s="1270"/>
      <c r="W92" s="1270"/>
      <c r="X92" s="1270"/>
      <c r="Y92" s="1270"/>
      <c r="Z92" s="1270"/>
      <c r="AA92" s="1270"/>
      <c r="AB92" s="1270"/>
      <c r="AC92" s="1270"/>
      <c r="AD92" s="1270"/>
      <c r="AE92" s="1270"/>
      <c r="AF92" s="1270"/>
      <c r="AG92" s="1270"/>
      <c r="AH92" s="1270"/>
      <c r="AI92" s="1270"/>
      <c r="AJ92" s="1270"/>
      <c r="AK92" s="1270"/>
    </row>
    <row r="93" spans="1:37" ht="13">
      <c r="A93" s="4"/>
      <c r="C93" s="2"/>
      <c r="D93" s="4"/>
      <c r="E93" s="4"/>
      <c r="G93" s="1270"/>
      <c r="H93" s="1270"/>
      <c r="I93" s="1270"/>
      <c r="J93" s="1270"/>
      <c r="K93" s="1270"/>
      <c r="L93" s="1270"/>
      <c r="M93" s="1270"/>
      <c r="N93" s="1270"/>
      <c r="O93" s="1270"/>
      <c r="P93" s="1270"/>
      <c r="Q93" s="1270"/>
      <c r="R93" s="1270"/>
      <c r="S93" s="1270"/>
      <c r="T93" s="1270"/>
      <c r="U93" s="1270"/>
      <c r="V93" s="1270"/>
      <c r="W93" s="1270"/>
      <c r="X93" s="1270"/>
      <c r="Y93" s="1270"/>
      <c r="Z93" s="1270"/>
      <c r="AA93" s="1270"/>
      <c r="AB93" s="1270"/>
      <c r="AC93" s="1270"/>
      <c r="AD93" s="1270"/>
      <c r="AE93" s="1270"/>
      <c r="AF93" s="1270"/>
      <c r="AG93" s="1270"/>
      <c r="AH93" s="1270"/>
      <c r="AI93" s="1270"/>
      <c r="AJ93" s="1270"/>
      <c r="AK93" s="1270"/>
    </row>
    <row r="94" spans="1:37" ht="13">
      <c r="A94" s="4"/>
      <c r="C94" s="2"/>
      <c r="D94" s="4"/>
      <c r="E94" s="4" t="s">
        <v>903</v>
      </c>
      <c r="F94" s="205" t="s">
        <v>904</v>
      </c>
      <c r="G94" s="205"/>
      <c r="L94" s="4"/>
      <c r="M94" s="4"/>
      <c r="P94" s="4"/>
      <c r="Q94" s="4"/>
      <c r="R94" s="4"/>
      <c r="S94" s="4"/>
      <c r="T94" s="4"/>
      <c r="U94" s="4"/>
      <c r="V94" s="4"/>
      <c r="W94" s="4"/>
      <c r="X94" s="4"/>
      <c r="Y94" s="4"/>
      <c r="Z94" s="4"/>
      <c r="AA94" s="4"/>
      <c r="AB94" s="4"/>
    </row>
    <row r="95" spans="1:37" ht="13">
      <c r="A95" s="4"/>
      <c r="C95" s="2"/>
      <c r="D95" s="4"/>
      <c r="E95" s="4"/>
      <c r="G95" s="1270" t="s">
        <v>1173</v>
      </c>
      <c r="H95" s="1270"/>
      <c r="I95" s="1270"/>
      <c r="J95" s="1270"/>
      <c r="K95" s="1270"/>
      <c r="L95" s="1270"/>
      <c r="M95" s="1270"/>
      <c r="N95" s="1270"/>
      <c r="O95" s="1270"/>
      <c r="P95" s="1270"/>
      <c r="Q95" s="1270"/>
      <c r="R95" s="1270"/>
      <c r="S95" s="1270"/>
      <c r="T95" s="1270"/>
      <c r="U95" s="1270"/>
      <c r="V95" s="1270"/>
      <c r="W95" s="1270"/>
      <c r="X95" s="1270"/>
      <c r="Y95" s="1270"/>
      <c r="Z95" s="1270"/>
      <c r="AA95" s="1270"/>
      <c r="AB95" s="1270"/>
      <c r="AC95" s="1270"/>
      <c r="AD95" s="1270"/>
      <c r="AE95" s="1270"/>
      <c r="AF95" s="1270"/>
      <c r="AG95" s="1270"/>
      <c r="AH95" s="1270"/>
      <c r="AI95" s="1270"/>
      <c r="AJ95" s="1270"/>
      <c r="AK95" s="1270"/>
    </row>
    <row r="96" spans="1:37" ht="13">
      <c r="A96" s="4"/>
      <c r="C96" s="2"/>
      <c r="D96" s="4"/>
      <c r="E96" s="4"/>
      <c r="G96" s="1270"/>
      <c r="H96" s="1270"/>
      <c r="I96" s="1270"/>
      <c r="J96" s="1270"/>
      <c r="K96" s="1270"/>
      <c r="L96" s="1270"/>
      <c r="M96" s="1270"/>
      <c r="N96" s="1270"/>
      <c r="O96" s="1270"/>
      <c r="P96" s="1270"/>
      <c r="Q96" s="1270"/>
      <c r="R96" s="1270"/>
      <c r="S96" s="1270"/>
      <c r="T96" s="1270"/>
      <c r="U96" s="1270"/>
      <c r="V96" s="1270"/>
      <c r="W96" s="1270"/>
      <c r="X96" s="1270"/>
      <c r="Y96" s="1270"/>
      <c r="Z96" s="1270"/>
      <c r="AA96" s="1270"/>
      <c r="AB96" s="1270"/>
      <c r="AC96" s="1270"/>
      <c r="AD96" s="1270"/>
      <c r="AE96" s="1270"/>
      <c r="AF96" s="1270"/>
      <c r="AG96" s="1270"/>
      <c r="AH96" s="1270"/>
      <c r="AI96" s="1270"/>
      <c r="AJ96" s="1270"/>
      <c r="AK96" s="1270"/>
    </row>
    <row r="97" spans="1:38" ht="13">
      <c r="A97" s="4"/>
      <c r="C97" s="2"/>
      <c r="D97" s="4"/>
      <c r="E97" s="4"/>
      <c r="G97" s="1270"/>
      <c r="H97" s="1270"/>
      <c r="I97" s="1270"/>
      <c r="J97" s="1270"/>
      <c r="K97" s="1270"/>
      <c r="L97" s="1270"/>
      <c r="M97" s="1270"/>
      <c r="N97" s="1270"/>
      <c r="O97" s="1270"/>
      <c r="P97" s="1270"/>
      <c r="Q97" s="1270"/>
      <c r="R97" s="1270"/>
      <c r="S97" s="1270"/>
      <c r="T97" s="1270"/>
      <c r="U97" s="1270"/>
      <c r="V97" s="1270"/>
      <c r="W97" s="1270"/>
      <c r="X97" s="1270"/>
      <c r="Y97" s="1270"/>
      <c r="Z97" s="1270"/>
      <c r="AA97" s="1270"/>
      <c r="AB97" s="1270"/>
      <c r="AC97" s="1270"/>
      <c r="AD97" s="1270"/>
      <c r="AE97" s="1270"/>
      <c r="AF97" s="1270"/>
      <c r="AG97" s="1270"/>
      <c r="AH97" s="1270"/>
      <c r="AI97" s="1270"/>
      <c r="AJ97" s="1270"/>
      <c r="AK97" s="1270"/>
    </row>
    <row r="98" spans="1:38" ht="13">
      <c r="A98" s="4"/>
      <c r="D98" s="99"/>
      <c r="E98" s="1274" t="s">
        <v>1174</v>
      </c>
      <c r="F98" s="1274"/>
      <c r="G98" s="1274"/>
      <c r="H98" s="1274"/>
      <c r="I98" s="1274"/>
      <c r="J98" s="1274"/>
      <c r="K98" s="1274"/>
      <c r="L98" s="1274"/>
      <c r="M98" s="1274"/>
      <c r="N98" s="1274"/>
      <c r="O98" s="1274"/>
      <c r="P98" s="1274"/>
      <c r="Q98" s="1274"/>
      <c r="R98" s="1274"/>
      <c r="S98" s="1274"/>
      <c r="T98" s="1274"/>
      <c r="U98" s="1274"/>
      <c r="V98" s="1274"/>
      <c r="W98" s="1274"/>
      <c r="X98" s="1274"/>
      <c r="Y98" s="1274"/>
      <c r="Z98" s="1274"/>
      <c r="AA98" s="1274"/>
      <c r="AB98" s="1274"/>
      <c r="AC98" s="1274"/>
      <c r="AD98" s="1274"/>
      <c r="AE98" s="1274"/>
      <c r="AF98" s="1274"/>
      <c r="AG98" s="1274"/>
      <c r="AH98" s="1274"/>
      <c r="AI98" s="1274"/>
      <c r="AJ98" s="1274"/>
      <c r="AK98" s="1274"/>
    </row>
    <row r="99" spans="1:38" ht="13">
      <c r="A99" s="4"/>
      <c r="D99" s="99"/>
      <c r="E99" s="1274"/>
      <c r="F99" s="1274"/>
      <c r="G99" s="1274"/>
      <c r="H99" s="1274"/>
      <c r="I99" s="1274"/>
      <c r="J99" s="1274"/>
      <c r="K99" s="1274"/>
      <c r="L99" s="1274"/>
      <c r="M99" s="1274"/>
      <c r="N99" s="1274"/>
      <c r="O99" s="1274"/>
      <c r="P99" s="1274"/>
      <c r="Q99" s="1274"/>
      <c r="R99" s="1274"/>
      <c r="S99" s="1274"/>
      <c r="T99" s="1274"/>
      <c r="U99" s="1274"/>
      <c r="V99" s="1274"/>
      <c r="W99" s="1274"/>
      <c r="X99" s="1274"/>
      <c r="Y99" s="1274"/>
      <c r="Z99" s="1274"/>
      <c r="AA99" s="1274"/>
      <c r="AB99" s="1274"/>
      <c r="AC99" s="1274"/>
      <c r="AD99" s="1274"/>
      <c r="AE99" s="1274"/>
      <c r="AF99" s="1274"/>
      <c r="AG99" s="1274"/>
      <c r="AH99" s="1274"/>
      <c r="AI99" s="1274"/>
      <c r="AJ99" s="1274"/>
      <c r="AK99" s="1274"/>
    </row>
    <row r="100" spans="1:38" ht="13">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ht="13">
      <c r="A101" s="5"/>
      <c r="B101" s="11" t="s">
        <v>339</v>
      </c>
      <c r="C101" s="11" t="s">
        <v>420</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ht="13">
      <c r="B102" s="2"/>
      <c r="C102" s="2"/>
      <c r="D102" s="2"/>
      <c r="E102" s="2"/>
      <c r="F102" s="2"/>
      <c r="G102" s="2"/>
      <c r="H102" s="2"/>
      <c r="I102" s="2"/>
      <c r="J102" s="2"/>
      <c r="K102" s="2"/>
    </row>
    <row r="103" spans="1:38" ht="13">
      <c r="B103" s="2"/>
      <c r="C103" s="2" t="s">
        <v>429</v>
      </c>
      <c r="E103" s="2"/>
      <c r="F103" s="2"/>
      <c r="G103" s="2" t="s">
        <v>1185</v>
      </c>
      <c r="H103" s="2"/>
      <c r="I103" s="2"/>
      <c r="K103" s="2"/>
    </row>
    <row r="104" spans="1:38" ht="13">
      <c r="B104" s="2"/>
      <c r="C104" s="2"/>
      <c r="D104" s="2" t="s">
        <v>206</v>
      </c>
      <c r="E104" s="2" t="s">
        <v>1187</v>
      </c>
      <c r="F104" s="2"/>
      <c r="G104" s="2"/>
      <c r="H104" s="2"/>
      <c r="I104" s="2"/>
      <c r="J104" s="2"/>
      <c r="K104" s="2"/>
      <c r="L104" s="2"/>
      <c r="M104" s="2"/>
    </row>
    <row r="105" spans="1:38" ht="13">
      <c r="B105" s="2"/>
      <c r="C105" s="2"/>
      <c r="E105" s="4" t="s">
        <v>112</v>
      </c>
      <c r="F105" s="98" t="s">
        <v>651</v>
      </c>
      <c r="G105" s="2"/>
      <c r="H105" s="2"/>
      <c r="I105" s="2"/>
      <c r="J105" s="2"/>
      <c r="K105" s="2"/>
    </row>
    <row r="106" spans="1:38">
      <c r="E106" s="4"/>
      <c r="F106" t="s">
        <v>653</v>
      </c>
    </row>
    <row r="107" spans="1:38">
      <c r="E107" s="4"/>
      <c r="F107" t="s">
        <v>654</v>
      </c>
    </row>
    <row r="108" spans="1:38">
      <c r="E108" s="4"/>
    </row>
    <row r="109" spans="1:38" ht="13">
      <c r="E109" s="4" t="s">
        <v>113</v>
      </c>
      <c r="F109" s="98" t="s">
        <v>655</v>
      </c>
      <c r="G109" s="2"/>
      <c r="H109" s="2"/>
      <c r="I109" s="2"/>
      <c r="J109" s="2"/>
    </row>
    <row r="110" spans="1:38">
      <c r="E110" s="4"/>
      <c r="F110" t="s">
        <v>656</v>
      </c>
    </row>
    <row r="111" spans="1:38">
      <c r="E111" s="4"/>
    </row>
    <row r="112" spans="1:38" ht="13">
      <c r="E112" s="4" t="s">
        <v>119</v>
      </c>
      <c r="F112" s="98" t="s">
        <v>657</v>
      </c>
      <c r="G112" s="2"/>
      <c r="H112" s="2"/>
      <c r="I112" s="2"/>
      <c r="J112" s="2"/>
      <c r="K112" s="2"/>
      <c r="L112" s="2"/>
      <c r="M112" s="2"/>
      <c r="N112" s="2"/>
      <c r="O112" s="2"/>
      <c r="P112" s="2"/>
    </row>
    <row r="113" spans="2:10">
      <c r="E113" s="4"/>
      <c r="F113" s="4" t="s">
        <v>920</v>
      </c>
    </row>
    <row r="114" spans="2:10" ht="12.75" customHeight="1">
      <c r="F114" s="4" t="s">
        <v>950</v>
      </c>
    </row>
    <row r="115" spans="2:10"/>
    <row r="116" spans="2:10">
      <c r="E116" t="s">
        <v>580</v>
      </c>
      <c r="F116" s="98" t="s">
        <v>921</v>
      </c>
    </row>
    <row r="117" spans="2:10" ht="13">
      <c r="F117" s="4" t="s">
        <v>1014</v>
      </c>
      <c r="G117" s="4"/>
    </row>
    <row r="118" spans="2:10" ht="13">
      <c r="F118" s="99" t="s">
        <v>1186</v>
      </c>
      <c r="G118" s="99"/>
    </row>
    <row r="119" spans="2:10" ht="13">
      <c r="G119" s="99"/>
    </row>
    <row r="120" spans="2:10">
      <c r="E120" s="4" t="s">
        <v>762</v>
      </c>
      <c r="F120" s="98" t="s">
        <v>377</v>
      </c>
    </row>
    <row r="121" spans="2:10">
      <c r="E121" s="4"/>
      <c r="F121" s="4" t="s">
        <v>1006</v>
      </c>
    </row>
    <row r="122" spans="2:10" ht="13">
      <c r="B122" s="2"/>
      <c r="C122" s="2"/>
      <c r="F122" s="2"/>
    </row>
    <row r="123" spans="2:10" ht="13">
      <c r="B123" s="2"/>
      <c r="C123" s="2" t="s">
        <v>430</v>
      </c>
      <c r="G123" s="2" t="s">
        <v>378</v>
      </c>
    </row>
    <row r="124" spans="2:10" ht="13">
      <c r="B124" s="2"/>
      <c r="C124" s="2"/>
      <c r="D124" s="2" t="s">
        <v>206</v>
      </c>
      <c r="E124" s="2" t="s">
        <v>319</v>
      </c>
      <c r="F124" s="2"/>
      <c r="G124" s="2"/>
      <c r="H124" s="2"/>
      <c r="I124" s="2"/>
      <c r="J124" s="2"/>
    </row>
    <row r="125" spans="2:10" ht="13">
      <c r="B125" s="2"/>
      <c r="C125" s="2"/>
      <c r="E125" s="4" t="s">
        <v>922</v>
      </c>
      <c r="F125" s="4"/>
    </row>
    <row r="126" spans="2:10"/>
    <row r="127" spans="2:10" ht="13">
      <c r="D127" s="2" t="s">
        <v>340</v>
      </c>
      <c r="E127" s="2" t="s">
        <v>576</v>
      </c>
    </row>
    <row r="128" spans="2:10">
      <c r="E128" s="4" t="s">
        <v>922</v>
      </c>
      <c r="F128" s="4"/>
    </row>
    <row r="129" spans="4:37"/>
    <row r="130" spans="4:37" ht="13">
      <c r="D130" s="2" t="s">
        <v>573</v>
      </c>
      <c r="E130" s="2" t="s">
        <v>723</v>
      </c>
      <c r="G130" s="2"/>
      <c r="H130" s="2"/>
      <c r="I130" s="2"/>
      <c r="J130" s="2"/>
      <c r="K130" s="2"/>
      <c r="L130" s="2"/>
      <c r="M130" s="2"/>
      <c r="N130" s="2"/>
    </row>
    <row r="131" spans="4:37" ht="13">
      <c r="D131" s="2"/>
      <c r="E131" s="119" t="s">
        <v>1256</v>
      </c>
      <c r="G131" s="2"/>
      <c r="H131" s="2"/>
      <c r="I131" s="2"/>
      <c r="J131" s="2"/>
      <c r="K131" s="2"/>
      <c r="L131" s="2"/>
      <c r="M131" s="2"/>
      <c r="N131" s="2"/>
    </row>
    <row r="132" spans="4:37" ht="12.75" customHeight="1">
      <c r="E132" s="119" t="s">
        <v>1254</v>
      </c>
      <c r="F132" s="456"/>
      <c r="G132" s="456"/>
      <c r="H132" s="456"/>
      <c r="I132" s="456"/>
      <c r="J132" s="456"/>
      <c r="K132" s="456"/>
      <c r="L132" s="456"/>
      <c r="M132" s="456"/>
      <c r="N132" s="456"/>
      <c r="O132" s="456"/>
      <c r="P132" s="456"/>
      <c r="Q132" s="456"/>
      <c r="R132" s="456"/>
      <c r="S132" s="456"/>
      <c r="T132" s="456"/>
      <c r="U132" s="456"/>
      <c r="V132" s="456"/>
      <c r="W132" s="456"/>
      <c r="X132" s="456"/>
      <c r="Y132" s="456"/>
      <c r="Z132" s="456"/>
      <c r="AA132" s="456"/>
      <c r="AB132" s="456"/>
      <c r="AC132" s="456"/>
      <c r="AD132" s="456"/>
      <c r="AE132" s="456"/>
      <c r="AF132" s="456"/>
      <c r="AG132" s="456"/>
      <c r="AH132" s="456"/>
      <c r="AI132" s="456"/>
      <c r="AJ132" s="456"/>
      <c r="AK132" s="456"/>
    </row>
    <row r="133" spans="4:37">
      <c r="E133" s="119" t="s">
        <v>1255</v>
      </c>
      <c r="F133" s="456"/>
      <c r="G133" s="456"/>
      <c r="H133" s="456"/>
      <c r="I133" s="456"/>
      <c r="J133" s="456"/>
      <c r="K133" s="456"/>
      <c r="L133" s="456"/>
      <c r="M133" s="456"/>
      <c r="N133" s="456"/>
      <c r="O133" s="456"/>
      <c r="P133" s="456"/>
      <c r="Q133" s="456"/>
      <c r="R133" s="456"/>
      <c r="S133" s="456"/>
      <c r="T133" s="456"/>
      <c r="U133" s="456"/>
      <c r="V133" s="456"/>
      <c r="W133" s="456"/>
      <c r="X133" s="456"/>
      <c r="Y133" s="456"/>
      <c r="Z133" s="456"/>
      <c r="AA133" s="456"/>
      <c r="AB133" s="456"/>
      <c r="AC133" s="456"/>
      <c r="AD133" s="456"/>
      <c r="AE133" s="456"/>
      <c r="AF133" s="456"/>
      <c r="AG133" s="456"/>
      <c r="AH133" s="456"/>
      <c r="AI133" s="456"/>
      <c r="AJ133" s="456"/>
      <c r="AK133" s="456"/>
    </row>
    <row r="134" spans="4:37">
      <c r="F134" s="4"/>
    </row>
    <row r="135" spans="4:37" ht="13">
      <c r="D135" s="2" t="s">
        <v>513</v>
      </c>
      <c r="E135" s="2" t="s">
        <v>516</v>
      </c>
      <c r="F135" s="2"/>
    </row>
    <row r="136" spans="4:37">
      <c r="E136" s="3" t="s">
        <v>1212</v>
      </c>
      <c r="F136" s="4"/>
    </row>
    <row r="137" spans="4:37">
      <c r="F137" s="4"/>
    </row>
    <row r="138" spans="4:37" ht="13">
      <c r="D138" s="2" t="s">
        <v>302</v>
      </c>
      <c r="E138" s="2" t="s">
        <v>2042</v>
      </c>
      <c r="F138" s="2"/>
      <c r="G138" s="2"/>
      <c r="H138" s="2"/>
    </row>
    <row r="139" spans="4:37">
      <c r="E139" t="s">
        <v>112</v>
      </c>
      <c r="F139" t="s">
        <v>52</v>
      </c>
    </row>
    <row r="140" spans="4:37">
      <c r="E140" t="s">
        <v>113</v>
      </c>
      <c r="F140" t="s">
        <v>465</v>
      </c>
    </row>
    <row r="141" spans="4:37"/>
    <row r="142" spans="4:37" ht="13">
      <c r="D142" s="2" t="s">
        <v>428</v>
      </c>
      <c r="E142" s="2" t="s">
        <v>2043</v>
      </c>
    </row>
    <row r="143" spans="4:37">
      <c r="E143" s="205" t="s">
        <v>2044</v>
      </c>
      <c r="F143" s="205"/>
    </row>
    <row r="144" spans="4:37"/>
    <row r="145" spans="3:7" ht="13">
      <c r="C145" s="2" t="s">
        <v>6</v>
      </c>
      <c r="G145" s="2" t="s">
        <v>379</v>
      </c>
    </row>
    <row r="146" spans="3:7" ht="13">
      <c r="D146" s="2" t="s">
        <v>206</v>
      </c>
      <c r="E146" s="2" t="s">
        <v>135</v>
      </c>
    </row>
    <row r="147" spans="3:7">
      <c r="E147" t="s">
        <v>796</v>
      </c>
    </row>
    <row r="148" spans="3:7"/>
    <row r="149" spans="3:7" ht="13">
      <c r="D149" s="2" t="s">
        <v>340</v>
      </c>
      <c r="E149" s="2" t="s">
        <v>523</v>
      </c>
      <c r="F149" s="2"/>
    </row>
    <row r="150" spans="3:7">
      <c r="E150" s="4" t="s">
        <v>924</v>
      </c>
      <c r="F150" s="4"/>
    </row>
    <row r="151" spans="3:7"/>
    <row r="152" spans="3:7" ht="13">
      <c r="D152" s="2" t="s">
        <v>573</v>
      </c>
      <c r="E152" s="2" t="s">
        <v>552</v>
      </c>
    </row>
    <row r="153" spans="3:7">
      <c r="E153" s="4" t="s">
        <v>925</v>
      </c>
    </row>
    <row r="154" spans="3:7">
      <c r="E154" s="4" t="s">
        <v>923</v>
      </c>
      <c r="G154" s="4"/>
    </row>
    <row r="155" spans="3:7"/>
    <row r="156" spans="3:7" ht="13">
      <c r="D156" s="2" t="s">
        <v>513</v>
      </c>
      <c r="E156" s="2" t="s">
        <v>532</v>
      </c>
    </row>
    <row r="157" spans="3:7">
      <c r="E157" t="s">
        <v>112</v>
      </c>
      <c r="F157" s="4" t="s">
        <v>926</v>
      </c>
    </row>
    <row r="158" spans="3:7">
      <c r="E158" s="4" t="s">
        <v>113</v>
      </c>
      <c r="F158" s="4" t="s">
        <v>927</v>
      </c>
    </row>
    <row r="159" spans="3:7">
      <c r="E159" s="4" t="s">
        <v>119</v>
      </c>
      <c r="F159" t="s">
        <v>724</v>
      </c>
    </row>
    <row r="160" spans="3:7"/>
    <row r="161" spans="3:20" ht="13">
      <c r="D161" s="2" t="s">
        <v>302</v>
      </c>
      <c r="E161" s="2" t="s">
        <v>380</v>
      </c>
    </row>
    <row r="162" spans="3:20">
      <c r="E162" s="4" t="s">
        <v>928</v>
      </c>
      <c r="F162" s="4"/>
    </row>
    <row r="163" spans="3:20"/>
    <row r="164" spans="3:20" ht="13">
      <c r="D164" s="2" t="s">
        <v>428</v>
      </c>
      <c r="E164" s="2" t="s">
        <v>171</v>
      </c>
    </row>
    <row r="165" spans="3:20">
      <c r="E165" s="4" t="s">
        <v>930</v>
      </c>
    </row>
    <row r="166" spans="3:20">
      <c r="E166" s="4" t="s">
        <v>929</v>
      </c>
    </row>
    <row r="167" spans="3:20"/>
    <row r="168" spans="3:20" ht="13">
      <c r="D168" s="2" t="s">
        <v>556</v>
      </c>
      <c r="E168" s="2" t="s">
        <v>621</v>
      </c>
    </row>
    <row r="169" spans="3:20">
      <c r="E169" t="s">
        <v>112</v>
      </c>
      <c r="F169" t="s">
        <v>725</v>
      </c>
    </row>
    <row r="170" spans="3:20">
      <c r="E170" t="s">
        <v>113</v>
      </c>
      <c r="F170" t="s">
        <v>296</v>
      </c>
    </row>
    <row r="171" spans="3:20">
      <c r="F171" s="4"/>
    </row>
    <row r="172" spans="3:20" ht="13">
      <c r="C172" s="2" t="s">
        <v>7</v>
      </c>
      <c r="E172" s="4"/>
      <c r="G172" s="2" t="s">
        <v>381</v>
      </c>
    </row>
    <row r="173" spans="3:20">
      <c r="E173" s="4" t="s">
        <v>866</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ht="13">
      <c r="C175" s="2" t="s">
        <v>8</v>
      </c>
      <c r="D175" s="2"/>
      <c r="F175" s="4"/>
      <c r="G175" s="2" t="s">
        <v>576</v>
      </c>
    </row>
    <row r="176" spans="3:20" ht="13">
      <c r="D176" s="2" t="s">
        <v>206</v>
      </c>
      <c r="E176" s="2" t="s">
        <v>297</v>
      </c>
      <c r="G176" s="4"/>
      <c r="H176" s="4"/>
      <c r="I176" s="4"/>
      <c r="J176" s="4"/>
      <c r="K176" s="4"/>
      <c r="L176" s="4"/>
      <c r="M176" s="4"/>
      <c r="N176" s="4"/>
    </row>
    <row r="177" spans="2:19">
      <c r="E177" t="s">
        <v>112</v>
      </c>
      <c r="F177" s="4" t="s">
        <v>931</v>
      </c>
    </row>
    <row r="178" spans="2:19" ht="13">
      <c r="F178" s="120" t="s">
        <v>1147</v>
      </c>
      <c r="I178" s="120"/>
    </row>
    <row r="179" spans="2:19" ht="13">
      <c r="I179" s="120"/>
    </row>
    <row r="180" spans="2:19">
      <c r="B180" s="4"/>
      <c r="C180" s="4"/>
      <c r="E180" t="s">
        <v>113</v>
      </c>
      <c r="F180" s="3" t="s">
        <v>867</v>
      </c>
      <c r="H180" s="4"/>
    </row>
    <row r="181" spans="2:19">
      <c r="B181" s="4"/>
      <c r="C181" s="4"/>
      <c r="F181" t="s">
        <v>652</v>
      </c>
      <c r="G181" t="s">
        <v>707</v>
      </c>
      <c r="H181" s="4"/>
      <c r="O181" s="4"/>
      <c r="P181" s="4"/>
      <c r="Q181" s="4"/>
      <c r="R181" s="4"/>
      <c r="S181" s="4"/>
    </row>
    <row r="182" spans="2:19">
      <c r="B182" s="4"/>
      <c r="C182" s="4"/>
      <c r="H182" s="4"/>
      <c r="O182" s="4"/>
      <c r="P182" s="4"/>
      <c r="Q182" s="4"/>
      <c r="R182" s="4"/>
      <c r="S182" s="4"/>
    </row>
    <row r="183" spans="2:19" ht="13">
      <c r="D183" s="2" t="s">
        <v>340</v>
      </c>
      <c r="E183" s="2" t="s">
        <v>1007</v>
      </c>
    </row>
    <row r="184" spans="2:19">
      <c r="B184" s="4"/>
      <c r="C184" s="4"/>
      <c r="E184" s="4" t="s">
        <v>708</v>
      </c>
      <c r="F184" s="4"/>
      <c r="I184" s="4"/>
    </row>
    <row r="185" spans="2:19" ht="13">
      <c r="B185" s="4"/>
      <c r="C185" s="4"/>
      <c r="E185" s="4" t="s">
        <v>1005</v>
      </c>
      <c r="F185" s="120"/>
      <c r="G185" s="4"/>
      <c r="I185" s="120"/>
    </row>
    <row r="186" spans="2:19" ht="13">
      <c r="B186" s="4"/>
      <c r="C186" s="4"/>
      <c r="F186" s="120"/>
      <c r="G186" s="4"/>
      <c r="I186" s="120"/>
    </row>
    <row r="187" spans="2:19" ht="13">
      <c r="B187" s="4"/>
      <c r="C187" s="4"/>
      <c r="D187" s="2" t="s">
        <v>573</v>
      </c>
      <c r="E187" s="2" t="s">
        <v>3</v>
      </c>
      <c r="F187" s="120"/>
      <c r="G187" s="4"/>
      <c r="I187" s="120"/>
    </row>
    <row r="188" spans="2:19" ht="13">
      <c r="B188" s="4"/>
      <c r="C188" s="4"/>
      <c r="D188" s="2"/>
      <c r="E188" s="4" t="s">
        <v>298</v>
      </c>
      <c r="F188" s="4"/>
      <c r="G188" s="4"/>
      <c r="I188" s="120"/>
    </row>
    <row r="189" spans="2:19" ht="13">
      <c r="B189" s="4"/>
      <c r="C189" s="4"/>
      <c r="F189" s="120"/>
      <c r="G189" s="4"/>
      <c r="I189" s="120"/>
    </row>
    <row r="190" spans="2:19" ht="13">
      <c r="D190" s="2" t="s">
        <v>513</v>
      </c>
      <c r="E190" s="2" t="s">
        <v>111</v>
      </c>
    </row>
    <row r="191" spans="2:19" ht="13">
      <c r="B191" s="4"/>
      <c r="C191" s="2"/>
      <c r="E191" t="s">
        <v>112</v>
      </c>
      <c r="F191" s="4" t="s">
        <v>1015</v>
      </c>
      <c r="G191" s="4"/>
      <c r="H191" s="4"/>
      <c r="I191" s="4"/>
    </row>
    <row r="192" spans="2:19" ht="13">
      <c r="B192" s="4"/>
      <c r="C192" s="2"/>
      <c r="F192" s="4" t="s">
        <v>652</v>
      </c>
      <c r="G192" s="3" t="s">
        <v>1206</v>
      </c>
    </row>
    <row r="193" spans="2:37">
      <c r="B193" s="4"/>
      <c r="C193" s="4"/>
      <c r="F193" s="4" t="s">
        <v>347</v>
      </c>
      <c r="G193" s="3" t="s">
        <v>1207</v>
      </c>
      <c r="I193" s="4"/>
      <c r="J193" s="4"/>
      <c r="M193" s="4"/>
      <c r="N193" s="4"/>
      <c r="O193" s="4"/>
      <c r="P193" s="4"/>
      <c r="Q193" s="4"/>
      <c r="R193" s="4"/>
      <c r="S193" s="4"/>
    </row>
    <row r="194" spans="2:37">
      <c r="B194" s="4"/>
      <c r="C194" s="4"/>
      <c r="F194" s="4" t="s">
        <v>348</v>
      </c>
      <c r="G194" s="4" t="s">
        <v>932</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ht="13">
      <c r="B196" s="4"/>
      <c r="C196" s="4"/>
      <c r="D196" s="2" t="s">
        <v>302</v>
      </c>
      <c r="E196" s="2" t="s">
        <v>114</v>
      </c>
      <c r="G196" s="4"/>
      <c r="H196" s="4"/>
      <c r="I196" s="4"/>
      <c r="J196" s="4"/>
      <c r="M196" s="4"/>
      <c r="N196" s="4"/>
      <c r="O196" s="4"/>
      <c r="P196" s="4"/>
      <c r="Q196" s="4"/>
      <c r="R196" s="4"/>
      <c r="S196" s="4"/>
    </row>
    <row r="197" spans="2:37">
      <c r="B197" s="4"/>
      <c r="C197" s="4"/>
      <c r="D197" s="4"/>
      <c r="E197" s="4" t="s">
        <v>933</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ht="13">
      <c r="B199" s="4"/>
      <c r="C199" s="4"/>
      <c r="D199" s="2" t="s">
        <v>428</v>
      </c>
      <c r="E199" s="2" t="s">
        <v>120</v>
      </c>
      <c r="G199" s="4"/>
      <c r="H199" s="4"/>
      <c r="I199" s="4"/>
      <c r="J199" s="4"/>
      <c r="M199" s="4"/>
      <c r="N199" s="4"/>
      <c r="O199" s="4"/>
      <c r="P199" s="4"/>
      <c r="Q199" s="4"/>
      <c r="R199" s="4"/>
      <c r="S199" s="4"/>
    </row>
    <row r="200" spans="2:37" ht="13">
      <c r="B200" s="4"/>
      <c r="C200" s="4"/>
      <c r="D200" s="2"/>
      <c r="E200" s="4" t="s">
        <v>112</v>
      </c>
      <c r="F200" s="4" t="s">
        <v>934</v>
      </c>
      <c r="M200" s="4"/>
      <c r="N200" s="4"/>
      <c r="O200" s="4"/>
      <c r="P200" s="4"/>
      <c r="Q200" s="4"/>
      <c r="R200" s="4"/>
      <c r="S200" s="4"/>
    </row>
    <row r="201" spans="2:37" ht="13">
      <c r="B201" s="4"/>
      <c r="C201" s="4"/>
      <c r="D201" s="2"/>
      <c r="E201" s="4" t="s">
        <v>113</v>
      </c>
      <c r="F201" s="4" t="s">
        <v>1016</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ht="13">
      <c r="B202" s="4"/>
      <c r="C202" s="4"/>
      <c r="D202" s="2"/>
      <c r="E202" s="4" t="s">
        <v>119</v>
      </c>
      <c r="F202" s="4" t="s">
        <v>709</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652</v>
      </c>
      <c r="G203" s="4" t="s">
        <v>935</v>
      </c>
      <c r="I203" s="4"/>
      <c r="J203" s="4"/>
      <c r="M203" s="4"/>
      <c r="N203" s="4"/>
      <c r="O203" s="4"/>
      <c r="P203" s="4"/>
      <c r="Q203" s="4"/>
      <c r="R203" s="4"/>
      <c r="S203" s="4"/>
      <c r="T203" s="4"/>
      <c r="U203" s="4"/>
      <c r="V203" s="4"/>
      <c r="W203" s="4"/>
      <c r="X203" s="4"/>
      <c r="Y203" s="4"/>
    </row>
    <row r="204" spans="2:37" ht="13">
      <c r="B204" s="4"/>
      <c r="C204" s="4"/>
      <c r="D204" s="2"/>
      <c r="E204" s="4" t="s">
        <v>580</v>
      </c>
      <c r="F204" s="4" t="s">
        <v>936</v>
      </c>
      <c r="M204" s="4"/>
      <c r="N204" s="4"/>
      <c r="O204" s="4"/>
      <c r="P204" s="4"/>
      <c r="Q204" s="4"/>
      <c r="R204" s="4"/>
      <c r="S204" s="4"/>
    </row>
    <row r="205" spans="2:37" ht="13">
      <c r="B205" s="4"/>
      <c r="C205" s="4"/>
      <c r="D205" s="2"/>
      <c r="F205" t="s">
        <v>652</v>
      </c>
      <c r="G205" s="1270" t="s">
        <v>1175</v>
      </c>
      <c r="H205" s="1270"/>
      <c r="I205" s="1270"/>
      <c r="J205" s="1270"/>
      <c r="K205" s="1270"/>
      <c r="L205" s="1270"/>
      <c r="M205" s="1270"/>
      <c r="N205" s="1270"/>
      <c r="O205" s="1270"/>
      <c r="P205" s="1270"/>
      <c r="Q205" s="1270"/>
      <c r="R205" s="1270"/>
      <c r="S205" s="1270"/>
      <c r="T205" s="1270"/>
      <c r="U205" s="1270"/>
      <c r="V205" s="1270"/>
      <c r="W205" s="1270"/>
      <c r="X205" s="1270"/>
      <c r="Y205" s="1270"/>
      <c r="Z205" s="1270"/>
      <c r="AA205" s="1270"/>
      <c r="AB205" s="1270"/>
      <c r="AC205" s="1270"/>
      <c r="AD205" s="1270"/>
      <c r="AE205" s="1270"/>
      <c r="AF205" s="1270"/>
      <c r="AG205" s="1270"/>
      <c r="AH205" s="1270"/>
      <c r="AI205" s="1270"/>
      <c r="AJ205" s="1270"/>
      <c r="AK205" s="1270"/>
    </row>
    <row r="206" spans="2:37" ht="13">
      <c r="B206" s="4"/>
      <c r="C206" s="4"/>
      <c r="D206" s="2"/>
      <c r="G206" s="1270"/>
      <c r="H206" s="1270"/>
      <c r="I206" s="1270"/>
      <c r="J206" s="1270"/>
      <c r="K206" s="1270"/>
      <c r="L206" s="1270"/>
      <c r="M206" s="1270"/>
      <c r="N206" s="1270"/>
      <c r="O206" s="1270"/>
      <c r="P206" s="1270"/>
      <c r="Q206" s="1270"/>
      <c r="R206" s="1270"/>
      <c r="S206" s="1270"/>
      <c r="T206" s="1270"/>
      <c r="U206" s="1270"/>
      <c r="V206" s="1270"/>
      <c r="W206" s="1270"/>
      <c r="X206" s="1270"/>
      <c r="Y206" s="1270"/>
      <c r="Z206" s="1270"/>
      <c r="AA206" s="1270"/>
      <c r="AB206" s="1270"/>
      <c r="AC206" s="1270"/>
      <c r="AD206" s="1270"/>
      <c r="AE206" s="1270"/>
      <c r="AF206" s="1270"/>
      <c r="AG206" s="1270"/>
      <c r="AH206" s="1270"/>
      <c r="AI206" s="1270"/>
      <c r="AJ206" s="1270"/>
      <c r="AK206" s="1270"/>
    </row>
    <row r="207" spans="2:37" ht="13">
      <c r="B207" s="4"/>
      <c r="C207" s="4"/>
      <c r="D207" s="2"/>
      <c r="M207" s="4"/>
      <c r="N207" s="4"/>
      <c r="O207" s="4"/>
      <c r="P207" s="4"/>
      <c r="Q207" s="4"/>
      <c r="R207" s="4"/>
      <c r="S207" s="4"/>
    </row>
    <row r="208" spans="2:37" ht="13">
      <c r="B208" s="4"/>
      <c r="C208" s="4"/>
      <c r="D208" s="2" t="s">
        <v>556</v>
      </c>
      <c r="E208" s="2" t="s">
        <v>763</v>
      </c>
      <c r="G208" s="4"/>
      <c r="H208" s="4"/>
      <c r="I208" s="4"/>
      <c r="J208" s="4"/>
      <c r="M208" s="4"/>
      <c r="N208" s="4"/>
      <c r="O208" s="4"/>
      <c r="P208" s="4"/>
      <c r="Q208" s="4"/>
      <c r="R208" s="4"/>
      <c r="S208" s="4"/>
      <c r="T208" s="4"/>
      <c r="U208" s="4"/>
      <c r="V208" s="4"/>
      <c r="W208" s="4"/>
    </row>
    <row r="209" spans="1:38">
      <c r="B209" s="4"/>
      <c r="C209" s="4"/>
      <c r="E209" s="4" t="s">
        <v>710</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ht="13">
      <c r="B211" s="4"/>
      <c r="C211" s="4"/>
      <c r="D211" s="2" t="s">
        <v>554</v>
      </c>
      <c r="E211" s="2" t="s">
        <v>247</v>
      </c>
      <c r="F211" s="4"/>
      <c r="G211" s="4"/>
      <c r="I211" s="4"/>
      <c r="J211" s="4"/>
      <c r="M211" s="4"/>
      <c r="N211" s="4"/>
      <c r="O211" s="4"/>
      <c r="P211" s="4"/>
      <c r="Q211" s="4"/>
      <c r="R211" s="4"/>
      <c r="S211" s="4"/>
      <c r="T211" s="4"/>
      <c r="U211" s="4"/>
      <c r="V211" s="4"/>
      <c r="W211" s="4"/>
    </row>
    <row r="212" spans="1:38" ht="13">
      <c r="B212" s="4"/>
      <c r="C212" s="4"/>
      <c r="D212" s="2"/>
      <c r="E212" s="4" t="s">
        <v>298</v>
      </c>
      <c r="F212" s="4"/>
      <c r="G212" s="4"/>
      <c r="I212" s="4"/>
      <c r="J212" s="4"/>
      <c r="M212" s="4"/>
      <c r="N212" s="4"/>
      <c r="O212" s="4"/>
      <c r="P212" s="4"/>
      <c r="Q212" s="4"/>
      <c r="R212" s="4"/>
      <c r="S212" s="4"/>
      <c r="T212" s="4"/>
      <c r="U212" s="4"/>
      <c r="V212" s="4"/>
      <c r="W212" s="4"/>
    </row>
    <row r="213" spans="1:38" ht="13">
      <c r="B213" s="4"/>
      <c r="C213" s="4"/>
      <c r="D213" s="2"/>
      <c r="M213" s="4"/>
      <c r="N213" s="4"/>
      <c r="O213" s="4"/>
      <c r="P213" s="4"/>
      <c r="Q213" s="4"/>
      <c r="R213" s="4"/>
      <c r="S213" s="4"/>
    </row>
    <row r="214" spans="1:38" ht="13">
      <c r="C214" s="2" t="s">
        <v>711</v>
      </c>
      <c r="D214" s="2"/>
      <c r="G214" s="2" t="s">
        <v>808</v>
      </c>
      <c r="M214" s="4"/>
      <c r="N214" s="4"/>
      <c r="O214" s="4"/>
      <c r="P214" s="4"/>
      <c r="Q214" s="4"/>
      <c r="R214" s="4"/>
      <c r="S214" s="4"/>
    </row>
    <row r="215" spans="1:38">
      <c r="B215" s="4"/>
      <c r="C215" s="4"/>
      <c r="E215" t="s">
        <v>112</v>
      </c>
      <c r="F215" s="4" t="s">
        <v>807</v>
      </c>
      <c r="G215" s="4"/>
      <c r="H215" s="4"/>
      <c r="I215" s="4"/>
      <c r="L215" s="4"/>
      <c r="N215" s="4"/>
      <c r="O215" s="4"/>
      <c r="P215" s="4"/>
      <c r="Q215" s="4"/>
      <c r="R215" s="4"/>
      <c r="S215" s="4"/>
    </row>
    <row r="216" spans="1:38">
      <c r="B216" s="4"/>
      <c r="C216" s="4"/>
      <c r="F216" s="4" t="s">
        <v>652</v>
      </c>
      <c r="G216" s="4" t="s">
        <v>714</v>
      </c>
      <c r="I216" s="4"/>
      <c r="M216" s="4"/>
      <c r="N216" s="4"/>
      <c r="O216" s="4"/>
      <c r="P216" s="4"/>
      <c r="Q216" s="4"/>
      <c r="R216" s="4"/>
      <c r="S216" s="4"/>
    </row>
    <row r="217" spans="1:38">
      <c r="B217" s="4"/>
      <c r="C217" s="4"/>
      <c r="E217" t="s">
        <v>113</v>
      </c>
      <c r="F217" s="4" t="s">
        <v>399</v>
      </c>
      <c r="G217" s="4"/>
      <c r="H217" s="4"/>
      <c r="I217" s="4"/>
      <c r="M217" s="4"/>
      <c r="N217" s="4"/>
      <c r="O217" s="4"/>
      <c r="P217" s="4"/>
      <c r="Q217" s="4"/>
      <c r="R217" s="4"/>
      <c r="S217" s="4"/>
    </row>
    <row r="218" spans="1:38">
      <c r="B218" s="4"/>
      <c r="C218" s="4"/>
      <c r="F218" s="4" t="s">
        <v>652</v>
      </c>
      <c r="G218" s="4" t="s">
        <v>712</v>
      </c>
      <c r="I218" s="4"/>
      <c r="M218" s="4"/>
      <c r="N218" s="4"/>
      <c r="O218" s="4"/>
      <c r="P218" s="4"/>
      <c r="Q218" s="4"/>
      <c r="R218" s="4"/>
      <c r="S218" s="4"/>
    </row>
    <row r="219" spans="1:38">
      <c r="B219" s="4"/>
      <c r="C219" s="4"/>
      <c r="F219" s="4"/>
      <c r="G219" s="4" t="s">
        <v>713</v>
      </c>
      <c r="I219" s="4"/>
      <c r="M219" s="4"/>
      <c r="N219" s="4"/>
      <c r="O219" s="4"/>
      <c r="P219" s="4"/>
      <c r="Q219" s="4"/>
      <c r="R219" s="4"/>
      <c r="S219" s="4"/>
    </row>
    <row r="220" spans="1:38">
      <c r="B220" s="4"/>
      <c r="C220" s="4"/>
      <c r="F220" s="4"/>
      <c r="K220" s="4"/>
      <c r="M220" s="4"/>
      <c r="N220" s="4"/>
      <c r="O220" s="4"/>
      <c r="P220" s="4"/>
      <c r="Q220" s="4"/>
      <c r="R220" s="4"/>
      <c r="S220" s="4"/>
    </row>
    <row r="221" spans="1:38" ht="13">
      <c r="A221" s="5"/>
      <c r="B221" s="11" t="s">
        <v>9</v>
      </c>
      <c r="C221" s="11" t="s">
        <v>178</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ht="13">
      <c r="B222" s="2"/>
      <c r="D222" s="2"/>
      <c r="E222" s="4"/>
      <c r="F222" s="4"/>
      <c r="G222" s="4"/>
      <c r="H222" s="4"/>
      <c r="I222" s="4"/>
      <c r="J222" s="4"/>
      <c r="L222" s="4"/>
      <c r="M222" s="4"/>
      <c r="N222" s="4"/>
      <c r="O222" s="4"/>
      <c r="P222" s="4"/>
      <c r="Q222" s="4"/>
      <c r="R222" s="4"/>
      <c r="S222" s="4"/>
    </row>
    <row r="223" spans="1:38" ht="13">
      <c r="B223" s="4"/>
      <c r="C223" s="2" t="s">
        <v>429</v>
      </c>
      <c r="D223" s="4"/>
      <c r="E223" s="4"/>
      <c r="F223" s="4"/>
      <c r="G223" s="2" t="s">
        <v>451</v>
      </c>
      <c r="I223" s="4"/>
      <c r="J223" s="4"/>
      <c r="K223" s="4"/>
      <c r="M223" s="4"/>
      <c r="N223" s="4"/>
      <c r="O223" s="4"/>
      <c r="P223" s="4"/>
      <c r="Q223" s="4"/>
      <c r="R223" s="4"/>
      <c r="S223" s="4"/>
    </row>
    <row r="224" spans="1:38" ht="13">
      <c r="B224" s="2"/>
      <c r="E224" s="4" t="s">
        <v>112</v>
      </c>
      <c r="F224" s="4" t="s">
        <v>715</v>
      </c>
      <c r="G224" s="4"/>
      <c r="I224" s="4"/>
      <c r="J224" s="4"/>
      <c r="K224" s="4"/>
      <c r="L224" s="4"/>
      <c r="M224" s="4"/>
      <c r="N224" s="4"/>
      <c r="O224" s="4"/>
      <c r="P224" s="4"/>
      <c r="Q224" s="4"/>
      <c r="R224" s="4"/>
      <c r="S224" s="4"/>
    </row>
    <row r="225" spans="2:19" ht="13">
      <c r="B225" s="2"/>
      <c r="E225" s="4" t="s">
        <v>113</v>
      </c>
      <c r="F225" s="4" t="s">
        <v>679</v>
      </c>
      <c r="G225" s="4"/>
      <c r="I225" s="4"/>
      <c r="J225" s="4"/>
      <c r="K225" s="4"/>
      <c r="L225" s="4"/>
      <c r="M225" s="4"/>
      <c r="N225" s="4"/>
      <c r="O225" s="4"/>
      <c r="P225" s="4"/>
      <c r="Q225" s="4"/>
      <c r="R225" s="4"/>
      <c r="S225" s="4"/>
    </row>
    <row r="226" spans="2:19" ht="13">
      <c r="B226" s="2"/>
      <c r="E226" s="4"/>
      <c r="F226" s="4"/>
      <c r="G226" s="4"/>
      <c r="H226" s="4"/>
      <c r="I226" s="4"/>
      <c r="J226" s="4"/>
      <c r="K226" s="4"/>
      <c r="L226" s="4"/>
      <c r="M226" s="4"/>
      <c r="N226" s="4"/>
      <c r="O226" s="4"/>
      <c r="P226" s="4"/>
      <c r="Q226" s="4"/>
      <c r="R226" s="4"/>
      <c r="S226" s="4"/>
    </row>
    <row r="227" spans="2:19" ht="13">
      <c r="B227" s="2"/>
      <c r="C227" s="2" t="s">
        <v>430</v>
      </c>
      <c r="D227" s="4"/>
      <c r="E227" s="4"/>
      <c r="F227" s="4"/>
      <c r="G227" s="2" t="s">
        <v>21</v>
      </c>
      <c r="I227" s="4"/>
      <c r="J227" s="4"/>
      <c r="K227" s="4"/>
      <c r="L227" s="4"/>
      <c r="M227" s="4"/>
      <c r="N227" s="4"/>
      <c r="O227" s="4"/>
      <c r="P227" s="4"/>
      <c r="Q227" s="4"/>
      <c r="R227" s="4"/>
      <c r="S227" s="4"/>
    </row>
    <row r="228" spans="2:19" ht="13">
      <c r="B228" s="2"/>
      <c r="E228" s="4" t="s">
        <v>112</v>
      </c>
      <c r="F228" s="4" t="s">
        <v>716</v>
      </c>
      <c r="G228" s="4"/>
      <c r="I228" s="4"/>
      <c r="J228" s="4"/>
      <c r="K228" s="4"/>
      <c r="L228" s="4"/>
      <c r="M228" s="4"/>
      <c r="N228" s="4"/>
      <c r="O228" s="4"/>
      <c r="P228" s="4"/>
      <c r="Q228" s="4"/>
      <c r="R228" s="4"/>
      <c r="S228" s="4"/>
    </row>
    <row r="229" spans="2:19" ht="13">
      <c r="B229" s="2"/>
      <c r="E229" s="4"/>
      <c r="F229" s="4" t="s">
        <v>717</v>
      </c>
      <c r="G229" s="4"/>
      <c r="H229" s="4"/>
      <c r="I229" s="4"/>
      <c r="J229" s="4"/>
      <c r="K229" s="4"/>
      <c r="L229" s="4"/>
      <c r="M229" s="4"/>
      <c r="N229" s="4"/>
      <c r="O229" s="4"/>
      <c r="P229" s="4"/>
      <c r="Q229" s="4"/>
      <c r="R229" s="4"/>
      <c r="S229" s="4"/>
    </row>
    <row r="230" spans="2:19" ht="13">
      <c r="B230" s="2"/>
      <c r="D230" s="4"/>
      <c r="E230" s="4" t="s">
        <v>113</v>
      </c>
      <c r="F230" s="4" t="s">
        <v>679</v>
      </c>
      <c r="G230" s="4"/>
      <c r="I230" s="4"/>
      <c r="J230" s="4"/>
      <c r="K230" s="4"/>
      <c r="L230" s="4"/>
      <c r="M230" s="4"/>
      <c r="N230" s="4"/>
      <c r="O230" s="4"/>
      <c r="P230" s="4"/>
      <c r="Q230" s="4"/>
      <c r="R230" s="4"/>
      <c r="S230" s="4"/>
    </row>
    <row r="231" spans="2:19" ht="13">
      <c r="B231" s="2"/>
      <c r="E231" s="4" t="s">
        <v>119</v>
      </c>
      <c r="F231" s="98" t="s">
        <v>951</v>
      </c>
      <c r="G231" s="4"/>
      <c r="I231" s="4"/>
      <c r="J231" s="4"/>
      <c r="K231" s="4"/>
      <c r="L231" s="4"/>
      <c r="M231" s="4"/>
      <c r="N231" s="4"/>
      <c r="O231" s="4"/>
      <c r="P231" s="4"/>
      <c r="Q231" s="4"/>
      <c r="R231" s="4"/>
      <c r="S231" s="4"/>
    </row>
    <row r="232" spans="2:19" ht="13">
      <c r="B232" s="2"/>
      <c r="D232" s="4"/>
      <c r="E232" s="4"/>
      <c r="F232" s="4"/>
      <c r="G232" s="4"/>
      <c r="H232" s="4"/>
      <c r="I232" s="4"/>
      <c r="J232" s="4"/>
      <c r="K232" s="4"/>
      <c r="L232" s="4"/>
      <c r="M232" s="4"/>
      <c r="N232" s="4"/>
      <c r="O232" s="4"/>
      <c r="P232" s="4"/>
      <c r="Q232" s="4"/>
      <c r="R232" s="4"/>
      <c r="S232" s="4"/>
    </row>
    <row r="233" spans="2:19" ht="13">
      <c r="B233" s="4"/>
      <c r="C233" s="2"/>
      <c r="E233" s="2" t="s">
        <v>326</v>
      </c>
      <c r="F233" s="4"/>
      <c r="J233" s="4"/>
      <c r="K233" s="4"/>
      <c r="M233" s="4"/>
      <c r="N233" s="4"/>
      <c r="O233" s="4"/>
      <c r="P233" s="4"/>
      <c r="Q233" s="4"/>
      <c r="R233" s="4"/>
      <c r="S233" s="4"/>
    </row>
    <row r="234" spans="2:19" ht="13">
      <c r="B234" s="4"/>
      <c r="C234" s="4"/>
      <c r="E234" t="s">
        <v>112</v>
      </c>
      <c r="F234" s="4" t="s">
        <v>326</v>
      </c>
      <c r="G234" s="2"/>
      <c r="H234" s="2"/>
      <c r="I234" s="2"/>
      <c r="L234" s="2"/>
      <c r="M234" s="2"/>
      <c r="N234" s="2"/>
      <c r="O234" s="2"/>
      <c r="P234" s="2"/>
      <c r="Q234" s="2"/>
      <c r="R234" s="4"/>
      <c r="S234" s="4"/>
    </row>
    <row r="235" spans="2:19">
      <c r="B235" s="4"/>
      <c r="C235" s="4"/>
      <c r="F235" s="4" t="s">
        <v>652</v>
      </c>
      <c r="G235" s="4" t="s">
        <v>718</v>
      </c>
      <c r="I235" s="4"/>
      <c r="M235" s="4"/>
      <c r="N235" s="4"/>
      <c r="O235" s="4"/>
      <c r="P235" s="4"/>
      <c r="Q235" s="4"/>
      <c r="R235" s="4"/>
      <c r="S235" s="4"/>
    </row>
    <row r="236" spans="2:19">
      <c r="B236" s="4"/>
      <c r="C236" s="4"/>
      <c r="F236" s="4"/>
      <c r="G236" s="4" t="s">
        <v>797</v>
      </c>
      <c r="I236" s="4"/>
      <c r="M236" s="4"/>
      <c r="N236" s="4"/>
      <c r="O236" s="4"/>
      <c r="P236" s="4"/>
      <c r="Q236" s="4"/>
      <c r="R236" s="4"/>
      <c r="S236" s="4"/>
    </row>
    <row r="237" spans="2:19" ht="13">
      <c r="B237" s="4"/>
      <c r="C237" s="4"/>
      <c r="E237" t="s">
        <v>113</v>
      </c>
      <c r="F237" s="136" t="s">
        <v>444</v>
      </c>
      <c r="G237" s="2"/>
      <c r="H237" s="2"/>
      <c r="I237" s="2"/>
      <c r="L237" s="2"/>
      <c r="M237" s="2"/>
      <c r="N237" s="2"/>
      <c r="O237" s="2"/>
      <c r="P237" s="2"/>
      <c r="Q237" s="2"/>
      <c r="R237" s="2"/>
      <c r="S237" s="2"/>
    </row>
    <row r="238" spans="2:19">
      <c r="B238" s="4"/>
      <c r="C238" s="4"/>
      <c r="F238" s="4" t="s">
        <v>652</v>
      </c>
      <c r="G238" s="4" t="s">
        <v>721</v>
      </c>
      <c r="I238" s="4"/>
      <c r="M238" s="4"/>
      <c r="N238" s="4"/>
      <c r="O238" s="4"/>
      <c r="P238" s="4"/>
      <c r="Q238" s="4"/>
      <c r="R238" s="4"/>
      <c r="S238" s="4"/>
    </row>
    <row r="239" spans="2:19">
      <c r="B239" s="4"/>
      <c r="C239" s="4"/>
      <c r="F239" s="4"/>
      <c r="G239" s="4" t="s">
        <v>686</v>
      </c>
      <c r="H239" s="4" t="s">
        <v>940</v>
      </c>
      <c r="I239" s="4"/>
      <c r="M239" s="4"/>
      <c r="N239" s="4"/>
      <c r="O239" s="4"/>
      <c r="P239" s="4"/>
      <c r="Q239" s="4"/>
      <c r="R239" s="4"/>
      <c r="S239" s="4"/>
    </row>
    <row r="240" spans="2:19">
      <c r="B240" s="4"/>
      <c r="C240" s="4"/>
      <c r="F240" s="4" t="s">
        <v>347</v>
      </c>
      <c r="G240" s="136" t="s">
        <v>722</v>
      </c>
      <c r="I240" s="4"/>
      <c r="M240" s="4"/>
      <c r="N240" s="4"/>
      <c r="O240" s="4"/>
      <c r="P240" s="4"/>
      <c r="Q240" s="4"/>
      <c r="R240" s="4"/>
      <c r="S240" s="4"/>
    </row>
    <row r="241" spans="2:21">
      <c r="B241" s="4"/>
      <c r="C241" s="4"/>
      <c r="E241" t="s">
        <v>119</v>
      </c>
      <c r="F241" s="4" t="s">
        <v>652</v>
      </c>
      <c r="G241" s="136" t="s">
        <v>941</v>
      </c>
      <c r="I241" s="4"/>
      <c r="M241" s="4"/>
      <c r="N241" s="4"/>
      <c r="O241" s="4"/>
      <c r="P241" s="4"/>
      <c r="Q241" s="4"/>
      <c r="R241" s="4"/>
      <c r="S241" s="4"/>
    </row>
    <row r="242" spans="2:21">
      <c r="B242" s="4"/>
      <c r="C242" s="4"/>
      <c r="F242" s="4" t="s">
        <v>347</v>
      </c>
      <c r="G242" s="136" t="s">
        <v>942</v>
      </c>
      <c r="I242" s="4"/>
      <c r="M242" s="4"/>
      <c r="N242" s="4"/>
      <c r="O242" s="4"/>
      <c r="P242" s="4"/>
      <c r="Q242" s="4"/>
      <c r="R242" s="4"/>
      <c r="S242" s="4"/>
    </row>
    <row r="243" spans="2:21">
      <c r="B243" s="4"/>
      <c r="C243" s="4"/>
      <c r="F243" s="4" t="s">
        <v>348</v>
      </c>
      <c r="G243" s="136" t="s">
        <v>719</v>
      </c>
      <c r="I243" s="4"/>
      <c r="M243" s="4"/>
      <c r="N243" s="4"/>
      <c r="O243" s="4"/>
      <c r="P243" s="4"/>
      <c r="Q243" s="4"/>
      <c r="R243" s="4"/>
      <c r="S243" s="4"/>
    </row>
    <row r="244" spans="2:21">
      <c r="B244" s="4"/>
      <c r="C244" s="4"/>
      <c r="F244" s="4"/>
      <c r="G244" s="136" t="s">
        <v>720</v>
      </c>
      <c r="I244" s="4"/>
      <c r="M244" s="4"/>
      <c r="N244" s="4"/>
      <c r="O244" s="4"/>
      <c r="P244" s="4"/>
      <c r="Q244" s="4"/>
      <c r="R244" s="4"/>
      <c r="S244" s="4"/>
    </row>
    <row r="245" spans="2:21" ht="13">
      <c r="B245" s="4"/>
      <c r="C245" s="4"/>
      <c r="D245" s="2"/>
      <c r="E245" s="4" t="s">
        <v>119</v>
      </c>
      <c r="F245" s="4" t="s">
        <v>327</v>
      </c>
      <c r="H245" s="4"/>
      <c r="I245" s="4"/>
      <c r="M245" s="4"/>
      <c r="N245" s="4"/>
      <c r="O245" s="4"/>
      <c r="P245" s="4"/>
      <c r="Q245" s="4"/>
      <c r="R245" s="4"/>
      <c r="S245" s="4"/>
    </row>
    <row r="246" spans="2:21" ht="13">
      <c r="B246" s="4"/>
      <c r="C246" s="4"/>
      <c r="D246" s="2"/>
      <c r="E246" s="2"/>
      <c r="F246" t="s">
        <v>652</v>
      </c>
      <c r="G246" s="4" t="s">
        <v>431</v>
      </c>
      <c r="I246" s="4"/>
      <c r="M246" s="4"/>
      <c r="N246" s="4"/>
      <c r="O246" s="4"/>
      <c r="P246" s="4"/>
      <c r="Q246" s="4"/>
      <c r="R246" s="4"/>
      <c r="S246" s="4"/>
    </row>
    <row r="247" spans="2:21" ht="13">
      <c r="B247" s="4"/>
      <c r="C247" s="4"/>
      <c r="D247" s="2"/>
      <c r="E247" s="2"/>
      <c r="F247" s="4"/>
      <c r="G247" s="4" t="s">
        <v>432</v>
      </c>
      <c r="I247" s="4"/>
      <c r="M247" s="4"/>
      <c r="N247" s="4"/>
      <c r="O247" s="4"/>
      <c r="P247" s="4"/>
      <c r="Q247" s="4"/>
      <c r="R247" s="4"/>
      <c r="S247" s="4"/>
    </row>
    <row r="248" spans="2:21" ht="13">
      <c r="B248" s="4"/>
      <c r="C248" s="4"/>
      <c r="D248" s="2"/>
      <c r="E248" s="2"/>
      <c r="F248" s="4"/>
      <c r="G248" s="4"/>
      <c r="I248" s="4"/>
      <c r="M248" s="4"/>
      <c r="N248" s="4"/>
      <c r="O248" s="4"/>
      <c r="P248" s="4"/>
      <c r="Q248" s="4"/>
      <c r="R248" s="4"/>
      <c r="S248" s="4"/>
    </row>
    <row r="249" spans="2:21" ht="13">
      <c r="B249" s="2"/>
      <c r="C249" s="2" t="s">
        <v>6</v>
      </c>
      <c r="E249" s="4"/>
      <c r="F249" s="4"/>
      <c r="G249" s="2" t="s">
        <v>382</v>
      </c>
      <c r="I249" s="4"/>
      <c r="J249" s="4"/>
      <c r="K249" s="4"/>
      <c r="L249" s="4"/>
      <c r="M249" s="4"/>
      <c r="N249" s="4"/>
      <c r="O249" s="4"/>
      <c r="P249" s="4"/>
      <c r="Q249" s="4"/>
      <c r="R249" s="4"/>
      <c r="S249" s="4"/>
    </row>
    <row r="250" spans="2:21" ht="13">
      <c r="B250" s="2"/>
      <c r="C250" s="2"/>
      <c r="E250" s="4" t="s">
        <v>112</v>
      </c>
      <c r="F250" s="4" t="s">
        <v>71</v>
      </c>
      <c r="G250" s="4"/>
      <c r="I250" s="4"/>
      <c r="J250" s="4"/>
      <c r="K250" s="4"/>
      <c r="L250" s="4"/>
      <c r="M250" s="4"/>
      <c r="N250" s="4"/>
      <c r="O250" s="4"/>
      <c r="P250" s="4"/>
      <c r="Q250" s="4"/>
      <c r="R250" s="4"/>
      <c r="S250" s="4"/>
      <c r="T250" s="4"/>
      <c r="U250" s="4"/>
    </row>
    <row r="251" spans="2:21" ht="13">
      <c r="B251" s="2"/>
      <c r="C251" s="2"/>
      <c r="E251" s="4"/>
      <c r="F251" s="120" t="s">
        <v>1148</v>
      </c>
      <c r="G251" s="4"/>
      <c r="I251" s="120"/>
      <c r="J251" s="4"/>
      <c r="K251" s="4"/>
      <c r="L251" s="4"/>
      <c r="M251" s="4"/>
      <c r="N251" s="4"/>
      <c r="O251" s="4"/>
      <c r="P251" s="4"/>
      <c r="Q251" s="4"/>
      <c r="R251" s="4"/>
      <c r="S251" s="4"/>
      <c r="T251" s="4"/>
      <c r="U251" s="4"/>
    </row>
    <row r="252" spans="2:21" ht="13">
      <c r="B252" s="2"/>
      <c r="C252" s="2"/>
      <c r="E252" s="4" t="s">
        <v>113</v>
      </c>
      <c r="F252" s="4" t="s">
        <v>937</v>
      </c>
      <c r="I252" s="4"/>
      <c r="J252" s="4"/>
      <c r="K252" s="4"/>
      <c r="L252" s="4"/>
      <c r="M252" s="4"/>
      <c r="N252" s="4"/>
      <c r="O252" s="4"/>
      <c r="P252" s="4"/>
      <c r="Q252" s="4"/>
      <c r="R252" s="4"/>
      <c r="S252" s="4"/>
      <c r="T252" s="4"/>
      <c r="U252" s="4"/>
    </row>
    <row r="253" spans="2:21" ht="13">
      <c r="B253" s="2"/>
      <c r="C253" s="2"/>
      <c r="E253" s="4"/>
      <c r="F253" s="205" t="s">
        <v>652</v>
      </c>
      <c r="G253" s="205" t="s">
        <v>810</v>
      </c>
      <c r="I253" s="3"/>
      <c r="K253" s="3"/>
      <c r="L253" s="3"/>
      <c r="M253" s="3"/>
      <c r="N253" s="3"/>
      <c r="O253" s="3"/>
      <c r="Q253" s="4"/>
      <c r="R253" s="4"/>
      <c r="S253" s="4"/>
      <c r="T253" s="4"/>
      <c r="U253" s="4"/>
    </row>
    <row r="254" spans="2:21" ht="13">
      <c r="B254" s="2"/>
      <c r="C254" s="2"/>
      <c r="E254" s="4"/>
      <c r="F254" s="205"/>
      <c r="G254" s="205" t="s">
        <v>811</v>
      </c>
      <c r="I254" s="3"/>
      <c r="K254" s="3"/>
      <c r="L254" s="3"/>
      <c r="M254" s="3"/>
      <c r="N254" s="3"/>
      <c r="O254" s="3"/>
      <c r="P254" s="3"/>
    </row>
    <row r="255" spans="2:21" ht="13">
      <c r="B255" s="2"/>
      <c r="C255" s="2"/>
      <c r="E255" s="4"/>
      <c r="F255" s="205" t="s">
        <v>347</v>
      </c>
      <c r="G255" s="205" t="s">
        <v>943</v>
      </c>
      <c r="I255" s="4"/>
      <c r="K255" s="4"/>
      <c r="L255" s="4"/>
      <c r="M255" s="4"/>
      <c r="N255" s="4"/>
      <c r="O255" s="4"/>
      <c r="P255" s="3"/>
    </row>
    <row r="256" spans="2:21" ht="13">
      <c r="B256" s="2"/>
      <c r="C256" s="2"/>
      <c r="E256" s="4"/>
      <c r="F256" s="205"/>
      <c r="G256" s="205" t="s">
        <v>869</v>
      </c>
      <c r="I256" s="4"/>
      <c r="K256" s="4"/>
      <c r="L256" s="4"/>
      <c r="M256" s="4"/>
      <c r="N256" s="4"/>
      <c r="O256" s="4"/>
      <c r="P256" s="4"/>
      <c r="Q256" s="3"/>
      <c r="R256" s="3"/>
      <c r="S256" s="3"/>
      <c r="T256" s="3"/>
      <c r="U256" s="3"/>
    </row>
    <row r="257" spans="2:21" ht="13">
      <c r="B257" s="2"/>
      <c r="C257" s="2"/>
      <c r="E257" s="4"/>
      <c r="G257" s="4"/>
      <c r="I257" s="4"/>
      <c r="K257" s="4"/>
      <c r="L257" s="4"/>
      <c r="M257" s="4"/>
      <c r="N257" s="4"/>
      <c r="O257" s="4"/>
      <c r="P257" s="4"/>
      <c r="Q257" s="3"/>
      <c r="R257" s="3"/>
      <c r="S257" s="3"/>
      <c r="T257" s="3"/>
      <c r="U257" s="3"/>
    </row>
    <row r="258" spans="2:21" ht="13">
      <c r="B258" s="2"/>
      <c r="C258" s="2"/>
      <c r="D258" s="2" t="s">
        <v>206</v>
      </c>
      <c r="E258" s="2" t="s">
        <v>383</v>
      </c>
      <c r="G258" s="4"/>
      <c r="H258" s="4"/>
      <c r="I258" s="4"/>
      <c r="J258" s="4"/>
      <c r="K258" s="4"/>
      <c r="L258" s="4"/>
      <c r="M258" s="4"/>
      <c r="N258" s="4"/>
      <c r="O258" s="4"/>
      <c r="P258" s="4"/>
      <c r="Q258" s="4"/>
      <c r="R258" s="4"/>
      <c r="S258" s="4"/>
    </row>
    <row r="259" spans="2:21" ht="13">
      <c r="B259" s="2"/>
      <c r="C259" s="2"/>
      <c r="E259" s="4" t="s">
        <v>112</v>
      </c>
      <c r="F259" s="4" t="s">
        <v>252</v>
      </c>
      <c r="G259" s="4"/>
      <c r="I259" s="4"/>
      <c r="J259" s="4"/>
      <c r="K259" s="4"/>
      <c r="L259" s="4"/>
      <c r="M259" s="4"/>
      <c r="N259" s="4"/>
      <c r="O259" s="4"/>
      <c r="P259" s="4"/>
      <c r="Q259" s="4"/>
      <c r="R259" s="4"/>
      <c r="S259" s="4"/>
    </row>
    <row r="260" spans="2:21" ht="13">
      <c r="B260" s="2"/>
      <c r="C260" s="2"/>
      <c r="E260" s="4" t="s">
        <v>113</v>
      </c>
      <c r="F260" s="4" t="s">
        <v>802</v>
      </c>
      <c r="G260" s="4"/>
      <c r="I260" s="4"/>
      <c r="J260" s="4"/>
      <c r="K260" s="4"/>
      <c r="L260" s="4"/>
      <c r="M260" s="4"/>
      <c r="N260" s="4"/>
      <c r="O260" s="4"/>
      <c r="P260" s="4"/>
      <c r="Q260" s="4"/>
      <c r="R260" s="4"/>
      <c r="S260" s="4"/>
    </row>
    <row r="261" spans="2:21" ht="13">
      <c r="B261" s="2"/>
      <c r="C261" s="2"/>
      <c r="E261" s="4" t="s">
        <v>119</v>
      </c>
      <c r="F261" s="4" t="s">
        <v>253</v>
      </c>
      <c r="I261" s="4"/>
      <c r="J261" s="4"/>
      <c r="K261" s="4"/>
      <c r="L261" s="4"/>
      <c r="M261" s="4"/>
      <c r="N261" s="4"/>
      <c r="O261" s="4"/>
      <c r="P261" s="4"/>
      <c r="Q261" s="4"/>
      <c r="R261" s="4"/>
      <c r="S261" s="4"/>
    </row>
    <row r="262" spans="2:21" ht="13">
      <c r="B262" s="2"/>
      <c r="C262" s="2"/>
      <c r="E262" s="2"/>
      <c r="F262" s="4" t="s">
        <v>803</v>
      </c>
      <c r="I262" s="4"/>
      <c r="J262" s="4"/>
      <c r="K262" s="4"/>
      <c r="L262" s="4"/>
      <c r="M262" s="4"/>
      <c r="N262" s="4"/>
      <c r="O262" s="4"/>
      <c r="P262" s="4"/>
      <c r="Q262" s="4"/>
      <c r="R262" s="4"/>
      <c r="S262" s="4"/>
    </row>
    <row r="263" spans="2:21" ht="13">
      <c r="B263" s="2"/>
      <c r="C263" s="2"/>
      <c r="E263" s="4" t="s">
        <v>580</v>
      </c>
      <c r="F263" s="205" t="s">
        <v>812</v>
      </c>
      <c r="I263" s="4"/>
      <c r="J263" s="4"/>
      <c r="K263" s="4"/>
      <c r="L263" s="4"/>
      <c r="M263" s="4"/>
      <c r="N263" s="4"/>
      <c r="O263" s="4"/>
      <c r="P263" s="4"/>
      <c r="Q263" s="4"/>
      <c r="R263" s="4"/>
      <c r="S263" s="4"/>
    </row>
    <row r="264" spans="2:21" ht="13">
      <c r="B264" s="2"/>
      <c r="C264" s="2"/>
      <c r="E264" s="2"/>
      <c r="F264" s="4"/>
      <c r="H264" s="4"/>
      <c r="I264" s="4"/>
      <c r="J264" s="4"/>
      <c r="K264" s="4"/>
      <c r="L264" s="4"/>
      <c r="M264" s="4"/>
      <c r="N264" s="4"/>
      <c r="O264" s="4"/>
      <c r="P264" s="4"/>
      <c r="Q264" s="4"/>
      <c r="R264" s="4"/>
      <c r="S264" s="4"/>
    </row>
    <row r="265" spans="2:21" ht="13">
      <c r="B265" s="2"/>
      <c r="C265" s="2"/>
      <c r="D265" s="2" t="s">
        <v>340</v>
      </c>
      <c r="E265" s="2" t="s">
        <v>72</v>
      </c>
      <c r="G265" s="4"/>
      <c r="H265" s="4"/>
      <c r="I265" s="4"/>
      <c r="J265" s="4"/>
      <c r="K265" s="4"/>
      <c r="L265" s="4"/>
      <c r="M265" s="4"/>
      <c r="N265" s="4"/>
      <c r="O265" s="4"/>
      <c r="P265" s="4"/>
      <c r="Q265" s="4"/>
      <c r="R265" s="4"/>
      <c r="S265" s="4"/>
    </row>
    <row r="266" spans="2:21" ht="13">
      <c r="B266" s="2"/>
      <c r="C266" s="2"/>
      <c r="E266" s="4" t="s">
        <v>1017</v>
      </c>
      <c r="F266" s="4"/>
      <c r="G266" s="4"/>
      <c r="O266" s="4"/>
      <c r="P266" s="4"/>
      <c r="Q266" s="4"/>
      <c r="R266" s="4"/>
      <c r="S266" s="4"/>
    </row>
    <row r="267" spans="2:21" ht="13">
      <c r="B267" s="2"/>
      <c r="C267" s="2"/>
      <c r="E267" s="2"/>
      <c r="G267" s="4"/>
      <c r="H267" s="4"/>
      <c r="O267" s="4"/>
      <c r="P267" s="4"/>
      <c r="Q267" s="4"/>
      <c r="R267" s="4"/>
      <c r="S267" s="4"/>
    </row>
    <row r="268" spans="2:21" ht="13">
      <c r="B268" s="2"/>
      <c r="C268" s="2"/>
      <c r="D268" s="2" t="s">
        <v>573</v>
      </c>
      <c r="E268" s="2" t="s">
        <v>286</v>
      </c>
      <c r="G268" s="4"/>
    </row>
    <row r="269" spans="2:21" ht="13">
      <c r="B269" s="2"/>
      <c r="C269" s="2"/>
      <c r="E269" s="4" t="s">
        <v>254</v>
      </c>
      <c r="F269" s="4"/>
      <c r="G269" s="4"/>
      <c r="J269" s="4"/>
      <c r="K269" s="4"/>
      <c r="L269" s="4"/>
      <c r="M269" s="4"/>
      <c r="N269" s="4"/>
    </row>
    <row r="270" spans="2:21" ht="13">
      <c r="B270" s="2"/>
      <c r="C270" s="2"/>
      <c r="E270" s="4" t="s">
        <v>944</v>
      </c>
      <c r="F270" s="4"/>
      <c r="G270" s="4"/>
      <c r="J270" s="4"/>
      <c r="K270" s="4"/>
      <c r="L270" s="4"/>
      <c r="M270" s="4"/>
      <c r="N270" s="4"/>
    </row>
    <row r="271" spans="2:21" ht="13">
      <c r="B271" s="2"/>
      <c r="C271" s="2"/>
      <c r="E271" s="2"/>
      <c r="G271" s="4"/>
      <c r="H271" s="4"/>
      <c r="J271" s="4"/>
      <c r="K271" s="4"/>
      <c r="L271" s="4"/>
      <c r="M271" s="4"/>
      <c r="N271" s="4"/>
      <c r="O271" s="4"/>
      <c r="P271" s="4"/>
      <c r="Q271" s="4"/>
      <c r="R271" s="4"/>
      <c r="S271" s="4"/>
      <c r="T271" s="4"/>
      <c r="U271" s="4"/>
    </row>
    <row r="272" spans="2:21" ht="13">
      <c r="B272" s="2"/>
      <c r="D272" s="2" t="s">
        <v>513</v>
      </c>
      <c r="E272" s="2" t="s">
        <v>611</v>
      </c>
      <c r="G272" s="4"/>
      <c r="H272" s="4"/>
      <c r="J272" s="4"/>
      <c r="K272" s="4"/>
      <c r="L272" s="4"/>
      <c r="M272" s="4"/>
      <c r="N272" s="4"/>
      <c r="O272" s="4"/>
      <c r="P272" s="4"/>
      <c r="Q272" s="4"/>
      <c r="R272" s="4"/>
      <c r="S272" s="4"/>
      <c r="T272" s="4"/>
      <c r="U272" s="4"/>
    </row>
    <row r="273" spans="2:23" ht="13">
      <c r="B273" s="2"/>
      <c r="D273" s="4"/>
      <c r="E273" s="4" t="s">
        <v>1010</v>
      </c>
      <c r="J273" s="4"/>
      <c r="K273" s="4"/>
      <c r="L273" s="4"/>
      <c r="M273" s="4"/>
      <c r="N273" s="4"/>
      <c r="O273" s="4"/>
      <c r="P273" s="4"/>
      <c r="Q273" s="4"/>
      <c r="R273" s="4"/>
      <c r="S273" s="4"/>
      <c r="T273" s="4"/>
      <c r="U273" s="4"/>
    </row>
    <row r="274" spans="2:23" ht="13">
      <c r="B274" s="2"/>
      <c r="D274" s="4"/>
      <c r="E274" s="4" t="s">
        <v>938</v>
      </c>
      <c r="J274" s="4"/>
      <c r="K274" s="4"/>
      <c r="L274" s="4"/>
      <c r="M274" s="4"/>
      <c r="N274" s="4"/>
      <c r="O274" s="4"/>
      <c r="P274" s="4"/>
      <c r="Q274" s="4"/>
      <c r="R274" s="4"/>
      <c r="S274" s="4"/>
      <c r="T274" s="4"/>
      <c r="U274" s="4"/>
    </row>
    <row r="275" spans="2:23" ht="13">
      <c r="B275" s="2"/>
      <c r="D275" s="4"/>
      <c r="E275" s="4"/>
      <c r="J275" s="4"/>
      <c r="K275" s="4"/>
      <c r="L275" s="4"/>
      <c r="M275" s="4"/>
      <c r="N275" s="4"/>
      <c r="O275" s="4"/>
      <c r="P275" s="4"/>
      <c r="Q275" s="4"/>
      <c r="R275" s="4"/>
      <c r="S275" s="4"/>
      <c r="T275" s="4"/>
      <c r="U275" s="4"/>
    </row>
    <row r="276" spans="2:23" ht="13">
      <c r="B276" s="2"/>
      <c r="D276" s="2" t="s">
        <v>302</v>
      </c>
      <c r="E276" s="2" t="s">
        <v>287</v>
      </c>
      <c r="K276" s="4"/>
      <c r="L276" s="4"/>
      <c r="M276" s="4"/>
      <c r="N276" s="4"/>
      <c r="O276" s="4"/>
      <c r="P276" s="4"/>
      <c r="Q276" s="4"/>
      <c r="R276" s="4"/>
      <c r="S276" s="4"/>
      <c r="T276" s="4"/>
      <c r="U276" s="4"/>
    </row>
    <row r="277" spans="2:23" ht="13">
      <c r="B277" s="2"/>
      <c r="D277" s="2"/>
      <c r="E277" t="s">
        <v>255</v>
      </c>
      <c r="K277" s="4"/>
      <c r="L277" s="4"/>
      <c r="M277" s="4"/>
      <c r="N277" s="4"/>
      <c r="O277" s="4"/>
      <c r="P277" s="4"/>
      <c r="Q277" s="4"/>
      <c r="R277" s="4"/>
      <c r="S277" s="4"/>
    </row>
    <row r="278" spans="2:23" ht="13">
      <c r="B278" s="2"/>
      <c r="D278" s="4"/>
      <c r="E278" s="4" t="s">
        <v>945</v>
      </c>
      <c r="I278" s="4"/>
      <c r="J278" s="4"/>
      <c r="K278" s="4"/>
      <c r="L278" s="4"/>
      <c r="M278" s="4"/>
      <c r="N278" s="4"/>
      <c r="O278" s="4"/>
      <c r="P278" s="4"/>
      <c r="Q278" s="4"/>
      <c r="R278" s="4"/>
      <c r="S278" s="4"/>
    </row>
    <row r="279" spans="2:23" ht="13">
      <c r="B279" s="2"/>
      <c r="D279" s="4"/>
      <c r="E279" s="4"/>
      <c r="I279" s="4"/>
      <c r="J279" s="4"/>
      <c r="K279" s="4"/>
      <c r="L279" s="4"/>
      <c r="M279" s="4"/>
      <c r="N279" s="4"/>
      <c r="O279" s="4"/>
      <c r="P279" s="4"/>
      <c r="Q279" s="4"/>
      <c r="R279" s="4"/>
      <c r="S279" s="4"/>
    </row>
    <row r="280" spans="2:23" ht="13">
      <c r="B280" s="2"/>
      <c r="D280" s="2" t="s">
        <v>428</v>
      </c>
      <c r="E280" s="2" t="s">
        <v>424</v>
      </c>
      <c r="G280" s="4"/>
      <c r="H280" s="4"/>
      <c r="I280" s="4"/>
      <c r="J280" s="4"/>
      <c r="K280" s="4"/>
      <c r="L280" s="4"/>
      <c r="M280" s="4"/>
      <c r="O280" s="4"/>
      <c r="P280" s="4"/>
      <c r="Q280" s="4"/>
      <c r="R280" s="4"/>
      <c r="S280" s="4"/>
    </row>
    <row r="281" spans="2:23" ht="13">
      <c r="B281" s="2"/>
      <c r="D281" s="2"/>
      <c r="E281" t="s">
        <v>256</v>
      </c>
      <c r="G281" s="4"/>
      <c r="H281" s="4"/>
      <c r="I281" s="4"/>
      <c r="J281" s="4"/>
      <c r="K281" s="4"/>
      <c r="L281" s="4"/>
      <c r="M281" s="4"/>
      <c r="P281" s="4"/>
      <c r="Q281" s="4"/>
      <c r="R281" s="4"/>
      <c r="S281" s="4"/>
    </row>
    <row r="282" spans="2:23" ht="13">
      <c r="B282" s="2"/>
      <c r="D282" s="2"/>
      <c r="E282" t="s">
        <v>257</v>
      </c>
      <c r="G282" s="4"/>
      <c r="H282" s="4"/>
      <c r="I282" s="4"/>
      <c r="J282" s="4"/>
      <c r="K282" s="4"/>
      <c r="L282" s="4"/>
      <c r="M282" s="4"/>
      <c r="P282" s="4"/>
      <c r="Q282" s="4"/>
      <c r="R282" s="4"/>
      <c r="S282" s="4"/>
    </row>
    <row r="283" spans="2:23" ht="13">
      <c r="B283" s="2"/>
      <c r="D283" s="2"/>
      <c r="E283" s="120" t="s">
        <v>946</v>
      </c>
      <c r="F283" s="120"/>
      <c r="G283" s="4"/>
      <c r="H283" s="120"/>
      <c r="I283" s="120"/>
      <c r="J283" s="4"/>
      <c r="K283" s="4"/>
      <c r="L283" s="4"/>
      <c r="M283" s="4"/>
      <c r="P283" s="4"/>
      <c r="Q283" s="4"/>
      <c r="R283" s="4"/>
      <c r="S283" s="4"/>
    </row>
    <row r="284" spans="2:23" ht="13">
      <c r="B284" s="2"/>
      <c r="D284" s="2"/>
      <c r="E284" s="450" t="s">
        <v>868</v>
      </c>
      <c r="G284" s="4"/>
      <c r="H284" s="120"/>
      <c r="I284" s="120"/>
      <c r="J284" s="4"/>
      <c r="K284" s="4"/>
      <c r="L284" s="4"/>
      <c r="M284" s="4"/>
      <c r="O284" s="4"/>
      <c r="P284" s="4"/>
      <c r="Q284" s="4"/>
      <c r="R284" s="4"/>
      <c r="S284" s="4"/>
    </row>
    <row r="285" spans="2:23" ht="13">
      <c r="B285" s="2"/>
      <c r="D285" s="2"/>
      <c r="E285" s="4"/>
      <c r="F285" s="4"/>
      <c r="G285" s="4"/>
      <c r="H285" s="4"/>
      <c r="I285" s="4"/>
      <c r="J285" s="4"/>
      <c r="K285" s="4"/>
      <c r="L285" s="4"/>
      <c r="M285" s="4"/>
    </row>
    <row r="286" spans="2:23" ht="13">
      <c r="B286" s="2"/>
      <c r="D286" s="2" t="s">
        <v>556</v>
      </c>
      <c r="E286" s="2" t="s">
        <v>557</v>
      </c>
      <c r="K286" s="4"/>
      <c r="L286" s="4"/>
      <c r="M286" s="4"/>
      <c r="N286" s="4"/>
    </row>
    <row r="287" spans="2:23" ht="13">
      <c r="B287" s="2"/>
      <c r="D287" s="4"/>
      <c r="E287" s="4" t="s">
        <v>112</v>
      </c>
      <c r="F287" s="4" t="s">
        <v>558</v>
      </c>
      <c r="G287" s="4"/>
      <c r="O287" s="4"/>
      <c r="P287" s="4"/>
      <c r="Q287" s="4"/>
      <c r="R287" s="4"/>
      <c r="S287" s="4"/>
      <c r="T287" s="4"/>
      <c r="U287" s="4"/>
      <c r="V287" s="4"/>
      <c r="W287" s="4"/>
    </row>
    <row r="288" spans="2:23" ht="13">
      <c r="B288" s="2"/>
      <c r="D288" s="4"/>
      <c r="E288" s="4"/>
      <c r="F288" s="120" t="s">
        <v>1149</v>
      </c>
      <c r="G288" s="120"/>
      <c r="H288" s="120"/>
      <c r="I288" s="120"/>
      <c r="J288" s="120"/>
      <c r="K288" s="120"/>
      <c r="L288" s="120"/>
      <c r="M288" s="120"/>
      <c r="N288" s="120"/>
      <c r="O288" s="4"/>
      <c r="P288" s="4"/>
      <c r="Q288" s="4"/>
      <c r="R288" s="4"/>
      <c r="S288" s="4"/>
      <c r="T288" s="4"/>
      <c r="U288" s="4"/>
      <c r="V288" s="4"/>
      <c r="W288" s="4"/>
    </row>
    <row r="289" spans="2:23" ht="13">
      <c r="B289" s="2"/>
      <c r="D289" s="4"/>
      <c r="E289" s="4" t="s">
        <v>113</v>
      </c>
      <c r="F289" s="4" t="s">
        <v>559</v>
      </c>
      <c r="G289" s="4"/>
      <c r="L289" s="4"/>
      <c r="M289" s="4"/>
      <c r="N289" s="4"/>
      <c r="O289" s="4"/>
      <c r="P289" s="4"/>
      <c r="Q289" s="4"/>
      <c r="R289" s="4"/>
      <c r="S289" s="4"/>
      <c r="T289" s="4"/>
      <c r="U289" s="4"/>
      <c r="V289" s="4"/>
      <c r="W289" s="4"/>
    </row>
    <row r="290" spans="2:23" ht="13">
      <c r="B290" s="2"/>
      <c r="D290" s="4"/>
      <c r="E290" s="4" t="s">
        <v>119</v>
      </c>
      <c r="F290" s="4" t="s">
        <v>258</v>
      </c>
      <c r="G290" s="4"/>
      <c r="H290" s="4"/>
      <c r="K290" s="4"/>
      <c r="L290" s="4"/>
      <c r="M290" s="4"/>
      <c r="N290" s="4"/>
      <c r="O290" s="4"/>
      <c r="P290" s="4"/>
      <c r="Q290" s="4"/>
      <c r="R290" s="4"/>
      <c r="S290" s="4"/>
      <c r="T290" s="4"/>
      <c r="U290" s="4"/>
      <c r="V290" s="4"/>
      <c r="W290" s="4"/>
    </row>
    <row r="291" spans="2:23" ht="13">
      <c r="B291" s="2"/>
      <c r="D291" s="4"/>
      <c r="E291" s="4"/>
      <c r="F291" s="4" t="s">
        <v>652</v>
      </c>
      <c r="G291" s="4" t="s">
        <v>259</v>
      </c>
      <c r="K291" s="4"/>
      <c r="L291" s="4"/>
      <c r="M291" s="4"/>
      <c r="N291" s="4"/>
      <c r="O291" s="4"/>
      <c r="P291" s="4"/>
      <c r="Q291" s="4"/>
      <c r="R291" s="4"/>
      <c r="S291" s="4"/>
      <c r="T291" s="4"/>
      <c r="U291" s="4"/>
      <c r="V291" s="4"/>
      <c r="W291" s="4"/>
    </row>
    <row r="292" spans="2:23" ht="13">
      <c r="B292" s="2"/>
      <c r="D292" s="4"/>
      <c r="E292" s="4"/>
      <c r="F292" s="4" t="s">
        <v>347</v>
      </c>
      <c r="G292" s="4" t="s">
        <v>939</v>
      </c>
      <c r="H292" s="4"/>
      <c r="K292" s="4"/>
      <c r="L292" s="4"/>
      <c r="M292" s="4"/>
      <c r="N292" s="4"/>
      <c r="O292" s="4"/>
      <c r="P292" s="4"/>
      <c r="Q292" s="4"/>
      <c r="R292" s="4"/>
      <c r="S292" s="4"/>
      <c r="T292" s="4"/>
      <c r="U292" s="4"/>
      <c r="V292" s="4"/>
      <c r="W292" s="4"/>
    </row>
    <row r="293" spans="2:23" ht="13">
      <c r="B293" s="2"/>
      <c r="D293" s="4"/>
      <c r="E293" s="4"/>
      <c r="F293" s="4" t="s">
        <v>348</v>
      </c>
      <c r="G293" s="4" t="s">
        <v>560</v>
      </c>
      <c r="K293" s="4"/>
      <c r="L293" s="4"/>
      <c r="M293" s="4"/>
      <c r="N293" s="4"/>
      <c r="O293" s="4"/>
      <c r="P293" s="4"/>
      <c r="Q293" s="4"/>
      <c r="R293" s="4"/>
      <c r="S293" s="4"/>
      <c r="T293" s="4"/>
      <c r="U293" s="4"/>
      <c r="V293" s="4"/>
      <c r="W293" s="4"/>
    </row>
    <row r="294" spans="2:23" ht="13">
      <c r="B294" s="2"/>
      <c r="D294" s="4"/>
      <c r="E294" s="4"/>
      <c r="F294" s="4" t="s">
        <v>443</v>
      </c>
      <c r="G294" s="4" t="s">
        <v>260</v>
      </c>
      <c r="H294" s="4"/>
      <c r="K294" s="4"/>
      <c r="L294" s="4"/>
      <c r="M294" s="4"/>
      <c r="N294" s="4"/>
      <c r="O294" s="4"/>
      <c r="P294" s="4"/>
      <c r="Q294" s="4"/>
      <c r="R294" s="4"/>
      <c r="S294" s="4"/>
      <c r="T294" s="4"/>
      <c r="U294" s="4"/>
      <c r="V294" s="4"/>
      <c r="W294" s="4"/>
    </row>
    <row r="295" spans="2:23" ht="13">
      <c r="B295" s="2"/>
      <c r="D295" s="4"/>
      <c r="E295" s="4"/>
      <c r="F295" s="4" t="s">
        <v>261</v>
      </c>
      <c r="G295" s="4" t="s">
        <v>389</v>
      </c>
      <c r="K295" s="4"/>
      <c r="L295" s="4"/>
      <c r="M295" s="4"/>
      <c r="N295" s="4"/>
      <c r="O295" s="4"/>
      <c r="P295" s="4"/>
      <c r="Q295" s="4"/>
      <c r="R295" s="4"/>
      <c r="S295" s="4"/>
      <c r="T295" s="4"/>
      <c r="U295" s="4"/>
      <c r="V295" s="4"/>
      <c r="W295" s="4"/>
    </row>
    <row r="296" spans="2:23" ht="13">
      <c r="B296" s="2"/>
      <c r="D296" s="4"/>
      <c r="E296" s="4"/>
      <c r="F296" s="4" t="s">
        <v>262</v>
      </c>
      <c r="G296" s="4" t="s">
        <v>169</v>
      </c>
      <c r="H296" s="4"/>
      <c r="K296" s="4"/>
      <c r="L296" s="4"/>
      <c r="M296" s="4"/>
      <c r="N296" s="4"/>
      <c r="O296" s="4"/>
      <c r="P296" s="4"/>
      <c r="Q296" s="4"/>
      <c r="R296" s="4"/>
      <c r="S296" s="4"/>
      <c r="T296" s="4"/>
      <c r="U296" s="4"/>
      <c r="V296" s="4"/>
      <c r="W296" s="4"/>
    </row>
    <row r="297" spans="2:23" ht="13">
      <c r="B297" s="2"/>
      <c r="D297" s="4"/>
      <c r="E297" s="4" t="s">
        <v>580</v>
      </c>
      <c r="F297" s="4" t="s">
        <v>741</v>
      </c>
      <c r="G297" s="4"/>
      <c r="K297" s="4"/>
      <c r="L297" s="4"/>
      <c r="M297" s="4"/>
      <c r="N297" s="4"/>
      <c r="O297" s="4"/>
      <c r="P297" s="4"/>
      <c r="Q297" s="4"/>
      <c r="R297" s="4"/>
      <c r="S297" s="4"/>
      <c r="T297" s="4"/>
      <c r="U297" s="4"/>
      <c r="V297" s="4"/>
      <c r="W297" s="4"/>
    </row>
    <row r="298" spans="2:23" ht="13">
      <c r="B298" s="2"/>
      <c r="D298" s="4"/>
      <c r="E298" s="4" t="s">
        <v>762</v>
      </c>
      <c r="F298" s="4" t="s">
        <v>748</v>
      </c>
      <c r="G298" s="4"/>
      <c r="K298" s="4"/>
      <c r="L298" s="4"/>
      <c r="M298" s="4"/>
      <c r="N298" s="4"/>
      <c r="O298" s="4"/>
      <c r="P298" s="4"/>
      <c r="Q298" s="4"/>
      <c r="R298" s="4"/>
      <c r="S298" s="4"/>
      <c r="T298" s="4"/>
      <c r="U298" s="4"/>
      <c r="V298" s="4"/>
      <c r="W298" s="4"/>
    </row>
    <row r="299" spans="2:23" ht="13">
      <c r="B299" s="2"/>
      <c r="D299" s="4"/>
      <c r="E299" s="4"/>
      <c r="F299" s="120" t="s">
        <v>962</v>
      </c>
      <c r="G299" s="120"/>
      <c r="H299" s="120"/>
      <c r="I299" s="120"/>
      <c r="J299" s="120"/>
      <c r="K299" s="120"/>
      <c r="L299" s="120"/>
      <c r="M299" s="4"/>
      <c r="N299" s="4"/>
      <c r="O299" s="4"/>
      <c r="P299" s="4"/>
      <c r="Q299" s="4"/>
      <c r="R299" s="4"/>
      <c r="S299" s="4"/>
      <c r="T299" s="4"/>
      <c r="U299" s="4"/>
      <c r="V299" s="4"/>
      <c r="W299" s="4"/>
    </row>
    <row r="300" spans="2:23" ht="13">
      <c r="B300" s="2"/>
      <c r="D300" s="4"/>
      <c r="E300" s="4"/>
      <c r="F300" s="120" t="s">
        <v>963</v>
      </c>
      <c r="G300" s="120"/>
      <c r="H300" s="120"/>
      <c r="I300" s="120"/>
      <c r="J300" s="120"/>
      <c r="K300" s="120"/>
      <c r="L300" s="120"/>
      <c r="M300" s="4"/>
      <c r="N300" s="4"/>
      <c r="O300" s="4"/>
      <c r="P300" s="4"/>
      <c r="Q300" s="4"/>
      <c r="R300" s="4"/>
      <c r="S300" s="4"/>
      <c r="T300" s="4"/>
      <c r="U300" s="4"/>
      <c r="V300" s="4"/>
      <c r="W300" s="4"/>
    </row>
    <row r="301" spans="2:23" ht="13">
      <c r="B301" s="2"/>
      <c r="D301" s="4"/>
      <c r="E301" s="4"/>
      <c r="F301" s="120" t="s">
        <v>964</v>
      </c>
      <c r="G301" s="120"/>
      <c r="H301" s="120"/>
      <c r="I301" s="120"/>
      <c r="J301" s="120"/>
      <c r="K301" s="120"/>
      <c r="L301" s="120"/>
      <c r="M301" s="4"/>
      <c r="N301" s="4"/>
      <c r="O301" s="4"/>
      <c r="P301" s="4"/>
      <c r="Q301" s="4"/>
      <c r="R301" s="4"/>
      <c r="S301" s="4"/>
      <c r="T301" s="4"/>
      <c r="U301" s="4"/>
      <c r="V301" s="4"/>
      <c r="W301" s="4"/>
    </row>
    <row r="302" spans="2:23" ht="13">
      <c r="B302" s="2"/>
      <c r="D302" s="4"/>
      <c r="E302" s="4"/>
      <c r="F302" s="120"/>
      <c r="G302" s="120"/>
      <c r="H302" s="120"/>
      <c r="I302" s="120"/>
      <c r="J302" s="120"/>
      <c r="K302" s="120"/>
      <c r="L302" s="120"/>
      <c r="M302" s="4"/>
      <c r="N302" s="4"/>
      <c r="O302" s="4"/>
      <c r="P302" s="4"/>
      <c r="Q302" s="4"/>
      <c r="R302" s="4"/>
      <c r="S302" s="4"/>
      <c r="T302" s="4"/>
      <c r="U302" s="4"/>
      <c r="V302" s="4"/>
      <c r="W302" s="4"/>
    </row>
    <row r="303" spans="2:23" ht="13">
      <c r="B303" s="2"/>
      <c r="D303" s="2" t="s">
        <v>554</v>
      </c>
      <c r="E303" s="2" t="s">
        <v>288</v>
      </c>
      <c r="G303" s="4"/>
      <c r="H303" s="4"/>
      <c r="I303" s="4"/>
      <c r="J303" s="4"/>
      <c r="K303" s="4"/>
      <c r="L303" s="4"/>
      <c r="M303" s="4"/>
      <c r="N303" s="4"/>
      <c r="O303" s="4"/>
      <c r="P303" s="4"/>
      <c r="Q303" s="4"/>
      <c r="R303" s="4"/>
      <c r="S303" s="4"/>
      <c r="T303" s="4"/>
      <c r="U303" s="4"/>
      <c r="V303" s="4"/>
      <c r="W303" s="4"/>
    </row>
    <row r="304" spans="2:23" ht="13">
      <c r="B304" s="2"/>
      <c r="D304" s="2"/>
      <c r="E304" s="4" t="s">
        <v>947</v>
      </c>
      <c r="F304" s="4"/>
      <c r="K304" s="4"/>
      <c r="L304" s="4"/>
      <c r="M304" s="4"/>
      <c r="N304" s="4"/>
      <c r="O304" s="4"/>
      <c r="P304" s="4"/>
      <c r="Q304" s="4"/>
      <c r="R304" s="4"/>
      <c r="S304" s="4"/>
      <c r="T304" s="4"/>
      <c r="U304" s="4"/>
      <c r="V304" s="4"/>
      <c r="W304" s="4"/>
    </row>
    <row r="305" spans="2:23" ht="13">
      <c r="B305" s="2"/>
      <c r="D305" s="2"/>
      <c r="E305" s="4" t="s">
        <v>945</v>
      </c>
      <c r="F305" s="4"/>
      <c r="I305" s="4"/>
      <c r="J305" s="4"/>
      <c r="K305" s="4"/>
      <c r="L305" s="4"/>
      <c r="M305" s="4"/>
      <c r="N305" s="4"/>
      <c r="O305" s="4"/>
      <c r="P305" s="4"/>
      <c r="Q305" s="4"/>
      <c r="R305" s="4"/>
      <c r="S305" s="4"/>
      <c r="T305" s="4"/>
      <c r="U305" s="4"/>
      <c r="V305" s="4"/>
      <c r="W305" s="4"/>
    </row>
    <row r="306" spans="2:23" ht="13">
      <c r="B306" s="2"/>
      <c r="D306" s="4"/>
      <c r="E306" s="4"/>
      <c r="F306" s="120"/>
      <c r="G306" s="120"/>
      <c r="H306" s="120"/>
      <c r="I306" s="120"/>
      <c r="J306" s="120"/>
      <c r="K306" s="120"/>
      <c r="L306" s="120"/>
      <c r="M306" s="4"/>
      <c r="N306" s="4"/>
      <c r="O306" s="4"/>
      <c r="P306" s="4"/>
      <c r="Q306" s="4"/>
      <c r="R306" s="4"/>
      <c r="S306" s="4"/>
      <c r="T306" s="4"/>
      <c r="U306" s="4"/>
      <c r="V306" s="4"/>
      <c r="W306" s="4"/>
    </row>
    <row r="307" spans="2:23" ht="13">
      <c r="B307" s="2"/>
      <c r="C307" s="2" t="s">
        <v>7</v>
      </c>
      <c r="D307" s="2"/>
      <c r="F307" s="2"/>
      <c r="G307" s="2" t="s">
        <v>613</v>
      </c>
      <c r="I307" s="4"/>
      <c r="J307" s="4"/>
      <c r="K307" s="4"/>
      <c r="L307" s="4"/>
      <c r="M307" s="4"/>
      <c r="N307" s="4"/>
      <c r="O307" s="4"/>
      <c r="P307" s="4"/>
    </row>
    <row r="308" spans="2:23" ht="13">
      <c r="B308" s="2"/>
      <c r="D308" s="2" t="s">
        <v>206</v>
      </c>
      <c r="E308" s="2" t="s">
        <v>263</v>
      </c>
      <c r="G308" s="2"/>
      <c r="H308" s="2"/>
      <c r="I308" s="2"/>
      <c r="J308" s="2"/>
      <c r="K308" s="2"/>
      <c r="L308" s="2"/>
      <c r="M308" s="2"/>
      <c r="N308" s="2"/>
      <c r="O308" s="2"/>
      <c r="P308" s="2"/>
      <c r="Q308" s="2"/>
      <c r="R308" s="2"/>
    </row>
    <row r="309" spans="2:23" ht="13">
      <c r="B309" s="2"/>
      <c r="D309" s="2"/>
      <c r="E309" t="s">
        <v>264</v>
      </c>
      <c r="G309" s="4"/>
      <c r="I309" s="4"/>
      <c r="K309" s="4"/>
    </row>
    <row r="310" spans="2:23" ht="13">
      <c r="B310" s="2"/>
      <c r="D310" s="2"/>
      <c r="E310" s="4" t="s">
        <v>798</v>
      </c>
      <c r="F310" s="4"/>
      <c r="G310" s="4"/>
      <c r="I310" s="4"/>
      <c r="K310" s="4"/>
    </row>
    <row r="311" spans="2:23" ht="13">
      <c r="B311" s="2"/>
      <c r="D311" s="2"/>
      <c r="E311" s="4" t="s">
        <v>948</v>
      </c>
      <c r="F311" s="4"/>
      <c r="G311" s="4"/>
      <c r="I311" s="4"/>
      <c r="K311" s="4"/>
    </row>
    <row r="312" spans="2:23" ht="13">
      <c r="B312" s="2"/>
      <c r="D312" s="2"/>
      <c r="E312" s="4" t="s">
        <v>799</v>
      </c>
      <c r="F312" s="4"/>
      <c r="G312" s="4"/>
      <c r="I312" s="4"/>
      <c r="K312" s="4"/>
    </row>
    <row r="313" spans="2:23" ht="13">
      <c r="B313" s="2"/>
      <c r="D313" s="2"/>
      <c r="G313" s="4"/>
      <c r="I313" s="4"/>
      <c r="K313" s="4"/>
    </row>
    <row r="314" spans="2:23" ht="13">
      <c r="B314" s="2"/>
      <c r="D314" s="2" t="s">
        <v>340</v>
      </c>
      <c r="E314" s="2" t="s">
        <v>750</v>
      </c>
      <c r="G314" s="4"/>
      <c r="H314" s="4"/>
      <c r="I314" s="4"/>
      <c r="J314" s="4"/>
      <c r="K314" s="4"/>
      <c r="P314" s="4"/>
      <c r="Q314" s="4"/>
      <c r="R314" s="4"/>
      <c r="S314" s="4"/>
    </row>
    <row r="315" spans="2:23" ht="13">
      <c r="B315" s="2"/>
      <c r="D315" s="2"/>
      <c r="E315" t="s">
        <v>265</v>
      </c>
      <c r="G315" s="4"/>
      <c r="I315" s="4"/>
      <c r="J315" s="4"/>
      <c r="K315" s="4"/>
      <c r="L315" s="4"/>
      <c r="M315" s="4"/>
      <c r="N315" s="4"/>
      <c r="O315" s="4"/>
      <c r="P315" s="4"/>
      <c r="Q315" s="4"/>
      <c r="R315" s="4"/>
      <c r="S315" s="4"/>
    </row>
    <row r="316" spans="2:23" ht="13">
      <c r="B316" s="2"/>
      <c r="D316" s="2"/>
      <c r="G316" s="4"/>
      <c r="I316" s="4"/>
      <c r="J316" s="4"/>
      <c r="K316" s="4"/>
      <c r="L316" s="4"/>
      <c r="M316" s="4"/>
      <c r="N316" s="4"/>
      <c r="O316" s="4"/>
      <c r="P316" s="4"/>
      <c r="Q316" s="4"/>
      <c r="R316" s="4"/>
      <c r="S316" s="4"/>
    </row>
    <row r="317" spans="2:23" ht="13">
      <c r="B317" s="2"/>
      <c r="D317" s="170" t="s">
        <v>573</v>
      </c>
      <c r="E317" s="170" t="s">
        <v>734</v>
      </c>
      <c r="F317" s="3"/>
      <c r="G317" s="4"/>
      <c r="H317" s="4"/>
      <c r="I317" s="4"/>
      <c r="J317" s="4"/>
      <c r="K317" s="4"/>
      <c r="L317" s="4"/>
      <c r="M317" s="4"/>
      <c r="N317" s="4"/>
      <c r="O317" s="4"/>
      <c r="P317" s="4"/>
      <c r="Q317" s="4"/>
      <c r="R317" s="4"/>
      <c r="S317" s="4"/>
    </row>
    <row r="318" spans="2:23" ht="13">
      <c r="B318" s="2"/>
      <c r="E318" t="s">
        <v>731</v>
      </c>
      <c r="I318" s="4"/>
      <c r="J318" s="4"/>
      <c r="K318" s="4"/>
      <c r="L318" s="4"/>
      <c r="M318" s="4"/>
      <c r="N318" s="4"/>
      <c r="O318" s="4"/>
      <c r="P318" s="4"/>
      <c r="Q318" s="4"/>
      <c r="R318" s="4"/>
      <c r="S318" s="4"/>
    </row>
    <row r="319" spans="2:23" ht="13">
      <c r="B319" s="2"/>
      <c r="E319" t="s">
        <v>732</v>
      </c>
      <c r="I319" s="4"/>
      <c r="J319" s="4"/>
      <c r="K319" s="4"/>
      <c r="L319" s="4"/>
      <c r="M319" s="4"/>
      <c r="N319" s="4"/>
      <c r="O319" s="4"/>
      <c r="P319" s="4"/>
      <c r="Q319" s="4"/>
      <c r="R319" s="4"/>
      <c r="S319" s="4"/>
    </row>
    <row r="320" spans="2:23" ht="13">
      <c r="B320" s="2"/>
      <c r="E320" t="s">
        <v>733</v>
      </c>
      <c r="I320" s="4"/>
      <c r="J320" s="4"/>
      <c r="K320" s="4"/>
      <c r="L320" s="4"/>
      <c r="M320" s="4"/>
      <c r="N320" s="4"/>
      <c r="O320" s="4"/>
      <c r="P320" s="4"/>
      <c r="Q320" s="4"/>
      <c r="R320" s="4"/>
      <c r="S320" s="4"/>
    </row>
    <row r="321" spans="1:38" ht="13">
      <c r="B321" s="2"/>
      <c r="I321" s="4"/>
      <c r="J321" s="4"/>
      <c r="K321" s="4"/>
      <c r="L321" s="4"/>
      <c r="M321" s="4"/>
      <c r="N321" s="4"/>
      <c r="O321" s="4"/>
      <c r="P321" s="4"/>
      <c r="Q321" s="4"/>
      <c r="R321" s="4"/>
      <c r="S321" s="4"/>
    </row>
    <row r="322" spans="1:38" ht="13">
      <c r="B322" s="2"/>
      <c r="C322" s="2" t="s">
        <v>8</v>
      </c>
      <c r="G322" s="2" t="s">
        <v>614</v>
      </c>
      <c r="I322" s="4"/>
      <c r="J322" s="4"/>
      <c r="K322" s="4"/>
      <c r="L322" s="4"/>
      <c r="M322" s="4"/>
      <c r="N322" s="4"/>
      <c r="O322" s="4"/>
      <c r="P322" s="4"/>
      <c r="Q322" s="4"/>
      <c r="R322" s="4"/>
      <c r="S322" s="4"/>
    </row>
    <row r="323" spans="1:38" ht="13">
      <c r="A323" t="s">
        <v>249</v>
      </c>
      <c r="D323" s="2" t="s">
        <v>206</v>
      </c>
      <c r="E323" s="2" t="s">
        <v>614</v>
      </c>
      <c r="J323" s="2"/>
      <c r="K323" s="2"/>
      <c r="L323" s="2"/>
      <c r="M323" s="4"/>
      <c r="N323" s="4"/>
      <c r="O323" s="4"/>
      <c r="P323" s="4"/>
      <c r="Q323" s="4"/>
      <c r="R323" s="4"/>
      <c r="S323" s="4"/>
    </row>
    <row r="324" spans="1:38">
      <c r="E324" t="s">
        <v>112</v>
      </c>
      <c r="F324" s="4" t="s">
        <v>949</v>
      </c>
      <c r="J324" s="4"/>
      <c r="K324" s="4"/>
      <c r="L324" s="4"/>
      <c r="M324" s="4"/>
      <c r="N324" s="4"/>
      <c r="O324" s="4"/>
      <c r="P324" s="4"/>
      <c r="Q324" s="4"/>
      <c r="R324" s="4"/>
      <c r="S324" s="4"/>
    </row>
    <row r="325" spans="1:38">
      <c r="E325" s="4" t="s">
        <v>113</v>
      </c>
      <c r="F325" t="s">
        <v>735</v>
      </c>
      <c r="J325" s="4"/>
      <c r="K325" s="4"/>
      <c r="L325" s="4"/>
      <c r="M325" s="4"/>
      <c r="N325" s="4"/>
      <c r="O325" s="4"/>
      <c r="P325" s="4"/>
      <c r="Q325" s="4"/>
      <c r="R325" s="4"/>
      <c r="S325" s="4"/>
    </row>
    <row r="326" spans="1:38" ht="13">
      <c r="F326" s="120" t="s">
        <v>1150</v>
      </c>
      <c r="I326" s="120"/>
      <c r="J326" s="4"/>
      <c r="K326" s="4"/>
      <c r="L326" s="4"/>
      <c r="M326" s="4"/>
      <c r="N326" s="4"/>
      <c r="O326" s="4"/>
      <c r="P326" s="4"/>
      <c r="Q326" s="4"/>
      <c r="R326" s="4"/>
      <c r="S326" s="4"/>
    </row>
    <row r="327" spans="1:38" ht="13">
      <c r="F327" s="120" t="s">
        <v>1151</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ht="13">
      <c r="A329" s="5"/>
      <c r="B329" s="11" t="s">
        <v>514</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ht="13">
      <c r="B330" s="2"/>
      <c r="D330" s="2"/>
      <c r="E330" s="2"/>
      <c r="F330" s="2"/>
      <c r="G330" s="2"/>
      <c r="H330" s="2"/>
      <c r="I330" s="2"/>
      <c r="J330" s="4"/>
      <c r="K330" s="4"/>
      <c r="L330" s="4"/>
      <c r="M330" s="4"/>
      <c r="N330" s="4"/>
      <c r="O330" s="4"/>
      <c r="P330" s="4"/>
      <c r="Q330" s="4"/>
      <c r="R330" s="4"/>
      <c r="S330" s="4"/>
    </row>
    <row r="331" spans="1:38" ht="13">
      <c r="B331" s="2"/>
      <c r="C331" s="2" t="s">
        <v>429</v>
      </c>
      <c r="G331" s="2" t="s">
        <v>22</v>
      </c>
      <c r="I331" s="2"/>
      <c r="J331" s="4"/>
      <c r="K331" s="4"/>
      <c r="L331" s="4"/>
      <c r="M331" s="4"/>
      <c r="N331" s="4"/>
      <c r="O331" s="4"/>
      <c r="P331" s="4"/>
      <c r="Q331" s="4"/>
      <c r="R331" s="4"/>
      <c r="S331" s="4"/>
    </row>
    <row r="332" spans="1:38" ht="13">
      <c r="B332" s="2"/>
      <c r="C332" s="2"/>
      <c r="D332" s="2" t="s">
        <v>206</v>
      </c>
      <c r="E332" s="2" t="s">
        <v>22</v>
      </c>
      <c r="G332" s="2"/>
      <c r="I332" s="2"/>
      <c r="J332" s="4"/>
      <c r="K332" s="4"/>
      <c r="L332" s="4"/>
      <c r="M332" s="4"/>
      <c r="N332" s="4"/>
      <c r="O332" s="4"/>
      <c r="P332" s="4"/>
      <c r="Q332" s="4"/>
      <c r="R332" s="4"/>
      <c r="S332" s="4"/>
    </row>
    <row r="333" spans="1:38" ht="13">
      <c r="B333" s="2"/>
      <c r="E333" t="s">
        <v>112</v>
      </c>
      <c r="F333" t="s">
        <v>738</v>
      </c>
      <c r="J333" s="4"/>
      <c r="K333" s="4"/>
      <c r="L333" s="4"/>
      <c r="M333" s="4"/>
      <c r="N333" s="4"/>
      <c r="O333" s="4"/>
      <c r="P333" s="4"/>
      <c r="Q333" s="4"/>
      <c r="R333" s="4"/>
      <c r="S333" s="4"/>
    </row>
    <row r="334" spans="1:38" ht="13">
      <c r="B334" s="2"/>
      <c r="E334" s="4"/>
      <c r="F334" s="4" t="s">
        <v>739</v>
      </c>
      <c r="J334" s="4"/>
      <c r="K334" s="4"/>
      <c r="L334" s="4"/>
      <c r="M334" s="4"/>
      <c r="N334" s="4"/>
      <c r="O334" s="4"/>
      <c r="P334" s="4"/>
      <c r="Q334" s="4"/>
      <c r="R334" s="4"/>
      <c r="S334" s="4"/>
    </row>
    <row r="335" spans="1:38" ht="13">
      <c r="B335" s="2"/>
      <c r="E335" s="4"/>
      <c r="F335" s="4" t="s">
        <v>740</v>
      </c>
      <c r="I335" s="4"/>
      <c r="J335" s="4"/>
      <c r="K335" s="4"/>
      <c r="L335" s="4"/>
      <c r="M335" s="4"/>
      <c r="N335" s="4"/>
      <c r="O335" s="4"/>
      <c r="P335" s="4"/>
      <c r="Q335" s="4"/>
      <c r="R335" s="4"/>
      <c r="S335" s="4"/>
    </row>
    <row r="336" spans="1:38" ht="13">
      <c r="B336" s="2"/>
      <c r="E336" s="4" t="s">
        <v>113</v>
      </c>
      <c r="F336" s="1270" t="s">
        <v>1154</v>
      </c>
      <c r="G336" s="1270"/>
      <c r="H336" s="1270"/>
      <c r="I336" s="1270"/>
      <c r="J336" s="1270"/>
      <c r="K336" s="1270"/>
      <c r="L336" s="1270"/>
      <c r="M336" s="1270"/>
      <c r="N336" s="1270"/>
      <c r="O336" s="1270"/>
      <c r="P336" s="1270"/>
      <c r="Q336" s="1270"/>
      <c r="R336" s="1270"/>
      <c r="S336" s="1270"/>
      <c r="T336" s="1270"/>
      <c r="U336" s="1270"/>
      <c r="V336" s="1270"/>
      <c r="W336" s="1270"/>
      <c r="X336" s="1270"/>
      <c r="Y336" s="1270"/>
      <c r="Z336" s="1270"/>
      <c r="AA336" s="1270"/>
      <c r="AB336" s="1270"/>
      <c r="AC336" s="1270"/>
      <c r="AD336" s="1270"/>
      <c r="AE336" s="1270"/>
      <c r="AF336" s="1270"/>
      <c r="AG336" s="1270"/>
      <c r="AH336" s="1270"/>
      <c r="AI336" s="1270"/>
      <c r="AJ336" s="1270"/>
      <c r="AK336" s="1270"/>
    </row>
    <row r="337" spans="2:37" ht="13">
      <c r="B337" s="2"/>
      <c r="E337" s="4"/>
      <c r="F337" s="1270"/>
      <c r="G337" s="1270"/>
      <c r="H337" s="1270"/>
      <c r="I337" s="1270"/>
      <c r="J337" s="1270"/>
      <c r="K337" s="1270"/>
      <c r="L337" s="1270"/>
      <c r="M337" s="1270"/>
      <c r="N337" s="1270"/>
      <c r="O337" s="1270"/>
      <c r="P337" s="1270"/>
      <c r="Q337" s="1270"/>
      <c r="R337" s="1270"/>
      <c r="S337" s="1270"/>
      <c r="T337" s="1270"/>
      <c r="U337" s="1270"/>
      <c r="V337" s="1270"/>
      <c r="W337" s="1270"/>
      <c r="X337" s="1270"/>
      <c r="Y337" s="1270"/>
      <c r="Z337" s="1270"/>
      <c r="AA337" s="1270"/>
      <c r="AB337" s="1270"/>
      <c r="AC337" s="1270"/>
      <c r="AD337" s="1270"/>
      <c r="AE337" s="1270"/>
      <c r="AF337" s="1270"/>
      <c r="AG337" s="1270"/>
      <c r="AH337" s="1270"/>
      <c r="AI337" s="1270"/>
      <c r="AJ337" s="1270"/>
      <c r="AK337" s="1270"/>
    </row>
    <row r="338" spans="2:37" ht="13">
      <c r="B338" s="2"/>
      <c r="E338" s="4"/>
      <c r="F338" s="1270"/>
      <c r="G338" s="1270"/>
      <c r="H338" s="1270"/>
      <c r="I338" s="1270"/>
      <c r="J338" s="1270"/>
      <c r="K338" s="1270"/>
      <c r="L338" s="1270"/>
      <c r="M338" s="1270"/>
      <c r="N338" s="1270"/>
      <c r="O338" s="1270"/>
      <c r="P338" s="1270"/>
      <c r="Q338" s="1270"/>
      <c r="R338" s="1270"/>
      <c r="S338" s="1270"/>
      <c r="T338" s="1270"/>
      <c r="U338" s="1270"/>
      <c r="V338" s="1270"/>
      <c r="W338" s="1270"/>
      <c r="X338" s="1270"/>
      <c r="Y338" s="1270"/>
      <c r="Z338" s="1270"/>
      <c r="AA338" s="1270"/>
      <c r="AB338" s="1270"/>
      <c r="AC338" s="1270"/>
      <c r="AD338" s="1270"/>
      <c r="AE338" s="1270"/>
      <c r="AF338" s="1270"/>
      <c r="AG338" s="1270"/>
      <c r="AH338" s="1270"/>
      <c r="AI338" s="1270"/>
      <c r="AJ338" s="1270"/>
      <c r="AK338" s="1270"/>
    </row>
    <row r="339" spans="2:37" ht="13">
      <c r="B339" s="2"/>
      <c r="F339" s="4"/>
      <c r="H339" s="4"/>
      <c r="I339" s="4"/>
      <c r="J339" s="4"/>
      <c r="K339" s="4"/>
      <c r="L339" s="4"/>
      <c r="M339" s="4"/>
      <c r="N339" s="4"/>
      <c r="O339" s="4"/>
      <c r="P339" s="4"/>
      <c r="Q339" s="4"/>
      <c r="R339" s="4"/>
      <c r="S339" s="4"/>
    </row>
    <row r="340" spans="2:37" ht="13">
      <c r="B340" s="2"/>
      <c r="C340" s="2" t="s">
        <v>430</v>
      </c>
      <c r="G340" s="2" t="s">
        <v>1227</v>
      </c>
      <c r="I340" s="2"/>
      <c r="J340" s="4"/>
      <c r="K340" s="4"/>
      <c r="L340" s="4"/>
      <c r="M340" s="4"/>
      <c r="N340" s="4"/>
      <c r="O340" s="4"/>
      <c r="P340" s="4"/>
      <c r="Q340" s="4"/>
      <c r="R340" s="4"/>
      <c r="S340" s="4"/>
    </row>
    <row r="341" spans="2:37" ht="13.15" customHeight="1">
      <c r="B341" s="2"/>
      <c r="E341" s="1275" t="s">
        <v>1234</v>
      </c>
      <c r="F341" s="1275"/>
      <c r="G341" s="1275"/>
      <c r="H341" s="1275"/>
      <c r="I341" s="1275"/>
      <c r="J341" s="1275"/>
      <c r="K341" s="1275"/>
      <c r="L341" s="1275"/>
      <c r="M341" s="1275"/>
      <c r="N341" s="1275"/>
      <c r="O341" s="1275"/>
      <c r="P341" s="1275"/>
      <c r="Q341" s="1275"/>
      <c r="R341" s="1275"/>
      <c r="S341" s="1275"/>
      <c r="T341" s="1275"/>
      <c r="U341" s="1275"/>
      <c r="V341" s="1275"/>
      <c r="W341" s="1275"/>
      <c r="X341" s="1275"/>
      <c r="Y341" s="1275"/>
      <c r="Z341" s="1275"/>
      <c r="AA341" s="1275"/>
      <c r="AB341" s="1275"/>
      <c r="AC341" s="1275"/>
      <c r="AD341" s="1275"/>
      <c r="AE341" s="1275"/>
      <c r="AF341" s="1275"/>
      <c r="AG341" s="1275"/>
      <c r="AH341" s="1275"/>
      <c r="AI341" s="1275"/>
      <c r="AJ341" s="1275"/>
      <c r="AK341" s="1275"/>
    </row>
    <row r="342" spans="2:37" ht="13">
      <c r="B342" s="2"/>
      <c r="E342" s="1275"/>
      <c r="F342" s="1275"/>
      <c r="G342" s="1275"/>
      <c r="H342" s="1275"/>
      <c r="I342" s="1275"/>
      <c r="J342" s="1275"/>
      <c r="K342" s="1275"/>
      <c r="L342" s="1275"/>
      <c r="M342" s="1275"/>
      <c r="N342" s="1275"/>
      <c r="O342" s="1275"/>
      <c r="P342" s="1275"/>
      <c r="Q342" s="1275"/>
      <c r="R342" s="1275"/>
      <c r="S342" s="1275"/>
      <c r="T342" s="1275"/>
      <c r="U342" s="1275"/>
      <c r="V342" s="1275"/>
      <c r="W342" s="1275"/>
      <c r="X342" s="1275"/>
      <c r="Y342" s="1275"/>
      <c r="Z342" s="1275"/>
      <c r="AA342" s="1275"/>
      <c r="AB342" s="1275"/>
      <c r="AC342" s="1275"/>
      <c r="AD342" s="1275"/>
      <c r="AE342" s="1275"/>
      <c r="AF342" s="1275"/>
      <c r="AG342" s="1275"/>
      <c r="AH342" s="1275"/>
      <c r="AI342" s="1275"/>
      <c r="AJ342" s="1275"/>
      <c r="AK342" s="1275"/>
    </row>
    <row r="343" spans="2:37" ht="13">
      <c r="B343" s="2"/>
      <c r="E343" s="1275"/>
      <c r="F343" s="1275"/>
      <c r="G343" s="1275"/>
      <c r="H343" s="1275"/>
      <c r="I343" s="1275"/>
      <c r="J343" s="1275"/>
      <c r="K343" s="1275"/>
      <c r="L343" s="1275"/>
      <c r="M343" s="1275"/>
      <c r="N343" s="1275"/>
      <c r="O343" s="1275"/>
      <c r="P343" s="1275"/>
      <c r="Q343" s="1275"/>
      <c r="R343" s="1275"/>
      <c r="S343" s="1275"/>
      <c r="T343" s="1275"/>
      <c r="U343" s="1275"/>
      <c r="V343" s="1275"/>
      <c r="W343" s="1275"/>
      <c r="X343" s="1275"/>
      <c r="Y343" s="1275"/>
      <c r="Z343" s="1275"/>
      <c r="AA343" s="1275"/>
      <c r="AB343" s="1275"/>
      <c r="AC343" s="1275"/>
      <c r="AD343" s="1275"/>
      <c r="AE343" s="1275"/>
      <c r="AF343" s="1275"/>
      <c r="AG343" s="1275"/>
      <c r="AH343" s="1275"/>
      <c r="AI343" s="1275"/>
      <c r="AJ343" s="1275"/>
      <c r="AK343" s="1275"/>
    </row>
    <row r="344" spans="2:37" ht="13">
      <c r="B344" s="2"/>
      <c r="E344" s="1275"/>
      <c r="F344" s="1275"/>
      <c r="G344" s="1275"/>
      <c r="H344" s="1275"/>
      <c r="I344" s="1275"/>
      <c r="J344" s="1275"/>
      <c r="K344" s="1275"/>
      <c r="L344" s="1275"/>
      <c r="M344" s="1275"/>
      <c r="N344" s="1275"/>
      <c r="O344" s="1275"/>
      <c r="P344" s="1275"/>
      <c r="Q344" s="1275"/>
      <c r="R344" s="1275"/>
      <c r="S344" s="1275"/>
      <c r="T344" s="1275"/>
      <c r="U344" s="1275"/>
      <c r="V344" s="1275"/>
      <c r="W344" s="1275"/>
      <c r="X344" s="1275"/>
      <c r="Y344" s="1275"/>
      <c r="Z344" s="1275"/>
      <c r="AA344" s="1275"/>
      <c r="AB344" s="1275"/>
      <c r="AC344" s="1275"/>
      <c r="AD344" s="1275"/>
      <c r="AE344" s="1275"/>
      <c r="AF344" s="1275"/>
      <c r="AG344" s="1275"/>
      <c r="AH344" s="1275"/>
      <c r="AI344" s="1275"/>
      <c r="AJ344" s="1275"/>
      <c r="AK344" s="1275"/>
    </row>
    <row r="345" spans="2:37" ht="13">
      <c r="B345" s="2"/>
      <c r="E345" s="1275"/>
      <c r="F345" s="1275"/>
      <c r="G345" s="1275"/>
      <c r="H345" s="1275"/>
      <c r="I345" s="1275"/>
      <c r="J345" s="1275"/>
      <c r="K345" s="1275"/>
      <c r="L345" s="1275"/>
      <c r="M345" s="1275"/>
      <c r="N345" s="1275"/>
      <c r="O345" s="1275"/>
      <c r="P345" s="1275"/>
      <c r="Q345" s="1275"/>
      <c r="R345" s="1275"/>
      <c r="S345" s="1275"/>
      <c r="T345" s="1275"/>
      <c r="U345" s="1275"/>
      <c r="V345" s="1275"/>
      <c r="W345" s="1275"/>
      <c r="X345" s="1275"/>
      <c r="Y345" s="1275"/>
      <c r="Z345" s="1275"/>
      <c r="AA345" s="1275"/>
      <c r="AB345" s="1275"/>
      <c r="AC345" s="1275"/>
      <c r="AD345" s="1275"/>
      <c r="AE345" s="1275"/>
      <c r="AF345" s="1275"/>
      <c r="AG345" s="1275"/>
      <c r="AH345" s="1275"/>
      <c r="AI345" s="1275"/>
      <c r="AJ345" s="1275"/>
      <c r="AK345" s="1275"/>
    </row>
    <row r="346" spans="2:37" ht="13">
      <c r="B346" s="2"/>
      <c r="E346" s="3" t="s">
        <v>112</v>
      </c>
      <c r="F346" s="1270" t="s">
        <v>1236</v>
      </c>
      <c r="G346" s="1270"/>
      <c r="H346" s="1270"/>
      <c r="I346" s="1270"/>
      <c r="J346" s="1270"/>
      <c r="K346" s="1270"/>
      <c r="L346" s="1270"/>
      <c r="M346" s="1270"/>
      <c r="N346" s="1270"/>
      <c r="O346" s="1270"/>
      <c r="P346" s="1270"/>
      <c r="Q346" s="1270"/>
      <c r="R346" s="1270"/>
      <c r="S346" s="1270"/>
      <c r="T346" s="1270"/>
      <c r="U346" s="1270"/>
      <c r="V346" s="1270"/>
      <c r="W346" s="1270"/>
      <c r="X346" s="1270"/>
      <c r="Y346" s="1270"/>
      <c r="Z346" s="1270"/>
      <c r="AA346" s="1270"/>
      <c r="AB346" s="1270"/>
      <c r="AC346" s="1270"/>
      <c r="AD346" s="1270"/>
      <c r="AE346" s="1270"/>
      <c r="AF346" s="1270"/>
      <c r="AG346" s="1270"/>
      <c r="AH346" s="1270"/>
      <c r="AI346" s="1270"/>
      <c r="AJ346" s="1270"/>
      <c r="AK346" s="1270"/>
    </row>
    <row r="347" spans="2:37" ht="13">
      <c r="B347" s="2"/>
      <c r="E347" s="3"/>
      <c r="F347" s="1270"/>
      <c r="G347" s="1270"/>
      <c r="H347" s="1270"/>
      <c r="I347" s="1270"/>
      <c r="J347" s="1270"/>
      <c r="K347" s="1270"/>
      <c r="L347" s="1270"/>
      <c r="M347" s="1270"/>
      <c r="N347" s="1270"/>
      <c r="O347" s="1270"/>
      <c r="P347" s="1270"/>
      <c r="Q347" s="1270"/>
      <c r="R347" s="1270"/>
      <c r="S347" s="1270"/>
      <c r="T347" s="1270"/>
      <c r="U347" s="1270"/>
      <c r="V347" s="1270"/>
      <c r="W347" s="1270"/>
      <c r="X347" s="1270"/>
      <c r="Y347" s="1270"/>
      <c r="Z347" s="1270"/>
      <c r="AA347" s="1270"/>
      <c r="AB347" s="1270"/>
      <c r="AC347" s="1270"/>
      <c r="AD347" s="1270"/>
      <c r="AE347" s="1270"/>
      <c r="AF347" s="1270"/>
      <c r="AG347" s="1270"/>
      <c r="AH347" s="1270"/>
      <c r="AI347" s="1270"/>
      <c r="AJ347" s="1270"/>
      <c r="AK347" s="1270"/>
    </row>
    <row r="348" spans="2:37" ht="13">
      <c r="B348" s="2"/>
      <c r="E348" s="3"/>
      <c r="F348" s="1270"/>
      <c r="G348" s="1270"/>
      <c r="H348" s="1270"/>
      <c r="I348" s="1270"/>
      <c r="J348" s="1270"/>
      <c r="K348" s="1270"/>
      <c r="L348" s="1270"/>
      <c r="M348" s="1270"/>
      <c r="N348" s="1270"/>
      <c r="O348" s="1270"/>
      <c r="P348" s="1270"/>
      <c r="Q348" s="1270"/>
      <c r="R348" s="1270"/>
      <c r="S348" s="1270"/>
      <c r="T348" s="1270"/>
      <c r="U348" s="1270"/>
      <c r="V348" s="1270"/>
      <c r="W348" s="1270"/>
      <c r="X348" s="1270"/>
      <c r="Y348" s="1270"/>
      <c r="Z348" s="1270"/>
      <c r="AA348" s="1270"/>
      <c r="AB348" s="1270"/>
      <c r="AC348" s="1270"/>
      <c r="AD348" s="1270"/>
      <c r="AE348" s="1270"/>
      <c r="AF348" s="1270"/>
      <c r="AG348" s="1270"/>
      <c r="AH348" s="1270"/>
      <c r="AI348" s="1270"/>
      <c r="AJ348" s="1270"/>
      <c r="AK348" s="1270"/>
    </row>
    <row r="349" spans="2:37" ht="13">
      <c r="B349" s="2"/>
      <c r="E349" s="3"/>
      <c r="F349" s="1270"/>
      <c r="G349" s="1270"/>
      <c r="H349" s="1270"/>
      <c r="I349" s="1270"/>
      <c r="J349" s="1270"/>
      <c r="K349" s="1270"/>
      <c r="L349" s="1270"/>
      <c r="M349" s="1270"/>
      <c r="N349" s="1270"/>
      <c r="O349" s="1270"/>
      <c r="P349" s="1270"/>
      <c r="Q349" s="1270"/>
      <c r="R349" s="1270"/>
      <c r="S349" s="1270"/>
      <c r="T349" s="1270"/>
      <c r="U349" s="1270"/>
      <c r="V349" s="1270"/>
      <c r="W349" s="1270"/>
      <c r="X349" s="1270"/>
      <c r="Y349" s="1270"/>
      <c r="Z349" s="1270"/>
      <c r="AA349" s="1270"/>
      <c r="AB349" s="1270"/>
      <c r="AC349" s="1270"/>
      <c r="AD349" s="1270"/>
      <c r="AE349" s="1270"/>
      <c r="AF349" s="1270"/>
      <c r="AG349" s="1270"/>
      <c r="AH349" s="1270"/>
      <c r="AI349" s="1270"/>
      <c r="AJ349" s="1270"/>
      <c r="AK349" s="1270"/>
    </row>
    <row r="350" spans="2:37" ht="13">
      <c r="B350" s="2"/>
      <c r="E350" s="3" t="s">
        <v>113</v>
      </c>
      <c r="F350" s="1270" t="s">
        <v>1235</v>
      </c>
      <c r="G350" s="1270"/>
      <c r="H350" s="1270"/>
      <c r="I350" s="1270"/>
      <c r="J350" s="1270"/>
      <c r="K350" s="1270"/>
      <c r="L350" s="1270"/>
      <c r="M350" s="1270"/>
      <c r="N350" s="1270"/>
      <c r="O350" s="1270"/>
      <c r="P350" s="1270"/>
      <c r="Q350" s="1270"/>
      <c r="R350" s="1270"/>
      <c r="S350" s="1270"/>
      <c r="T350" s="1270"/>
      <c r="U350" s="1270"/>
      <c r="V350" s="1270"/>
      <c r="W350" s="1270"/>
      <c r="X350" s="1270"/>
      <c r="Y350" s="1270"/>
      <c r="Z350" s="1270"/>
      <c r="AA350" s="1270"/>
      <c r="AB350" s="1270"/>
      <c r="AC350" s="1270"/>
      <c r="AD350" s="1270"/>
      <c r="AE350" s="1270"/>
      <c r="AF350" s="1270"/>
      <c r="AG350" s="1270"/>
      <c r="AH350" s="1270"/>
      <c r="AI350" s="1270"/>
      <c r="AJ350" s="1270"/>
      <c r="AK350" s="1270"/>
    </row>
    <row r="351" spans="2:37" ht="13">
      <c r="B351" s="2"/>
      <c r="F351" s="1270"/>
      <c r="G351" s="1270"/>
      <c r="H351" s="1270"/>
      <c r="I351" s="1270"/>
      <c r="J351" s="1270"/>
      <c r="K351" s="1270"/>
      <c r="L351" s="1270"/>
      <c r="M351" s="1270"/>
      <c r="N351" s="1270"/>
      <c r="O351" s="1270"/>
      <c r="P351" s="1270"/>
      <c r="Q351" s="1270"/>
      <c r="R351" s="1270"/>
      <c r="S351" s="1270"/>
      <c r="T351" s="1270"/>
      <c r="U351" s="1270"/>
      <c r="V351" s="1270"/>
      <c r="W351" s="1270"/>
      <c r="X351" s="1270"/>
      <c r="Y351" s="1270"/>
      <c r="Z351" s="1270"/>
      <c r="AA351" s="1270"/>
      <c r="AB351" s="1270"/>
      <c r="AC351" s="1270"/>
      <c r="AD351" s="1270"/>
      <c r="AE351" s="1270"/>
      <c r="AF351" s="1270"/>
      <c r="AG351" s="1270"/>
      <c r="AH351" s="1270"/>
      <c r="AI351" s="1270"/>
      <c r="AJ351" s="1270"/>
      <c r="AK351" s="1270"/>
    </row>
    <row r="352" spans="2:37" ht="13">
      <c r="B352" s="2"/>
      <c r="F352" s="1270"/>
      <c r="G352" s="1270"/>
      <c r="H352" s="1270"/>
      <c r="I352" s="1270"/>
      <c r="J352" s="1270"/>
      <c r="K352" s="1270"/>
      <c r="L352" s="1270"/>
      <c r="M352" s="1270"/>
      <c r="N352" s="1270"/>
      <c r="O352" s="1270"/>
      <c r="P352" s="1270"/>
      <c r="Q352" s="1270"/>
      <c r="R352" s="1270"/>
      <c r="S352" s="1270"/>
      <c r="T352" s="1270"/>
      <c r="U352" s="1270"/>
      <c r="V352" s="1270"/>
      <c r="W352" s="1270"/>
      <c r="X352" s="1270"/>
      <c r="Y352" s="1270"/>
      <c r="Z352" s="1270"/>
      <c r="AA352" s="1270"/>
      <c r="AB352" s="1270"/>
      <c r="AC352" s="1270"/>
      <c r="AD352" s="1270"/>
      <c r="AE352" s="1270"/>
      <c r="AF352" s="1270"/>
      <c r="AG352" s="1270"/>
      <c r="AH352" s="1270"/>
      <c r="AI352" s="1270"/>
      <c r="AJ352" s="1270"/>
      <c r="AK352" s="1270"/>
    </row>
    <row r="353" spans="1:38" ht="13">
      <c r="B353" s="2"/>
      <c r="F353" s="4"/>
      <c r="H353" s="4"/>
      <c r="I353" s="4"/>
      <c r="J353" s="4"/>
      <c r="K353" s="4"/>
      <c r="L353" s="4"/>
      <c r="M353" s="4"/>
      <c r="N353" s="4"/>
      <c r="O353" s="4"/>
      <c r="P353" s="4"/>
      <c r="Q353" s="4"/>
      <c r="R353" s="4"/>
      <c r="S353" s="4"/>
    </row>
    <row r="354" spans="1:38" ht="13">
      <c r="A354" s="5"/>
      <c r="B354" s="11" t="s">
        <v>751</v>
      </c>
      <c r="C354" s="11" t="s">
        <v>615</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ht="13">
      <c r="B355" s="2"/>
      <c r="D355" s="513"/>
      <c r="E355" s="2"/>
      <c r="M355" s="4"/>
      <c r="N355" s="4"/>
      <c r="O355" s="4"/>
      <c r="P355" s="4"/>
      <c r="Q355" s="4"/>
      <c r="R355" s="4"/>
      <c r="S355" s="4"/>
      <c r="T355" s="4"/>
    </row>
    <row r="356" spans="1:38" ht="13.15" customHeight="1">
      <c r="B356" s="2"/>
      <c r="C356" s="11" t="s">
        <v>1217</v>
      </c>
      <c r="D356" s="5"/>
      <c r="E356" s="5"/>
      <c r="F356" s="5"/>
      <c r="G356" s="5"/>
      <c r="H356" s="5"/>
      <c r="I356" s="453"/>
      <c r="J356" s="453"/>
      <c r="K356" s="453"/>
      <c r="L356" s="453"/>
      <c r="M356" s="453"/>
      <c r="N356" s="453"/>
      <c r="O356" s="453"/>
      <c r="P356" s="453"/>
      <c r="Q356" s="453"/>
      <c r="R356" s="453"/>
      <c r="S356" s="453"/>
      <c r="T356" s="453"/>
      <c r="U356" s="453"/>
      <c r="V356" s="453"/>
      <c r="W356" s="453"/>
      <c r="X356" s="453"/>
      <c r="Y356" s="453"/>
      <c r="Z356" s="453"/>
      <c r="AA356" s="453"/>
      <c r="AB356" s="453"/>
      <c r="AC356" s="453"/>
      <c r="AD356" s="453"/>
      <c r="AE356" s="453"/>
      <c r="AF356" s="453"/>
      <c r="AG356" s="453"/>
      <c r="AH356" s="453"/>
      <c r="AI356" s="453"/>
      <c r="AJ356" s="453"/>
      <c r="AK356" s="453"/>
    </row>
    <row r="357" spans="1:38" ht="13.15" customHeight="1">
      <c r="B357" s="2"/>
      <c r="C357" s="2"/>
      <c r="E357" s="454"/>
      <c r="F357" s="454"/>
      <c r="G357" s="454"/>
      <c r="H357" s="454"/>
      <c r="I357" s="454"/>
      <c r="J357" s="454"/>
      <c r="K357" s="454"/>
      <c r="L357" s="454"/>
      <c r="M357" s="454"/>
      <c r="N357" s="454"/>
      <c r="O357" s="454"/>
      <c r="P357" s="454"/>
      <c r="Q357" s="454"/>
      <c r="R357" s="454"/>
      <c r="S357" s="454"/>
      <c r="T357" s="454"/>
      <c r="U357" s="454"/>
      <c r="V357" s="454"/>
      <c r="W357" s="454"/>
      <c r="X357" s="454"/>
      <c r="Y357" s="454"/>
      <c r="Z357" s="454"/>
      <c r="AA357" s="454"/>
      <c r="AB357" s="454"/>
      <c r="AC357" s="454"/>
      <c r="AD357" s="454"/>
      <c r="AE357" s="454"/>
      <c r="AF357" s="454"/>
      <c r="AG357" s="454"/>
      <c r="AH357" s="454"/>
      <c r="AI357" s="454"/>
      <c r="AJ357" s="454"/>
      <c r="AK357" s="454"/>
    </row>
    <row r="358" spans="1:38" ht="13">
      <c r="B358" s="2"/>
      <c r="D358" s="2" t="s">
        <v>206</v>
      </c>
      <c r="E358" s="2" t="s">
        <v>122</v>
      </c>
      <c r="I358" s="4"/>
      <c r="J358" s="4"/>
      <c r="K358" s="4"/>
      <c r="L358" s="4"/>
      <c r="M358" s="4"/>
      <c r="N358" s="4"/>
      <c r="O358" s="4"/>
      <c r="P358" s="4"/>
      <c r="Q358" s="4"/>
      <c r="R358" s="4"/>
      <c r="S358" s="4"/>
    </row>
    <row r="359" spans="1:38" ht="13">
      <c r="B359" s="2"/>
      <c r="E359" t="s">
        <v>112</v>
      </c>
      <c r="F359" s="4" t="s">
        <v>742</v>
      </c>
      <c r="I359" s="4"/>
      <c r="J359" s="4"/>
      <c r="K359" s="4"/>
      <c r="L359" s="4"/>
      <c r="M359" s="4"/>
      <c r="N359" s="4"/>
      <c r="O359" s="4"/>
      <c r="P359" s="4"/>
      <c r="Q359" s="4"/>
      <c r="R359" s="4"/>
      <c r="S359" s="4"/>
    </row>
    <row r="360" spans="1:38" ht="13">
      <c r="B360" s="2"/>
      <c r="F360" s="4" t="s">
        <v>743</v>
      </c>
      <c r="I360" s="4"/>
      <c r="J360" s="4"/>
      <c r="K360" s="4"/>
      <c r="L360" s="4"/>
      <c r="M360" s="4"/>
      <c r="N360" s="4"/>
      <c r="O360" s="4"/>
      <c r="P360" s="4"/>
      <c r="Q360" s="4"/>
      <c r="R360" s="4"/>
      <c r="S360" s="4"/>
    </row>
    <row r="361" spans="1:38" ht="13">
      <c r="B361" s="2"/>
      <c r="F361" s="4" t="s">
        <v>871</v>
      </c>
      <c r="G361" s="4"/>
      <c r="K361" s="4"/>
      <c r="L361" s="4"/>
      <c r="M361" s="4"/>
      <c r="N361" s="4"/>
      <c r="O361" s="4"/>
      <c r="P361" s="4"/>
      <c r="Q361" s="4"/>
      <c r="R361" s="4"/>
      <c r="S361" s="4"/>
    </row>
    <row r="362" spans="1:38" ht="13">
      <c r="B362" s="2"/>
      <c r="E362" t="s">
        <v>113</v>
      </c>
      <c r="F362" s="4" t="s">
        <v>870</v>
      </c>
      <c r="I362" s="4"/>
      <c r="J362" s="4"/>
      <c r="K362" s="4"/>
      <c r="L362" s="4"/>
      <c r="M362" s="4"/>
      <c r="N362" s="4"/>
      <c r="O362" s="4"/>
      <c r="P362" s="4"/>
      <c r="Q362" s="4"/>
      <c r="R362" s="4"/>
      <c r="S362" s="4"/>
    </row>
    <row r="363" spans="1:38" ht="13">
      <c r="B363" s="2"/>
      <c r="E363" t="s">
        <v>119</v>
      </c>
      <c r="F363" s="4" t="s">
        <v>744</v>
      </c>
      <c r="I363" s="4"/>
      <c r="J363" s="4"/>
      <c r="K363" s="4"/>
      <c r="L363" s="4"/>
      <c r="M363" s="4"/>
      <c r="N363" s="4"/>
      <c r="O363" s="4"/>
      <c r="P363" s="4"/>
      <c r="Q363" s="4"/>
      <c r="R363" s="4"/>
      <c r="S363" s="4"/>
    </row>
    <row r="364" spans="1:38" ht="13">
      <c r="B364" s="2"/>
      <c r="F364" s="4" t="s">
        <v>745</v>
      </c>
      <c r="J364" s="4"/>
      <c r="K364" s="4"/>
      <c r="L364" s="4"/>
      <c r="M364" s="4"/>
      <c r="N364" s="4"/>
      <c r="O364" s="4"/>
      <c r="P364" s="4"/>
      <c r="Q364" s="4"/>
      <c r="R364" s="4"/>
      <c r="S364" s="4"/>
    </row>
    <row r="365" spans="1:38" ht="13">
      <c r="B365" s="2"/>
      <c r="E365" s="1278" t="s">
        <v>1225</v>
      </c>
      <c r="F365" s="1278"/>
      <c r="G365" s="1278"/>
      <c r="H365" s="1278"/>
      <c r="I365" s="1278"/>
      <c r="J365" s="1278"/>
      <c r="K365" s="1278"/>
      <c r="L365" s="1278"/>
      <c r="M365" s="1278"/>
      <c r="N365" s="1278"/>
      <c r="O365" s="1278"/>
      <c r="P365" s="1278"/>
      <c r="Q365" s="1278"/>
      <c r="R365" s="1278"/>
      <c r="S365" s="1278"/>
      <c r="T365" s="1278"/>
      <c r="U365" s="1278"/>
      <c r="V365" s="1278"/>
      <c r="W365" s="1278"/>
      <c r="X365" s="1278"/>
      <c r="Y365" s="1278"/>
      <c r="Z365" s="1278"/>
      <c r="AA365" s="1278"/>
      <c r="AB365" s="1278"/>
      <c r="AC365" s="1278"/>
      <c r="AD365" s="1278"/>
      <c r="AE365" s="1278"/>
      <c r="AF365" s="1278"/>
      <c r="AG365" s="1278"/>
      <c r="AH365" s="1278"/>
      <c r="AI365" s="1278"/>
      <c r="AJ365" s="1278"/>
      <c r="AK365" s="1278"/>
      <c r="AL365" s="1278"/>
    </row>
    <row r="366" spans="1:38" ht="13">
      <c r="B366" s="2"/>
      <c r="E366" s="1278"/>
      <c r="F366" s="1278"/>
      <c r="G366" s="1278"/>
      <c r="H366" s="1278"/>
      <c r="I366" s="1278"/>
      <c r="J366" s="1278"/>
      <c r="K366" s="1278"/>
      <c r="L366" s="1278"/>
      <c r="M366" s="1278"/>
      <c r="N366" s="1278"/>
      <c r="O366" s="1278"/>
      <c r="P366" s="1278"/>
      <c r="Q366" s="1278"/>
      <c r="R366" s="1278"/>
      <c r="S366" s="1278"/>
      <c r="T366" s="1278"/>
      <c r="U366" s="1278"/>
      <c r="V366" s="1278"/>
      <c r="W366" s="1278"/>
      <c r="X366" s="1278"/>
      <c r="Y366" s="1278"/>
      <c r="Z366" s="1278"/>
      <c r="AA366" s="1278"/>
      <c r="AB366" s="1278"/>
      <c r="AC366" s="1278"/>
      <c r="AD366" s="1278"/>
      <c r="AE366" s="1278"/>
      <c r="AF366" s="1278"/>
      <c r="AG366" s="1278"/>
      <c r="AH366" s="1278"/>
      <c r="AI366" s="1278"/>
      <c r="AJ366" s="1278"/>
      <c r="AK366" s="1278"/>
      <c r="AL366" s="1278"/>
    </row>
    <row r="367" spans="1:38" s="1279" customFormat="1" ht="13">
      <c r="A367"/>
      <c r="B367" s="2"/>
      <c r="C367"/>
      <c r="D367"/>
      <c r="E367" s="1276" t="s">
        <v>1257</v>
      </c>
    </row>
    <row r="368" spans="1:38" s="1279" customFormat="1" ht="13">
      <c r="A368"/>
      <c r="B368" s="2"/>
      <c r="C368" s="2"/>
      <c r="D368"/>
    </row>
    <row r="369" spans="1:38" ht="13">
      <c r="B369" s="2"/>
      <c r="E369" s="4"/>
      <c r="F369" s="456"/>
      <c r="G369" s="456"/>
      <c r="H369" s="456"/>
      <c r="I369" s="456"/>
      <c r="J369" s="456"/>
      <c r="K369" s="456"/>
      <c r="L369" s="456"/>
      <c r="M369" s="456"/>
      <c r="N369" s="456"/>
      <c r="O369" s="456"/>
      <c r="P369" s="456"/>
      <c r="Q369" s="456"/>
      <c r="R369" s="456"/>
      <c r="S369" s="456"/>
      <c r="T369" s="456"/>
      <c r="U369" s="456"/>
      <c r="V369" s="456"/>
      <c r="W369" s="456"/>
      <c r="X369" s="456"/>
      <c r="Y369" s="456"/>
      <c r="Z369" s="456"/>
      <c r="AA369" s="456"/>
      <c r="AB369" s="456"/>
      <c r="AC369" s="456"/>
      <c r="AD369" s="456"/>
      <c r="AE369" s="456"/>
      <c r="AF369" s="456"/>
      <c r="AG369" s="456"/>
      <c r="AH369" s="456"/>
      <c r="AI369" s="456"/>
      <c r="AJ369" s="456"/>
      <c r="AK369" s="456"/>
    </row>
    <row r="370" spans="1:38" ht="13">
      <c r="B370" s="2"/>
      <c r="D370" s="2" t="s">
        <v>340</v>
      </c>
      <c r="E370" s="2" t="s">
        <v>567</v>
      </c>
      <c r="J370" s="4"/>
      <c r="K370" s="4"/>
      <c r="L370" s="4"/>
      <c r="M370" s="4"/>
      <c r="N370" s="4"/>
      <c r="O370" s="4"/>
      <c r="P370" s="4"/>
      <c r="Q370" s="4"/>
      <c r="R370" s="4"/>
      <c r="S370" s="4"/>
    </row>
    <row r="371" spans="1:38" ht="13">
      <c r="B371" s="2"/>
      <c r="E371" s="4" t="s">
        <v>746</v>
      </c>
      <c r="F371" s="4"/>
      <c r="G371" s="4"/>
      <c r="H371" s="4"/>
      <c r="I371" s="4"/>
      <c r="J371" s="4"/>
      <c r="K371" s="4"/>
      <c r="L371" s="4"/>
      <c r="M371" s="4"/>
      <c r="N371" s="4"/>
      <c r="O371" s="4"/>
      <c r="P371" s="4"/>
      <c r="Q371" s="4"/>
      <c r="R371" s="4"/>
      <c r="S371" s="4"/>
    </row>
    <row r="372" spans="1:38" ht="13">
      <c r="B372" s="2"/>
      <c r="E372" s="4" t="s">
        <v>747</v>
      </c>
      <c r="F372" s="4"/>
      <c r="G372" s="4"/>
      <c r="H372" s="4"/>
      <c r="I372" s="4"/>
      <c r="J372" s="4"/>
      <c r="K372" s="4"/>
      <c r="L372" s="4"/>
      <c r="M372" s="4"/>
      <c r="N372" s="4"/>
      <c r="O372" s="4"/>
      <c r="P372" s="4"/>
      <c r="Q372" s="4"/>
      <c r="R372" s="4"/>
      <c r="S372" s="4"/>
    </row>
    <row r="373" spans="1:38" ht="13">
      <c r="B373" s="2"/>
      <c r="E373" s="4"/>
      <c r="F373" s="4"/>
      <c r="G373" s="4"/>
      <c r="H373" s="4"/>
      <c r="I373" s="4"/>
      <c r="J373" s="4"/>
      <c r="K373" s="4"/>
      <c r="L373" s="4"/>
      <c r="M373" s="4"/>
      <c r="N373" s="4"/>
      <c r="O373" s="4"/>
      <c r="P373" s="4"/>
      <c r="Q373" s="4"/>
      <c r="R373" s="4"/>
      <c r="S373" s="4"/>
    </row>
    <row r="374" spans="1:38" ht="13">
      <c r="B374" s="2"/>
      <c r="D374" s="2" t="s">
        <v>573</v>
      </c>
      <c r="E374" s="2" t="s">
        <v>281</v>
      </c>
      <c r="J374" s="4"/>
      <c r="K374" s="4"/>
      <c r="L374" s="4"/>
      <c r="M374" s="4"/>
      <c r="N374" s="4"/>
      <c r="O374" s="4"/>
      <c r="P374" s="4"/>
      <c r="Q374" s="4"/>
      <c r="R374" s="4"/>
      <c r="S374" s="4"/>
    </row>
    <row r="375" spans="1:38" ht="13">
      <c r="B375" s="2"/>
      <c r="E375" s="4" t="s">
        <v>112</v>
      </c>
      <c r="F375" s="4" t="s">
        <v>250</v>
      </c>
      <c r="G375" s="4"/>
      <c r="I375" s="4"/>
      <c r="J375" s="4"/>
      <c r="K375" s="4"/>
      <c r="L375" s="4"/>
      <c r="M375" s="4"/>
      <c r="N375" s="4"/>
      <c r="O375" s="4"/>
      <c r="P375" s="4"/>
      <c r="Q375" s="4"/>
      <c r="R375" s="4"/>
      <c r="S375" s="4"/>
    </row>
    <row r="376" spans="1:38" ht="13">
      <c r="B376" s="2"/>
      <c r="E376" s="4"/>
      <c r="F376" s="120" t="s">
        <v>1152</v>
      </c>
      <c r="G376" s="4"/>
      <c r="I376" s="120"/>
      <c r="J376" s="4"/>
      <c r="K376" s="4"/>
      <c r="L376" s="4"/>
      <c r="M376" s="4"/>
      <c r="N376" s="4"/>
      <c r="O376" s="4"/>
      <c r="P376" s="4"/>
      <c r="Q376" s="4"/>
      <c r="R376" s="4"/>
      <c r="S376" s="4"/>
    </row>
    <row r="377" spans="1:38" ht="13">
      <c r="B377" s="2"/>
      <c r="E377" s="4" t="s">
        <v>113</v>
      </c>
      <c r="F377" s="4" t="s">
        <v>251</v>
      </c>
      <c r="G377" s="4"/>
      <c r="I377" s="120"/>
      <c r="J377" s="4"/>
      <c r="K377" s="4"/>
      <c r="L377" s="4"/>
      <c r="M377" s="4"/>
      <c r="N377" s="4"/>
      <c r="O377" s="4"/>
      <c r="P377" s="4"/>
      <c r="Q377" s="4"/>
      <c r="R377" s="4"/>
      <c r="S377" s="4"/>
    </row>
    <row r="378" spans="1:38" ht="13">
      <c r="B378" s="2"/>
      <c r="E378" s="4"/>
      <c r="F378" s="4"/>
      <c r="G378" s="4"/>
      <c r="I378" s="120"/>
      <c r="J378" s="4"/>
      <c r="K378" s="4"/>
      <c r="L378" s="4"/>
      <c r="M378" s="4"/>
      <c r="N378" s="4"/>
      <c r="O378" s="4"/>
      <c r="P378" s="4"/>
      <c r="Q378" s="4"/>
      <c r="R378" s="4"/>
      <c r="S378" s="4"/>
    </row>
    <row r="379" spans="1:38" ht="13">
      <c r="B379" s="2"/>
      <c r="D379" s="2" t="s">
        <v>513</v>
      </c>
      <c r="E379" s="2" t="s">
        <v>1258</v>
      </c>
      <c r="J379" s="3"/>
      <c r="K379" s="3"/>
      <c r="L379" s="3"/>
      <c r="M379" s="3"/>
      <c r="N379" s="3"/>
      <c r="O379" s="3"/>
      <c r="P379" s="3"/>
      <c r="Q379" s="3"/>
      <c r="R379" s="3"/>
      <c r="S379" s="3"/>
    </row>
    <row r="380" spans="1:38" ht="13">
      <c r="B380" s="2"/>
      <c r="D380" s="2"/>
      <c r="E380" s="3" t="s">
        <v>746</v>
      </c>
      <c r="F380" s="3"/>
      <c r="G380" s="3"/>
      <c r="J380" s="3"/>
      <c r="K380" s="3"/>
      <c r="L380" s="3"/>
      <c r="M380" s="3"/>
      <c r="N380" s="3"/>
      <c r="O380" s="3"/>
      <c r="P380" s="3"/>
      <c r="Q380" s="3"/>
      <c r="R380" s="3"/>
      <c r="S380" s="3"/>
    </row>
    <row r="381" spans="1:38" ht="13">
      <c r="B381" s="2"/>
      <c r="D381" s="2"/>
      <c r="E381" s="3" t="s">
        <v>1155</v>
      </c>
      <c r="F381" s="3"/>
      <c r="G381" s="3"/>
      <c r="J381" s="3"/>
      <c r="K381" s="3"/>
      <c r="L381" s="3"/>
      <c r="M381" s="3"/>
      <c r="N381" s="3"/>
      <c r="O381" s="3"/>
      <c r="P381" s="3"/>
      <c r="Q381" s="3"/>
      <c r="R381" s="3"/>
      <c r="S381" s="3"/>
    </row>
    <row r="382" spans="1:38" ht="13">
      <c r="B382" s="2"/>
      <c r="D382" s="2"/>
      <c r="E382" s="3"/>
      <c r="F382" s="3"/>
      <c r="G382" s="3"/>
      <c r="J382" s="3"/>
      <c r="K382" s="3"/>
      <c r="L382" s="3"/>
      <c r="M382" s="3"/>
      <c r="N382" s="3"/>
      <c r="O382" s="3"/>
      <c r="P382" s="3"/>
      <c r="Q382" s="3"/>
      <c r="R382" s="3"/>
      <c r="S382" s="3"/>
    </row>
    <row r="383" spans="1:38" s="169" customFormat="1" ht="13">
      <c r="A383"/>
      <c r="B383" s="2"/>
      <c r="C383"/>
      <c r="D383" s="2" t="s">
        <v>302</v>
      </c>
      <c r="E383" s="2" t="s">
        <v>283</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ht="13">
      <c r="A384"/>
      <c r="B384" s="2"/>
      <c r="C384"/>
      <c r="D384"/>
      <c r="E384" s="3" t="s">
        <v>112</v>
      </c>
      <c r="F384" s="3" t="s">
        <v>1259</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ht="13">
      <c r="A385"/>
      <c r="B385" s="2"/>
      <c r="C385"/>
      <c r="D385"/>
      <c r="E385" s="3"/>
      <c r="F385" s="120" t="s">
        <v>1152</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ht="13">
      <c r="B386" s="2"/>
      <c r="E386" s="3" t="s">
        <v>113</v>
      </c>
      <c r="F386" s="1270" t="s">
        <v>1268</v>
      </c>
      <c r="G386" s="1270"/>
      <c r="H386" s="1270"/>
      <c r="I386" s="1270"/>
      <c r="J386" s="1270"/>
      <c r="K386" s="1270"/>
      <c r="L386" s="1270"/>
      <c r="M386" s="1270"/>
      <c r="N386" s="1270"/>
      <c r="O386" s="1270"/>
      <c r="P386" s="1270"/>
      <c r="Q386" s="1270"/>
      <c r="R386" s="1270"/>
      <c r="S386" s="1270"/>
      <c r="T386" s="1270"/>
      <c r="U386" s="1270"/>
      <c r="V386" s="1270"/>
      <c r="W386" s="1270"/>
      <c r="X386" s="1270"/>
      <c r="Y386" s="1270"/>
      <c r="Z386" s="1270"/>
      <c r="AA386" s="1270"/>
      <c r="AB386" s="1270"/>
      <c r="AC386" s="1270"/>
      <c r="AD386" s="1270"/>
      <c r="AE386" s="1270"/>
      <c r="AF386" s="1270"/>
      <c r="AG386" s="1270"/>
      <c r="AH386" s="1270"/>
      <c r="AI386" s="1270"/>
      <c r="AJ386" s="1270"/>
      <c r="AK386" s="1270"/>
    </row>
    <row r="387" spans="1:38" ht="13">
      <c r="B387" s="2"/>
      <c r="E387" s="3"/>
      <c r="F387" s="1270"/>
      <c r="G387" s="1270"/>
      <c r="H387" s="1270"/>
      <c r="I387" s="1270"/>
      <c r="J387" s="1270"/>
      <c r="K387" s="1270"/>
      <c r="L387" s="1270"/>
      <c r="M387" s="1270"/>
      <c r="N387" s="1270"/>
      <c r="O387" s="1270"/>
      <c r="P387" s="1270"/>
      <c r="Q387" s="1270"/>
      <c r="R387" s="1270"/>
      <c r="S387" s="1270"/>
      <c r="T387" s="1270"/>
      <c r="U387" s="1270"/>
      <c r="V387" s="1270"/>
      <c r="W387" s="1270"/>
      <c r="X387" s="1270"/>
      <c r="Y387" s="1270"/>
      <c r="Z387" s="1270"/>
      <c r="AA387" s="1270"/>
      <c r="AB387" s="1270"/>
      <c r="AC387" s="1270"/>
      <c r="AD387" s="1270"/>
      <c r="AE387" s="1270"/>
      <c r="AF387" s="1270"/>
      <c r="AG387" s="1270"/>
      <c r="AH387" s="1270"/>
      <c r="AI387" s="1270"/>
      <c r="AJ387" s="1270"/>
      <c r="AK387" s="1270"/>
    </row>
    <row r="388" spans="1:38" ht="13">
      <c r="B388" s="2"/>
      <c r="E388" s="3"/>
      <c r="F388" s="1270"/>
      <c r="G388" s="1270"/>
      <c r="H388" s="1270"/>
      <c r="I388" s="1270"/>
      <c r="J388" s="1270"/>
      <c r="K388" s="1270"/>
      <c r="L388" s="1270"/>
      <c r="M388" s="1270"/>
      <c r="N388" s="1270"/>
      <c r="O388" s="1270"/>
      <c r="P388" s="1270"/>
      <c r="Q388" s="1270"/>
      <c r="R388" s="1270"/>
      <c r="S388" s="1270"/>
      <c r="T388" s="1270"/>
      <c r="U388" s="1270"/>
      <c r="V388" s="1270"/>
      <c r="W388" s="1270"/>
      <c r="X388" s="1270"/>
      <c r="Y388" s="1270"/>
      <c r="Z388" s="1270"/>
      <c r="AA388" s="1270"/>
      <c r="AB388" s="1270"/>
      <c r="AC388" s="1270"/>
      <c r="AD388" s="1270"/>
      <c r="AE388" s="1270"/>
      <c r="AF388" s="1270"/>
      <c r="AG388" s="1270"/>
      <c r="AH388" s="1270"/>
      <c r="AI388" s="1270"/>
      <c r="AJ388" s="1270"/>
      <c r="AK388" s="1270"/>
    </row>
    <row r="389" spans="1:38" ht="13">
      <c r="B389" s="2"/>
      <c r="E389" s="4"/>
      <c r="F389" s="442"/>
      <c r="G389" s="442"/>
      <c r="H389" s="442"/>
      <c r="I389" s="442"/>
      <c r="J389" s="442"/>
      <c r="K389" s="442"/>
      <c r="L389" s="442"/>
      <c r="M389" s="442"/>
      <c r="N389" s="442"/>
      <c r="O389" s="442"/>
      <c r="P389" s="442"/>
      <c r="Q389" s="442"/>
      <c r="R389" s="442"/>
      <c r="S389" s="442"/>
      <c r="T389" s="442"/>
      <c r="U389" s="442"/>
      <c r="V389" s="442"/>
      <c r="W389" s="442"/>
      <c r="X389" s="442"/>
      <c r="Y389" s="442"/>
      <c r="Z389" s="442"/>
      <c r="AA389" s="442"/>
      <c r="AB389" s="442"/>
      <c r="AC389" s="442"/>
      <c r="AD389" s="442"/>
      <c r="AE389" s="442"/>
      <c r="AF389" s="442"/>
      <c r="AG389" s="442"/>
      <c r="AH389" s="442"/>
      <c r="AI389" s="442"/>
      <c r="AJ389" s="442"/>
      <c r="AK389" s="442"/>
      <c r="AL389" s="454"/>
    </row>
    <row r="390" spans="1:38" ht="13">
      <c r="B390" s="2"/>
      <c r="C390" s="2"/>
      <c r="D390" s="2" t="s">
        <v>428</v>
      </c>
      <c r="E390" s="2" t="s">
        <v>1274</v>
      </c>
      <c r="F390" s="3"/>
      <c r="G390" s="2"/>
      <c r="I390" s="120"/>
      <c r="J390" s="3"/>
      <c r="K390" s="3"/>
      <c r="L390" s="3"/>
      <c r="M390" s="3"/>
      <c r="N390" s="3"/>
      <c r="O390" s="3"/>
      <c r="P390" s="3"/>
      <c r="Q390" s="3"/>
      <c r="R390" s="3"/>
      <c r="S390" s="3"/>
    </row>
    <row r="391" spans="1:38" ht="13.15" customHeight="1">
      <c r="B391" s="2"/>
      <c r="D391" s="2"/>
      <c r="E391" s="3" t="s">
        <v>1273</v>
      </c>
      <c r="F391" s="456"/>
      <c r="G391" s="456"/>
      <c r="H391" s="456"/>
      <c r="I391" s="456"/>
      <c r="J391" s="456"/>
      <c r="K391" s="456"/>
      <c r="L391" s="456"/>
      <c r="M391" s="456"/>
      <c r="N391" s="456"/>
      <c r="O391" s="456"/>
      <c r="P391" s="456"/>
      <c r="Q391" s="456"/>
      <c r="R391" s="456"/>
      <c r="S391" s="456"/>
      <c r="T391" s="456"/>
      <c r="U391" s="456"/>
      <c r="V391" s="456"/>
      <c r="W391" s="456"/>
      <c r="X391" s="456"/>
      <c r="Y391" s="456"/>
      <c r="Z391" s="456"/>
      <c r="AA391" s="456"/>
      <c r="AB391" s="456"/>
      <c r="AC391" s="456"/>
      <c r="AD391" s="456"/>
      <c r="AE391" s="456"/>
      <c r="AF391" s="456"/>
      <c r="AG391" s="456"/>
      <c r="AH391" s="456"/>
      <c r="AI391" s="456"/>
      <c r="AJ391" s="456"/>
      <c r="AK391" s="456"/>
    </row>
    <row r="392" spans="1:38" ht="13">
      <c r="B392" s="2"/>
      <c r="E392" t="s">
        <v>1155</v>
      </c>
      <c r="F392" s="453"/>
      <c r="G392" s="453"/>
      <c r="H392" s="453"/>
      <c r="I392" s="453"/>
      <c r="J392" s="453"/>
      <c r="K392" s="453"/>
      <c r="L392" s="453"/>
      <c r="M392" s="453"/>
      <c r="N392" s="453"/>
      <c r="O392" s="453"/>
      <c r="P392" s="453"/>
      <c r="Q392" s="453"/>
      <c r="R392" s="453"/>
      <c r="S392" s="453"/>
      <c r="T392" s="453"/>
      <c r="U392" s="453"/>
      <c r="V392" s="453"/>
      <c r="W392" s="453"/>
      <c r="X392" s="453"/>
      <c r="Y392" s="453"/>
      <c r="Z392" s="453"/>
      <c r="AA392" s="453"/>
      <c r="AB392" s="453"/>
      <c r="AC392" s="453"/>
      <c r="AD392" s="453"/>
      <c r="AE392" s="453"/>
      <c r="AF392" s="453"/>
      <c r="AG392" s="453"/>
      <c r="AH392" s="453"/>
      <c r="AI392" s="453"/>
      <c r="AJ392" s="453"/>
      <c r="AK392" s="453"/>
      <c r="AL392" s="453"/>
    </row>
    <row r="393" spans="1:38" s="169" customFormat="1" ht="13">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t="13"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t="13" hidden="1">
      <c r="B395" s="2"/>
      <c r="S395" s="4"/>
    </row>
    <row r="396" spans="1:38" ht="13" hidden="1">
      <c r="B396" s="2"/>
      <c r="S396" s="4"/>
    </row>
    <row r="397" spans="1:38" ht="13" hidden="1">
      <c r="B397" s="2"/>
      <c r="S397" s="4"/>
    </row>
    <row r="398" spans="1:38" ht="13" hidden="1">
      <c r="B398" s="2"/>
      <c r="S398" s="4"/>
    </row>
    <row r="399" spans="1:38" ht="13" hidden="1">
      <c r="B399" s="2"/>
      <c r="S399" s="4"/>
    </row>
    <row r="400" spans="1:38" ht="13" hidden="1">
      <c r="B400" s="2"/>
      <c r="S400" s="4"/>
    </row>
    <row r="401" spans="2:19" ht="13" hidden="1">
      <c r="B401" s="2"/>
      <c r="S401" s="4"/>
    </row>
    <row r="402" spans="2:19" ht="13" hidden="1">
      <c r="B402" s="2"/>
      <c r="S402" s="4"/>
    </row>
    <row r="403" spans="2:19" ht="13" hidden="1">
      <c r="B403" s="2"/>
      <c r="S403" s="4"/>
    </row>
    <row r="404" spans="2:19" ht="13" hidden="1">
      <c r="B404" s="2"/>
      <c r="S404" s="4"/>
    </row>
    <row r="405" spans="2:19" ht="13" hidden="1">
      <c r="B405" s="2"/>
      <c r="S405" s="4"/>
    </row>
    <row r="406" spans="2:19" ht="13" hidden="1">
      <c r="B406" s="2"/>
      <c r="D406" s="2"/>
      <c r="E406" s="4"/>
      <c r="F406" s="4"/>
      <c r="G406" s="4"/>
      <c r="H406" s="4"/>
      <c r="I406" s="4"/>
      <c r="J406" s="4"/>
      <c r="K406" s="4"/>
      <c r="L406" s="4"/>
      <c r="M406" s="4"/>
      <c r="N406" s="4"/>
      <c r="O406" s="4"/>
      <c r="P406" s="4"/>
      <c r="Q406" s="4"/>
      <c r="R406" s="4"/>
      <c r="S406" s="4"/>
    </row>
    <row r="407" spans="2:19" ht="13"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t="13" hidden="1">
      <c r="B419" s="2"/>
      <c r="D419" s="2"/>
      <c r="E419" s="4"/>
      <c r="F419" s="4"/>
      <c r="G419" s="4"/>
      <c r="H419" s="4"/>
      <c r="I419" s="4"/>
      <c r="J419" s="4"/>
      <c r="K419" s="4"/>
      <c r="L419" s="4"/>
      <c r="M419" s="4"/>
      <c r="N419" s="4"/>
      <c r="O419" s="4"/>
      <c r="P419" s="4"/>
      <c r="Q419" s="4"/>
      <c r="R419" s="4"/>
      <c r="S419" s="4"/>
    </row>
    <row r="420" spans="2:19" ht="13" hidden="1">
      <c r="B420" s="2"/>
      <c r="C420" s="2"/>
      <c r="D420" s="2"/>
      <c r="E420" s="4"/>
      <c r="F420" s="4"/>
      <c r="G420" s="4"/>
      <c r="H420" s="4"/>
      <c r="I420" s="4"/>
      <c r="J420" s="4"/>
      <c r="K420" s="4"/>
      <c r="L420" s="4"/>
      <c r="M420" s="4"/>
      <c r="N420" s="4"/>
      <c r="O420" s="4"/>
      <c r="P420" s="4"/>
      <c r="Q420" s="4"/>
      <c r="R420" s="4"/>
      <c r="S420" s="4"/>
    </row>
    <row r="421" spans="2:19" ht="13" hidden="1">
      <c r="D421" s="2"/>
    </row>
    <row r="422" spans="2:19"/>
    <row r="423" spans="2:19"/>
    <row r="424" spans="2:19"/>
    <row r="425" spans="2:19"/>
    <row r="426" spans="2:19"/>
  </sheetData>
  <sheetProtection algorithmName="SHA-512" hashValue="GJO6OPuhrgxaumVaisCkXrjpurRFMGM5XK0WertIMnkxqoReS1wTu7SccDluljWy5lyOmLKDSETVILjT8HATPQ==" saltValue="xUWWmkFDI+ThwOA+xzUbk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3:AK34"/>
    <mergeCell ref="F48:AK50"/>
    <mergeCell ref="D15:AK17"/>
    <mergeCell ref="J18:AK18"/>
    <mergeCell ref="F386:AK388"/>
    <mergeCell ref="E341:AK345"/>
    <mergeCell ref="F350:AK352"/>
    <mergeCell ref="E365:AL366"/>
    <mergeCell ref="E367:XFD368"/>
    <mergeCell ref="F346:AK349"/>
    <mergeCell ref="G80:AK82"/>
    <mergeCell ref="E35:AK35"/>
    <mergeCell ref="E36:AK36"/>
    <mergeCell ref="G64:AK66"/>
    <mergeCell ref="G70:AK71"/>
    <mergeCell ref="G54:AK54"/>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s>
  <phoneticPr fontId="0" type="noConversion"/>
  <hyperlinks>
    <hyperlink ref="E36" r:id="rId2" display="http://www.treasurer.ca.gov/ctcac/contacts.asp" xr:uid="{00000000-0004-0000-0000-000000000000}"/>
    <hyperlink ref="E31" r:id="rId3" xr:uid="{00000000-0004-0000-0000-000001000000}"/>
    <hyperlink ref="E35" r:id="rId4" display="http://www.treasurer.ca.gov/ctcac/assignments.asp"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44"/>
  <sheetViews>
    <sheetView showGridLines="0" topLeftCell="A13" zoomScale="61" zoomScaleNormal="61" workbookViewId="0">
      <selection activeCell="O21" sqref="O21"/>
    </sheetView>
  </sheetViews>
  <sheetFormatPr defaultColWidth="9.1796875" defaultRowHeight="14"/>
  <cols>
    <col min="1" max="1" width="2.453125" style="1045" customWidth="1"/>
    <col min="2" max="9" width="14.7265625" style="1045" customWidth="1"/>
    <col min="10" max="10" width="2.26953125" style="1045" customWidth="1"/>
    <col min="11" max="11" width="11.81640625" style="1046" customWidth="1"/>
    <col min="12" max="12" width="10.7265625" style="1045" customWidth="1"/>
    <col min="13" max="13" width="10.453125" style="1045" customWidth="1"/>
    <col min="14" max="14" width="10.81640625" style="1045" customWidth="1"/>
    <col min="15" max="18" width="9.1796875" style="1045"/>
    <col min="19" max="19" width="9.453125" style="1045" bestFit="1" customWidth="1"/>
    <col min="20" max="16384" width="9.1796875" style="1045"/>
  </cols>
  <sheetData>
    <row r="1" spans="1:13" ht="30" customHeight="1">
      <c r="A1" s="2681" t="s">
        <v>1584</v>
      </c>
      <c r="B1" s="2681"/>
      <c r="C1" s="2681"/>
      <c r="D1" s="2681"/>
      <c r="E1" s="2681"/>
      <c r="F1" s="2681"/>
      <c r="G1" s="2681"/>
      <c r="H1" s="2681"/>
      <c r="I1" s="2681"/>
      <c r="J1" s="2681"/>
    </row>
    <row r="2" spans="1:13" ht="15" customHeight="1" thickBot="1">
      <c r="A2" s="1047"/>
      <c r="B2" s="1047"/>
      <c r="I2" s="1048"/>
      <c r="K2" s="1049"/>
    </row>
    <row r="3" spans="1:13" s="1052" customFormat="1" ht="20.149999999999999" customHeight="1">
      <c r="A3" s="1102"/>
      <c r="B3" s="1103"/>
      <c r="C3" s="1104"/>
      <c r="D3" s="1109"/>
      <c r="E3" s="1104"/>
      <c r="F3" s="1105" t="s">
        <v>1990</v>
      </c>
      <c r="G3" s="1104"/>
      <c r="H3" s="1106">
        <f>E18</f>
        <v>20500800</v>
      </c>
      <c r="I3" s="1107"/>
    </row>
    <row r="4" spans="1:13" s="1052" customFormat="1" ht="20.149999999999999" customHeight="1">
      <c r="B4" s="1096"/>
      <c r="D4" s="1110"/>
      <c r="F4" s="1094" t="s">
        <v>1992</v>
      </c>
      <c r="G4" s="1093" t="s">
        <v>1991</v>
      </c>
      <c r="H4" s="1095">
        <f>I18</f>
        <v>15788720.588235294</v>
      </c>
      <c r="I4" s="1097"/>
      <c r="K4" s="1056"/>
    </row>
    <row r="5" spans="1:13" s="1052" customFormat="1" ht="20.149999999999999" customHeight="1" thickBot="1">
      <c r="B5" s="1098"/>
      <c r="C5" s="1099"/>
      <c r="D5" s="1111"/>
      <c r="E5" s="1100"/>
      <c r="F5" s="1111" t="s">
        <v>1941</v>
      </c>
      <c r="G5" s="1112"/>
      <c r="H5" s="1108">
        <f>IFERROR(H3/H4,0)</f>
        <v>1.2984459307789533</v>
      </c>
      <c r="I5" s="1101"/>
      <c r="K5" s="1056"/>
    </row>
    <row r="6" spans="1:13" s="1052" customFormat="1" ht="15" customHeight="1">
      <c r="B6" s="1053"/>
      <c r="C6" s="1054"/>
      <c r="F6" s="1055"/>
      <c r="K6" s="1056"/>
    </row>
    <row r="7" spans="1:13" s="1052" customFormat="1" ht="15" customHeight="1">
      <c r="E7" s="1057"/>
      <c r="F7" s="1055"/>
      <c r="K7" s="1058"/>
    </row>
    <row r="8" spans="1:13" s="1052" customFormat="1" ht="15" customHeight="1">
      <c r="A8" s="1059"/>
      <c r="B8" s="2684" t="s">
        <v>1939</v>
      </c>
      <c r="C8" s="2685"/>
      <c r="D8" s="2685"/>
      <c r="E8" s="2686"/>
      <c r="G8" s="2661" t="s">
        <v>1940</v>
      </c>
      <c r="H8" s="2662"/>
      <c r="I8" s="2663"/>
      <c r="K8" s="1058"/>
    </row>
    <row r="9" spans="1:13" ht="15" customHeight="1">
      <c r="A9" s="1047"/>
      <c r="B9" s="2682" t="s">
        <v>1973</v>
      </c>
      <c r="C9" s="2682"/>
      <c r="D9" s="2682"/>
      <c r="E9" s="1060">
        <f>G33</f>
        <v>3000000</v>
      </c>
      <c r="G9" s="2674" t="s">
        <v>1971</v>
      </c>
      <c r="H9" s="2674"/>
      <c r="I9" s="1061">
        <f>Application!AM554</f>
        <v>16812000</v>
      </c>
      <c r="K9" s="1062"/>
      <c r="M9" s="1063"/>
    </row>
    <row r="10" spans="1:13" ht="15" customHeight="1" thickBot="1">
      <c r="A10" s="1047"/>
      <c r="B10" s="2682" t="s">
        <v>1974</v>
      </c>
      <c r="C10" s="2682"/>
      <c r="D10" s="2682"/>
      <c r="E10" s="1061">
        <f>G47</f>
        <v>13240800</v>
      </c>
      <c r="G10" s="2688" t="s">
        <v>1942</v>
      </c>
      <c r="H10" s="2688"/>
      <c r="I10" s="1142">
        <f>'Basis &amp; Credits'!AB78</f>
        <v>0</v>
      </c>
      <c r="M10" s="1063"/>
    </row>
    <row r="11" spans="1:13" ht="15" customHeight="1">
      <c r="A11" s="1047"/>
      <c r="B11" s="2675" t="s">
        <v>2265</v>
      </c>
      <c r="C11" s="2676"/>
      <c r="D11" s="2677"/>
      <c r="E11" s="1061">
        <f>SUM(E12,E13)</f>
        <v>600000</v>
      </c>
      <c r="G11" s="2673" t="s">
        <v>1982</v>
      </c>
      <c r="H11" s="2673"/>
      <c r="I11" s="1141">
        <f>I9+I10</f>
        <v>16812000</v>
      </c>
      <c r="M11" s="1063"/>
    </row>
    <row r="12" spans="1:13" ht="15" customHeight="1">
      <c r="A12" s="1064"/>
      <c r="B12" s="2683" t="s">
        <v>2267</v>
      </c>
      <c r="C12" s="2683"/>
      <c r="D12" s="2683"/>
      <c r="E12" s="1167">
        <f>G56</f>
        <v>0</v>
      </c>
      <c r="M12" s="1063"/>
    </row>
    <row r="13" spans="1:13" ht="15" customHeight="1">
      <c r="A13" s="1050"/>
      <c r="B13" s="2683" t="s">
        <v>2268</v>
      </c>
      <c r="C13" s="2683"/>
      <c r="D13" s="2683"/>
      <c r="E13" s="1167">
        <f>G65</f>
        <v>600000</v>
      </c>
      <c r="G13" s="2661" t="s">
        <v>2006</v>
      </c>
      <c r="H13" s="2662"/>
      <c r="I13" s="2663"/>
      <c r="M13" s="1063"/>
    </row>
    <row r="14" spans="1:13" ht="15" customHeight="1">
      <c r="A14" s="1050"/>
      <c r="B14" s="2675" t="s">
        <v>2266</v>
      </c>
      <c r="C14" s="2676"/>
      <c r="D14" s="2677"/>
      <c r="E14" s="1169">
        <f>MAX(E15,E16)+E17</f>
        <v>3660000</v>
      </c>
      <c r="G14" s="2674" t="s">
        <v>139</v>
      </c>
      <c r="H14" s="2674"/>
      <c r="I14" s="1065">
        <f>15%*(AND(G120="Yes",G122&lt;&gt;""))</f>
        <v>0</v>
      </c>
      <c r="M14" s="1063"/>
    </row>
    <row r="15" spans="1:13" ht="15" customHeight="1">
      <c r="A15" s="1050"/>
      <c r="B15" s="2658" t="s">
        <v>2272</v>
      </c>
      <c r="C15" s="2659"/>
      <c r="D15" s="2660"/>
      <c r="E15" s="1167">
        <f>G80</f>
        <v>0</v>
      </c>
      <c r="G15" s="1139" t="s">
        <v>1983</v>
      </c>
      <c r="H15" s="1139"/>
      <c r="I15" s="1065">
        <f>IF(Application!AJ1032&gt;0,10%,IF(Application!AJ1036&gt;0,5%,0))</f>
        <v>0</v>
      </c>
      <c r="M15" s="1063"/>
    </row>
    <row r="16" spans="1:13" ht="15" customHeight="1">
      <c r="A16" s="1050"/>
      <c r="B16" s="2658" t="s">
        <v>2271</v>
      </c>
      <c r="C16" s="2659"/>
      <c r="D16" s="2660"/>
      <c r="E16" s="1167">
        <f>G90</f>
        <v>0</v>
      </c>
      <c r="G16" s="2674" t="s">
        <v>1984</v>
      </c>
      <c r="H16" s="2674"/>
      <c r="I16" s="1065">
        <f>G132</f>
        <v>6.0866013071895424E-2</v>
      </c>
    </row>
    <row r="17" spans="1:21" ht="15" customHeight="1" thickBot="1">
      <c r="A17" s="1050"/>
      <c r="B17" s="2658" t="s">
        <v>2270</v>
      </c>
      <c r="C17" s="2659"/>
      <c r="D17" s="2660"/>
      <c r="E17" s="1167">
        <f>G115</f>
        <v>3660000</v>
      </c>
      <c r="G17" s="2674" t="s">
        <v>2280</v>
      </c>
      <c r="H17" s="2674"/>
      <c r="I17" s="1065">
        <f>IF(AND(G139="Yes",OR(G136,G137)),IF(G143&gt;15%,15%,G143),0)</f>
        <v>0</v>
      </c>
    </row>
    <row r="18" spans="1:21" ht="15" customHeight="1">
      <c r="A18" s="1047"/>
      <c r="B18" s="2687" t="s">
        <v>1938</v>
      </c>
      <c r="C18" s="2687"/>
      <c r="D18" s="2687"/>
      <c r="E18" s="1113">
        <f>SUM(E9:E11,E14)</f>
        <v>20500800</v>
      </c>
      <c r="G18" s="1140" t="s">
        <v>1972</v>
      </c>
      <c r="H18" s="1140"/>
      <c r="I18" s="1114">
        <f>I11-((I11*I14)+(I11*I15)+(I11*I16)+(I11*I17))</f>
        <v>15788720.588235294</v>
      </c>
      <c r="M18" s="1066">
        <f>SUM(Cdlac[Quantity])</f>
        <v>60</v>
      </c>
      <c r="O18" s="1086" t="s">
        <v>581</v>
      </c>
      <c r="P18" s="1045">
        <f>MATCH(Application!T189,Application!CB160:CB217,0)</f>
        <v>19</v>
      </c>
      <c r="T18" s="1066">
        <f>SUM(Cdlac[Population])</f>
        <v>0</v>
      </c>
    </row>
    <row r="19" spans="1:21" ht="15" customHeight="1">
      <c r="A19" s="1047"/>
      <c r="B19" s="1047"/>
      <c r="C19" s="1047"/>
      <c r="D19" s="1047"/>
      <c r="E19" s="1047"/>
      <c r="L19" s="1045" t="s">
        <v>1934</v>
      </c>
      <c r="M19" s="1045" t="s">
        <v>1933</v>
      </c>
      <c r="N19" s="1045" t="s">
        <v>1945</v>
      </c>
      <c r="O19" s="1045" t="s">
        <v>1946</v>
      </c>
      <c r="P19" s="1045" t="s">
        <v>1935</v>
      </c>
      <c r="Q19" s="1045" t="s">
        <v>2263</v>
      </c>
      <c r="R19" s="1045" t="s">
        <v>1936</v>
      </c>
      <c r="S19" s="1045" t="s">
        <v>1947</v>
      </c>
      <c r="T19" s="1045" t="s">
        <v>1953</v>
      </c>
      <c r="U19" s="1045" t="s">
        <v>384</v>
      </c>
    </row>
    <row r="20" spans="1:21" ht="15" customHeight="1">
      <c r="B20" s="1067" t="str">
        <f>B9</f>
        <v>A. Unit Production Benefit</v>
      </c>
      <c r="C20" s="1068"/>
      <c r="D20" s="1068"/>
      <c r="E20" s="1068"/>
      <c r="F20" s="1068"/>
      <c r="G20" s="1068"/>
      <c r="H20" s="1068"/>
      <c r="I20" s="1069"/>
      <c r="L20" s="1045">
        <f>IFERROR(MIN(4,MATCH(Application!B718,UnitSizes,0)-1),"")</f>
        <v>1</v>
      </c>
      <c r="M20" s="1066">
        <f>Application!G718</f>
        <v>30</v>
      </c>
      <c r="N20" s="1072">
        <f>Application!AC718</f>
        <v>0.3</v>
      </c>
      <c r="O20" s="1072">
        <f>IF(Cdlac[[#This Row],[Quantity]]&gt;0,IF(Cdlac[[#This Row],[Federal]],30%,IF(AND(OR(NOT($G$38),$G$38=""),$G$43),40%,Cdlac[[#This Row],[iAMI]])),"")</f>
        <v>0.3</v>
      </c>
      <c r="P20" s="1066" cm="1">
        <f t="array" ref="P20">IF(Cdlac[[#This Row],[Quantity]]&gt;0,INDEX(TcacRents,$P$18,Cdlac[[#This Row],[Bedrooms]]+1)*Cdlac[[#This Row],[AMI]],"")</f>
        <v>780</v>
      </c>
      <c r="Q20" s="1166"/>
      <c r="R20" s="1066" cm="1">
        <f t="array" ref="R20">IF(Cdlac[[#This Row],[Quantity]]&gt;0,INDEX(HudFmrs,$P$18,Cdlac[[#This Row],[Bedrooms]]+1),"")</f>
        <v>2006</v>
      </c>
      <c r="S20" s="1066">
        <f>IF(Cdlac[[#This Row],[Quantity]]&gt;0,MAX(0,Cdlac[[#This Row],[Fair Market Rent]]-IF(AND($G$37,$G$38,$G$38&lt;&gt;"",NOT(Cdlac[[#This Row],[Federal]]),Cdlac[[#This Row],[Preservation Rent]]&lt;&gt;""),Cdlac[[#This Row],[Preservation Rent]],Cdlac[[#This Row],[Restricted Rent]])),"")</f>
        <v>1226</v>
      </c>
      <c r="T20" s="1045">
        <f>IF(Cdlac[[#This Row],[Quantity]]&gt;0,AND(Application!AK718&lt;&gt;"N/A",Application!AK718&lt;&gt;"")*Cdlac[[#This Row],[Quantity]],"")</f>
        <v>0</v>
      </c>
      <c r="U20" s="1045" t="b">
        <f>AND('Subsidy Contract Calculation'!F4&gt;0,OR('Subsidy Contract Calculation'!C4="Federal",'Subsidy Contract Calculation'!C4="Local - Approved by ED"),Cdlac[[#This Row],[Quantity]]&gt;0)</f>
        <v>1</v>
      </c>
    </row>
    <row r="21" spans="1:21" ht="15" customHeight="1">
      <c r="A21" s="1047"/>
      <c r="B21" s="1047"/>
      <c r="I21" s="1070"/>
      <c r="L21" s="1045">
        <f>IFERROR(MIN(4,MATCH(Application!B719,UnitSizes,0)-1),"")</f>
        <v>1</v>
      </c>
      <c r="M21" s="1066">
        <f>Application!G719</f>
        <v>30</v>
      </c>
      <c r="N21" s="1072">
        <f>Application!AC719</f>
        <v>0.5</v>
      </c>
      <c r="O21" s="1072">
        <f>IF(Cdlac[[#This Row],[Quantity]]&gt;0,IF(Cdlac[[#This Row],[Federal]],30%,IF(AND(OR(NOT($G$38),$G$38=""),$G$43),40%,Cdlac[[#This Row],[iAMI]])),"")</f>
        <v>0.3</v>
      </c>
      <c r="P21" s="1066" cm="1">
        <f t="array" ref="P21">IF(Cdlac[[#This Row],[Quantity]]&gt;0,INDEX(TcacRents,$P$18,Cdlac[[#This Row],[Bedrooms]]+1)*Cdlac[[#This Row],[AMI]],"")</f>
        <v>780</v>
      </c>
      <c r="Q21" s="1166"/>
      <c r="R21" s="1066" cm="1">
        <f t="array" ref="R21">IF(Cdlac[[#This Row],[Quantity]]&gt;0,INDEX(HudFmrs,$P$18,Cdlac[[#This Row],[Bedrooms]]+1),"")</f>
        <v>2006</v>
      </c>
      <c r="S21" s="1066">
        <f>IF(Cdlac[[#This Row],[Quantity]]&gt;0,MAX(0,Cdlac[[#This Row],[Fair Market Rent]]-IF(AND($G$37,$G$38,$G$38&lt;&gt;"",NOT(Cdlac[[#This Row],[Federal]]),Cdlac[[#This Row],[Preservation Rent]]&lt;&gt;""),Cdlac[[#This Row],[Preservation Rent]],Cdlac[[#This Row],[Restricted Rent]])),"")</f>
        <v>1226</v>
      </c>
      <c r="T21" s="1045">
        <f>IF(Cdlac[[#This Row],[Quantity]]&gt;0,AND(Application!AK719&lt;&gt;"N/A",Application!AK719&lt;&gt;"")*Cdlac[[#This Row],[Quantity]],"")</f>
        <v>0</v>
      </c>
      <c r="U21" s="1045" t="b">
        <f>AND('Subsidy Contract Calculation'!F5&gt;0,OR('Subsidy Contract Calculation'!C5="Federal",'Subsidy Contract Calculation'!C5="Local - Approved by ED"),Cdlac[[#This Row],[Quantity]]&gt;0)</f>
        <v>1</v>
      </c>
    </row>
    <row r="22" spans="1:21" ht="15" customHeight="1">
      <c r="A22" s="1050"/>
      <c r="C22" s="2665" t="s">
        <v>1986</v>
      </c>
      <c r="D22" s="2665" t="s">
        <v>1987</v>
      </c>
      <c r="E22" s="2665" t="s">
        <v>1988</v>
      </c>
      <c r="F22" s="2665" t="s">
        <v>1989</v>
      </c>
      <c r="G22" s="2665" t="s">
        <v>1985</v>
      </c>
      <c r="H22" s="1071"/>
      <c r="I22" s="1070"/>
      <c r="L22" s="1045" t="str">
        <f>IFERROR(MIN(4,MATCH(Application!B720,UnitSizes,0)-1),"")</f>
        <v/>
      </c>
      <c r="M22" s="1066">
        <f>Application!G720</f>
        <v>0</v>
      </c>
      <c r="N22" s="1072">
        <f>Application!AC720</f>
        <v>0</v>
      </c>
      <c r="O22" s="1072" t="str">
        <f>IF(Cdlac[[#This Row],[Quantity]]&gt;0,IF(Cdlac[[#This Row],[Federal]],30%,IF(AND(OR(NOT($G$38),$G$38=""),$G$43),40%,Cdlac[[#This Row],[iAMI]])),"")</f>
        <v/>
      </c>
      <c r="P22" s="1066" t="str" cm="1">
        <f t="array" ref="P22">IF(Cdlac[[#This Row],[Quantity]]&gt;0,INDEX(TcacRents,$P$18,Cdlac[[#This Row],[Bedrooms]]+1)*Cdlac[[#This Row],[AMI]],"")</f>
        <v/>
      </c>
      <c r="Q22" s="1166"/>
      <c r="R22" s="1066" t="str" cm="1">
        <f t="array" ref="R22">IF(Cdlac[[#This Row],[Quantity]]&gt;0,INDEX(HudFmrs,$P$18,Cdlac[[#This Row],[Bedrooms]]+1),"")</f>
        <v/>
      </c>
      <c r="S22" s="1066" t="str">
        <f>IF(Cdlac[[#This Row],[Quantity]]&gt;0,MAX(0,Cdlac[[#This Row],[Fair Market Rent]]-IF(AND($G$37,$G$38,$G$38&lt;&gt;"",NOT(Cdlac[[#This Row],[Federal]]),Cdlac[[#This Row],[Preservation Rent]]&lt;&gt;""),Cdlac[[#This Row],[Preservation Rent]],Cdlac[[#This Row],[Restricted Rent]])),"")</f>
        <v/>
      </c>
      <c r="T22" s="1045" t="str">
        <f>IF(Cdlac[[#This Row],[Quantity]]&gt;0,AND(Application!AK720&lt;&gt;"N/A",Application!AK720&lt;&gt;"")*Cdlac[[#This Row],[Quantity]],"")</f>
        <v/>
      </c>
      <c r="U22" s="1045" t="b">
        <f>AND('Subsidy Contract Calculation'!F6&gt;0,OR('Subsidy Contract Calculation'!C6="Federal",'Subsidy Contract Calculation'!C6="Local - Approved by ED"),Cdlac[[#This Row],[Quantity]]&gt;0)</f>
        <v>0</v>
      </c>
    </row>
    <row r="23" spans="1:21" ht="15" customHeight="1">
      <c r="A23" s="1050"/>
      <c r="C23" s="2666"/>
      <c r="D23" s="2666"/>
      <c r="E23" s="2666"/>
      <c r="F23" s="2666"/>
      <c r="G23" s="2666"/>
      <c r="H23" s="1071"/>
      <c r="I23" s="1070"/>
      <c r="L23" s="1045" t="str">
        <f>IFERROR(MIN(4,MATCH(Application!B721,UnitSizes,0)-1),"")</f>
        <v/>
      </c>
      <c r="M23" s="1066">
        <f>Application!G721</f>
        <v>0</v>
      </c>
      <c r="N23" s="1072">
        <f>Application!AC721</f>
        <v>0</v>
      </c>
      <c r="O23" s="1072" t="str">
        <f>IF(Cdlac[[#This Row],[Quantity]]&gt;0,IF(Cdlac[[#This Row],[Federal]],30%,IF(AND(OR(NOT($G$38),$G$38=""),$G$43),40%,Cdlac[[#This Row],[iAMI]])),"")</f>
        <v/>
      </c>
      <c r="P23" s="1066" t="str" cm="1">
        <f t="array" ref="P23">IF(Cdlac[[#This Row],[Quantity]]&gt;0,INDEX(TcacRents,$P$18,Cdlac[[#This Row],[Bedrooms]]+1)*Cdlac[[#This Row],[AMI]],"")</f>
        <v/>
      </c>
      <c r="Q23" s="1166"/>
      <c r="R23" s="1066" t="str" cm="1">
        <f t="array" ref="R23">IF(Cdlac[[#This Row],[Quantity]]&gt;0,INDEX(HudFmrs,$P$18,Cdlac[[#This Row],[Bedrooms]]+1),"")</f>
        <v/>
      </c>
      <c r="S23" s="1066" t="str">
        <f>IF(Cdlac[[#This Row],[Quantity]]&gt;0,MAX(0,Cdlac[[#This Row],[Fair Market Rent]]-IF(AND($G$37,$G$38,$G$38&lt;&gt;"",NOT(Cdlac[[#This Row],[Federal]]),Cdlac[[#This Row],[Preservation Rent]]&lt;&gt;""),Cdlac[[#This Row],[Preservation Rent]],Cdlac[[#This Row],[Restricted Rent]])),"")</f>
        <v/>
      </c>
      <c r="T23" s="1045" t="str">
        <f>IF(Cdlac[[#This Row],[Quantity]]&gt;0,AND(Application!AK721&lt;&gt;"N/A",Application!AK721&lt;&gt;"")*Cdlac[[#This Row],[Quantity]],"")</f>
        <v/>
      </c>
      <c r="U23" s="1045" t="b">
        <f>AND('Subsidy Contract Calculation'!F7&gt;0,OR('Subsidy Contract Calculation'!C7="Federal",'Subsidy Contract Calculation'!C7="Local - Approved by ED"),Cdlac[[#This Row],[Quantity]]&gt;0)</f>
        <v>0</v>
      </c>
    </row>
    <row r="24" spans="1:21" ht="15" customHeight="1">
      <c r="C24" s="1073">
        <v>0</v>
      </c>
      <c r="D24" s="1074">
        <v>0.9</v>
      </c>
      <c r="E24" s="1073">
        <f>SUMIFS(Cdlac[Quantity],Cdlac[Bedrooms],C24)</f>
        <v>0</v>
      </c>
      <c r="F24" s="1073">
        <f>E24</f>
        <v>0</v>
      </c>
      <c r="G24" s="1073">
        <f>D24*F24</f>
        <v>0</v>
      </c>
      <c r="L24" s="1045" t="str">
        <f>IFERROR(MIN(4,MATCH(Application!B722,UnitSizes,0)-1),"")</f>
        <v/>
      </c>
      <c r="M24" s="1066">
        <f>Application!G722</f>
        <v>0</v>
      </c>
      <c r="N24" s="1072">
        <f>Application!AC722</f>
        <v>0</v>
      </c>
      <c r="O24" s="1072" t="str">
        <f>IF(Cdlac[[#This Row],[Quantity]]&gt;0,IF(Cdlac[[#This Row],[Federal]],30%,IF(AND(OR(NOT($G$38),$G$38=""),$G$43),40%,Cdlac[[#This Row],[iAMI]])),"")</f>
        <v/>
      </c>
      <c r="P24" s="1066" t="str" cm="1">
        <f t="array" ref="P24">IF(Cdlac[[#This Row],[Quantity]]&gt;0,INDEX(TcacRents,$P$18,Cdlac[[#This Row],[Bedrooms]]+1)*Cdlac[[#This Row],[AMI]],"")</f>
        <v/>
      </c>
      <c r="Q24" s="1166"/>
      <c r="R24" s="1066" t="str" cm="1">
        <f t="array" ref="R24">IF(Cdlac[[#This Row],[Quantity]]&gt;0,INDEX(HudFmrs,$P$18,Cdlac[[#This Row],[Bedrooms]]+1),"")</f>
        <v/>
      </c>
      <c r="S24" s="1066" t="str">
        <f>IF(Cdlac[[#This Row],[Quantity]]&gt;0,MAX(0,Cdlac[[#This Row],[Fair Market Rent]]-IF(AND($G$37,$G$38,$G$38&lt;&gt;"",NOT(Cdlac[[#This Row],[Federal]]),Cdlac[[#This Row],[Preservation Rent]]&lt;&gt;""),Cdlac[[#This Row],[Preservation Rent]],Cdlac[[#This Row],[Restricted Rent]])),"")</f>
        <v/>
      </c>
      <c r="T24" s="1045" t="str">
        <f>IF(Cdlac[[#This Row],[Quantity]]&gt;0,AND(Application!AK722&lt;&gt;"N/A",Application!AK722&lt;&gt;"")*Cdlac[[#This Row],[Quantity]],"")</f>
        <v/>
      </c>
      <c r="U24" s="1045" t="b">
        <f>AND('Subsidy Contract Calculation'!F8&gt;0,OR('Subsidy Contract Calculation'!C8="Federal",'Subsidy Contract Calculation'!C8="Local - Approved by ED"),Cdlac[[#This Row],[Quantity]]&gt;0)</f>
        <v>0</v>
      </c>
    </row>
    <row r="25" spans="1:21" ht="15" customHeight="1">
      <c r="C25" s="1073">
        <v>1</v>
      </c>
      <c r="D25" s="1074">
        <v>1</v>
      </c>
      <c r="E25" s="1073">
        <f>SUMIFS(Cdlac[Quantity],Cdlac[Bedrooms],C25)</f>
        <v>60</v>
      </c>
      <c r="F25" s="1073">
        <f>E25</f>
        <v>60</v>
      </c>
      <c r="G25" s="1073">
        <f>D25*F25</f>
        <v>60</v>
      </c>
      <c r="L25" s="1045" t="str">
        <f>IFERROR(MIN(4,MATCH(Application!B723,UnitSizes,0)-1),"")</f>
        <v/>
      </c>
      <c r="M25" s="1066">
        <f>Application!G723</f>
        <v>0</v>
      </c>
      <c r="N25" s="1072">
        <f>Application!AC723</f>
        <v>0</v>
      </c>
      <c r="O25" s="1072" t="str">
        <f>IF(Cdlac[[#This Row],[Quantity]]&gt;0,IF(Cdlac[[#This Row],[Federal]],30%,IF(AND(OR(NOT($G$38),$G$38=""),$G$43),40%,Cdlac[[#This Row],[iAMI]])),"")</f>
        <v/>
      </c>
      <c r="P25" s="1066" t="str" cm="1">
        <f t="array" ref="P25">IF(Cdlac[[#This Row],[Quantity]]&gt;0,INDEX(TcacRents,$P$18,Cdlac[[#This Row],[Bedrooms]]+1)*Cdlac[[#This Row],[AMI]],"")</f>
        <v/>
      </c>
      <c r="Q25" s="1166"/>
      <c r="R25" s="1066" t="str" cm="1">
        <f t="array" ref="R25">IF(Cdlac[[#This Row],[Quantity]]&gt;0,INDEX(HudFmrs,$P$18,Cdlac[[#This Row],[Bedrooms]]+1),"")</f>
        <v/>
      </c>
      <c r="S25" s="1066" t="str">
        <f>IF(Cdlac[[#This Row],[Quantity]]&gt;0,MAX(0,Cdlac[[#This Row],[Fair Market Rent]]-IF(AND($G$37,$G$38,$G$38&lt;&gt;"",NOT(Cdlac[[#This Row],[Federal]]),Cdlac[[#This Row],[Preservation Rent]]&lt;&gt;""),Cdlac[[#This Row],[Preservation Rent]],Cdlac[[#This Row],[Restricted Rent]])),"")</f>
        <v/>
      </c>
      <c r="T25" s="1045" t="str">
        <f>IF(Cdlac[[#This Row],[Quantity]]&gt;0,AND(Application!AK723&lt;&gt;"N/A",Application!AK723&lt;&gt;"")*Cdlac[[#This Row],[Quantity]],"")</f>
        <v/>
      </c>
      <c r="U25" s="1045" t="b">
        <f>AND('Subsidy Contract Calculation'!F9&gt;0,OR('Subsidy Contract Calculation'!C9="Federal",'Subsidy Contract Calculation'!C9="Local - Approved by ED"),Cdlac[[#This Row],[Quantity]]&gt;0)</f>
        <v>0</v>
      </c>
    </row>
    <row r="26" spans="1:21" ht="15" customHeight="1">
      <c r="A26" s="1075"/>
      <c r="C26" s="1076">
        <v>2</v>
      </c>
      <c r="D26" s="1074">
        <v>1.25</v>
      </c>
      <c r="E26" s="1073">
        <f>SUMIFS(Cdlac[Quantity],Cdlac[Bedrooms],C26)</f>
        <v>0</v>
      </c>
      <c r="F26" s="1076">
        <f>SUM(E26:E28)-SUM(F27:F28)</f>
        <v>0</v>
      </c>
      <c r="G26" s="1073">
        <f>D26*F26</f>
        <v>0</v>
      </c>
      <c r="H26" s="1075"/>
      <c r="I26" s="1075"/>
      <c r="L26" s="1045" t="str">
        <f>IFERROR(MIN(4,MATCH(Application!B724,UnitSizes,0)-1),"")</f>
        <v/>
      </c>
      <c r="M26" s="1066">
        <f>Application!G724</f>
        <v>0</v>
      </c>
      <c r="N26" s="1072">
        <f>Application!AC724</f>
        <v>0</v>
      </c>
      <c r="O26" s="1072" t="str">
        <f>IF(Cdlac[[#This Row],[Quantity]]&gt;0,IF(Cdlac[[#This Row],[Federal]],30%,IF(AND(OR(NOT($G$38),$G$38=""),$G$43),40%,Cdlac[[#This Row],[iAMI]])),"")</f>
        <v/>
      </c>
      <c r="P26" s="1066" t="str" cm="1">
        <f t="array" ref="P26">IF(Cdlac[[#This Row],[Quantity]]&gt;0,INDEX(TcacRents,$P$18,Cdlac[[#This Row],[Bedrooms]]+1)*Cdlac[[#This Row],[AMI]],"")</f>
        <v/>
      </c>
      <c r="Q26" s="1166"/>
      <c r="R26" s="1066" t="str" cm="1">
        <f t="array" ref="R26">IF(Cdlac[[#This Row],[Quantity]]&gt;0,INDEX(HudFmrs,$P$18,Cdlac[[#This Row],[Bedrooms]]+1),"")</f>
        <v/>
      </c>
      <c r="S26" s="1066" t="str">
        <f>IF(Cdlac[[#This Row],[Quantity]]&gt;0,MAX(0,Cdlac[[#This Row],[Fair Market Rent]]-IF(AND($G$37,$G$38,$G$38&lt;&gt;"",NOT(Cdlac[[#This Row],[Federal]]),Cdlac[[#This Row],[Preservation Rent]]&lt;&gt;""),Cdlac[[#This Row],[Preservation Rent]],Cdlac[[#This Row],[Restricted Rent]])),"")</f>
        <v/>
      </c>
      <c r="T26" s="1045" t="str">
        <f>IF(Cdlac[[#This Row],[Quantity]]&gt;0,AND(Application!AK724&lt;&gt;"N/A",Application!AK724&lt;&gt;"")*Cdlac[[#This Row],[Quantity]],"")</f>
        <v/>
      </c>
      <c r="U26" s="1045" t="b">
        <f>AND('Subsidy Contract Calculation'!F10&gt;0,OR('Subsidy Contract Calculation'!C10="Federal",'Subsidy Contract Calculation'!C10="Local - Approved by ED"),Cdlac[[#This Row],[Quantity]]&gt;0)</f>
        <v>0</v>
      </c>
    </row>
    <row r="27" spans="1:21" ht="15" customHeight="1">
      <c r="A27" s="1075"/>
      <c r="C27" s="1076">
        <v>3</v>
      </c>
      <c r="D27" s="1074">
        <f>1.5+0.25*0</f>
        <v>1.5</v>
      </c>
      <c r="E27" s="1073">
        <f>SUMIFS(Cdlac[Quantity],Cdlac[Bedrooms],C27)</f>
        <v>0</v>
      </c>
      <c r="F27" s="1076">
        <f>MIN(E27,ROUNDDOWN(E29*30%,0))</f>
        <v>0</v>
      </c>
      <c r="G27" s="1073">
        <f>D27*F27</f>
        <v>0</v>
      </c>
      <c r="H27" s="1075"/>
      <c r="I27" s="1075"/>
      <c r="L27" s="1045" t="str">
        <f>IFERROR(MIN(4,MATCH(Application!B725,UnitSizes,0)-1),"")</f>
        <v/>
      </c>
      <c r="M27" s="1066">
        <f>Application!G725</f>
        <v>0</v>
      </c>
      <c r="N27" s="1072">
        <f>Application!AC725</f>
        <v>0</v>
      </c>
      <c r="O27" s="1072" t="str">
        <f>IF(Cdlac[[#This Row],[Quantity]]&gt;0,IF(Cdlac[[#This Row],[Federal]],30%,IF(AND(OR(NOT($G$38),$G$38=""),$G$43),40%,Cdlac[[#This Row],[iAMI]])),"")</f>
        <v/>
      </c>
      <c r="P27" s="1066" t="str" cm="1">
        <f t="array" ref="P27">IF(Cdlac[[#This Row],[Quantity]]&gt;0,INDEX(TcacRents,$P$18,Cdlac[[#This Row],[Bedrooms]]+1)*Cdlac[[#This Row],[AMI]],"")</f>
        <v/>
      </c>
      <c r="Q27" s="1166"/>
      <c r="R27" s="1066" t="str" cm="1">
        <f t="array" ref="R27">IF(Cdlac[[#This Row],[Quantity]]&gt;0,INDEX(HudFmrs,$P$18,Cdlac[[#This Row],[Bedrooms]]+1),"")</f>
        <v/>
      </c>
      <c r="S27" s="1066" t="str">
        <f>IF(Cdlac[[#This Row],[Quantity]]&gt;0,MAX(0,Cdlac[[#This Row],[Fair Market Rent]]-IF(AND($G$37,$G$38,$G$38&lt;&gt;"",NOT(Cdlac[[#This Row],[Federal]]),Cdlac[[#This Row],[Preservation Rent]]&lt;&gt;""),Cdlac[[#This Row],[Preservation Rent]],Cdlac[[#This Row],[Restricted Rent]])),"")</f>
        <v/>
      </c>
      <c r="T27" s="1045" t="str">
        <f>IF(Cdlac[[#This Row],[Quantity]]&gt;0,AND(Application!AK725&lt;&gt;"N/A",Application!AK725&lt;&gt;"")*Cdlac[[#This Row],[Quantity]],"")</f>
        <v/>
      </c>
      <c r="U27" s="1045" t="b">
        <f>AND('Subsidy Contract Calculation'!F11&gt;0,OR('Subsidy Contract Calculation'!C11="Federal",'Subsidy Contract Calculation'!C11="Local - Approved by ED"),Cdlac[[#This Row],[Quantity]]&gt;0)</f>
        <v>0</v>
      </c>
    </row>
    <row r="28" spans="1:21" ht="15" customHeight="1" thickBot="1">
      <c r="A28" s="1075"/>
      <c r="C28" s="1088">
        <v>4</v>
      </c>
      <c r="D28" s="1089">
        <f>1.75+0.25*0</f>
        <v>1.75</v>
      </c>
      <c r="E28" s="1090">
        <f>SUMIFS(Cdlac[Quantity],Cdlac[Bedrooms],C28)</f>
        <v>0</v>
      </c>
      <c r="F28" s="1088">
        <f>MIN(E28,ROUNDDOWN(E29*10%,0))</f>
        <v>0</v>
      </c>
      <c r="G28" s="1090">
        <f>D28*F28</f>
        <v>0</v>
      </c>
      <c r="H28" s="1075"/>
      <c r="I28" s="1075"/>
      <c r="L28" s="1045" t="str">
        <f>IFERROR(MIN(4,MATCH(Application!B726,UnitSizes,0)-1),"")</f>
        <v/>
      </c>
      <c r="M28" s="1066">
        <f>Application!G726</f>
        <v>0</v>
      </c>
      <c r="N28" s="1072">
        <f>Application!AC726</f>
        <v>0</v>
      </c>
      <c r="O28" s="1072" t="str">
        <f>IF(Cdlac[[#This Row],[Quantity]]&gt;0,IF(Cdlac[[#This Row],[Federal]],30%,IF(AND(OR(NOT($G$38),$G$38=""),$G$43),40%,Cdlac[[#This Row],[iAMI]])),"")</f>
        <v/>
      </c>
      <c r="P28" s="1066" t="str" cm="1">
        <f t="array" ref="P28">IF(Cdlac[[#This Row],[Quantity]]&gt;0,INDEX(TcacRents,$P$18,Cdlac[[#This Row],[Bedrooms]]+1)*Cdlac[[#This Row],[AMI]],"")</f>
        <v/>
      </c>
      <c r="Q28" s="1166"/>
      <c r="R28" s="1066" t="str" cm="1">
        <f t="array" ref="R28">IF(Cdlac[[#This Row],[Quantity]]&gt;0,INDEX(HudFmrs,$P$18,Cdlac[[#This Row],[Bedrooms]]+1),"")</f>
        <v/>
      </c>
      <c r="S28" s="1066" t="str">
        <f>IF(Cdlac[[#This Row],[Quantity]]&gt;0,MAX(0,Cdlac[[#This Row],[Fair Market Rent]]-IF(AND($G$37,$G$38,$G$38&lt;&gt;"",NOT(Cdlac[[#This Row],[Federal]]),Cdlac[[#This Row],[Preservation Rent]]&lt;&gt;""),Cdlac[[#This Row],[Preservation Rent]],Cdlac[[#This Row],[Restricted Rent]])),"")</f>
        <v/>
      </c>
      <c r="T28" s="1045" t="str">
        <f>IF(Cdlac[[#This Row],[Quantity]]&gt;0,AND(Application!AK726&lt;&gt;"N/A",Application!AK726&lt;&gt;"")*Cdlac[[#This Row],[Quantity]],"")</f>
        <v/>
      </c>
      <c r="U28" s="1045" t="b">
        <f>AND('Subsidy Contract Calculation'!F12&gt;0,OR('Subsidy Contract Calculation'!C12="Federal",'Subsidy Contract Calculation'!C12="Local - Approved by ED"),Cdlac[[#This Row],[Quantity]]&gt;0)</f>
        <v>0</v>
      </c>
    </row>
    <row r="29" spans="1:21" ht="15" customHeight="1">
      <c r="A29" s="1075"/>
      <c r="C29" s="2667" t="s">
        <v>1585</v>
      </c>
      <c r="D29" s="2668"/>
      <c r="E29" s="1091">
        <f>SUM(E24:E28)</f>
        <v>60</v>
      </c>
      <c r="F29" s="1091">
        <f>SUM(F24:F28)</f>
        <v>60</v>
      </c>
      <c r="G29" s="1092">
        <f>SUMPRODUCT(D24:D28,F24:F28)</f>
        <v>60</v>
      </c>
      <c r="H29" s="1075"/>
      <c r="I29" s="1075"/>
      <c r="L29" s="1045" t="str">
        <f>IFERROR(MIN(4,MATCH(Application!B727,UnitSizes,0)-1),"")</f>
        <v/>
      </c>
      <c r="M29" s="1066">
        <f>Application!G727</f>
        <v>0</v>
      </c>
      <c r="N29" s="1072">
        <f>Application!AC727</f>
        <v>0</v>
      </c>
      <c r="O29" s="1072" t="str">
        <f>IF(Cdlac[[#This Row],[Quantity]]&gt;0,IF(Cdlac[[#This Row],[Federal]],30%,IF(AND(OR(NOT($G$38),$G$38=""),$G$43),40%,Cdlac[[#This Row],[iAMI]])),"")</f>
        <v/>
      </c>
      <c r="P29" s="1066" t="str" cm="1">
        <f t="array" ref="P29">IF(Cdlac[[#This Row],[Quantity]]&gt;0,INDEX(TcacRents,$P$18,Cdlac[[#This Row],[Bedrooms]]+1)*Cdlac[[#This Row],[AMI]],"")</f>
        <v/>
      </c>
      <c r="Q29" s="1166"/>
      <c r="R29" s="1066" t="str" cm="1">
        <f t="array" ref="R29">IF(Cdlac[[#This Row],[Quantity]]&gt;0,INDEX(HudFmrs,$P$18,Cdlac[[#This Row],[Bedrooms]]+1),"")</f>
        <v/>
      </c>
      <c r="S29" s="1066" t="str">
        <f>IF(Cdlac[[#This Row],[Quantity]]&gt;0,MAX(0,Cdlac[[#This Row],[Fair Market Rent]]-IF(AND($G$37,$G$38,$G$38&lt;&gt;"",NOT(Cdlac[[#This Row],[Federal]]),Cdlac[[#This Row],[Preservation Rent]]&lt;&gt;""),Cdlac[[#This Row],[Preservation Rent]],Cdlac[[#This Row],[Restricted Rent]])),"")</f>
        <v/>
      </c>
      <c r="T29" s="1045" t="str">
        <f>IF(Cdlac[[#This Row],[Quantity]]&gt;0,AND(Application!AK727&lt;&gt;"N/A",Application!AK727&lt;&gt;"")*Cdlac[[#This Row],[Quantity]],"")</f>
        <v/>
      </c>
      <c r="U29" s="1045" t="b">
        <f>AND('Subsidy Contract Calculation'!F13&gt;0,OR('Subsidy Contract Calculation'!C13="Federal",'Subsidy Contract Calculation'!C13="Local - Approved by ED"),Cdlac[[#This Row],[Quantity]]&gt;0)</f>
        <v>0</v>
      </c>
    </row>
    <row r="30" spans="1:21" ht="15" customHeight="1">
      <c r="A30" s="1075"/>
      <c r="C30" s="1075"/>
      <c r="D30" s="1075"/>
      <c r="E30" s="1075"/>
      <c r="F30" s="1075"/>
      <c r="G30" s="1075"/>
      <c r="H30" s="1075"/>
      <c r="I30" s="1075"/>
      <c r="L30" s="1045" t="str">
        <f>IFERROR(MIN(4,MATCH(Application!B728,UnitSizes,0)-1),"")</f>
        <v/>
      </c>
      <c r="M30" s="1066">
        <f>Application!G728</f>
        <v>0</v>
      </c>
      <c r="N30" s="1072">
        <f>Application!AC728</f>
        <v>0</v>
      </c>
      <c r="O30" s="1072" t="str">
        <f>IF(Cdlac[[#This Row],[Quantity]]&gt;0,IF(Cdlac[[#This Row],[Federal]],30%,IF(AND(OR(NOT($G$38),$G$38=""),$G$43),40%,Cdlac[[#This Row],[iAMI]])),"")</f>
        <v/>
      </c>
      <c r="P30" s="1066" t="str" cm="1">
        <f t="array" ref="P30">IF(Cdlac[[#This Row],[Quantity]]&gt;0,INDEX(TcacRents,$P$18,Cdlac[[#This Row],[Bedrooms]]+1)*Cdlac[[#This Row],[AMI]],"")</f>
        <v/>
      </c>
      <c r="Q30" s="1166"/>
      <c r="R30" s="1066" t="str" cm="1">
        <f t="array" ref="R30">IF(Cdlac[[#This Row],[Quantity]]&gt;0,INDEX(HudFmrs,$P$18,Cdlac[[#This Row],[Bedrooms]]+1),"")</f>
        <v/>
      </c>
      <c r="S30" s="1066" t="str">
        <f>IF(Cdlac[[#This Row],[Quantity]]&gt;0,MAX(0,Cdlac[[#This Row],[Fair Market Rent]]-IF(AND($G$37,$G$38,$G$38&lt;&gt;"",NOT(Cdlac[[#This Row],[Federal]]),Cdlac[[#This Row],[Preservation Rent]]&lt;&gt;""),Cdlac[[#This Row],[Preservation Rent]],Cdlac[[#This Row],[Restricted Rent]])),"")</f>
        <v/>
      </c>
      <c r="T30" s="1045" t="str">
        <f>IF(Cdlac[[#This Row],[Quantity]]&gt;0,AND(Application!AK728&lt;&gt;"N/A",Application!AK728&lt;&gt;"")*Cdlac[[#This Row],[Quantity]],"")</f>
        <v/>
      </c>
      <c r="U30" s="1045" t="b">
        <f>AND('Subsidy Contract Calculation'!F14&gt;0,OR('Subsidy Contract Calculation'!C14="Federal",'Subsidy Contract Calculation'!C14="Local - Approved by ED"),Cdlac[[#This Row],[Quantity]]&gt;0)</f>
        <v>0</v>
      </c>
    </row>
    <row r="31" spans="1:21" ht="15" customHeight="1">
      <c r="A31" s="1075"/>
      <c r="E31" s="1119" t="s">
        <v>1985</v>
      </c>
      <c r="G31" s="1116">
        <f>G29</f>
        <v>60</v>
      </c>
      <c r="H31" s="1075"/>
      <c r="I31" s="1075"/>
      <c r="L31" s="1045" t="str">
        <f>IFERROR(MIN(4,MATCH(Application!B729,UnitSizes,0)-1),"")</f>
        <v/>
      </c>
      <c r="M31" s="1066">
        <f>Application!G729</f>
        <v>0</v>
      </c>
      <c r="N31" s="1072">
        <f>Application!AC729</f>
        <v>0</v>
      </c>
      <c r="O31" s="1072" t="str">
        <f>IF(Cdlac[[#This Row],[Quantity]]&gt;0,IF(Cdlac[[#This Row],[Federal]],30%,IF(AND(OR(NOT($G$38),$G$38=""),$G$43),40%,Cdlac[[#This Row],[iAMI]])),"")</f>
        <v/>
      </c>
      <c r="P31" s="1066" t="str" cm="1">
        <f t="array" ref="P31">IF(Cdlac[[#This Row],[Quantity]]&gt;0,INDEX(TcacRents,$P$18,Cdlac[[#This Row],[Bedrooms]]+1)*Cdlac[[#This Row],[AMI]],"")</f>
        <v/>
      </c>
      <c r="Q31" s="1166"/>
      <c r="R31" s="1066" t="str" cm="1">
        <f t="array" ref="R31">IF(Cdlac[[#This Row],[Quantity]]&gt;0,INDEX(HudFmrs,$P$18,Cdlac[[#This Row],[Bedrooms]]+1),"")</f>
        <v/>
      </c>
      <c r="S31" s="1066" t="str">
        <f>IF(Cdlac[[#This Row],[Quantity]]&gt;0,MAX(0,Cdlac[[#This Row],[Fair Market Rent]]-IF(AND($G$37,$G$38,$G$38&lt;&gt;"",NOT(Cdlac[[#This Row],[Federal]]),Cdlac[[#This Row],[Preservation Rent]]&lt;&gt;""),Cdlac[[#This Row],[Preservation Rent]],Cdlac[[#This Row],[Restricted Rent]])),"")</f>
        <v/>
      </c>
      <c r="T31" s="1045" t="str">
        <f>IF(Cdlac[[#This Row],[Quantity]]&gt;0,AND(Application!AK729&lt;&gt;"N/A",Application!AK729&lt;&gt;"")*Cdlac[[#This Row],[Quantity]],"")</f>
        <v/>
      </c>
      <c r="U31" s="1045" t="b">
        <f>AND('Subsidy Contract Calculation'!F15&gt;0,OR('Subsidy Contract Calculation'!C15="Federal",'Subsidy Contract Calculation'!C15="Local - Approved by ED"),Cdlac[[#This Row],[Quantity]]&gt;0)</f>
        <v>0</v>
      </c>
    </row>
    <row r="32" spans="1:21" ht="15" customHeight="1">
      <c r="A32" s="1075"/>
      <c r="E32" s="1119" t="s">
        <v>1944</v>
      </c>
      <c r="F32" s="1115" t="s">
        <v>1993</v>
      </c>
      <c r="G32" s="1117">
        <v>50000</v>
      </c>
      <c r="H32" s="1075"/>
      <c r="I32" s="1075"/>
      <c r="L32" s="1045" t="str">
        <f>IFERROR(MIN(4,MATCH(Application!B730,UnitSizes,0)-1),"")</f>
        <v/>
      </c>
      <c r="M32" s="1066">
        <f>Application!G730</f>
        <v>0</v>
      </c>
      <c r="N32" s="1072">
        <f>Application!AC730</f>
        <v>0</v>
      </c>
      <c r="O32" s="1072" t="str">
        <f>IF(Cdlac[[#This Row],[Quantity]]&gt;0,IF(Cdlac[[#This Row],[Federal]],30%,IF(AND(OR(NOT($G$38),$G$38=""),$G$43),40%,Cdlac[[#This Row],[iAMI]])),"")</f>
        <v/>
      </c>
      <c r="P32" s="1066" t="str" cm="1">
        <f t="array" ref="P32">IF(Cdlac[[#This Row],[Quantity]]&gt;0,INDEX(TcacRents,$P$18,Cdlac[[#This Row],[Bedrooms]]+1)*Cdlac[[#This Row],[AMI]],"")</f>
        <v/>
      </c>
      <c r="Q32" s="1166"/>
      <c r="R32" s="1066" t="str" cm="1">
        <f t="array" ref="R32">IF(Cdlac[[#This Row],[Quantity]]&gt;0,INDEX(HudFmrs,$P$18,Cdlac[[#This Row],[Bedrooms]]+1),"")</f>
        <v/>
      </c>
      <c r="S32" s="1066" t="str">
        <f>IF(Cdlac[[#This Row],[Quantity]]&gt;0,MAX(0,Cdlac[[#This Row],[Fair Market Rent]]-IF(AND($G$37,$G$38,$G$38&lt;&gt;"",NOT(Cdlac[[#This Row],[Federal]]),Cdlac[[#This Row],[Preservation Rent]]&lt;&gt;""),Cdlac[[#This Row],[Preservation Rent]],Cdlac[[#This Row],[Restricted Rent]])),"")</f>
        <v/>
      </c>
      <c r="T32" s="1045" t="str">
        <f>IF(Cdlac[[#This Row],[Quantity]]&gt;0,AND(Application!AK730&lt;&gt;"N/A",Application!AK730&lt;&gt;"")*Cdlac[[#This Row],[Quantity]],"")</f>
        <v/>
      </c>
      <c r="U32" s="1045" t="b">
        <f>AND('Subsidy Contract Calculation'!F16&gt;0,OR('Subsidy Contract Calculation'!C16="Federal",'Subsidy Contract Calculation'!C16="Local - Approved by ED"),Cdlac[[#This Row],[Quantity]]&gt;0)</f>
        <v>0</v>
      </c>
    </row>
    <row r="33" spans="1:21" ht="15" customHeight="1">
      <c r="A33" s="1075"/>
      <c r="E33" s="1120" t="s">
        <v>1978</v>
      </c>
      <c r="F33" s="1047"/>
      <c r="G33" s="1121">
        <f>G32*G31</f>
        <v>3000000</v>
      </c>
      <c r="H33" s="1075"/>
      <c r="I33" s="1075"/>
      <c r="L33" s="1045" t="str">
        <f>IFERROR(MIN(4,MATCH(Application!B731,UnitSizes,0)-1),"")</f>
        <v/>
      </c>
      <c r="M33" s="1066">
        <f>Application!G731</f>
        <v>0</v>
      </c>
      <c r="N33" s="1072">
        <f>Application!AC731</f>
        <v>0</v>
      </c>
      <c r="O33" s="1072" t="str">
        <f>IF(Cdlac[[#This Row],[Quantity]]&gt;0,IF(Cdlac[[#This Row],[Federal]],30%,IF(AND(OR(NOT($G$38),$G$38=""),$G$43),40%,Cdlac[[#This Row],[iAMI]])),"")</f>
        <v/>
      </c>
      <c r="P33" s="1066" t="str" cm="1">
        <f t="array" ref="P33">IF(Cdlac[[#This Row],[Quantity]]&gt;0,INDEX(TcacRents,$P$18,Cdlac[[#This Row],[Bedrooms]]+1)*Cdlac[[#This Row],[AMI]],"")</f>
        <v/>
      </c>
      <c r="Q33" s="1166"/>
      <c r="R33" s="1066" t="str" cm="1">
        <f t="array" ref="R33">IF(Cdlac[[#This Row],[Quantity]]&gt;0,INDEX(HudFmrs,$P$18,Cdlac[[#This Row],[Bedrooms]]+1),"")</f>
        <v/>
      </c>
      <c r="S33" s="1066" t="str">
        <f>IF(Cdlac[[#This Row],[Quantity]]&gt;0,MAX(0,Cdlac[[#This Row],[Fair Market Rent]]-IF(AND($G$37,$G$38,$G$38&lt;&gt;"",NOT(Cdlac[[#This Row],[Federal]]),Cdlac[[#This Row],[Preservation Rent]]&lt;&gt;""),Cdlac[[#This Row],[Preservation Rent]],Cdlac[[#This Row],[Restricted Rent]])),"")</f>
        <v/>
      </c>
      <c r="T33" s="1045" t="str">
        <f>IF(Cdlac[[#This Row],[Quantity]]&gt;0,AND(Application!AK731&lt;&gt;"N/A",Application!AK731&lt;&gt;"")*Cdlac[[#This Row],[Quantity]],"")</f>
        <v/>
      </c>
      <c r="U33" s="1045" t="b">
        <f>AND('Subsidy Contract Calculation'!F17&gt;0,OR('Subsidy Contract Calculation'!C17="Federal",'Subsidy Contract Calculation'!C17="Local - Approved by ED"),Cdlac[[#This Row],[Quantity]]&gt;0)</f>
        <v>0</v>
      </c>
    </row>
    <row r="34" spans="1:21" ht="15" customHeight="1">
      <c r="A34" s="1075"/>
      <c r="B34" s="1075"/>
      <c r="C34" s="1075"/>
      <c r="D34" s="1075"/>
      <c r="E34" s="1075"/>
      <c r="F34" s="1075"/>
      <c r="G34" s="1075"/>
      <c r="H34" s="1075"/>
      <c r="I34" s="1075"/>
      <c r="L34" s="1045" t="str">
        <f>IFERROR(MIN(4,MATCH(Application!B732,UnitSizes,0)-1),"")</f>
        <v/>
      </c>
      <c r="M34" s="1066">
        <f>Application!G732</f>
        <v>0</v>
      </c>
      <c r="N34" s="1072">
        <f>Application!AC732</f>
        <v>0</v>
      </c>
      <c r="O34" s="1072" t="str">
        <f>IF(Cdlac[[#This Row],[Quantity]]&gt;0,IF(Cdlac[[#This Row],[Federal]],30%,IF(AND(OR(NOT($G$38),$G$38=""),$G$43),40%,Cdlac[[#This Row],[iAMI]])),"")</f>
        <v/>
      </c>
      <c r="P34" s="1066" t="str" cm="1">
        <f t="array" ref="P34">IF(Cdlac[[#This Row],[Quantity]]&gt;0,INDEX(TcacRents,$P$18,Cdlac[[#This Row],[Bedrooms]]+1)*Cdlac[[#This Row],[AMI]],"")</f>
        <v/>
      </c>
      <c r="Q34" s="1166"/>
      <c r="R34" s="1066" t="str" cm="1">
        <f t="array" ref="R34">IF(Cdlac[[#This Row],[Quantity]]&gt;0,INDEX(HudFmrs,$P$18,Cdlac[[#This Row],[Bedrooms]]+1),"")</f>
        <v/>
      </c>
      <c r="S34" s="1066" t="str">
        <f>IF(Cdlac[[#This Row],[Quantity]]&gt;0,MAX(0,Cdlac[[#This Row],[Fair Market Rent]]-IF(AND($G$37,$G$38,$G$38&lt;&gt;"",NOT(Cdlac[[#This Row],[Federal]]),Cdlac[[#This Row],[Preservation Rent]]&lt;&gt;""),Cdlac[[#This Row],[Preservation Rent]],Cdlac[[#This Row],[Restricted Rent]])),"")</f>
        <v/>
      </c>
      <c r="T34" s="1045" t="str">
        <f>IF(Cdlac[[#This Row],[Quantity]]&gt;0,AND(Application!AK732&lt;&gt;"N/A",Application!AK732&lt;&gt;"")*Cdlac[[#This Row],[Quantity]],"")</f>
        <v/>
      </c>
      <c r="U34" s="1045" t="b">
        <f>AND('Subsidy Contract Calculation'!F18&gt;0,OR('Subsidy Contract Calculation'!C18="Federal",'Subsidy Contract Calculation'!C18="Local - Approved by ED"),Cdlac[[#This Row],[Quantity]]&gt;0)</f>
        <v>0</v>
      </c>
    </row>
    <row r="35" spans="1:21" ht="15" customHeight="1">
      <c r="B35" s="1067" t="str">
        <f>B10</f>
        <v>B. Rent Savings Benefit</v>
      </c>
      <c r="C35" s="1068"/>
      <c r="D35" s="1068"/>
      <c r="E35" s="1068"/>
      <c r="F35" s="1068"/>
      <c r="G35" s="1068"/>
      <c r="H35" s="1068"/>
      <c r="I35" s="1069"/>
      <c r="L35" s="1045" t="str">
        <f>IFERROR(MIN(4,MATCH(Application!B733,UnitSizes,0)-1),"")</f>
        <v/>
      </c>
      <c r="M35" s="1066">
        <f>Application!G733</f>
        <v>0</v>
      </c>
      <c r="N35" s="1072">
        <f>Application!AC733</f>
        <v>0</v>
      </c>
      <c r="O35" s="1072" t="str">
        <f>IF(Cdlac[[#This Row],[Quantity]]&gt;0,IF(Cdlac[[#This Row],[Federal]],30%,IF(AND(OR(NOT($G$38),$G$38=""),$G$43),40%,Cdlac[[#This Row],[iAMI]])),"")</f>
        <v/>
      </c>
      <c r="P35" s="1066" t="str" cm="1">
        <f t="array" ref="P35">IF(Cdlac[[#This Row],[Quantity]]&gt;0,INDEX(TcacRents,$P$18,Cdlac[[#This Row],[Bedrooms]]+1)*Cdlac[[#This Row],[AMI]],"")</f>
        <v/>
      </c>
      <c r="Q35" s="1166"/>
      <c r="R35" s="1066" t="str" cm="1">
        <f t="array" ref="R35">IF(Cdlac[[#This Row],[Quantity]]&gt;0,INDEX(HudFmrs,$P$18,Cdlac[[#This Row],[Bedrooms]]+1),"")</f>
        <v/>
      </c>
      <c r="S35" s="1066" t="str">
        <f>IF(Cdlac[[#This Row],[Quantity]]&gt;0,MAX(0,Cdlac[[#This Row],[Fair Market Rent]]-IF(AND($G$37,$G$38,$G$38&lt;&gt;"",NOT(Cdlac[[#This Row],[Federal]]),Cdlac[[#This Row],[Preservation Rent]]&lt;&gt;""),Cdlac[[#This Row],[Preservation Rent]],Cdlac[[#This Row],[Restricted Rent]])),"")</f>
        <v/>
      </c>
      <c r="T35" s="1045" t="str">
        <f>IF(Cdlac[[#This Row],[Quantity]]&gt;0,AND(Application!AK733&lt;&gt;"N/A",Application!AK733&lt;&gt;"")*Cdlac[[#This Row],[Quantity]],"")</f>
        <v/>
      </c>
      <c r="U35" s="1045" t="b">
        <f>AND('Subsidy Contract Calculation'!F19&gt;0,OR('Subsidy Contract Calculation'!C19="Federal",'Subsidy Contract Calculation'!C19="Local - Approved by ED"),Cdlac[[#This Row],[Quantity]]&gt;0)</f>
        <v>0</v>
      </c>
    </row>
    <row r="36" spans="1:21" ht="15" customHeight="1">
      <c r="L36" s="1045" t="str">
        <f>IFERROR(MIN(4,MATCH(Application!B734,UnitSizes,0)-1),"")</f>
        <v/>
      </c>
      <c r="M36" s="1066">
        <f>Application!G734</f>
        <v>0</v>
      </c>
      <c r="N36" s="1072">
        <f>Application!AC734</f>
        <v>0</v>
      </c>
      <c r="O36" s="1072" t="str">
        <f>IF(Cdlac[[#This Row],[Quantity]]&gt;0,IF(Cdlac[[#This Row],[Federal]],30%,IF(AND(OR(NOT($G$38),$G$38=""),$G$43),40%,Cdlac[[#This Row],[iAMI]])),"")</f>
        <v/>
      </c>
      <c r="P36" s="1066" t="str" cm="1">
        <f t="array" ref="P36">IF(Cdlac[[#This Row],[Quantity]]&gt;0,INDEX(TcacRents,$P$18,Cdlac[[#This Row],[Bedrooms]]+1)*Cdlac[[#This Row],[AMI]],"")</f>
        <v/>
      </c>
      <c r="Q36" s="1166"/>
      <c r="R36" s="1066" t="str" cm="1">
        <f t="array" ref="R36">IF(Cdlac[[#This Row],[Quantity]]&gt;0,INDEX(HudFmrs,$P$18,Cdlac[[#This Row],[Bedrooms]]+1),"")</f>
        <v/>
      </c>
      <c r="S36" s="1066" t="str">
        <f>IF(Cdlac[[#This Row],[Quantity]]&gt;0,MAX(0,Cdlac[[#This Row],[Fair Market Rent]]-IF(AND($G$37,$G$38,$G$38&lt;&gt;"",NOT(Cdlac[[#This Row],[Federal]]),Cdlac[[#This Row],[Preservation Rent]]&lt;&gt;""),Cdlac[[#This Row],[Preservation Rent]],Cdlac[[#This Row],[Restricted Rent]])),"")</f>
        <v/>
      </c>
      <c r="T36" s="1045" t="str">
        <f>IF(Cdlac[[#This Row],[Quantity]]&gt;0,AND(Application!AK734&lt;&gt;"N/A",Application!AK734&lt;&gt;"")*Cdlac[[#This Row],[Quantity]],"")</f>
        <v/>
      </c>
      <c r="U36" s="1045" t="b">
        <f>AND('Subsidy Contract Calculation'!F20&gt;0,OR('Subsidy Contract Calculation'!C20="Federal",'Subsidy Contract Calculation'!C20="Local - Approved by ED"),Cdlac[[#This Row],[Quantity]]&gt;0)</f>
        <v>0</v>
      </c>
    </row>
    <row r="37" spans="1:21" ht="15" customHeight="1">
      <c r="E37" s="1086" t="s">
        <v>2261</v>
      </c>
      <c r="G37" s="1045" t="b">
        <f>OR('Points System'!B13="Yes",'Points System'!B16="Yes",'Points System'!B22="Yes",'Points System'!B25="Yes",'Points System'!B28="Yes",'Points System'!B33="Yes",'Points System'!B36="Yes",'Points System'!B40="Yes",'Points System'!B45="Yes")</f>
        <v>1</v>
      </c>
      <c r="L37" s="1045" t="str">
        <f>IFERROR(MIN(4,MATCH(Application!B735,UnitSizes,0)-1),"")</f>
        <v/>
      </c>
      <c r="M37" s="1066">
        <f>Application!G735</f>
        <v>0</v>
      </c>
      <c r="N37" s="1072">
        <f>Application!AC735</f>
        <v>0</v>
      </c>
      <c r="O37" s="1072" t="str">
        <f>IF(Cdlac[[#This Row],[Quantity]]&gt;0,IF(Cdlac[[#This Row],[Federal]],30%,IF(AND(OR(NOT($G$38),$G$38=""),$G$43),40%,Cdlac[[#This Row],[iAMI]])),"")</f>
        <v/>
      </c>
      <c r="P37" s="1066" t="str" cm="1">
        <f t="array" ref="P37">IF(Cdlac[[#This Row],[Quantity]]&gt;0,INDEX(TcacRents,$P$18,Cdlac[[#This Row],[Bedrooms]]+1)*Cdlac[[#This Row],[AMI]],"")</f>
        <v/>
      </c>
      <c r="Q37" s="1166"/>
      <c r="R37" s="1066" t="str" cm="1">
        <f t="array" ref="R37">IF(Cdlac[[#This Row],[Quantity]]&gt;0,INDEX(HudFmrs,$P$18,Cdlac[[#This Row],[Bedrooms]]+1),"")</f>
        <v/>
      </c>
      <c r="S37" s="1066" t="str">
        <f>IF(Cdlac[[#This Row],[Quantity]]&gt;0,MAX(0,Cdlac[[#This Row],[Fair Market Rent]]-IF(AND($G$37,$G$38,$G$38&lt;&gt;"",NOT(Cdlac[[#This Row],[Federal]]),Cdlac[[#This Row],[Preservation Rent]]&lt;&gt;""),Cdlac[[#This Row],[Preservation Rent]],Cdlac[[#This Row],[Restricted Rent]])),"")</f>
        <v/>
      </c>
      <c r="T37" s="1045" t="str">
        <f>IF(Cdlac[[#This Row],[Quantity]]&gt;0,AND(Application!AK735&lt;&gt;"N/A",Application!AK735&lt;&gt;"")*Cdlac[[#This Row],[Quantity]],"")</f>
        <v/>
      </c>
      <c r="U37" s="1045" t="b">
        <f>AND('Subsidy Contract Calculation'!F21&gt;0,OR('Subsidy Contract Calculation'!C21="Federal",'Subsidy Contract Calculation'!C21="Local - Approved by ED"),Cdlac[[#This Row],[Quantity]]&gt;0)</f>
        <v>0</v>
      </c>
    </row>
    <row r="38" spans="1:21" ht="15" customHeight="1">
      <c r="E38" s="1086" t="s">
        <v>2262</v>
      </c>
      <c r="G38" s="1165" t="b">
        <v>0</v>
      </c>
      <c r="L38" s="1045" t="str">
        <f>IFERROR(MIN(4,MATCH(Application!B736,UnitSizes,0)-1),"")</f>
        <v/>
      </c>
      <c r="M38" s="1066">
        <f>Application!G736</f>
        <v>0</v>
      </c>
      <c r="N38" s="1072">
        <f>Application!AC736</f>
        <v>0</v>
      </c>
      <c r="O38" s="1072" t="str">
        <f>IF(Cdlac[[#This Row],[Quantity]]&gt;0,IF(Cdlac[[#This Row],[Federal]],30%,IF(AND(OR(NOT($G$38),$G$38=""),$G$43),40%,Cdlac[[#This Row],[iAMI]])),"")</f>
        <v/>
      </c>
      <c r="P38" s="1066" t="str" cm="1">
        <f t="array" ref="P38">IF(Cdlac[[#This Row],[Quantity]]&gt;0,INDEX(TcacRents,$P$18,Cdlac[[#This Row],[Bedrooms]]+1)*Cdlac[[#This Row],[AMI]],"")</f>
        <v/>
      </c>
      <c r="Q38" s="1166"/>
      <c r="R38" s="1066" t="str" cm="1">
        <f t="array" ref="R38">IF(Cdlac[[#This Row],[Quantity]]&gt;0,INDEX(HudFmrs,$P$18,Cdlac[[#This Row],[Bedrooms]]+1),"")</f>
        <v/>
      </c>
      <c r="S38" s="1066" t="str">
        <f>IF(Cdlac[[#This Row],[Quantity]]&gt;0,MAX(0,Cdlac[[#This Row],[Fair Market Rent]]-IF(AND($G$37,$G$38,$G$38&lt;&gt;"",NOT(Cdlac[[#This Row],[Federal]]),Cdlac[[#This Row],[Preservation Rent]]&lt;&gt;""),Cdlac[[#This Row],[Preservation Rent]],Cdlac[[#This Row],[Restricted Rent]])),"")</f>
        <v/>
      </c>
      <c r="T38" s="1045" t="str">
        <f>IF(Cdlac[[#This Row],[Quantity]]&gt;0,AND(Application!AK736&lt;&gt;"N/A",Application!AK736&lt;&gt;"")*Cdlac[[#This Row],[Quantity]],"")</f>
        <v/>
      </c>
      <c r="U38" s="1045" t="b">
        <f>AND('Subsidy Contract Calculation'!F22&gt;0,OR('Subsidy Contract Calculation'!C22="Federal",'Subsidy Contract Calculation'!C22="Local - Approved by ED"),Cdlac[[#This Row],[Quantity]]&gt;0)</f>
        <v>0</v>
      </c>
    </row>
    <row r="39" spans="1:21" ht="15" customHeight="1">
      <c r="C39" s="2670" t="str">
        <f>IF(AND(G37,G38,G38&lt;&gt;""),"Enter the average rent charged for each unit type over the last three years, as documented with rent rolls or property audits, in cells Q20:Q44","")</f>
        <v/>
      </c>
      <c r="D39" s="2670"/>
      <c r="E39" s="2670"/>
      <c r="F39" s="2670"/>
      <c r="G39" s="2670"/>
      <c r="H39" s="2670"/>
      <c r="L39" s="1045" t="str">
        <f>IFERROR(MIN(4,MATCH(Application!B737,UnitSizes,0)-1),"")</f>
        <v/>
      </c>
      <c r="M39" s="1066">
        <f>Application!G737</f>
        <v>0</v>
      </c>
      <c r="N39" s="1072">
        <f>Application!AC737</f>
        <v>0</v>
      </c>
      <c r="O39" s="1072" t="str">
        <f>IF(Cdlac[[#This Row],[Quantity]]&gt;0,IF(Cdlac[[#This Row],[Federal]],30%,IF(AND(OR(NOT($G$38),$G$38=""),$G$43),40%,Cdlac[[#This Row],[iAMI]])),"")</f>
        <v/>
      </c>
      <c r="P39" s="1066" t="str" cm="1">
        <f t="array" ref="P39">IF(Cdlac[[#This Row],[Quantity]]&gt;0,INDEX(TcacRents,$P$18,Cdlac[[#This Row],[Bedrooms]]+1)*Cdlac[[#This Row],[AMI]],"")</f>
        <v/>
      </c>
      <c r="Q39" s="1166"/>
      <c r="R39" s="1066" t="str" cm="1">
        <f t="array" ref="R39">IF(Cdlac[[#This Row],[Quantity]]&gt;0,INDEX(HudFmrs,$P$18,Cdlac[[#This Row],[Bedrooms]]+1),"")</f>
        <v/>
      </c>
      <c r="S39" s="1066" t="str">
        <f>IF(Cdlac[[#This Row],[Quantity]]&gt;0,MAX(0,Cdlac[[#This Row],[Fair Market Rent]]-IF(AND($G$37,$G$38,$G$38&lt;&gt;"",NOT(Cdlac[[#This Row],[Federal]]),Cdlac[[#This Row],[Preservation Rent]]&lt;&gt;""),Cdlac[[#This Row],[Preservation Rent]],Cdlac[[#This Row],[Restricted Rent]])),"")</f>
        <v/>
      </c>
      <c r="T39" s="1045" t="str">
        <f>IF(Cdlac[[#This Row],[Quantity]]&gt;0,AND(Application!AK737&lt;&gt;"N/A",Application!AK737&lt;&gt;"")*Cdlac[[#This Row],[Quantity]],"")</f>
        <v/>
      </c>
      <c r="U39" s="1045" t="b">
        <f>AND('Subsidy Contract Calculation'!F23&gt;0,OR('Subsidy Contract Calculation'!C23="Federal",'Subsidy Contract Calculation'!C23="Local - Approved by ED"),Cdlac[[#This Row],[Quantity]]&gt;0)</f>
        <v>0</v>
      </c>
    </row>
    <row r="40" spans="1:21" ht="15" customHeight="1">
      <c r="C40" s="2670"/>
      <c r="D40" s="2670"/>
      <c r="E40" s="2670"/>
      <c r="F40" s="2670"/>
      <c r="G40" s="2670"/>
      <c r="H40" s="2670"/>
      <c r="L40" s="1045" t="str">
        <f>IFERROR(MIN(4,MATCH(Application!B738,UnitSizes,0)-1),"")</f>
        <v/>
      </c>
      <c r="M40" s="1066">
        <f>Application!G738</f>
        <v>0</v>
      </c>
      <c r="N40" s="1072">
        <f>Application!AC738</f>
        <v>0</v>
      </c>
      <c r="O40" s="1072" t="str">
        <f>IF(Cdlac[[#This Row],[Quantity]]&gt;0,IF(Cdlac[[#This Row],[Federal]],30%,IF(AND(OR(NOT($G$38),$G$38=""),$G$43),40%,Cdlac[[#This Row],[iAMI]])),"")</f>
        <v/>
      </c>
      <c r="P40" s="1066" t="str" cm="1">
        <f t="array" ref="P40">IF(Cdlac[[#This Row],[Quantity]]&gt;0,INDEX(TcacRents,$P$18,Cdlac[[#This Row],[Bedrooms]]+1)*Cdlac[[#This Row],[AMI]],"")</f>
        <v/>
      </c>
      <c r="Q40" s="1166"/>
      <c r="R40" s="1066" t="str" cm="1">
        <f t="array" ref="R40">IF(Cdlac[[#This Row],[Quantity]]&gt;0,INDEX(HudFmrs,$P$18,Cdlac[[#This Row],[Bedrooms]]+1),"")</f>
        <v/>
      </c>
      <c r="S40" s="1066" t="str">
        <f>IF(Cdlac[[#This Row],[Quantity]]&gt;0,MAX(0,Cdlac[[#This Row],[Fair Market Rent]]-IF(AND($G$37,$G$38,$G$38&lt;&gt;"",NOT(Cdlac[[#This Row],[Federal]]),Cdlac[[#This Row],[Preservation Rent]]&lt;&gt;""),Cdlac[[#This Row],[Preservation Rent]],Cdlac[[#This Row],[Restricted Rent]])),"")</f>
        <v/>
      </c>
      <c r="T40" s="1045" t="str">
        <f>IF(Cdlac[[#This Row],[Quantity]]&gt;0,AND(Application!AK738&lt;&gt;"N/A",Application!AK738&lt;&gt;"")*Cdlac[[#This Row],[Quantity]],"")</f>
        <v/>
      </c>
      <c r="U40" s="1045" t="b">
        <f>AND('Subsidy Contract Calculation'!F24&gt;0,OR('Subsidy Contract Calculation'!C24="Federal",'Subsidy Contract Calculation'!C24="Local - Approved by ED"),Cdlac[[#This Row],[Quantity]]&gt;0)</f>
        <v>0</v>
      </c>
    </row>
    <row r="41" spans="1:21" ht="15" customHeight="1">
      <c r="C41" s="2670"/>
      <c r="D41" s="2670"/>
      <c r="E41" s="2670"/>
      <c r="F41" s="2670"/>
      <c r="G41" s="2670"/>
      <c r="H41" s="2670"/>
      <c r="L41" s="1045" t="str">
        <f>IFERROR(MIN(4,MATCH(Application!B739,UnitSizes,0)-1),"")</f>
        <v/>
      </c>
      <c r="M41" s="1066">
        <f>Application!G739</f>
        <v>0</v>
      </c>
      <c r="N41" s="1072">
        <f>Application!AC739</f>
        <v>0</v>
      </c>
      <c r="O41" s="1072" t="str">
        <f>IF(Cdlac[[#This Row],[Quantity]]&gt;0,IF(Cdlac[[#This Row],[Federal]],30%,IF(AND(OR(NOT($G$38),$G$38=""),$G$43),40%,Cdlac[[#This Row],[iAMI]])),"")</f>
        <v/>
      </c>
      <c r="P41" s="1066" t="str" cm="1">
        <f t="array" ref="P41">IF(Cdlac[[#This Row],[Quantity]]&gt;0,INDEX(TcacRents,$P$18,Cdlac[[#This Row],[Bedrooms]]+1)*Cdlac[[#This Row],[AMI]],"")</f>
        <v/>
      </c>
      <c r="Q41" s="1166"/>
      <c r="R41" s="1066" t="str" cm="1">
        <f t="array" ref="R41">IF(Cdlac[[#This Row],[Quantity]]&gt;0,INDEX(HudFmrs,$P$18,Cdlac[[#This Row],[Bedrooms]]+1),"")</f>
        <v/>
      </c>
      <c r="S41" s="1066" t="str">
        <f>IF(Cdlac[[#This Row],[Quantity]]&gt;0,MAX(0,Cdlac[[#This Row],[Fair Market Rent]]-IF(AND($G$37,$G$38,$G$38&lt;&gt;"",NOT(Cdlac[[#This Row],[Federal]]),Cdlac[[#This Row],[Preservation Rent]]&lt;&gt;""),Cdlac[[#This Row],[Preservation Rent]],Cdlac[[#This Row],[Restricted Rent]])),"")</f>
        <v/>
      </c>
      <c r="T41" s="1045" t="str">
        <f>IF(Cdlac[[#This Row],[Quantity]]&gt;0,AND(Application!AK739&lt;&gt;"N/A",Application!AK739&lt;&gt;"")*Cdlac[[#This Row],[Quantity]],"")</f>
        <v/>
      </c>
      <c r="U41" s="1045" t="b">
        <f>AND('Subsidy Contract Calculation'!F25&gt;0,OR('Subsidy Contract Calculation'!C25="Federal",'Subsidy Contract Calculation'!C25="Local - Approved by ED"),Cdlac[[#This Row],[Quantity]]&gt;0)</f>
        <v>0</v>
      </c>
    </row>
    <row r="42" spans="1:21" ht="15" customHeight="1">
      <c r="E42" s="1086" t="s">
        <v>2004</v>
      </c>
      <c r="G42" s="1122" t="e" cm="1">
        <f t="array" ref="G42">SUMPRODUCT(Cdlac[Quantity],Cdlac[iAMI],IF(Cdlac[Federal],0,1))/SUMIFS(Cdlac[Quantity],Cdlac[Federal],FALSE)</f>
        <v>#DIV/0!</v>
      </c>
      <c r="L42" s="1045" t="str">
        <f>IFERROR(MIN(4,MATCH(Application!B740,UnitSizes,0)-1),"")</f>
        <v/>
      </c>
      <c r="M42" s="1066">
        <f>Application!G740</f>
        <v>0</v>
      </c>
      <c r="N42" s="1072">
        <f>Application!AC740</f>
        <v>0</v>
      </c>
      <c r="O42" s="1072" t="str">
        <f>IF(Cdlac[[#This Row],[Quantity]]&gt;0,IF(Cdlac[[#This Row],[Federal]],30%,IF(AND(OR(NOT($G$38),$G$38=""),$G$43),40%,Cdlac[[#This Row],[iAMI]])),"")</f>
        <v/>
      </c>
      <c r="P42" s="1066" t="str" cm="1">
        <f t="array" ref="P42">IF(Cdlac[[#This Row],[Quantity]]&gt;0,INDEX(TcacRents,$P$18,Cdlac[[#This Row],[Bedrooms]]+1)*Cdlac[[#This Row],[AMI]],"")</f>
        <v/>
      </c>
      <c r="Q42" s="1166"/>
      <c r="R42" s="1066" t="str" cm="1">
        <f t="array" ref="R42">IF(Cdlac[[#This Row],[Quantity]]&gt;0,INDEX(HudFmrs,$P$18,Cdlac[[#This Row],[Bedrooms]]+1),"")</f>
        <v/>
      </c>
      <c r="S42" s="1066" t="str">
        <f>IF(Cdlac[[#This Row],[Quantity]]&gt;0,MAX(0,Cdlac[[#This Row],[Fair Market Rent]]-IF(AND($G$37,$G$38,$G$38&lt;&gt;"",NOT(Cdlac[[#This Row],[Federal]]),Cdlac[[#This Row],[Preservation Rent]]&lt;&gt;""),Cdlac[[#This Row],[Preservation Rent]],Cdlac[[#This Row],[Restricted Rent]])),"")</f>
        <v/>
      </c>
      <c r="T42" s="1045" t="str">
        <f>IF(Cdlac[[#This Row],[Quantity]]&gt;0,AND(Application!AK740&lt;&gt;"N/A",Application!AK740&lt;&gt;"")*Cdlac[[#This Row],[Quantity]],"")</f>
        <v/>
      </c>
      <c r="U42" s="1045" t="b">
        <f>AND('Subsidy Contract Calculation'!F26&gt;0,OR('Subsidy Contract Calculation'!C26="Federal",'Subsidy Contract Calculation'!C26="Local - Approved by ED"),Cdlac[[#This Row],[Quantity]]&gt;0)</f>
        <v>0</v>
      </c>
    </row>
    <row r="43" spans="1:21" ht="15" customHeight="1">
      <c r="E43" s="1086" t="s">
        <v>1999</v>
      </c>
      <c r="G43" s="1082" t="e">
        <f>G42&lt;40%</f>
        <v>#DIV/0!</v>
      </c>
      <c r="L43" s="1045" t="str">
        <f>IFERROR(MIN(4,MATCH(Application!B741,UnitSizes,0)-1),"")</f>
        <v/>
      </c>
      <c r="M43" s="1066">
        <f>Application!G741</f>
        <v>0</v>
      </c>
      <c r="N43" s="1072">
        <f>Application!AC741</f>
        <v>0</v>
      </c>
      <c r="O43" s="1072" t="str">
        <f>IF(Cdlac[[#This Row],[Quantity]]&gt;0,IF(Cdlac[[#This Row],[Federal]],30%,IF(AND(OR(NOT($G$38),$G$38=""),$G$43),40%,Cdlac[[#This Row],[iAMI]])),"")</f>
        <v/>
      </c>
      <c r="P43" s="1066" t="str" cm="1">
        <f t="array" ref="P43">IF(Cdlac[[#This Row],[Quantity]]&gt;0,INDEX(TcacRents,$P$18,Cdlac[[#This Row],[Bedrooms]]+1)*Cdlac[[#This Row],[AMI]],"")</f>
        <v/>
      </c>
      <c r="Q43" s="1166"/>
      <c r="R43" s="1066" t="str" cm="1">
        <f t="array" ref="R43">IF(Cdlac[[#This Row],[Quantity]]&gt;0,INDEX(HudFmrs,$P$18,Cdlac[[#This Row],[Bedrooms]]+1),"")</f>
        <v/>
      </c>
      <c r="S43" s="1066" t="str">
        <f>IF(Cdlac[[#This Row],[Quantity]]&gt;0,MAX(0,Cdlac[[#This Row],[Fair Market Rent]]-IF(AND($G$37,$G$38,$G$38&lt;&gt;"",NOT(Cdlac[[#This Row],[Federal]]),Cdlac[[#This Row],[Preservation Rent]]&lt;&gt;""),Cdlac[[#This Row],[Preservation Rent]],Cdlac[[#This Row],[Restricted Rent]])),"")</f>
        <v/>
      </c>
      <c r="T43" s="1045" t="str">
        <f>IF(Cdlac[[#This Row],[Quantity]]&gt;0,AND(Application!AK741&lt;&gt;"N/A",Application!AK741&lt;&gt;"")*Cdlac[[#This Row],[Quantity]],"")</f>
        <v/>
      </c>
      <c r="U43" s="1045" t="b">
        <f>AND('Subsidy Contract Calculation'!F27&gt;0,OR('Subsidy Contract Calculation'!C27="Federal",'Subsidy Contract Calculation'!C27="Local - Approved by ED"),Cdlac[[#This Row],[Quantity]]&gt;0)</f>
        <v>0</v>
      </c>
    </row>
    <row r="44" spans="1:21" ht="15" customHeight="1">
      <c r="L44" s="1045" t="str">
        <f>IFERROR(MIN(4,MATCH(Application!B752,UnitSizes,0)-1),"")</f>
        <v/>
      </c>
      <c r="M44" s="1066">
        <f>Application!G752</f>
        <v>0</v>
      </c>
      <c r="N44" s="1072">
        <f>Application!AC752</f>
        <v>0</v>
      </c>
      <c r="O44" s="1083" t="str">
        <f>IF(Cdlac[[#This Row],[Quantity]]&gt;0,IF(Cdlac[[#This Row],[Federal]],30%,IF(AND(OR(NOT($G$38),$G$38=""),$G$43),40%,Cdlac[[#This Row],[iAMI]])),"")</f>
        <v/>
      </c>
      <c r="P44" s="1066" t="str" cm="1">
        <f t="array" ref="P44">IF(Cdlac[[#This Row],[Quantity]]&gt;0,INDEX(TcacRents,$P$18,Cdlac[[#This Row],[Bedrooms]]+1)*Cdlac[[#This Row],[AMI]],"")</f>
        <v/>
      </c>
      <c r="Q44" s="1166"/>
      <c r="R44" s="1066" t="str" cm="1">
        <f t="array" ref="R44">IF(Cdlac[[#This Row],[Quantity]]&gt;0,INDEX(HudFmrs,$P$18,Cdlac[[#This Row],[Bedrooms]]+1),"")</f>
        <v/>
      </c>
      <c r="S44" s="1066" t="str">
        <f>IF(Cdlac[[#This Row],[Quantity]]&gt;0,MAX(0,Cdlac[[#This Row],[Fair Market Rent]]-IF(AND($G$37,$G$38,$G$38&lt;&gt;"",NOT(Cdlac[[#This Row],[Federal]]),Cdlac[[#This Row],[Preservation Rent]]&lt;&gt;""),Cdlac[[#This Row],[Preservation Rent]],Cdlac[[#This Row],[Restricted Rent]])),"")</f>
        <v/>
      </c>
      <c r="T44" s="1045" t="str">
        <f>IF(Cdlac[[#This Row],[Quantity]]&gt;0,AND(Application!AK752&lt;&gt;"N/A",Application!AK752&lt;&gt;"")*Cdlac[[#This Row],[Quantity]],"")</f>
        <v/>
      </c>
      <c r="U44" s="1045" t="b">
        <f>AND('Subsidy Contract Calculation'!F28&gt;0,OR('Subsidy Contract Calculation'!C28="Federal",'Subsidy Contract Calculation'!C28="Local - Approved by ED"),Cdlac[[#This Row],[Quantity]]&gt;0)</f>
        <v>0</v>
      </c>
    </row>
    <row r="45" spans="1:21" ht="15" customHeight="1">
      <c r="E45" s="1086" t="s">
        <v>1948</v>
      </c>
      <c r="G45" s="1079">
        <f>IFERROR(SUMPRODUCT(Cdlac[Quantity],Cdlac[Delta]),0)</f>
        <v>73560</v>
      </c>
    </row>
    <row r="46" spans="1:21" ht="15" customHeight="1">
      <c r="E46" s="1119" t="s">
        <v>2005</v>
      </c>
      <c r="F46" s="1115" t="s">
        <v>1993</v>
      </c>
      <c r="G46" s="1123">
        <f>12*15</f>
        <v>180</v>
      </c>
    </row>
    <row r="47" spans="1:21" ht="15" customHeight="1">
      <c r="E47" s="1124" t="s">
        <v>1943</v>
      </c>
      <c r="F47" s="1047"/>
      <c r="G47" s="1125">
        <f>G45*G46</f>
        <v>13240800</v>
      </c>
    </row>
    <row r="48" spans="1:21" ht="15" customHeight="1"/>
    <row r="49" spans="2:9" ht="15" customHeight="1">
      <c r="B49" s="1067" t="str">
        <f>B11&amp;": "&amp;B12</f>
        <v>C. Population Benefit: (1) Special Needs Population Benefit</v>
      </c>
      <c r="C49" s="1068"/>
      <c r="D49" s="1068"/>
      <c r="E49" s="1068"/>
      <c r="F49" s="1068"/>
      <c r="G49" s="1068"/>
      <c r="H49" s="1068"/>
      <c r="I49" s="1069"/>
    </row>
    <row r="50" spans="2:9" ht="15" customHeight="1"/>
    <row r="51" spans="2:9" ht="15" customHeight="1">
      <c r="E51" s="1119" t="s">
        <v>1994</v>
      </c>
      <c r="G51" s="1116">
        <f>T18</f>
        <v>0</v>
      </c>
    </row>
    <row r="52" spans="2:9" ht="15" customHeight="1">
      <c r="E52" s="1119" t="s">
        <v>1995</v>
      </c>
      <c r="G52" s="1116">
        <f>ROUNDDOWN(E29*50%,0)</f>
        <v>30</v>
      </c>
    </row>
    <row r="53" spans="2:9" ht="15" customHeight="1">
      <c r="E53" s="1119"/>
      <c r="G53" s="1127"/>
    </row>
    <row r="54" spans="2:9" ht="15" customHeight="1">
      <c r="E54" s="1119" t="s">
        <v>1954</v>
      </c>
      <c r="G54" s="1116">
        <f>MIN(G51:G52)</f>
        <v>0</v>
      </c>
    </row>
    <row r="55" spans="2:9" ht="15" customHeight="1">
      <c r="E55" s="1119" t="s">
        <v>1944</v>
      </c>
      <c r="F55" s="1115" t="s">
        <v>1993</v>
      </c>
      <c r="G55" s="1126">
        <v>10000</v>
      </c>
    </row>
    <row r="56" spans="2:9" ht="15" customHeight="1">
      <c r="E56" s="1120" t="s">
        <v>1977</v>
      </c>
      <c r="F56" s="1047"/>
      <c r="G56" s="1125">
        <f>G54*G55</f>
        <v>0</v>
      </c>
    </row>
    <row r="57" spans="2:9" ht="15" customHeight="1"/>
    <row r="58" spans="2:9" ht="15" customHeight="1">
      <c r="B58" s="1067" t="str">
        <f>B11&amp;": "&amp;B13</f>
        <v>C. Population Benefit: (2) Extremely Low Income Benefit</v>
      </c>
      <c r="C58" s="1068"/>
      <c r="D58" s="1068"/>
      <c r="E58" s="1068"/>
      <c r="F58" s="1068"/>
      <c r="G58" s="1068"/>
      <c r="H58" s="1068"/>
      <c r="I58" s="1069"/>
    </row>
    <row r="59" spans="2:9" ht="15" customHeight="1"/>
    <row r="60" spans="2:9" ht="15" customHeight="1">
      <c r="E60" s="1119" t="s">
        <v>1996</v>
      </c>
      <c r="G60" s="1080">
        <f>SUMIFS(Cdlac[Quantity],Cdlac[iAMI],"&lt;=30%")</f>
        <v>30</v>
      </c>
    </row>
    <row r="61" spans="2:9" ht="15" customHeight="1">
      <c r="E61" s="1119" t="s">
        <v>1995</v>
      </c>
      <c r="G61" s="1080">
        <f>ROUNDDOWN(E29*50%,0)</f>
        <v>30</v>
      </c>
    </row>
    <row r="62" spans="2:9" ht="15" customHeight="1">
      <c r="E62" s="1119"/>
      <c r="G62" s="1080"/>
    </row>
    <row r="63" spans="2:9" ht="15" customHeight="1">
      <c r="E63" s="1119" t="s">
        <v>1954</v>
      </c>
      <c r="G63" s="1116">
        <f>MIN(G60:G61)</f>
        <v>30</v>
      </c>
    </row>
    <row r="64" spans="2:9" ht="15" customHeight="1">
      <c r="E64" s="1119" t="s">
        <v>1944</v>
      </c>
      <c r="F64" s="1115" t="s">
        <v>1993</v>
      </c>
      <c r="G64" s="1126">
        <v>20000</v>
      </c>
    </row>
    <row r="65" spans="2:14" ht="15" customHeight="1">
      <c r="E65" s="1120" t="s">
        <v>1976</v>
      </c>
      <c r="F65" s="1047"/>
      <c r="G65" s="1125">
        <f>G63*G64</f>
        <v>600000</v>
      </c>
    </row>
    <row r="66" spans="2:14" ht="15" customHeight="1"/>
    <row r="67" spans="2:14" ht="15" customHeight="1">
      <c r="B67" s="1067" t="str">
        <f>B14&amp;": "&amp;B15</f>
        <v>D. Location Benefit: (1) Resource Area Benefit</v>
      </c>
      <c r="C67" s="1068"/>
      <c r="D67" s="1068"/>
      <c r="E67" s="1068"/>
      <c r="F67" s="1068"/>
      <c r="G67" s="1068"/>
      <c r="H67" s="1068"/>
      <c r="I67" s="1069"/>
    </row>
    <row r="68" spans="2:14" ht="15" customHeight="1"/>
    <row r="69" spans="2:14" ht="15" customHeight="1">
      <c r="C69" s="1078" t="s">
        <v>1980</v>
      </c>
      <c r="G69" s="1044"/>
    </row>
    <row r="70" spans="2:14" ht="15" customHeight="1">
      <c r="C70" s="1078" t="s">
        <v>1981</v>
      </c>
      <c r="G70" s="1082" t="str">
        <f>IF(Application!D211="Large Family","Yes","No")</f>
        <v>No</v>
      </c>
    </row>
    <row r="71" spans="2:14" ht="15" customHeight="1" thickBot="1">
      <c r="C71" s="1078" t="s">
        <v>1967</v>
      </c>
      <c r="G71" s="1044"/>
    </row>
    <row r="72" spans="2:14" ht="15" customHeight="1">
      <c r="C72" s="1078" t="s">
        <v>1968</v>
      </c>
      <c r="G72" s="1045" t="str">
        <f>Application!T193</f>
        <v>Low Resource</v>
      </c>
      <c r="L72" s="2678" t="s">
        <v>1969</v>
      </c>
      <c r="M72" s="2679"/>
      <c r="N72" s="1133">
        <v>30000</v>
      </c>
    </row>
    <row r="73" spans="2:14" ht="15" customHeight="1">
      <c r="C73" s="2680" t="s">
        <v>2264</v>
      </c>
      <c r="D73" s="2680"/>
      <c r="E73" s="2680"/>
      <c r="F73" s="2680"/>
      <c r="G73" s="1044"/>
      <c r="L73" s="2689" t="s">
        <v>1937</v>
      </c>
      <c r="M73" s="2690"/>
      <c r="N73" s="1134">
        <v>20000</v>
      </c>
    </row>
    <row r="74" spans="2:14" ht="15" customHeight="1" thickBot="1">
      <c r="C74" s="2680"/>
      <c r="D74" s="2680"/>
      <c r="E74" s="2680"/>
      <c r="F74" s="2680"/>
      <c r="L74" s="2691" t="s">
        <v>1970</v>
      </c>
      <c r="M74" s="2692"/>
      <c r="N74" s="1135">
        <v>10000</v>
      </c>
    </row>
    <row r="75" spans="2:14" ht="15" customHeight="1">
      <c r="C75" s="1078"/>
    </row>
    <row r="76" spans="2:14" ht="15" customHeight="1">
      <c r="E76" s="1086" t="s">
        <v>2000</v>
      </c>
      <c r="G76" s="1080" t="b">
        <f>OR(AND(COUNTIFS(G70:G71,"Yes")&gt;=1,G69="Yes"),G73="Yes")</f>
        <v>0</v>
      </c>
    </row>
    <row r="77" spans="2:14" ht="15" customHeight="1">
      <c r="E77" s="1086"/>
      <c r="G77" s="1080"/>
    </row>
    <row r="78" spans="2:14" ht="15" customHeight="1">
      <c r="E78" s="1086" t="s">
        <v>1944</v>
      </c>
      <c r="G78" s="1079">
        <f>IFERROR(IF($G$73="Yes",30000,INDEX(N72:N74,MATCH(LEFT(G72,17),L72:L74,0))),0)</f>
        <v>0</v>
      </c>
    </row>
    <row r="79" spans="2:14" ht="15" customHeight="1">
      <c r="E79" s="1086" t="str">
        <f>E96</f>
        <v>Bedroom-Adjusted Low-Income Units</v>
      </c>
      <c r="F79" s="1115" t="s">
        <v>1993</v>
      </c>
      <c r="G79" s="1116">
        <f>G29</f>
        <v>60</v>
      </c>
    </row>
    <row r="80" spans="2:14" ht="15" customHeight="1">
      <c r="D80" s="1047"/>
      <c r="E80" s="1120" t="s">
        <v>2269</v>
      </c>
      <c r="F80" s="1047"/>
      <c r="G80" s="1125">
        <f>G79*G78*G76</f>
        <v>0</v>
      </c>
    </row>
    <row r="81" spans="2:9" ht="15" customHeight="1"/>
    <row r="82" spans="2:9" ht="15" customHeight="1">
      <c r="B82" s="1067" t="str">
        <f>B14&amp;": "&amp;B16</f>
        <v>D. Location Benefit: (2) Community Revitalization Benefit</v>
      </c>
      <c r="C82" s="1068"/>
      <c r="D82" s="1068"/>
      <c r="E82" s="1068"/>
      <c r="F82" s="1068"/>
      <c r="G82" s="1068"/>
      <c r="H82" s="1068"/>
      <c r="I82" s="1069"/>
    </row>
    <row r="83" spans="2:9" ht="15" customHeight="1"/>
    <row r="84" spans="2:9" ht="15" customHeight="1">
      <c r="F84" s="1118" t="s">
        <v>1975</v>
      </c>
      <c r="G84" s="1044"/>
    </row>
    <row r="85" spans="2:9" ht="15" customHeight="1">
      <c r="F85" s="1118"/>
    </row>
    <row r="86" spans="2:9" ht="15" customHeight="1">
      <c r="E86" s="1086" t="s">
        <v>2000</v>
      </c>
      <c r="G86" s="1080" t="b">
        <f>G84="Yes"</f>
        <v>0</v>
      </c>
    </row>
    <row r="87" spans="2:9" ht="15" customHeight="1"/>
    <row r="88" spans="2:9" ht="15" customHeight="1">
      <c r="E88" s="1086" t="str">
        <f>E96</f>
        <v>Bedroom-Adjusted Low-Income Units</v>
      </c>
      <c r="G88" s="1116">
        <f>G29</f>
        <v>60</v>
      </c>
    </row>
    <row r="89" spans="2:9" ht="15" customHeight="1">
      <c r="E89" s="1086" t="s">
        <v>1944</v>
      </c>
      <c r="F89" s="1115" t="s">
        <v>1993</v>
      </c>
      <c r="G89" s="1051">
        <v>20000</v>
      </c>
    </row>
    <row r="90" spans="2:9" ht="15" customHeight="1">
      <c r="E90" s="1120" t="s">
        <v>2273</v>
      </c>
      <c r="F90" s="1047"/>
      <c r="G90" s="1125">
        <f>G86*G89*G88</f>
        <v>0</v>
      </c>
    </row>
    <row r="91" spans="2:9" ht="15" customHeight="1"/>
    <row r="92" spans="2:9" ht="15" customHeight="1">
      <c r="B92" s="1067" t="str">
        <f>B14&amp;": "&amp;B17</f>
        <v>D. Location Benefit: (3) Transit/Walkability Benefit</v>
      </c>
      <c r="C92" s="1068"/>
      <c r="D92" s="1068"/>
      <c r="E92" s="1068"/>
      <c r="F92" s="1068"/>
      <c r="G92" s="1068"/>
      <c r="H92" s="1068"/>
      <c r="I92" s="1069"/>
    </row>
    <row r="93" spans="2:9" ht="15" customHeight="1"/>
    <row r="94" spans="2:9" ht="15" customHeight="1">
      <c r="E94" s="1086" t="s">
        <v>1955</v>
      </c>
      <c r="G94" s="1116">
        <f>VLOOKUP('Points System'!$H$606,'Points System'!$AO$586:$AP$591,2,FALSE)</f>
        <v>7</v>
      </c>
    </row>
    <row r="95" spans="2:9" ht="15" customHeight="1">
      <c r="E95" s="1086" t="s">
        <v>1944</v>
      </c>
      <c r="F95" s="1115" t="s">
        <v>1993</v>
      </c>
      <c r="G95" s="1077">
        <v>4000</v>
      </c>
    </row>
    <row r="96" spans="2:9" ht="15" customHeight="1" thickBot="1">
      <c r="E96" s="1086" t="s">
        <v>1997</v>
      </c>
      <c r="F96" s="1115" t="s">
        <v>1993</v>
      </c>
      <c r="G96" s="1128">
        <f>G29</f>
        <v>60</v>
      </c>
    </row>
    <row r="97" spans="2:14" ht="15" customHeight="1">
      <c r="E97" s="1120" t="s">
        <v>1961</v>
      </c>
      <c r="F97" s="1047"/>
      <c r="G97" s="1125">
        <f>G94*G95*G96</f>
        <v>1680000</v>
      </c>
      <c r="L97" s="1129" t="str">
        <f>'Points System'!H638</f>
        <v>(i)</v>
      </c>
      <c r="M97" s="2697" t="s">
        <v>1404</v>
      </c>
      <c r="N97" s="2698"/>
    </row>
    <row r="98" spans="2:14" ht="15" customHeight="1">
      <c r="C98" s="1078"/>
      <c r="G98" s="1116"/>
      <c r="L98" s="1130" t="str">
        <f>'Points System'!H650</f>
        <v>(i)</v>
      </c>
      <c r="M98" s="2693" t="s">
        <v>1956</v>
      </c>
      <c r="N98" s="2694"/>
    </row>
    <row r="99" spans="2:14" ht="15" customHeight="1">
      <c r="E99" s="1086" t="s">
        <v>1998</v>
      </c>
      <c r="G99" s="1128">
        <f>COUNTIFS(L97:L104,"(i)")</f>
        <v>2</v>
      </c>
      <c r="L99" s="1130" t="str">
        <f>'Points System'!H685</f>
        <v>(ii)</v>
      </c>
      <c r="M99" s="2693" t="s">
        <v>1957</v>
      </c>
      <c r="N99" s="2694"/>
    </row>
    <row r="100" spans="2:14" ht="15" customHeight="1">
      <c r="E100" s="1086" t="s">
        <v>1944</v>
      </c>
      <c r="F100" s="1115" t="s">
        <v>1993</v>
      </c>
      <c r="G100" s="1126">
        <v>4000</v>
      </c>
      <c r="L100" s="1130" t="str">
        <f>IF(OR('Points System'!H709="(ii)",'Points System'!H709="(i)"),"(i)","N/A")</f>
        <v>N/A</v>
      </c>
      <c r="M100" s="2693" t="s">
        <v>1958</v>
      </c>
      <c r="N100" s="2694"/>
    </row>
    <row r="101" spans="2:14" ht="15" customHeight="1">
      <c r="E101" s="1120" t="s">
        <v>1962</v>
      </c>
      <c r="F101" s="1047"/>
      <c r="G101" s="1125">
        <f>G96*G99*G100</f>
        <v>480000</v>
      </c>
      <c r="L101" s="1131" t="str">
        <f>'Points System'!H723</f>
        <v>(ii)</v>
      </c>
      <c r="M101" s="2693" t="s">
        <v>1430</v>
      </c>
      <c r="N101" s="2694"/>
    </row>
    <row r="102" spans="2:14" ht="15" customHeight="1">
      <c r="L102" s="1130" t="str">
        <f>'Points System'!H735</f>
        <v>N/A</v>
      </c>
      <c r="M102" s="2693" t="s">
        <v>1959</v>
      </c>
      <c r="N102" s="2694"/>
    </row>
    <row r="103" spans="2:14" ht="15" customHeight="1">
      <c r="C103" s="1081" t="s">
        <v>1964</v>
      </c>
      <c r="L103" s="1130" t="str">
        <f>'Points System'!H751</f>
        <v>(ii)</v>
      </c>
      <c r="M103" s="2693" t="s">
        <v>1960</v>
      </c>
      <c r="N103" s="2694"/>
    </row>
    <row r="104" spans="2:14" ht="15" customHeight="1" thickBot="1">
      <c r="C104" s="1078" t="s">
        <v>1965</v>
      </c>
      <c r="G104" s="1044"/>
      <c r="L104" s="1132" t="str">
        <f>'Points System'!H763</f>
        <v>(ii)</v>
      </c>
      <c r="M104" s="2695" t="s">
        <v>1433</v>
      </c>
      <c r="N104" s="2696"/>
    </row>
    <row r="105" spans="2:14" ht="15" customHeight="1">
      <c r="C105" s="1078" t="s">
        <v>1966</v>
      </c>
      <c r="G105" s="1044"/>
    </row>
    <row r="106" spans="2:14" ht="15" customHeight="1">
      <c r="C106" s="1078" t="s">
        <v>2140</v>
      </c>
      <c r="G106" s="1044" t="s">
        <v>544</v>
      </c>
    </row>
    <row r="107" spans="2:14" ht="15" customHeight="1">
      <c r="C107" s="1078" t="s">
        <v>2141</v>
      </c>
      <c r="G107" s="1044"/>
    </row>
    <row r="108" spans="2:14" ht="15" customHeight="1"/>
    <row r="109" spans="2:14" ht="15" customHeight="1">
      <c r="B109" s="1079"/>
      <c r="C109" s="1078"/>
      <c r="E109" s="1086" t="s">
        <v>2000</v>
      </c>
      <c r="G109" s="1080" t="b">
        <f>COUNTIFS(G104:G107,"Yes")&gt;=1</f>
        <v>1</v>
      </c>
    </row>
    <row r="110" spans="2:14" ht="15" customHeight="1">
      <c r="E110" s="1078"/>
    </row>
    <row r="111" spans="2:14" ht="15" customHeight="1">
      <c r="E111" s="1086" t="s">
        <v>1997</v>
      </c>
      <c r="F111" s="1115" t="s">
        <v>1993</v>
      </c>
      <c r="G111" s="1116">
        <f>G29</f>
        <v>60</v>
      </c>
    </row>
    <row r="112" spans="2:14" ht="15" customHeight="1">
      <c r="E112" s="1086" t="s">
        <v>1944</v>
      </c>
      <c r="F112" s="1115" t="s">
        <v>1993</v>
      </c>
      <c r="G112" s="1126">
        <v>25000</v>
      </c>
    </row>
    <row r="113" spans="2:9" ht="15" customHeight="1">
      <c r="E113" s="1120" t="s">
        <v>1963</v>
      </c>
      <c r="F113" s="1047"/>
      <c r="G113" s="1125">
        <f>G109*G112*G96</f>
        <v>1500000</v>
      </c>
    </row>
    <row r="114" spans="2:9" ht="15" customHeight="1">
      <c r="C114" s="1078"/>
      <c r="E114" s="1078"/>
    </row>
    <row r="115" spans="2:9" ht="15" customHeight="1">
      <c r="E115" s="1120" t="s">
        <v>2274</v>
      </c>
      <c r="G115" s="1125">
        <f>G113+G101+G97</f>
        <v>3660000</v>
      </c>
    </row>
    <row r="116" spans="2:9" ht="15" customHeight="1"/>
    <row r="117" spans="2:9" ht="15" customHeight="1">
      <c r="B117" s="1067" t="s">
        <v>139</v>
      </c>
      <c r="C117" s="1068"/>
      <c r="D117" s="1068"/>
      <c r="E117" s="1068"/>
      <c r="F117" s="1068"/>
      <c r="G117" s="1068"/>
      <c r="H117" s="1068"/>
      <c r="I117" s="1069"/>
    </row>
    <row r="118" spans="2:9" ht="15" customHeight="1"/>
    <row r="119" spans="2:9" ht="15" customHeight="1">
      <c r="C119" s="2669" t="s">
        <v>2229</v>
      </c>
      <c r="D119" s="2669"/>
      <c r="E119" s="2669"/>
      <c r="F119" s="2669"/>
    </row>
    <row r="120" spans="2:9" ht="15" customHeight="1">
      <c r="C120" s="2669"/>
      <c r="D120" s="2669"/>
      <c r="E120" s="2669"/>
      <c r="F120" s="2669"/>
      <c r="G120" s="1044"/>
    </row>
    <row r="121" spans="2:9" ht="15" customHeight="1"/>
    <row r="122" spans="2:9" ht="15" customHeight="1">
      <c r="C122" s="1045" t="s">
        <v>2231</v>
      </c>
      <c r="G122" s="2671"/>
      <c r="H122" s="2671"/>
    </row>
    <row r="123" spans="2:9" ht="15" customHeight="1">
      <c r="G123" s="2671"/>
      <c r="H123" s="2671"/>
    </row>
    <row r="124" spans="2:9" ht="15" customHeight="1">
      <c r="G124" s="2672"/>
      <c r="H124" s="2672"/>
    </row>
    <row r="125" spans="2:9" ht="15" customHeight="1">
      <c r="G125" s="1162"/>
      <c r="H125" s="1162"/>
    </row>
    <row r="126" spans="2:9" ht="15" customHeight="1">
      <c r="B126" s="1067" t="s">
        <v>2002</v>
      </c>
      <c r="C126" s="1068"/>
      <c r="D126" s="1068"/>
      <c r="E126" s="1068"/>
      <c r="F126" s="1068"/>
      <c r="G126" s="1068"/>
      <c r="H126" s="1068"/>
      <c r="I126" s="1069"/>
    </row>
    <row r="128" spans="2:9">
      <c r="E128" s="1086" t="s">
        <v>581</v>
      </c>
      <c r="G128" s="1045" t="str">
        <f>IF(Application!T189="","",Application!T189)</f>
        <v>Los Angeles</v>
      </c>
    </row>
    <row r="129" spans="2:9">
      <c r="E129" s="1086"/>
      <c r="G129" s="1079"/>
    </row>
    <row r="130" spans="2:9">
      <c r="E130" s="1086" t="str">
        <f>"2-Bedroom "&amp;G128&amp;" County Basis Limit"</f>
        <v>2-Bedroom Los Angeles County Basis Limit</v>
      </c>
      <c r="G130" s="1079">
        <f>Application!R988</f>
        <v>608800</v>
      </c>
    </row>
    <row r="131" spans="2:9">
      <c r="E131" s="1086" t="s">
        <v>2001</v>
      </c>
      <c r="G131" s="1079">
        <f>MEDIAN((Application!CU160:CU217))</f>
        <v>489600</v>
      </c>
    </row>
    <row r="132" spans="2:9">
      <c r="D132" s="1047"/>
      <c r="E132" s="1120" t="s">
        <v>2003</v>
      </c>
      <c r="F132" s="1136"/>
      <c r="G132" s="1137">
        <f>((G130-G131)/G131)*0.25</f>
        <v>6.0866013071895424E-2</v>
      </c>
      <c r="H132" s="1043"/>
      <c r="I132" s="1043"/>
    </row>
    <row r="133" spans="2:9">
      <c r="D133" s="1046"/>
      <c r="E133" s="1046"/>
    </row>
    <row r="134" spans="2:9">
      <c r="B134" s="1067" t="s">
        <v>2275</v>
      </c>
      <c r="C134" s="1068"/>
      <c r="D134" s="1068"/>
      <c r="E134" s="1068"/>
      <c r="F134" s="1068"/>
      <c r="G134" s="1068"/>
      <c r="H134" s="1068"/>
      <c r="I134" s="1069"/>
    </row>
    <row r="136" spans="2:9">
      <c r="E136" s="1086" t="s">
        <v>2261</v>
      </c>
      <c r="G136" s="1045" t="b">
        <f>G37</f>
        <v>1</v>
      </c>
    </row>
    <row r="137" spans="2:9">
      <c r="E137" s="1086" t="s">
        <v>2276</v>
      </c>
      <c r="G137" s="1045" t="b">
        <f>OR('Points System'!B52="Yes", 'Points System'!B56="Yes",'Points System'!B58="Yes")</f>
        <v>0</v>
      </c>
    </row>
    <row r="138" spans="2:9">
      <c r="C138" s="2664" t="s">
        <v>2277</v>
      </c>
      <c r="D138" s="2664"/>
      <c r="E138" s="2664"/>
      <c r="F138" s="2664"/>
    </row>
    <row r="139" spans="2:9">
      <c r="B139" s="1046"/>
      <c r="C139" s="2664"/>
      <c r="D139" s="2664"/>
      <c r="E139" s="2664"/>
      <c r="F139" s="2664"/>
      <c r="G139" s="1044"/>
    </row>
    <row r="140" spans="2:9">
      <c r="B140" s="1046"/>
      <c r="C140" s="1046"/>
      <c r="D140" s="1046"/>
      <c r="E140" s="1046"/>
      <c r="F140" s="1046"/>
    </row>
    <row r="141" spans="2:9" ht="14.25" customHeight="1">
      <c r="E141" s="1086" t="s">
        <v>2279</v>
      </c>
      <c r="G141" s="1171"/>
    </row>
    <row r="143" spans="2:9">
      <c r="E143" s="1086" t="s">
        <v>2281</v>
      </c>
      <c r="G143" s="1170">
        <f>IF(I9=0,0,G141/I9)</f>
        <v>0</v>
      </c>
    </row>
    <row r="144" spans="2:9">
      <c r="E144" s="1086" t="s">
        <v>2278</v>
      </c>
      <c r="G144" s="1168">
        <f>I9*0.15</f>
        <v>2521800</v>
      </c>
    </row>
  </sheetData>
  <sheetProtection algorithmName="SHA-512" hashValue="BjFjWpQUGvpRearBJq+1drl4U3CHc9Nm1Vpztormx5pgdlg7hj082C4Zjb57TLABTsRkCiXhZ7G6Qj8rlXPjIA==" saltValue="OHfobyBh8S8UjaUvsxd19g==" spinCount="100000" sheet="1" objects="1" scenarios="1"/>
  <mergeCells count="42">
    <mergeCell ref="L74:M74"/>
    <mergeCell ref="M101:N101"/>
    <mergeCell ref="M102:N102"/>
    <mergeCell ref="M103:N103"/>
    <mergeCell ref="M104:N104"/>
    <mergeCell ref="M97:N97"/>
    <mergeCell ref="M98:N98"/>
    <mergeCell ref="M99:N99"/>
    <mergeCell ref="M100:N100"/>
    <mergeCell ref="L72:M72"/>
    <mergeCell ref="C73:F74"/>
    <mergeCell ref="A1:J1"/>
    <mergeCell ref="B9:D9"/>
    <mergeCell ref="B10:D10"/>
    <mergeCell ref="B12:D12"/>
    <mergeCell ref="B13:D13"/>
    <mergeCell ref="B8:E8"/>
    <mergeCell ref="G8:I8"/>
    <mergeCell ref="G16:H16"/>
    <mergeCell ref="G22:G23"/>
    <mergeCell ref="G17:H17"/>
    <mergeCell ref="B18:D18"/>
    <mergeCell ref="G9:H9"/>
    <mergeCell ref="G10:H10"/>
    <mergeCell ref="L73:M73"/>
    <mergeCell ref="G11:H11"/>
    <mergeCell ref="G14:H14"/>
    <mergeCell ref="B11:D11"/>
    <mergeCell ref="B14:D14"/>
    <mergeCell ref="B15:D15"/>
    <mergeCell ref="B16:D16"/>
    <mergeCell ref="B17:D17"/>
    <mergeCell ref="G13:I13"/>
    <mergeCell ref="C138:F139"/>
    <mergeCell ref="C22:C23"/>
    <mergeCell ref="D22:D23"/>
    <mergeCell ref="F22:F23"/>
    <mergeCell ref="E22:E23"/>
    <mergeCell ref="C29:D29"/>
    <mergeCell ref="C119:F120"/>
    <mergeCell ref="C39:H41"/>
    <mergeCell ref="G122:H124"/>
  </mergeCells>
  <phoneticPr fontId="27" type="noConversion"/>
  <conditionalFormatting sqref="G38">
    <cfRule type="expression" dxfId="5" priority="1">
      <formula>NOT($G$37)</formula>
    </cfRule>
  </conditionalFormatting>
  <conditionalFormatting sqref="L20:U44">
    <cfRule type="expression" dxfId="4" priority="4">
      <formula>$M20=0</formula>
    </cfRule>
  </conditionalFormatting>
  <conditionalFormatting sqref="Q20:Q44">
    <cfRule type="expression" dxfId="3" priority="2">
      <formula>NOT($G$37)</formula>
    </cfRule>
    <cfRule type="expression" dxfId="2" priority="3">
      <formula>AND($G$37,$G$38,$G$38&lt;&gt;"")</formula>
    </cfRule>
  </conditionalFormatting>
  <conditionalFormatting sqref="U20:U44">
    <cfRule type="cellIs" dxfId="1" priority="5" operator="equal">
      <formula>FALSE</formula>
    </cfRule>
  </conditionalFormatting>
  <dataValidations count="3">
    <dataValidation type="list" allowBlank="1" showInputMessage="1" showErrorMessage="1" sqref="G104:G107 G120 G139" xr:uid="{C672C681-76A7-4CD8-8FBF-57FD42155450}">
      <formula1>"Yes"</formula1>
    </dataValidation>
    <dataValidation type="list" allowBlank="1" showInputMessage="1" showErrorMessage="1" sqref="G71 G69 G84 G73"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91"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workbookViewId="0">
      <selection activeCell="O13" sqref="O13"/>
    </sheetView>
  </sheetViews>
  <sheetFormatPr defaultColWidth="9.1796875" defaultRowHeight="14" zeroHeight="1"/>
  <cols>
    <col min="1" max="2" width="15.7265625" style="305" customWidth="1"/>
    <col min="3" max="3" width="11" style="305" customWidth="1"/>
    <col min="4" max="4" width="15.7265625" style="305" customWidth="1"/>
    <col min="5" max="5" width="3.7265625" style="305" customWidth="1"/>
    <col min="6" max="7" width="15.7265625" style="305" customWidth="1"/>
    <col min="8" max="8" width="3.7265625" style="305" customWidth="1"/>
    <col min="9" max="10" width="15.7265625" style="305" customWidth="1"/>
    <col min="11" max="11" width="3.26953125" style="305" customWidth="1"/>
    <col min="12" max="17" width="15.7265625" style="305" customWidth="1"/>
    <col min="18" max="16384" width="9.1796875" style="305"/>
  </cols>
  <sheetData>
    <row r="1" spans="1:12">
      <c r="A1" s="2699" t="s">
        <v>908</v>
      </c>
      <c r="B1" s="2699"/>
      <c r="C1" s="2699"/>
      <c r="D1" s="2699"/>
      <c r="E1" s="2699"/>
      <c r="F1" s="2699"/>
      <c r="G1" s="2699"/>
      <c r="H1" s="2699"/>
      <c r="I1" s="2699"/>
      <c r="J1" s="2699"/>
      <c r="K1" s="205"/>
      <c r="L1" s="205"/>
    </row>
    <row r="2" spans="1:12">
      <c r="A2" s="211"/>
      <c r="B2" s="211"/>
      <c r="C2" s="211"/>
      <c r="D2" s="211"/>
      <c r="E2" s="211"/>
      <c r="F2" s="211"/>
      <c r="G2" s="211"/>
      <c r="H2" s="211"/>
      <c r="I2" s="211"/>
      <c r="J2" s="211"/>
    </row>
    <row r="3" spans="1:12" ht="84.5">
      <c r="A3" s="427" t="s">
        <v>909</v>
      </c>
      <c r="B3" s="427" t="s">
        <v>2256</v>
      </c>
      <c r="C3" s="427" t="s">
        <v>2257</v>
      </c>
      <c r="D3" s="1148" t="s">
        <v>2258</v>
      </c>
      <c r="E3" s="205"/>
      <c r="F3" s="1148" t="s">
        <v>910</v>
      </c>
      <c r="G3" s="427" t="s">
        <v>911</v>
      </c>
      <c r="H3" s="428"/>
      <c r="I3" s="427" t="s">
        <v>912</v>
      </c>
      <c r="J3" s="427" t="s">
        <v>913</v>
      </c>
      <c r="K3" s="205"/>
      <c r="L3" s="306"/>
    </row>
    <row r="4" spans="1:12">
      <c r="A4" s="429" t="str">
        <f>Application!B718</f>
        <v>1 Bedroom</v>
      </c>
      <c r="B4" s="1084">
        <f>Application!G718</f>
        <v>30</v>
      </c>
      <c r="C4" s="1164" t="s">
        <v>384</v>
      </c>
      <c r="D4" s="429">
        <f>Application!O718</f>
        <v>750</v>
      </c>
      <c r="E4" s="430"/>
      <c r="F4" s="1085">
        <v>2241</v>
      </c>
      <c r="G4" s="429">
        <f>F4*B4</f>
        <v>67230</v>
      </c>
      <c r="H4" s="430"/>
      <c r="I4" s="429">
        <f t="shared" ref="I4:I27" si="0">IF(F4=0,"",(F4-D4))</f>
        <v>1491</v>
      </c>
      <c r="J4" s="429">
        <f t="shared" ref="J4:J27" si="1">IF(F4=0,"",(I4*B4))</f>
        <v>44730</v>
      </c>
      <c r="K4" s="205"/>
      <c r="L4" s="306"/>
    </row>
    <row r="5" spans="1:12">
      <c r="A5" s="429" t="str">
        <f>Application!B719</f>
        <v>1 Bedroom</v>
      </c>
      <c r="B5" s="1084">
        <f>Application!G719</f>
        <v>30</v>
      </c>
      <c r="C5" s="1164" t="s">
        <v>384</v>
      </c>
      <c r="D5" s="429">
        <f>Application!O719</f>
        <v>1270</v>
      </c>
      <c r="E5" s="430"/>
      <c r="F5" s="1085">
        <v>2241</v>
      </c>
      <c r="G5" s="429">
        <f t="shared" ref="G5:G38" si="2">F5*B5</f>
        <v>67230</v>
      </c>
      <c r="H5" s="430"/>
      <c r="I5" s="429">
        <f t="shared" si="0"/>
        <v>971</v>
      </c>
      <c r="J5" s="429">
        <f t="shared" si="1"/>
        <v>29130</v>
      </c>
      <c r="K5" s="205"/>
      <c r="L5" s="306"/>
    </row>
    <row r="6" spans="1:12">
      <c r="A6" s="429">
        <f>Application!B720</f>
        <v>0</v>
      </c>
      <c r="B6" s="1084">
        <f>Application!G720</f>
        <v>0</v>
      </c>
      <c r="C6" s="1164"/>
      <c r="D6" s="429">
        <f>Application!O720</f>
        <v>0</v>
      </c>
      <c r="E6" s="430"/>
      <c r="F6" s="1085"/>
      <c r="G6" s="429">
        <f t="shared" si="2"/>
        <v>0</v>
      </c>
      <c r="H6" s="430"/>
      <c r="I6" s="429" t="str">
        <f t="shared" si="0"/>
        <v/>
      </c>
      <c r="J6" s="429" t="str">
        <f t="shared" si="1"/>
        <v/>
      </c>
      <c r="K6" s="205"/>
      <c r="L6" s="306"/>
    </row>
    <row r="7" spans="1:12">
      <c r="A7" s="429">
        <f>Application!B721</f>
        <v>0</v>
      </c>
      <c r="B7" s="1084">
        <f>Application!G721</f>
        <v>0</v>
      </c>
      <c r="C7" s="1164"/>
      <c r="D7" s="429">
        <f>Application!O721</f>
        <v>0</v>
      </c>
      <c r="E7" s="430"/>
      <c r="F7" s="1085"/>
      <c r="G7" s="429">
        <f t="shared" si="2"/>
        <v>0</v>
      </c>
      <c r="H7" s="430"/>
      <c r="I7" s="429" t="str">
        <f t="shared" si="0"/>
        <v/>
      </c>
      <c r="J7" s="429" t="str">
        <f t="shared" si="1"/>
        <v/>
      </c>
      <c r="K7" s="205"/>
      <c r="L7" s="306"/>
    </row>
    <row r="8" spans="1:12">
      <c r="A8" s="429">
        <f>Application!B722</f>
        <v>0</v>
      </c>
      <c r="B8" s="1084">
        <f>Application!G722</f>
        <v>0</v>
      </c>
      <c r="C8" s="1164"/>
      <c r="D8" s="429">
        <f>Application!O722</f>
        <v>0</v>
      </c>
      <c r="E8" s="430"/>
      <c r="F8" s="1085"/>
      <c r="G8" s="429">
        <f t="shared" si="2"/>
        <v>0</v>
      </c>
      <c r="H8" s="430"/>
      <c r="I8" s="429" t="str">
        <f t="shared" si="0"/>
        <v/>
      </c>
      <c r="J8" s="429" t="str">
        <f t="shared" si="1"/>
        <v/>
      </c>
      <c r="K8" s="205"/>
      <c r="L8" s="306"/>
    </row>
    <row r="9" spans="1:12">
      <c r="A9" s="429">
        <f>Application!B723</f>
        <v>0</v>
      </c>
      <c r="B9" s="1084">
        <f>Application!G723</f>
        <v>0</v>
      </c>
      <c r="C9" s="1164"/>
      <c r="D9" s="429">
        <f>Application!O723</f>
        <v>0</v>
      </c>
      <c r="E9" s="430"/>
      <c r="F9" s="1085"/>
      <c r="G9" s="429">
        <f t="shared" si="2"/>
        <v>0</v>
      </c>
      <c r="H9" s="430"/>
      <c r="I9" s="429" t="str">
        <f t="shared" si="0"/>
        <v/>
      </c>
      <c r="J9" s="429" t="str">
        <f t="shared" si="1"/>
        <v/>
      </c>
      <c r="K9" s="205"/>
      <c r="L9" s="306"/>
    </row>
    <row r="10" spans="1:12">
      <c r="A10" s="429">
        <f>Application!B724</f>
        <v>0</v>
      </c>
      <c r="B10" s="1084">
        <f>Application!G724</f>
        <v>0</v>
      </c>
      <c r="C10" s="1164"/>
      <c r="D10" s="429">
        <f>Application!O724</f>
        <v>0</v>
      </c>
      <c r="E10" s="430"/>
      <c r="F10" s="1085"/>
      <c r="G10" s="429">
        <f t="shared" si="2"/>
        <v>0</v>
      </c>
      <c r="H10" s="430"/>
      <c r="I10" s="429" t="str">
        <f t="shared" si="0"/>
        <v/>
      </c>
      <c r="J10" s="429" t="str">
        <f t="shared" si="1"/>
        <v/>
      </c>
      <c r="K10" s="205"/>
      <c r="L10" s="306"/>
    </row>
    <row r="11" spans="1:12">
      <c r="A11" s="429">
        <f>Application!B725</f>
        <v>0</v>
      </c>
      <c r="B11" s="1084">
        <f>Application!G725</f>
        <v>0</v>
      </c>
      <c r="C11" s="1164"/>
      <c r="D11" s="429">
        <f>Application!O725</f>
        <v>0</v>
      </c>
      <c r="E11" s="430"/>
      <c r="F11" s="1085"/>
      <c r="G11" s="429">
        <f t="shared" si="2"/>
        <v>0</v>
      </c>
      <c r="H11" s="430"/>
      <c r="I11" s="429" t="str">
        <f t="shared" si="0"/>
        <v/>
      </c>
      <c r="J11" s="429" t="str">
        <f t="shared" si="1"/>
        <v/>
      </c>
      <c r="K11" s="205"/>
      <c r="L11" s="306"/>
    </row>
    <row r="12" spans="1:12">
      <c r="A12" s="429">
        <f>Application!B726</f>
        <v>0</v>
      </c>
      <c r="B12" s="1084">
        <f>Application!G726</f>
        <v>0</v>
      </c>
      <c r="C12" s="1164"/>
      <c r="D12" s="429">
        <f>Application!O726</f>
        <v>0</v>
      </c>
      <c r="E12" s="430"/>
      <c r="F12" s="1085"/>
      <c r="G12" s="429">
        <f t="shared" si="2"/>
        <v>0</v>
      </c>
      <c r="H12" s="430"/>
      <c r="I12" s="429" t="str">
        <f t="shared" si="0"/>
        <v/>
      </c>
      <c r="J12" s="429" t="str">
        <f t="shared" si="1"/>
        <v/>
      </c>
      <c r="K12" s="205"/>
      <c r="L12" s="306"/>
    </row>
    <row r="13" spans="1:12">
      <c r="A13" s="429">
        <f>Application!B727</f>
        <v>0</v>
      </c>
      <c r="B13" s="1084">
        <f>Application!G727</f>
        <v>0</v>
      </c>
      <c r="C13" s="1164"/>
      <c r="D13" s="429">
        <f>Application!O727</f>
        <v>0</v>
      </c>
      <c r="E13" s="430"/>
      <c r="F13" s="1085"/>
      <c r="G13" s="429">
        <f t="shared" si="2"/>
        <v>0</v>
      </c>
      <c r="H13" s="430"/>
      <c r="I13" s="429" t="str">
        <f t="shared" si="0"/>
        <v/>
      </c>
      <c r="J13" s="429" t="str">
        <f t="shared" si="1"/>
        <v/>
      </c>
      <c r="K13" s="205"/>
      <c r="L13" s="306"/>
    </row>
    <row r="14" spans="1:12">
      <c r="A14" s="429">
        <f>Application!B728</f>
        <v>0</v>
      </c>
      <c r="B14" s="1084">
        <f>Application!G728</f>
        <v>0</v>
      </c>
      <c r="C14" s="1164"/>
      <c r="D14" s="429">
        <f>Application!O728</f>
        <v>0</v>
      </c>
      <c r="E14" s="430"/>
      <c r="F14" s="1085"/>
      <c r="G14" s="429">
        <f t="shared" si="2"/>
        <v>0</v>
      </c>
      <c r="H14" s="430"/>
      <c r="I14" s="429" t="str">
        <f t="shared" si="0"/>
        <v/>
      </c>
      <c r="J14" s="429" t="str">
        <f t="shared" si="1"/>
        <v/>
      </c>
      <c r="K14" s="205"/>
      <c r="L14" s="306"/>
    </row>
    <row r="15" spans="1:12">
      <c r="A15" s="429">
        <f>Application!B729</f>
        <v>0</v>
      </c>
      <c r="B15" s="1084">
        <f>Application!G729</f>
        <v>0</v>
      </c>
      <c r="C15" s="1164"/>
      <c r="D15" s="429">
        <f>Application!O729</f>
        <v>0</v>
      </c>
      <c r="E15" s="430"/>
      <c r="F15" s="1085"/>
      <c r="G15" s="429">
        <f t="shared" si="2"/>
        <v>0</v>
      </c>
      <c r="H15" s="430"/>
      <c r="I15" s="429" t="str">
        <f t="shared" si="0"/>
        <v/>
      </c>
      <c r="J15" s="429" t="str">
        <f t="shared" si="1"/>
        <v/>
      </c>
      <c r="K15" s="205"/>
      <c r="L15" s="306"/>
    </row>
    <row r="16" spans="1:12">
      <c r="A16" s="429">
        <f>Application!B730</f>
        <v>0</v>
      </c>
      <c r="B16" s="1084">
        <f>Application!G730</f>
        <v>0</v>
      </c>
      <c r="C16" s="1164"/>
      <c r="D16" s="429">
        <f>Application!O730</f>
        <v>0</v>
      </c>
      <c r="E16" s="430"/>
      <c r="F16" s="1085"/>
      <c r="G16" s="429">
        <f t="shared" si="2"/>
        <v>0</v>
      </c>
      <c r="H16" s="430"/>
      <c r="I16" s="429" t="str">
        <f t="shared" si="0"/>
        <v/>
      </c>
      <c r="J16" s="429" t="str">
        <f t="shared" si="1"/>
        <v/>
      </c>
      <c r="K16" s="205"/>
      <c r="L16" s="306"/>
    </row>
    <row r="17" spans="1:12">
      <c r="A17" s="429">
        <f>Application!B731</f>
        <v>0</v>
      </c>
      <c r="B17" s="1084">
        <f>Application!G731</f>
        <v>0</v>
      </c>
      <c r="C17" s="1164"/>
      <c r="D17" s="429">
        <f>Application!O731</f>
        <v>0</v>
      </c>
      <c r="E17" s="430"/>
      <c r="F17" s="1085"/>
      <c r="G17" s="429">
        <f t="shared" si="2"/>
        <v>0</v>
      </c>
      <c r="H17" s="430"/>
      <c r="I17" s="429" t="str">
        <f t="shared" si="0"/>
        <v/>
      </c>
      <c r="J17" s="429" t="str">
        <f t="shared" si="1"/>
        <v/>
      </c>
      <c r="K17" s="205"/>
      <c r="L17" s="306"/>
    </row>
    <row r="18" spans="1:12">
      <c r="A18" s="429">
        <f>Application!B732</f>
        <v>0</v>
      </c>
      <c r="B18" s="1084">
        <f>Application!G732</f>
        <v>0</v>
      </c>
      <c r="C18" s="1164"/>
      <c r="D18" s="429">
        <f>Application!O732</f>
        <v>0</v>
      </c>
      <c r="E18" s="430"/>
      <c r="F18" s="1085"/>
      <c r="G18" s="429">
        <f t="shared" si="2"/>
        <v>0</v>
      </c>
      <c r="H18" s="430"/>
      <c r="I18" s="429" t="str">
        <f t="shared" si="0"/>
        <v/>
      </c>
      <c r="J18" s="429" t="str">
        <f t="shared" si="1"/>
        <v/>
      </c>
      <c r="K18" s="205"/>
      <c r="L18" s="306"/>
    </row>
    <row r="19" spans="1:12">
      <c r="A19" s="429">
        <f>Application!B733</f>
        <v>0</v>
      </c>
      <c r="B19" s="1084">
        <f>Application!G733</f>
        <v>0</v>
      </c>
      <c r="C19" s="1164"/>
      <c r="D19" s="429">
        <f>Application!O733</f>
        <v>0</v>
      </c>
      <c r="E19" s="430"/>
      <c r="F19" s="1085"/>
      <c r="G19" s="429">
        <f t="shared" si="2"/>
        <v>0</v>
      </c>
      <c r="H19" s="430"/>
      <c r="I19" s="429" t="str">
        <f t="shared" si="0"/>
        <v/>
      </c>
      <c r="J19" s="429" t="str">
        <f t="shared" si="1"/>
        <v/>
      </c>
      <c r="K19" s="205"/>
      <c r="L19" s="306"/>
    </row>
    <row r="20" spans="1:12">
      <c r="A20" s="429">
        <f>Application!B734</f>
        <v>0</v>
      </c>
      <c r="B20" s="1084">
        <f>Application!G734</f>
        <v>0</v>
      </c>
      <c r="C20" s="1164"/>
      <c r="D20" s="429">
        <f>Application!O734</f>
        <v>0</v>
      </c>
      <c r="E20" s="430"/>
      <c r="F20" s="1085"/>
      <c r="G20" s="429">
        <f t="shared" si="2"/>
        <v>0</v>
      </c>
      <c r="H20" s="430"/>
      <c r="I20" s="429" t="str">
        <f t="shared" si="0"/>
        <v/>
      </c>
      <c r="J20" s="429" t="str">
        <f t="shared" si="1"/>
        <v/>
      </c>
      <c r="K20" s="205"/>
      <c r="L20" s="306"/>
    </row>
    <row r="21" spans="1:12">
      <c r="A21" s="429">
        <f>Application!B735</f>
        <v>0</v>
      </c>
      <c r="B21" s="1084">
        <f>Application!G735</f>
        <v>0</v>
      </c>
      <c r="C21" s="1164"/>
      <c r="D21" s="429">
        <f>Application!O735</f>
        <v>0</v>
      </c>
      <c r="E21" s="430"/>
      <c r="F21" s="1085"/>
      <c r="G21" s="429">
        <f t="shared" si="2"/>
        <v>0</v>
      </c>
      <c r="H21" s="430"/>
      <c r="I21" s="429" t="str">
        <f t="shared" si="0"/>
        <v/>
      </c>
      <c r="J21" s="429" t="str">
        <f t="shared" si="1"/>
        <v/>
      </c>
      <c r="K21" s="205"/>
      <c r="L21" s="306"/>
    </row>
    <row r="22" spans="1:12">
      <c r="A22" s="429">
        <f>Application!B736</f>
        <v>0</v>
      </c>
      <c r="B22" s="1084">
        <f>Application!G736</f>
        <v>0</v>
      </c>
      <c r="C22" s="1164"/>
      <c r="D22" s="429">
        <f>Application!O736</f>
        <v>0</v>
      </c>
      <c r="E22" s="430"/>
      <c r="F22" s="1085"/>
      <c r="G22" s="429">
        <f t="shared" si="2"/>
        <v>0</v>
      </c>
      <c r="H22" s="430"/>
      <c r="I22" s="429" t="str">
        <f t="shared" si="0"/>
        <v/>
      </c>
      <c r="J22" s="429" t="str">
        <f t="shared" si="1"/>
        <v/>
      </c>
      <c r="K22" s="205"/>
      <c r="L22" s="306"/>
    </row>
    <row r="23" spans="1:12">
      <c r="A23" s="429">
        <f>Application!B737</f>
        <v>0</v>
      </c>
      <c r="B23" s="1084">
        <f>Application!G737</f>
        <v>0</v>
      </c>
      <c r="C23" s="1164"/>
      <c r="D23" s="429">
        <f>Application!O737</f>
        <v>0</v>
      </c>
      <c r="E23" s="430"/>
      <c r="F23" s="1085"/>
      <c r="G23" s="429">
        <f t="shared" si="2"/>
        <v>0</v>
      </c>
      <c r="H23" s="430"/>
      <c r="I23" s="429" t="str">
        <f t="shared" si="0"/>
        <v/>
      </c>
      <c r="J23" s="429" t="str">
        <f t="shared" si="1"/>
        <v/>
      </c>
      <c r="K23" s="205"/>
      <c r="L23" s="306"/>
    </row>
    <row r="24" spans="1:12">
      <c r="A24" s="429">
        <f>Application!B738</f>
        <v>0</v>
      </c>
      <c r="B24" s="1084">
        <f>Application!G738</f>
        <v>0</v>
      </c>
      <c r="C24" s="1164"/>
      <c r="D24" s="429">
        <f>Application!O738</f>
        <v>0</v>
      </c>
      <c r="E24" s="430"/>
      <c r="F24" s="1085"/>
      <c r="G24" s="429">
        <f t="shared" si="2"/>
        <v>0</v>
      </c>
      <c r="H24" s="430"/>
      <c r="I24" s="429" t="str">
        <f t="shared" si="0"/>
        <v/>
      </c>
      <c r="J24" s="429" t="str">
        <f t="shared" si="1"/>
        <v/>
      </c>
      <c r="K24" s="205"/>
      <c r="L24" s="306"/>
    </row>
    <row r="25" spans="1:12">
      <c r="A25" s="429">
        <f>Application!B739</f>
        <v>0</v>
      </c>
      <c r="B25" s="1084">
        <f>Application!G739</f>
        <v>0</v>
      </c>
      <c r="C25" s="1164"/>
      <c r="D25" s="429">
        <f>Application!O739</f>
        <v>0</v>
      </c>
      <c r="E25" s="430"/>
      <c r="F25" s="1085"/>
      <c r="G25" s="429">
        <f t="shared" si="2"/>
        <v>0</v>
      </c>
      <c r="H25" s="430"/>
      <c r="I25" s="429" t="str">
        <f t="shared" si="0"/>
        <v/>
      </c>
      <c r="J25" s="429" t="str">
        <f t="shared" si="1"/>
        <v/>
      </c>
      <c r="K25" s="205"/>
      <c r="L25" s="306"/>
    </row>
    <row r="26" spans="1:12">
      <c r="A26" s="429">
        <f>Application!B740</f>
        <v>0</v>
      </c>
      <c r="B26" s="1084">
        <f>Application!G740</f>
        <v>0</v>
      </c>
      <c r="C26" s="1164"/>
      <c r="D26" s="429">
        <f>Application!O740</f>
        <v>0</v>
      </c>
      <c r="E26" s="430"/>
      <c r="F26" s="1085"/>
      <c r="G26" s="429">
        <f t="shared" si="2"/>
        <v>0</v>
      </c>
      <c r="H26" s="430"/>
      <c r="I26" s="429" t="str">
        <f t="shared" si="0"/>
        <v/>
      </c>
      <c r="J26" s="429" t="str">
        <f t="shared" si="1"/>
        <v/>
      </c>
      <c r="K26" s="205"/>
      <c r="L26" s="306"/>
    </row>
    <row r="27" spans="1:12">
      <c r="A27" s="429">
        <f>Application!B741</f>
        <v>0</v>
      </c>
      <c r="B27" s="1084">
        <f>Application!G741</f>
        <v>0</v>
      </c>
      <c r="C27" s="1164"/>
      <c r="D27" s="429">
        <f>Application!O741</f>
        <v>0</v>
      </c>
      <c r="E27" s="430"/>
      <c r="F27" s="1085"/>
      <c r="G27" s="429">
        <f t="shared" si="2"/>
        <v>0</v>
      </c>
      <c r="H27" s="430"/>
      <c r="I27" s="429" t="str">
        <f t="shared" si="0"/>
        <v/>
      </c>
      <c r="J27" s="429" t="str">
        <f t="shared" si="1"/>
        <v/>
      </c>
      <c r="K27" s="205"/>
      <c r="L27" s="306"/>
    </row>
    <row r="28" spans="1:12">
      <c r="A28" s="429">
        <f>Application!B742</f>
        <v>0</v>
      </c>
      <c r="B28" s="1084">
        <f>Application!G742</f>
        <v>0</v>
      </c>
      <c r="C28" s="1164"/>
      <c r="D28" s="429">
        <f>Application!O742</f>
        <v>0</v>
      </c>
      <c r="E28" s="430"/>
      <c r="F28" s="1085"/>
      <c r="G28" s="429">
        <f t="shared" si="2"/>
        <v>0</v>
      </c>
      <c r="H28" s="430"/>
      <c r="I28" s="429" t="str">
        <f t="shared" ref="I28:I37" si="3">IF(F28=0,"",(F28-D28))</f>
        <v/>
      </c>
      <c r="J28" s="429" t="str">
        <f t="shared" ref="J28:J37" si="4">IF(F28=0,"",(I28*B28))</f>
        <v/>
      </c>
      <c r="K28" s="205"/>
      <c r="L28" s="306"/>
    </row>
    <row r="29" spans="1:12">
      <c r="A29" s="429">
        <f>Application!B743</f>
        <v>0</v>
      </c>
      <c r="B29" s="1084">
        <f>Application!G743</f>
        <v>0</v>
      </c>
      <c r="C29" s="1164"/>
      <c r="D29" s="429">
        <f>Application!O743</f>
        <v>0</v>
      </c>
      <c r="E29" s="430"/>
      <c r="F29" s="1085"/>
      <c r="G29" s="429">
        <f t="shared" si="2"/>
        <v>0</v>
      </c>
      <c r="H29" s="430"/>
      <c r="I29" s="429" t="str">
        <f t="shared" si="3"/>
        <v/>
      </c>
      <c r="J29" s="429" t="str">
        <f t="shared" si="4"/>
        <v/>
      </c>
      <c r="K29" s="205"/>
      <c r="L29" s="306"/>
    </row>
    <row r="30" spans="1:12">
      <c r="A30" s="429">
        <f>Application!B744</f>
        <v>0</v>
      </c>
      <c r="B30" s="1084">
        <f>Application!G744</f>
        <v>0</v>
      </c>
      <c r="C30" s="1164"/>
      <c r="D30" s="429">
        <f>Application!O744</f>
        <v>0</v>
      </c>
      <c r="E30" s="430"/>
      <c r="F30" s="1085"/>
      <c r="G30" s="429">
        <f t="shared" si="2"/>
        <v>0</v>
      </c>
      <c r="H30" s="430"/>
      <c r="I30" s="429" t="str">
        <f t="shared" si="3"/>
        <v/>
      </c>
      <c r="J30" s="429" t="str">
        <f t="shared" si="4"/>
        <v/>
      </c>
      <c r="K30" s="205"/>
      <c r="L30" s="306"/>
    </row>
    <row r="31" spans="1:12">
      <c r="A31" s="429">
        <f>Application!B745</f>
        <v>0</v>
      </c>
      <c r="B31" s="1084">
        <f>Application!G745</f>
        <v>0</v>
      </c>
      <c r="C31" s="1164"/>
      <c r="D31" s="429">
        <f>Application!O745</f>
        <v>0</v>
      </c>
      <c r="E31" s="430"/>
      <c r="F31" s="1085"/>
      <c r="G31" s="429">
        <f t="shared" si="2"/>
        <v>0</v>
      </c>
      <c r="H31" s="430"/>
      <c r="I31" s="429" t="str">
        <f t="shared" si="3"/>
        <v/>
      </c>
      <c r="J31" s="429" t="str">
        <f t="shared" si="4"/>
        <v/>
      </c>
      <c r="K31" s="205"/>
      <c r="L31" s="306"/>
    </row>
    <row r="32" spans="1:12">
      <c r="A32" s="429">
        <f>Application!B746</f>
        <v>0</v>
      </c>
      <c r="B32" s="1084">
        <f>Application!G746</f>
        <v>0</v>
      </c>
      <c r="C32" s="1164"/>
      <c r="D32" s="429">
        <f>Application!O746</f>
        <v>0</v>
      </c>
      <c r="E32" s="430"/>
      <c r="F32" s="1085"/>
      <c r="G32" s="429">
        <f t="shared" si="2"/>
        <v>0</v>
      </c>
      <c r="H32" s="430"/>
      <c r="I32" s="429" t="str">
        <f t="shared" si="3"/>
        <v/>
      </c>
      <c r="J32" s="429" t="str">
        <f t="shared" si="4"/>
        <v/>
      </c>
      <c r="K32" s="205"/>
      <c r="L32" s="306"/>
    </row>
    <row r="33" spans="1:12">
      <c r="A33" s="429">
        <f>Application!B747</f>
        <v>0</v>
      </c>
      <c r="B33" s="1084">
        <f>Application!G747</f>
        <v>0</v>
      </c>
      <c r="C33" s="1164"/>
      <c r="D33" s="429">
        <f>Application!O747</f>
        <v>0</v>
      </c>
      <c r="E33" s="430"/>
      <c r="F33" s="1085"/>
      <c r="G33" s="429">
        <f t="shared" si="2"/>
        <v>0</v>
      </c>
      <c r="H33" s="430"/>
      <c r="I33" s="429" t="str">
        <f t="shared" si="3"/>
        <v/>
      </c>
      <c r="J33" s="429" t="str">
        <f t="shared" si="4"/>
        <v/>
      </c>
      <c r="K33" s="205"/>
      <c r="L33" s="306"/>
    </row>
    <row r="34" spans="1:12">
      <c r="A34" s="429">
        <f>Application!B748</f>
        <v>0</v>
      </c>
      <c r="B34" s="1084">
        <f>Application!G748</f>
        <v>0</v>
      </c>
      <c r="C34" s="1164"/>
      <c r="D34" s="429">
        <f>Application!O748</f>
        <v>0</v>
      </c>
      <c r="E34" s="430"/>
      <c r="F34" s="1085"/>
      <c r="G34" s="429">
        <f t="shared" si="2"/>
        <v>0</v>
      </c>
      <c r="H34" s="430"/>
      <c r="I34" s="429" t="str">
        <f t="shared" si="3"/>
        <v/>
      </c>
      <c r="J34" s="429" t="str">
        <f t="shared" si="4"/>
        <v/>
      </c>
      <c r="K34" s="205"/>
      <c r="L34" s="306"/>
    </row>
    <row r="35" spans="1:12">
      <c r="A35" s="429">
        <f>Application!B749</f>
        <v>0</v>
      </c>
      <c r="B35" s="1084">
        <f>Application!G749</f>
        <v>0</v>
      </c>
      <c r="C35" s="1164"/>
      <c r="D35" s="429">
        <f>Application!O749</f>
        <v>0</v>
      </c>
      <c r="E35" s="430"/>
      <c r="F35" s="1085"/>
      <c r="G35" s="429">
        <f t="shared" si="2"/>
        <v>0</v>
      </c>
      <c r="H35" s="430"/>
      <c r="I35" s="429" t="str">
        <f t="shared" si="3"/>
        <v/>
      </c>
      <c r="J35" s="429" t="str">
        <f t="shared" si="4"/>
        <v/>
      </c>
      <c r="K35" s="205"/>
      <c r="L35" s="306"/>
    </row>
    <row r="36" spans="1:12">
      <c r="A36" s="429">
        <f>Application!B750</f>
        <v>0</v>
      </c>
      <c r="B36" s="1084">
        <f>Application!G750</f>
        <v>0</v>
      </c>
      <c r="C36" s="1164"/>
      <c r="D36" s="429">
        <f>Application!O750</f>
        <v>0</v>
      </c>
      <c r="E36" s="430"/>
      <c r="F36" s="1085"/>
      <c r="G36" s="429">
        <f t="shared" si="2"/>
        <v>0</v>
      </c>
      <c r="H36" s="430"/>
      <c r="I36" s="429" t="str">
        <f t="shared" si="3"/>
        <v/>
      </c>
      <c r="J36" s="429" t="str">
        <f t="shared" si="4"/>
        <v/>
      </c>
      <c r="K36" s="205"/>
      <c r="L36" s="306"/>
    </row>
    <row r="37" spans="1:12">
      <c r="A37" s="429">
        <f>Application!B751</f>
        <v>0</v>
      </c>
      <c r="B37" s="1084">
        <f>Application!G751</f>
        <v>0</v>
      </c>
      <c r="C37" s="1164"/>
      <c r="D37" s="429">
        <f>Application!O751</f>
        <v>0</v>
      </c>
      <c r="E37" s="430"/>
      <c r="F37" s="1085"/>
      <c r="G37" s="429">
        <f t="shared" si="2"/>
        <v>0</v>
      </c>
      <c r="H37" s="430"/>
      <c r="I37" s="429" t="str">
        <f t="shared" si="3"/>
        <v/>
      </c>
      <c r="J37" s="429" t="str">
        <f t="shared" si="4"/>
        <v/>
      </c>
      <c r="K37" s="205"/>
      <c r="L37" s="306"/>
    </row>
    <row r="38" spans="1:12">
      <c r="A38" s="429">
        <f>Application!B752</f>
        <v>0</v>
      </c>
      <c r="B38" s="1084">
        <f>Application!G752</f>
        <v>0</v>
      </c>
      <c r="C38" s="1164"/>
      <c r="D38" s="429">
        <f>Application!O752</f>
        <v>0</v>
      </c>
      <c r="E38" s="430"/>
      <c r="F38" s="1085"/>
      <c r="G38" s="429">
        <f t="shared" si="2"/>
        <v>0</v>
      </c>
      <c r="H38" s="430"/>
      <c r="I38" s="429" t="str">
        <f>IF(F38=0,"",(F38-D38))</f>
        <v/>
      </c>
      <c r="J38" s="429" t="str">
        <f>IF(F38=0,"",(I38*B38))</f>
        <v/>
      </c>
      <c r="K38" s="205"/>
      <c r="L38" s="306"/>
    </row>
    <row r="39" spans="1:12">
      <c r="A39" s="205"/>
      <c r="B39" s="205"/>
      <c r="C39" s="205"/>
      <c r="D39" s="430"/>
      <c r="E39" s="430"/>
      <c r="F39" s="430"/>
      <c r="G39" s="430"/>
      <c r="H39" s="430"/>
      <c r="I39" s="430"/>
      <c r="J39" s="205"/>
      <c r="K39" s="205"/>
      <c r="L39" s="306"/>
    </row>
    <row r="40" spans="1:12">
      <c r="A40" s="431" t="s">
        <v>914</v>
      </c>
      <c r="B40" s="432"/>
      <c r="C40" s="432"/>
      <c r="D40" s="433">
        <f>Application!O753</f>
        <v>60600</v>
      </c>
      <c r="E40" s="430"/>
      <c r="F40" s="430"/>
      <c r="G40" s="433">
        <f>SUM(G4:G38)*12</f>
        <v>1613520</v>
      </c>
      <c r="H40" s="434"/>
      <c r="I40" s="432"/>
      <c r="J40" s="433">
        <f>SUM(J4:J38)*12</f>
        <v>886320</v>
      </c>
      <c r="K40" s="205"/>
      <c r="L40" s="307"/>
    </row>
    <row r="41" spans="1:12">
      <c r="A41" s="431"/>
      <c r="B41" s="432"/>
      <c r="C41" s="432"/>
      <c r="D41" s="434"/>
      <c r="E41" s="430"/>
      <c r="F41" s="430"/>
      <c r="G41" s="434"/>
      <c r="H41" s="434"/>
      <c r="I41" s="432"/>
      <c r="J41" s="434"/>
      <c r="K41" s="205"/>
      <c r="L41" s="307"/>
    </row>
    <row r="42" spans="1:12">
      <c r="A42" s="305" t="s">
        <v>2259</v>
      </c>
    </row>
    <row r="43" spans="1:12">
      <c r="A43" s="2700" t="s">
        <v>2498</v>
      </c>
      <c r="B43" s="2700"/>
      <c r="C43" s="2700"/>
      <c r="D43" s="2700"/>
      <c r="E43" s="2700"/>
      <c r="F43" s="2700"/>
      <c r="G43" s="2700"/>
      <c r="H43" s="2700"/>
      <c r="I43" s="2700"/>
      <c r="J43" s="2700"/>
    </row>
    <row r="44" spans="1:12">
      <c r="A44" s="2700"/>
      <c r="B44" s="2700"/>
      <c r="C44" s="2700"/>
      <c r="D44" s="2700"/>
      <c r="E44" s="2700"/>
      <c r="F44" s="2700"/>
      <c r="G44" s="2700"/>
      <c r="H44" s="2700"/>
      <c r="I44" s="2700"/>
      <c r="J44" s="2700"/>
    </row>
    <row r="45" spans="1:12">
      <c r="A45" s="2700" t="s">
        <v>2260</v>
      </c>
      <c r="B45" s="2700"/>
      <c r="C45" s="2700"/>
      <c r="D45" s="2700"/>
      <c r="E45" s="2700"/>
      <c r="F45" s="2700"/>
      <c r="G45" s="2700"/>
      <c r="H45" s="2700"/>
      <c r="I45" s="2700"/>
      <c r="J45" s="2700"/>
    </row>
    <row r="46" spans="1:12">
      <c r="A46" s="2700"/>
      <c r="B46" s="2700"/>
      <c r="C46" s="2700"/>
      <c r="D46" s="2700"/>
      <c r="E46" s="2700"/>
      <c r="F46" s="2700"/>
      <c r="G46" s="2700"/>
      <c r="H46" s="2700"/>
      <c r="I46" s="2700"/>
      <c r="J46" s="2700"/>
    </row>
  </sheetData>
  <sheetProtection algorithmName="SHA-512" hashValue="ARD+xqYyguXDHL50cIzKzJ6SKJjU+MTJqTFQfdJigifZQEHyZm03DUo98DZE4+VJyIyoclEhqnWMA4kZE0VVjA==" saltValue="Unf4NIXk3/L41XYbzA3tl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topLeftCell="A28" workbookViewId="0">
      <selection activeCell="E40" activeCellId="1" sqref="E35 E40"/>
    </sheetView>
  </sheetViews>
  <sheetFormatPr defaultColWidth="0" defaultRowHeight="12.5" zeroHeight="1"/>
  <cols>
    <col min="1" max="1" width="3.7265625" customWidth="1"/>
    <col min="2" max="2" width="30.54296875" customWidth="1"/>
    <col min="3" max="3" width="9.1796875" style="215" customWidth="1"/>
    <col min="4" max="4" width="2.7265625" customWidth="1"/>
    <col min="5" max="5" width="12.7265625" customWidth="1"/>
    <col min="6" max="6" width="2.7265625" customWidth="1"/>
    <col min="7" max="7" width="12.7265625" customWidth="1"/>
    <col min="8" max="8" width="2.7265625" customWidth="1"/>
    <col min="9" max="9" width="12.7265625" customWidth="1"/>
    <col min="10" max="10" width="2.7265625" customWidth="1"/>
    <col min="11" max="11" width="12.7265625" customWidth="1"/>
    <col min="12" max="12" width="2.7265625" customWidth="1"/>
    <col min="13" max="13" width="12.7265625" customWidth="1"/>
    <col min="14" max="14" width="2.7265625" customWidth="1"/>
    <col min="15" max="15" width="12.7265625" customWidth="1"/>
    <col min="16" max="16" width="2.7265625" customWidth="1"/>
    <col min="17" max="17" width="12.7265625" customWidth="1"/>
    <col min="18" max="18" width="2.7265625" customWidth="1"/>
    <col min="19" max="19" width="12.7265625" customWidth="1"/>
    <col min="20" max="20" width="2.7265625" customWidth="1"/>
    <col min="21" max="21" width="12.7265625" customWidth="1"/>
    <col min="22" max="22" width="2.7265625" customWidth="1"/>
    <col min="23" max="23" width="12.7265625" customWidth="1"/>
    <col min="24" max="24" width="2.7265625" customWidth="1"/>
    <col min="25" max="25" width="12.7265625" customWidth="1"/>
    <col min="26" max="26" width="2.7265625" customWidth="1"/>
    <col min="27" max="27" width="12.7265625" customWidth="1"/>
    <col min="28" max="28" width="2.7265625" customWidth="1"/>
    <col min="29" max="29" width="12.7265625" customWidth="1"/>
    <col min="30" max="30" width="2.7265625" customWidth="1"/>
    <col min="31" max="31" width="12.7265625" customWidth="1"/>
    <col min="32" max="32" width="2.7265625" customWidth="1"/>
    <col min="33" max="33" width="12.7265625" customWidth="1"/>
    <col min="34" max="34" width="2.7265625" customWidth="1"/>
    <col min="35" max="35" width="0" hidden="1" customWidth="1"/>
    <col min="36" max="16384" width="8.81640625" hidden="1"/>
  </cols>
  <sheetData>
    <row r="1" spans="1:34" ht="18">
      <c r="A1" s="212" t="s">
        <v>2094</v>
      </c>
      <c r="B1" s="212"/>
    </row>
    <row r="2" spans="1:34"/>
    <row r="3" spans="1:34" ht="15.5">
      <c r="A3" s="213" t="s">
        <v>818</v>
      </c>
      <c r="B3" s="213"/>
      <c r="C3" s="236" t="s">
        <v>819</v>
      </c>
      <c r="D3" s="13"/>
      <c r="E3" s="237" t="s">
        <v>820</v>
      </c>
      <c r="F3" s="204"/>
      <c r="G3" s="237" t="s">
        <v>821</v>
      </c>
      <c r="H3" s="204"/>
      <c r="I3" s="237" t="s">
        <v>822</v>
      </c>
      <c r="J3" s="204"/>
      <c r="K3" s="237" t="s">
        <v>823</v>
      </c>
      <c r="L3" s="204"/>
      <c r="M3" s="237" t="s">
        <v>824</v>
      </c>
      <c r="N3" s="204"/>
      <c r="O3" s="237" t="s">
        <v>825</v>
      </c>
      <c r="P3" s="204"/>
      <c r="Q3" s="237" t="s">
        <v>826</v>
      </c>
      <c r="R3" s="204"/>
      <c r="S3" s="237" t="s">
        <v>827</v>
      </c>
      <c r="T3" s="204"/>
      <c r="U3" s="237" t="s">
        <v>828</v>
      </c>
      <c r="V3" s="204"/>
      <c r="W3" s="237" t="s">
        <v>829</v>
      </c>
      <c r="X3" s="204"/>
      <c r="Y3" s="237" t="s">
        <v>830</v>
      </c>
      <c r="Z3" s="204"/>
      <c r="AA3" s="237" t="s">
        <v>831</v>
      </c>
      <c r="AB3" s="204"/>
      <c r="AC3" s="237" t="s">
        <v>832</v>
      </c>
      <c r="AD3" s="204"/>
      <c r="AE3" s="237" t="s">
        <v>833</v>
      </c>
      <c r="AF3" s="204"/>
      <c r="AG3" s="237" t="s">
        <v>834</v>
      </c>
      <c r="AH3" s="13"/>
    </row>
    <row r="4" spans="1:34" s="220" customFormat="1" ht="14">
      <c r="A4" s="220" t="s">
        <v>836</v>
      </c>
      <c r="C4" s="238">
        <v>1.0249999999999999</v>
      </c>
      <c r="E4" s="220">
        <f>Application!Y801</f>
        <v>727200</v>
      </c>
      <c r="G4" s="220">
        <f>E4*$C$4</f>
        <v>745379.99999999988</v>
      </c>
      <c r="I4" s="220">
        <f>G4*$C$4</f>
        <v>764014.49999999977</v>
      </c>
      <c r="K4" s="220">
        <f>I4*$C$4</f>
        <v>783114.8624999997</v>
      </c>
      <c r="M4" s="220">
        <f>K4*$C$4</f>
        <v>802692.7340624996</v>
      </c>
      <c r="O4" s="220">
        <f>M4*$C$4</f>
        <v>822760.05241406197</v>
      </c>
      <c r="Q4" s="220">
        <f>O4*$C$4</f>
        <v>843329.05372441339</v>
      </c>
      <c r="S4" s="220">
        <f>Q4*$C$4</f>
        <v>864412.28006752359</v>
      </c>
      <c r="U4" s="220">
        <f>S4*$C$4</f>
        <v>886022.58706921164</v>
      </c>
      <c r="W4" s="220">
        <f>U4*$C$4</f>
        <v>908173.15174594184</v>
      </c>
      <c r="Y4" s="220">
        <f>W4*$C$4</f>
        <v>930877.48053959035</v>
      </c>
      <c r="AA4" s="220">
        <f>Y4*$C$4</f>
        <v>954149.41755308001</v>
      </c>
      <c r="AC4" s="220">
        <f>AA4*$C$4</f>
        <v>978003.15299190697</v>
      </c>
      <c r="AE4" s="220">
        <f>AC4*$C$4</f>
        <v>1002453.2318167046</v>
      </c>
      <c r="AG4" s="220">
        <f>AE4*$C$4</f>
        <v>1027514.5626121222</v>
      </c>
    </row>
    <row r="5" spans="1:34" s="211" customFormat="1" ht="14">
      <c r="B5" s="211" t="s">
        <v>837</v>
      </c>
      <c r="C5" s="239">
        <f>IF(Application!$D$211="Special Needs",(((0.1*Application!$T$212)+(0.05*(1-Application!$T$212)))),0.05)</f>
        <v>0.05</v>
      </c>
      <c r="E5" s="222">
        <f>-E4*$C$5</f>
        <v>-36360</v>
      </c>
      <c r="F5" s="222"/>
      <c r="G5" s="222">
        <f>-G4*$C$5</f>
        <v>-37268.999999999993</v>
      </c>
      <c r="H5" s="222"/>
      <c r="I5" s="222">
        <f>-I4*$C$5</f>
        <v>-38200.724999999991</v>
      </c>
      <c r="J5" s="222"/>
      <c r="K5" s="222">
        <f>-K4*$C$5</f>
        <v>-39155.743124999986</v>
      </c>
      <c r="L5" s="222"/>
      <c r="M5" s="222">
        <f>-M4*$C$5</f>
        <v>-40134.636703124983</v>
      </c>
      <c r="N5" s="222"/>
      <c r="O5" s="222">
        <f>-O4*$C$5</f>
        <v>-41138.002620703104</v>
      </c>
      <c r="P5" s="222"/>
      <c r="Q5" s="222">
        <f>-Q4*$C$5</f>
        <v>-42166.452686220669</v>
      </c>
      <c r="R5" s="222"/>
      <c r="S5" s="222">
        <f>-S4*$C$5</f>
        <v>-43220.614003376184</v>
      </c>
      <c r="T5" s="222"/>
      <c r="U5" s="222">
        <f>-U4*$C$5</f>
        <v>-44301.129353460587</v>
      </c>
      <c r="V5" s="222"/>
      <c r="W5" s="222">
        <f>-W4*$C$5</f>
        <v>-45408.657587297093</v>
      </c>
      <c r="X5" s="222"/>
      <c r="Y5" s="222">
        <f>-Y4*$C$5</f>
        <v>-46543.874026979523</v>
      </c>
      <c r="Z5" s="222"/>
      <c r="AA5" s="222">
        <f>-AA4*$C$5</f>
        <v>-47707.470877654006</v>
      </c>
      <c r="AB5" s="222"/>
      <c r="AC5" s="222">
        <f>-AC4*$C$5</f>
        <v>-48900.157649595349</v>
      </c>
      <c r="AD5" s="222"/>
      <c r="AE5" s="222">
        <f>-AE4*$C$5</f>
        <v>-50122.661590835232</v>
      </c>
      <c r="AF5" s="222"/>
      <c r="AG5" s="222">
        <f>-AG4*$C$5</f>
        <v>-51375.728130606112</v>
      </c>
    </row>
    <row r="6" spans="1:34" s="211" customFormat="1" ht="14">
      <c r="A6" s="211" t="s">
        <v>835</v>
      </c>
      <c r="C6" s="238">
        <v>1.0249999999999999</v>
      </c>
      <c r="E6" s="223">
        <f>Application!Z809</f>
        <v>886320</v>
      </c>
      <c r="F6" s="223"/>
      <c r="G6" s="223">
        <f>E6*$C$6</f>
        <v>908477.99999999988</v>
      </c>
      <c r="H6" s="223"/>
      <c r="I6" s="223">
        <f>G6*$C$6</f>
        <v>931189.94999999984</v>
      </c>
      <c r="J6" s="223"/>
      <c r="K6" s="223">
        <f>I6*$C$6</f>
        <v>954469.69874999975</v>
      </c>
      <c r="L6" s="223"/>
      <c r="M6" s="223">
        <f>K6*$C$6</f>
        <v>978331.44121874962</v>
      </c>
      <c r="N6" s="223"/>
      <c r="O6" s="223">
        <f>M6*$C$6</f>
        <v>1002789.7272492183</v>
      </c>
      <c r="P6" s="223"/>
      <c r="Q6" s="223">
        <f>O6*$C$6</f>
        <v>1027859.4704304487</v>
      </c>
      <c r="R6" s="223"/>
      <c r="S6" s="223">
        <f>Q6*$C$6</f>
        <v>1053555.9571912098</v>
      </c>
      <c r="T6" s="223"/>
      <c r="U6" s="223">
        <f>S6*$C$6</f>
        <v>1079894.8561209899</v>
      </c>
      <c r="V6" s="223"/>
      <c r="W6" s="223">
        <f>U6*$C$6</f>
        <v>1106892.2275240147</v>
      </c>
      <c r="X6" s="223"/>
      <c r="Y6" s="223">
        <f>W6*$C$6</f>
        <v>1134564.5332121148</v>
      </c>
      <c r="Z6" s="223"/>
      <c r="AA6" s="223">
        <f>Y6*$C$6</f>
        <v>1162928.6465424176</v>
      </c>
      <c r="AB6" s="223"/>
      <c r="AC6" s="223">
        <f>AA6*$C$6</f>
        <v>1192001.8627059779</v>
      </c>
      <c r="AD6" s="223"/>
      <c r="AE6" s="223">
        <f>AC6*$C$6</f>
        <v>1221801.9092736272</v>
      </c>
      <c r="AF6" s="223"/>
      <c r="AG6" s="223">
        <f>AE6*$C$6</f>
        <v>1252346.9570054677</v>
      </c>
    </row>
    <row r="7" spans="1:34" s="211" customFormat="1" ht="14">
      <c r="B7" s="211" t="s">
        <v>837</v>
      </c>
      <c r="C7" s="239">
        <f>IF(Application!$D$211="Special Needs",(((0.1*Application!$T$212)+(0.05*(1-Application!$T$212)))),0.05)</f>
        <v>0.05</v>
      </c>
      <c r="E7" s="222">
        <f>-E6*$C$7</f>
        <v>-44316</v>
      </c>
      <c r="F7" s="222"/>
      <c r="G7" s="222">
        <f>-G6*$C$7</f>
        <v>-45423.899999999994</v>
      </c>
      <c r="H7" s="222"/>
      <c r="I7" s="222">
        <f>-I6*$C$7</f>
        <v>-46559.497499999998</v>
      </c>
      <c r="J7" s="222"/>
      <c r="K7" s="222">
        <f>-K6*$C$7</f>
        <v>-47723.48493749999</v>
      </c>
      <c r="L7" s="222"/>
      <c r="M7" s="222">
        <f>-M6*$C$7</f>
        <v>-48916.572060937484</v>
      </c>
      <c r="N7" s="222"/>
      <c r="O7" s="222">
        <f>-O6*$C$7</f>
        <v>-50139.486362460913</v>
      </c>
      <c r="P7" s="222"/>
      <c r="Q7" s="222">
        <f>-Q6*$C$7</f>
        <v>-51392.973521522435</v>
      </c>
      <c r="R7" s="222"/>
      <c r="S7" s="222">
        <f>-S6*$C$7</f>
        <v>-52677.797859560495</v>
      </c>
      <c r="T7" s="222"/>
      <c r="U7" s="222">
        <f>-U6*$C$7</f>
        <v>-53994.7428060495</v>
      </c>
      <c r="V7" s="222"/>
      <c r="W7" s="222">
        <f>-W6*$C$7</f>
        <v>-55344.611376200737</v>
      </c>
      <c r="X7" s="222"/>
      <c r="Y7" s="222">
        <f>-Y6*$C$7</f>
        <v>-56728.226660605746</v>
      </c>
      <c r="Z7" s="222"/>
      <c r="AA7" s="222">
        <f>-AA6*$C$7</f>
        <v>-58146.432327120885</v>
      </c>
      <c r="AB7" s="222"/>
      <c r="AC7" s="222">
        <f>-AC6*$C$7</f>
        <v>-59600.093135298899</v>
      </c>
      <c r="AD7" s="222"/>
      <c r="AE7" s="222">
        <f>-AE6*$C$7</f>
        <v>-61090.095463681362</v>
      </c>
      <c r="AF7" s="222"/>
      <c r="AG7" s="222">
        <f>-AG6*$C$7</f>
        <v>-62617.347850273392</v>
      </c>
    </row>
    <row r="8" spans="1:34" s="211" customFormat="1" ht="14">
      <c r="A8" s="211" t="s">
        <v>287</v>
      </c>
      <c r="C8" s="238">
        <v>1.0249999999999999</v>
      </c>
      <c r="E8" s="223">
        <f>Application!Z817</f>
        <v>4500</v>
      </c>
      <c r="F8" s="223"/>
      <c r="G8" s="223">
        <f>E8*$C$8</f>
        <v>4612.5</v>
      </c>
      <c r="H8" s="223"/>
      <c r="I8" s="223">
        <f>G8*$C$8</f>
        <v>4727.8125</v>
      </c>
      <c r="J8" s="223"/>
      <c r="K8" s="223">
        <f>I8*$C$8</f>
        <v>4846.0078125</v>
      </c>
      <c r="L8" s="223"/>
      <c r="M8" s="223">
        <f>K8*$C$8</f>
        <v>4967.1580078124998</v>
      </c>
      <c r="N8" s="223"/>
      <c r="O8" s="223">
        <f>M8*$C$8</f>
        <v>5091.3369580078115</v>
      </c>
      <c r="P8" s="223"/>
      <c r="Q8" s="223">
        <f>O8*$C$8</f>
        <v>5218.620381958006</v>
      </c>
      <c r="R8" s="223"/>
      <c r="S8" s="223">
        <f>Q8*$C$8</f>
        <v>5349.0858915069557</v>
      </c>
      <c r="T8" s="223"/>
      <c r="U8" s="223">
        <f>S8*$C$8</f>
        <v>5482.8130387946294</v>
      </c>
      <c r="V8" s="223"/>
      <c r="W8" s="223">
        <f>U8*$C$8</f>
        <v>5619.8833647644942</v>
      </c>
      <c r="X8" s="223"/>
      <c r="Y8" s="223">
        <f>W8*$C$8</f>
        <v>5760.3804488836058</v>
      </c>
      <c r="Z8" s="223"/>
      <c r="AA8" s="223">
        <f>Y8*$C$8</f>
        <v>5904.3899601056955</v>
      </c>
      <c r="AB8" s="223"/>
      <c r="AC8" s="223">
        <f>AA8*$C$8</f>
        <v>6051.9997091083378</v>
      </c>
      <c r="AD8" s="223"/>
      <c r="AE8" s="223">
        <f>AC8*$C$8</f>
        <v>6203.2997018360456</v>
      </c>
      <c r="AF8" s="223"/>
      <c r="AG8" s="223">
        <f>AE8*$C$8</f>
        <v>6358.3821943819466</v>
      </c>
    </row>
    <row r="9" spans="1:34" s="211" customFormat="1" ht="14">
      <c r="B9" s="211" t="s">
        <v>837</v>
      </c>
      <c r="C9" s="239">
        <f>IF(Application!$D$211="Special Needs",(((0.1*Application!$T$212)+(0.05*(1-Application!$T$212)))),0.05)</f>
        <v>0.05</v>
      </c>
      <c r="E9" s="222">
        <f>-E8*$C$9</f>
        <v>-225</v>
      </c>
      <c r="F9" s="222"/>
      <c r="G9" s="222">
        <f>-G8*$C$9</f>
        <v>-230.625</v>
      </c>
      <c r="H9" s="222"/>
      <c r="I9" s="222">
        <f>-I8*$C$9</f>
        <v>-236.390625</v>
      </c>
      <c r="J9" s="222"/>
      <c r="K9" s="222">
        <f>-K8*$C$9</f>
        <v>-242.30039062500001</v>
      </c>
      <c r="L9" s="222"/>
      <c r="M9" s="222">
        <f>-M8*$C$9</f>
        <v>-248.35790039062499</v>
      </c>
      <c r="N9" s="222"/>
      <c r="O9" s="222">
        <f>-O8*$C$9</f>
        <v>-254.5668479003906</v>
      </c>
      <c r="P9" s="222"/>
      <c r="Q9" s="222">
        <f>-Q8*$C$9</f>
        <v>-260.93101909790033</v>
      </c>
      <c r="R9" s="222"/>
      <c r="S9" s="222">
        <f>-S8*$C$9</f>
        <v>-267.45429457534777</v>
      </c>
      <c r="T9" s="222"/>
      <c r="U9" s="222">
        <f>-U8*$C$9</f>
        <v>-274.14065193973147</v>
      </c>
      <c r="V9" s="222"/>
      <c r="W9" s="222">
        <f>-W8*$C$9</f>
        <v>-280.99416823822474</v>
      </c>
      <c r="X9" s="222"/>
      <c r="Y9" s="222">
        <f>-Y8*$C$9</f>
        <v>-288.01902244418028</v>
      </c>
      <c r="Z9" s="222"/>
      <c r="AA9" s="222">
        <f>-AA8*$C$9</f>
        <v>-295.21949800528478</v>
      </c>
      <c r="AB9" s="222"/>
      <c r="AC9" s="222">
        <f>-AC8*$C$9</f>
        <v>-302.59998545541691</v>
      </c>
      <c r="AD9" s="222"/>
      <c r="AE9" s="222">
        <f>-AE8*$C$9</f>
        <v>-310.16498509180229</v>
      </c>
      <c r="AF9" s="222"/>
      <c r="AG9" s="222">
        <f>-AG8*$C$9</f>
        <v>-317.91910971909738</v>
      </c>
    </row>
    <row r="10" spans="1:34" s="211" customFormat="1" ht="14">
      <c r="A10" s="1145" t="s">
        <v>2223</v>
      </c>
      <c r="B10" s="1145"/>
      <c r="C10" s="239"/>
      <c r="E10" s="1146"/>
      <c r="F10" s="223"/>
      <c r="G10" s="1146"/>
      <c r="H10" s="223"/>
      <c r="I10" s="1146"/>
      <c r="J10" s="223"/>
      <c r="K10" s="1146"/>
      <c r="L10" s="223"/>
      <c r="M10" s="1146"/>
      <c r="N10" s="223"/>
      <c r="O10" s="1146"/>
      <c r="P10" s="223"/>
      <c r="Q10" s="1146"/>
      <c r="R10" s="223"/>
      <c r="S10" s="1146"/>
      <c r="T10" s="223"/>
      <c r="U10" s="1146"/>
      <c r="V10" s="223"/>
      <c r="W10" s="1146"/>
      <c r="X10" s="223"/>
      <c r="Y10" s="1146"/>
      <c r="Z10" s="223"/>
      <c r="AA10" s="1146"/>
      <c r="AB10" s="223"/>
      <c r="AC10" s="1146"/>
      <c r="AD10" s="223"/>
      <c r="AE10" s="1146"/>
      <c r="AF10" s="223"/>
      <c r="AG10" s="1146"/>
    </row>
    <row r="11" spans="1:34" s="224" customFormat="1" ht="14">
      <c r="A11" s="224" t="s">
        <v>858</v>
      </c>
      <c r="C11" s="217"/>
      <c r="E11" s="224">
        <f>SUM(E4:E10)</f>
        <v>1537119</v>
      </c>
      <c r="G11" s="224">
        <f>SUM(G4:G10)</f>
        <v>1575546.9749999999</v>
      </c>
      <c r="I11" s="224">
        <f>SUM(I4:I10)</f>
        <v>1614935.6493749996</v>
      </c>
      <c r="K11" s="224">
        <f>SUM(K4:K10)</f>
        <v>1655309.0406093744</v>
      </c>
      <c r="M11" s="224">
        <f>SUM(M4:M10)</f>
        <v>1696691.7666246085</v>
      </c>
      <c r="O11" s="224">
        <f>SUM(O4:O10)</f>
        <v>1739109.0607902235</v>
      </c>
      <c r="Q11" s="224">
        <f>SUM(Q4:Q10)</f>
        <v>1782586.7873099793</v>
      </c>
      <c r="S11" s="224">
        <f>SUM(S4:S10)</f>
        <v>1827151.4569927282</v>
      </c>
      <c r="U11" s="224">
        <f>SUM(U4:U10)</f>
        <v>1872830.2434175462</v>
      </c>
      <c r="W11" s="224">
        <f>SUM(W4:W10)</f>
        <v>1919650.9995029848</v>
      </c>
      <c r="Y11" s="224">
        <f>SUM(Y4:Y10)</f>
        <v>1967642.2744905592</v>
      </c>
      <c r="AA11" s="224">
        <f>SUM(AA4:AA10)</f>
        <v>2016833.3313528234</v>
      </c>
      <c r="AC11" s="224">
        <f>SUM(AC4:AC10)</f>
        <v>2067254.1646366436</v>
      </c>
      <c r="AE11" s="224">
        <f>SUM(AE4:AE10)</f>
        <v>2118935.5187525591</v>
      </c>
      <c r="AG11" s="224">
        <f>SUM(AG4:AG10)</f>
        <v>2171908.9067213736</v>
      </c>
    </row>
    <row r="12" spans="1:34">
      <c r="C12" s="234"/>
      <c r="E12" s="216"/>
      <c r="F12" s="216"/>
      <c r="G12" s="216"/>
      <c r="H12" s="216"/>
      <c r="I12" s="216"/>
      <c r="J12" s="216"/>
      <c r="K12" s="216"/>
      <c r="L12" s="216"/>
      <c r="M12" s="216"/>
      <c r="N12" s="216"/>
      <c r="O12" s="216"/>
      <c r="P12" s="216"/>
      <c r="Q12" s="216"/>
      <c r="R12" s="216"/>
      <c r="S12" s="216"/>
      <c r="T12" s="216"/>
      <c r="U12" s="216"/>
      <c r="V12" s="216"/>
      <c r="W12" s="216"/>
      <c r="X12" s="216"/>
      <c r="Y12" s="216"/>
      <c r="Z12" s="216"/>
      <c r="AA12" s="216"/>
      <c r="AB12" s="216"/>
      <c r="AC12" s="216"/>
      <c r="AD12" s="216"/>
      <c r="AE12" s="216"/>
      <c r="AF12" s="216"/>
      <c r="AG12" s="216"/>
    </row>
    <row r="13" spans="1:34" ht="15.5">
      <c r="A13" s="213" t="s">
        <v>838</v>
      </c>
      <c r="C13" s="234"/>
      <c r="E13" s="216"/>
      <c r="F13" s="216"/>
      <c r="G13" s="216"/>
      <c r="H13" s="216"/>
      <c r="I13" s="216"/>
      <c r="J13" s="216"/>
      <c r="K13" s="216"/>
      <c r="L13" s="216"/>
      <c r="M13" s="216"/>
      <c r="N13" s="216"/>
      <c r="O13" s="216"/>
      <c r="P13" s="216"/>
      <c r="Q13" s="216"/>
      <c r="R13" s="216"/>
      <c r="S13" s="216"/>
      <c r="T13" s="216"/>
      <c r="U13" s="216"/>
      <c r="V13" s="216"/>
      <c r="W13" s="216"/>
      <c r="X13" s="216"/>
      <c r="Y13" s="216"/>
      <c r="Z13" s="216"/>
      <c r="AA13" s="216"/>
      <c r="AB13" s="216"/>
      <c r="AC13" s="216"/>
      <c r="AD13" s="216"/>
      <c r="AE13" s="216"/>
      <c r="AF13" s="216"/>
      <c r="AG13" s="216"/>
    </row>
    <row r="14" spans="1:34" s="211" customFormat="1" ht="14">
      <c r="A14" s="211" t="s">
        <v>839</v>
      </c>
      <c r="C14" s="238">
        <v>1.0349999999999999</v>
      </c>
      <c r="E14" s="223"/>
      <c r="F14" s="223"/>
      <c r="G14" s="223"/>
      <c r="H14" s="223"/>
      <c r="I14" s="223"/>
      <c r="J14" s="223"/>
      <c r="K14" s="223"/>
      <c r="L14" s="223"/>
      <c r="M14" s="223"/>
      <c r="N14" s="223"/>
      <c r="O14" s="223"/>
      <c r="P14" s="223"/>
      <c r="Q14" s="223"/>
      <c r="R14" s="223"/>
      <c r="S14" s="223"/>
      <c r="T14" s="223"/>
      <c r="U14" s="223"/>
      <c r="V14" s="223"/>
      <c r="W14" s="223"/>
      <c r="X14" s="223"/>
      <c r="Y14" s="223"/>
      <c r="Z14" s="223"/>
      <c r="AA14" s="223"/>
      <c r="AB14" s="223"/>
      <c r="AC14" s="223"/>
      <c r="AD14" s="223"/>
      <c r="AE14" s="223"/>
      <c r="AF14" s="223"/>
      <c r="AG14" s="223"/>
    </row>
    <row r="15" spans="1:34" s="220" customFormat="1" ht="14">
      <c r="A15" s="220" t="s">
        <v>840</v>
      </c>
      <c r="C15" s="176"/>
      <c r="E15" s="220">
        <f>Application!W847</f>
        <v>160277</v>
      </c>
      <c r="G15" s="220">
        <f>E15*$C$14</f>
        <v>165886.69499999998</v>
      </c>
      <c r="I15" s="220">
        <f>G15*$C$14</f>
        <v>171692.72932499996</v>
      </c>
      <c r="K15" s="220">
        <f>I15*$C$14</f>
        <v>177701.97485137495</v>
      </c>
      <c r="M15" s="220">
        <f>K15*$C$14</f>
        <v>183921.54397117306</v>
      </c>
      <c r="O15" s="220">
        <f>M15*$C$14</f>
        <v>190358.79801016409</v>
      </c>
      <c r="Q15" s="220">
        <f>O15*$C$14</f>
        <v>197021.3559405198</v>
      </c>
      <c r="S15" s="220">
        <f>Q15*$C$14</f>
        <v>203917.10339843799</v>
      </c>
      <c r="U15" s="220">
        <f>S15*$C$14</f>
        <v>211054.2020173833</v>
      </c>
      <c r="W15" s="220">
        <f>U15*$C$14</f>
        <v>218441.09908799169</v>
      </c>
      <c r="Y15" s="220">
        <f>W15*$C$14</f>
        <v>226086.53755607139</v>
      </c>
      <c r="AA15" s="220">
        <f>Y15*$C$14</f>
        <v>233999.56637053387</v>
      </c>
      <c r="AC15" s="220">
        <f>AA15*$C$14</f>
        <v>242189.55119350253</v>
      </c>
      <c r="AE15" s="220">
        <f>AC15*$C$14</f>
        <v>250666.18548527508</v>
      </c>
      <c r="AG15" s="220">
        <f>AE15*$C$14</f>
        <v>259439.5019772597</v>
      </c>
    </row>
    <row r="16" spans="1:34" s="211" customFormat="1" ht="14">
      <c r="A16" s="211" t="s">
        <v>343</v>
      </c>
      <c r="C16" s="234"/>
      <c r="E16" s="223">
        <f>Application!W849</f>
        <v>59292</v>
      </c>
      <c r="F16" s="223"/>
      <c r="G16" s="223">
        <f t="shared" ref="G16:AG21" si="0">E16*$C$14</f>
        <v>61367.219999999994</v>
      </c>
      <c r="H16" s="223"/>
      <c r="I16" s="223">
        <f t="shared" si="0"/>
        <v>63515.07269999999</v>
      </c>
      <c r="J16" s="223"/>
      <c r="K16" s="223">
        <f t="shared" si="0"/>
        <v>65738.10024449999</v>
      </c>
      <c r="L16" s="223"/>
      <c r="M16" s="223">
        <f t="shared" si="0"/>
        <v>68038.933753057485</v>
      </c>
      <c r="N16" s="223"/>
      <c r="O16" s="223">
        <f t="shared" si="0"/>
        <v>70420.296434414486</v>
      </c>
      <c r="P16" s="223"/>
      <c r="Q16" s="223">
        <f t="shared" si="0"/>
        <v>72885.006809618993</v>
      </c>
      <c r="R16" s="223"/>
      <c r="S16" s="223">
        <f t="shared" si="0"/>
        <v>75435.982047955651</v>
      </c>
      <c r="T16" s="223"/>
      <c r="U16" s="223">
        <f t="shared" si="0"/>
        <v>78076.241419634098</v>
      </c>
      <c r="V16" s="223"/>
      <c r="W16" s="223">
        <f t="shared" si="0"/>
        <v>80808.909869321287</v>
      </c>
      <c r="X16" s="223"/>
      <c r="Y16" s="223">
        <f t="shared" si="0"/>
        <v>83637.221714747531</v>
      </c>
      <c r="Z16" s="223"/>
      <c r="AA16" s="223">
        <f t="shared" si="0"/>
        <v>86564.52447476369</v>
      </c>
      <c r="AB16" s="223"/>
      <c r="AC16" s="223">
        <f t="shared" si="0"/>
        <v>89594.282831380406</v>
      </c>
      <c r="AD16" s="223"/>
      <c r="AE16" s="223">
        <f t="shared" si="0"/>
        <v>92730.082730478709</v>
      </c>
      <c r="AF16" s="223"/>
      <c r="AG16" s="223">
        <f t="shared" si="0"/>
        <v>95975.635626045463</v>
      </c>
    </row>
    <row r="17" spans="1:33" s="211" customFormat="1" ht="14">
      <c r="A17" s="211" t="s">
        <v>560</v>
      </c>
      <c r="C17" s="234"/>
      <c r="E17" s="223">
        <f>Application!W855</f>
        <v>87664</v>
      </c>
      <c r="F17" s="223"/>
      <c r="G17" s="223">
        <f t="shared" si="0"/>
        <v>90732.239999999991</v>
      </c>
      <c r="H17" s="223"/>
      <c r="I17" s="223">
        <f t="shared" si="0"/>
        <v>93907.868399999978</v>
      </c>
      <c r="J17" s="223"/>
      <c r="K17" s="223">
        <f t="shared" si="0"/>
        <v>97194.643793999974</v>
      </c>
      <c r="L17" s="223"/>
      <c r="M17" s="223">
        <f t="shared" si="0"/>
        <v>100596.45632678996</v>
      </c>
      <c r="N17" s="223"/>
      <c r="O17" s="223">
        <f t="shared" si="0"/>
        <v>104117.3322982276</v>
      </c>
      <c r="P17" s="223"/>
      <c r="Q17" s="223">
        <f t="shared" si="0"/>
        <v>107761.43892866556</v>
      </c>
      <c r="R17" s="223"/>
      <c r="S17" s="223">
        <f t="shared" si="0"/>
        <v>111533.08929116886</v>
      </c>
      <c r="T17" s="223"/>
      <c r="U17" s="223">
        <f t="shared" si="0"/>
        <v>115436.74741635977</v>
      </c>
      <c r="V17" s="223"/>
      <c r="W17" s="223">
        <f t="shared" si="0"/>
        <v>119477.03357593235</v>
      </c>
      <c r="X17" s="223"/>
      <c r="Y17" s="223">
        <f t="shared" si="0"/>
        <v>123658.72975108997</v>
      </c>
      <c r="Z17" s="223"/>
      <c r="AA17" s="223">
        <f t="shared" si="0"/>
        <v>127986.7852923781</v>
      </c>
      <c r="AB17" s="223"/>
      <c r="AC17" s="223">
        <f t="shared" si="0"/>
        <v>132466.32277761132</v>
      </c>
      <c r="AD17" s="223"/>
      <c r="AE17" s="223">
        <f t="shared" si="0"/>
        <v>137102.64407482769</v>
      </c>
      <c r="AF17" s="223"/>
      <c r="AG17" s="223">
        <f t="shared" si="0"/>
        <v>141901.23661744664</v>
      </c>
    </row>
    <row r="18" spans="1:33" s="211" customFormat="1" ht="14">
      <c r="A18" s="211" t="s">
        <v>841</v>
      </c>
      <c r="C18" s="234"/>
      <c r="E18" s="223">
        <f>Application!W862</f>
        <v>321737</v>
      </c>
      <c r="F18" s="223"/>
      <c r="G18" s="223">
        <f t="shared" si="0"/>
        <v>332997.79499999998</v>
      </c>
      <c r="H18" s="223"/>
      <c r="I18" s="223">
        <f t="shared" si="0"/>
        <v>344652.71782499994</v>
      </c>
      <c r="J18" s="223"/>
      <c r="K18" s="223">
        <f t="shared" si="0"/>
        <v>356715.5629488749</v>
      </c>
      <c r="L18" s="223"/>
      <c r="M18" s="223">
        <f t="shared" si="0"/>
        <v>369200.60765208548</v>
      </c>
      <c r="N18" s="223"/>
      <c r="O18" s="223">
        <f t="shared" si="0"/>
        <v>382122.62891990843</v>
      </c>
      <c r="P18" s="223"/>
      <c r="Q18" s="223">
        <f t="shared" si="0"/>
        <v>395496.92093210522</v>
      </c>
      <c r="R18" s="223"/>
      <c r="S18" s="223">
        <f t="shared" si="0"/>
        <v>409339.31316472887</v>
      </c>
      <c r="T18" s="223"/>
      <c r="U18" s="223">
        <f t="shared" si="0"/>
        <v>423666.18912549433</v>
      </c>
      <c r="V18" s="223"/>
      <c r="W18" s="223">
        <f t="shared" si="0"/>
        <v>438494.50574488658</v>
      </c>
      <c r="X18" s="223"/>
      <c r="Y18" s="223">
        <f t="shared" si="0"/>
        <v>453841.81344595755</v>
      </c>
      <c r="Z18" s="223"/>
      <c r="AA18" s="223">
        <f t="shared" si="0"/>
        <v>469726.27691656601</v>
      </c>
      <c r="AB18" s="223"/>
      <c r="AC18" s="223">
        <f t="shared" si="0"/>
        <v>486166.69660864578</v>
      </c>
      <c r="AD18" s="223"/>
      <c r="AE18" s="223">
        <f t="shared" si="0"/>
        <v>503182.53098994837</v>
      </c>
      <c r="AF18" s="223"/>
      <c r="AG18" s="223">
        <f t="shared" si="0"/>
        <v>520793.91957459651</v>
      </c>
    </row>
    <row r="19" spans="1:33" s="211" customFormat="1" ht="14">
      <c r="A19" s="211" t="s">
        <v>155</v>
      </c>
      <c r="C19" s="234"/>
      <c r="E19" s="223">
        <f>Application!W863</f>
        <v>38043</v>
      </c>
      <c r="F19" s="223"/>
      <c r="G19" s="223">
        <f t="shared" si="0"/>
        <v>39374.504999999997</v>
      </c>
      <c r="H19" s="223"/>
      <c r="I19" s="223">
        <f t="shared" si="0"/>
        <v>40752.612674999997</v>
      </c>
      <c r="J19" s="223"/>
      <c r="K19" s="223">
        <f t="shared" si="0"/>
        <v>42178.954118624992</v>
      </c>
      <c r="L19" s="223"/>
      <c r="M19" s="223">
        <f t="shared" si="0"/>
        <v>43655.217512776864</v>
      </c>
      <c r="N19" s="223"/>
      <c r="O19" s="223">
        <f t="shared" si="0"/>
        <v>45183.150125724052</v>
      </c>
      <c r="P19" s="223"/>
      <c r="Q19" s="223">
        <f t="shared" si="0"/>
        <v>46764.560380124392</v>
      </c>
      <c r="R19" s="223"/>
      <c r="S19" s="223">
        <f t="shared" si="0"/>
        <v>48401.31999342874</v>
      </c>
      <c r="T19" s="223"/>
      <c r="U19" s="223">
        <f t="shared" si="0"/>
        <v>50095.366193198744</v>
      </c>
      <c r="V19" s="223"/>
      <c r="W19" s="223">
        <f t="shared" si="0"/>
        <v>51848.704009960697</v>
      </c>
      <c r="X19" s="223"/>
      <c r="Y19" s="223">
        <f t="shared" si="0"/>
        <v>53663.40865030932</v>
      </c>
      <c r="Z19" s="223"/>
      <c r="AA19" s="223">
        <f t="shared" si="0"/>
        <v>55541.627953070143</v>
      </c>
      <c r="AB19" s="223"/>
      <c r="AC19" s="223">
        <f t="shared" si="0"/>
        <v>57485.584931427591</v>
      </c>
      <c r="AD19" s="223"/>
      <c r="AE19" s="223">
        <f t="shared" si="0"/>
        <v>59497.580404027554</v>
      </c>
      <c r="AF19" s="223"/>
      <c r="AG19" s="223">
        <f t="shared" si="0"/>
        <v>61579.995718168517</v>
      </c>
    </row>
    <row r="20" spans="1:33" s="211" customFormat="1" ht="14">
      <c r="A20" s="211" t="s">
        <v>389</v>
      </c>
      <c r="C20" s="234"/>
      <c r="E20" s="223">
        <f>Application!W872</f>
        <v>170468</v>
      </c>
      <c r="F20" s="223"/>
      <c r="G20" s="223">
        <f t="shared" si="0"/>
        <v>176434.37999999998</v>
      </c>
      <c r="H20" s="223"/>
      <c r="I20" s="223">
        <f t="shared" si="0"/>
        <v>182609.58329999997</v>
      </c>
      <c r="J20" s="223"/>
      <c r="K20" s="223">
        <f t="shared" si="0"/>
        <v>189000.91871549995</v>
      </c>
      <c r="L20" s="223"/>
      <c r="M20" s="223">
        <f t="shared" si="0"/>
        <v>195615.95087054244</v>
      </c>
      <c r="N20" s="223"/>
      <c r="O20" s="223">
        <f t="shared" si="0"/>
        <v>202462.50915101141</v>
      </c>
      <c r="P20" s="223"/>
      <c r="Q20" s="223">
        <f t="shared" si="0"/>
        <v>209548.6969712968</v>
      </c>
      <c r="R20" s="223"/>
      <c r="S20" s="223">
        <f t="shared" si="0"/>
        <v>216882.90136529217</v>
      </c>
      <c r="T20" s="223"/>
      <c r="U20" s="223">
        <f t="shared" si="0"/>
        <v>224473.80291307738</v>
      </c>
      <c r="V20" s="223"/>
      <c r="W20" s="223">
        <f t="shared" si="0"/>
        <v>232330.38601503507</v>
      </c>
      <c r="X20" s="223"/>
      <c r="Y20" s="223">
        <f t="shared" si="0"/>
        <v>240461.94952556127</v>
      </c>
      <c r="Z20" s="223"/>
      <c r="AA20" s="223">
        <f t="shared" si="0"/>
        <v>248878.11775895589</v>
      </c>
      <c r="AB20" s="223"/>
      <c r="AC20" s="223">
        <f t="shared" si="0"/>
        <v>257588.85188051933</v>
      </c>
      <c r="AD20" s="223"/>
      <c r="AE20" s="223">
        <f t="shared" si="0"/>
        <v>266604.4616963375</v>
      </c>
      <c r="AF20" s="223"/>
      <c r="AG20" s="223">
        <f t="shared" si="0"/>
        <v>275935.61785570928</v>
      </c>
    </row>
    <row r="21" spans="1:33" s="211" customFormat="1" ht="14">
      <c r="A21" s="227" t="s">
        <v>961</v>
      </c>
      <c r="B21" s="227"/>
      <c r="C21" s="234"/>
      <c r="E21" s="233">
        <f>Application!W879</f>
        <v>4351</v>
      </c>
      <c r="F21" s="223"/>
      <c r="G21" s="233">
        <f t="shared" si="0"/>
        <v>4503.2849999999999</v>
      </c>
      <c r="H21" s="223"/>
      <c r="I21" s="233">
        <f t="shared" si="0"/>
        <v>4660.8999749999994</v>
      </c>
      <c r="J21" s="223"/>
      <c r="K21" s="233">
        <f t="shared" si="0"/>
        <v>4824.0314741249986</v>
      </c>
      <c r="L21" s="223"/>
      <c r="M21" s="233">
        <f t="shared" si="0"/>
        <v>4992.8725757193733</v>
      </c>
      <c r="N21" s="223"/>
      <c r="O21" s="233">
        <f t="shared" si="0"/>
        <v>5167.6231158695509</v>
      </c>
      <c r="P21" s="223"/>
      <c r="Q21" s="233">
        <f t="shared" si="0"/>
        <v>5348.4899249249847</v>
      </c>
      <c r="R21" s="223"/>
      <c r="S21" s="233">
        <f t="shared" si="0"/>
        <v>5535.687072297359</v>
      </c>
      <c r="T21" s="223"/>
      <c r="U21" s="233">
        <f t="shared" si="0"/>
        <v>5729.4361198277666</v>
      </c>
      <c r="V21" s="223"/>
      <c r="W21" s="233">
        <f t="shared" si="0"/>
        <v>5929.9663840217381</v>
      </c>
      <c r="X21" s="223"/>
      <c r="Y21" s="233">
        <f t="shared" si="0"/>
        <v>6137.5152074624984</v>
      </c>
      <c r="Z21" s="223"/>
      <c r="AA21" s="233">
        <f t="shared" si="0"/>
        <v>6352.3282397236853</v>
      </c>
      <c r="AB21" s="223"/>
      <c r="AC21" s="233">
        <f t="shared" si="0"/>
        <v>6574.6597281140139</v>
      </c>
      <c r="AD21" s="223"/>
      <c r="AE21" s="233">
        <f t="shared" si="0"/>
        <v>6804.7728185980041</v>
      </c>
      <c r="AF21" s="223"/>
      <c r="AG21" s="233">
        <f t="shared" si="0"/>
        <v>7042.9398672489333</v>
      </c>
    </row>
    <row r="22" spans="1:33" s="224" customFormat="1" ht="14">
      <c r="A22" s="224" t="s">
        <v>842</v>
      </c>
      <c r="C22" s="234"/>
      <c r="E22" s="224">
        <f>SUM(E15:E21)</f>
        <v>841832</v>
      </c>
      <c r="G22" s="224">
        <f>SUM(G15:G21)</f>
        <v>871296.12</v>
      </c>
      <c r="I22" s="224">
        <f>SUM(I15:I21)</f>
        <v>901791.48419999972</v>
      </c>
      <c r="K22" s="224">
        <f>SUM(K15:K21)</f>
        <v>933354.18614699971</v>
      </c>
      <c r="M22" s="224">
        <f>SUM(M15:M21)</f>
        <v>966021.58266214468</v>
      </c>
      <c r="O22" s="224">
        <f>SUM(O15:O21)</f>
        <v>999832.33805531973</v>
      </c>
      <c r="Q22" s="224">
        <f>SUM(Q15:Q21)</f>
        <v>1034826.4698872557</v>
      </c>
      <c r="S22" s="224">
        <f>SUM(S15:S21)</f>
        <v>1071045.3963333096</v>
      </c>
      <c r="U22" s="224">
        <f>SUM(U15:U21)</f>
        <v>1108531.9852049751</v>
      </c>
      <c r="W22" s="224">
        <f>SUM(W15:W21)</f>
        <v>1147330.6046871494</v>
      </c>
      <c r="Y22" s="224">
        <f>SUM(Y15:Y21)</f>
        <v>1187487.1758511993</v>
      </c>
      <c r="AA22" s="224">
        <f>SUM(AA15:AA21)</f>
        <v>1229049.2270059912</v>
      </c>
      <c r="AC22" s="224">
        <f>SUM(AC15:AC21)</f>
        <v>1272065.949951201</v>
      </c>
      <c r="AE22" s="224">
        <f>SUM(AE15:AE21)</f>
        <v>1316588.2581994929</v>
      </c>
      <c r="AG22" s="224">
        <f>SUM(AG15:AG21)</f>
        <v>1362668.8472364752</v>
      </c>
    </row>
    <row r="23" spans="1:33" s="211" customFormat="1" ht="14">
      <c r="C23" s="234"/>
      <c r="E23" s="223"/>
      <c r="F23" s="223"/>
      <c r="G23" s="223"/>
      <c r="H23" s="223"/>
      <c r="I23" s="223"/>
      <c r="J23" s="223"/>
      <c r="K23" s="223"/>
      <c r="L23" s="223"/>
      <c r="M23" s="223"/>
      <c r="N23" s="223"/>
      <c r="O23" s="223"/>
      <c r="P23" s="223"/>
      <c r="Q23" s="223"/>
      <c r="R23" s="223"/>
      <c r="S23" s="223"/>
      <c r="T23" s="223"/>
      <c r="U23" s="223"/>
      <c r="V23" s="223"/>
      <c r="W23" s="223"/>
      <c r="X23" s="223"/>
      <c r="Y23" s="223"/>
      <c r="Z23" s="223"/>
      <c r="AA23" s="223"/>
      <c r="AB23" s="223"/>
      <c r="AC23" s="223"/>
      <c r="AD23" s="223"/>
      <c r="AE23" s="223"/>
      <c r="AF23" s="223"/>
      <c r="AG23" s="223"/>
    </row>
    <row r="24" spans="1:33" s="211" customFormat="1" ht="14">
      <c r="A24" s="211" t="s">
        <v>1681</v>
      </c>
      <c r="C24" s="234"/>
      <c r="E24" s="911"/>
      <c r="F24" s="223"/>
      <c r="G24" s="223">
        <f>E24*$C$24</f>
        <v>0</v>
      </c>
      <c r="H24" s="223"/>
      <c r="I24" s="223">
        <f>G24*$C$24</f>
        <v>0</v>
      </c>
      <c r="J24" s="223"/>
      <c r="K24" s="223">
        <f>I24*$C$24</f>
        <v>0</v>
      </c>
      <c r="L24" s="223"/>
      <c r="M24" s="223">
        <f>K24*$C$24</f>
        <v>0</v>
      </c>
      <c r="N24" s="223"/>
      <c r="O24" s="223">
        <f>M24*$C$24</f>
        <v>0</v>
      </c>
      <c r="P24" s="223"/>
      <c r="Q24" s="223">
        <f>O24*$C$24</f>
        <v>0</v>
      </c>
      <c r="R24" s="223"/>
      <c r="S24" s="223">
        <f>Q24*$C$24</f>
        <v>0</v>
      </c>
      <c r="T24" s="223"/>
      <c r="U24" s="223">
        <f>S24*$C$24</f>
        <v>0</v>
      </c>
      <c r="V24" s="223"/>
      <c r="W24" s="223">
        <f>U24*$C$24</f>
        <v>0</v>
      </c>
      <c r="X24" s="223"/>
      <c r="Y24" s="223">
        <f>W24*$C$24</f>
        <v>0</v>
      </c>
      <c r="Z24" s="223"/>
      <c r="AA24" s="223">
        <f>Y24*$C$24</f>
        <v>0</v>
      </c>
      <c r="AB24" s="223"/>
      <c r="AC24" s="223">
        <f>AA24*$C$24</f>
        <v>0</v>
      </c>
      <c r="AD24" s="223"/>
      <c r="AE24" s="223">
        <f>AC24*$C$24</f>
        <v>0</v>
      </c>
      <c r="AF24" s="223"/>
      <c r="AG24" s="223">
        <f>AE24*$C$24</f>
        <v>0</v>
      </c>
    </row>
    <row r="25" spans="1:33" s="211" customFormat="1" ht="14">
      <c r="C25" s="234"/>
      <c r="E25" s="223"/>
      <c r="F25" s="223"/>
      <c r="G25" s="223"/>
      <c r="H25" s="223"/>
      <c r="I25" s="223"/>
      <c r="J25" s="223"/>
      <c r="K25" s="223"/>
      <c r="L25" s="223"/>
      <c r="M25" s="223"/>
      <c r="N25" s="223"/>
      <c r="O25" s="223"/>
      <c r="P25" s="223"/>
      <c r="Q25" s="223"/>
      <c r="R25" s="223"/>
      <c r="S25" s="223"/>
      <c r="T25" s="223"/>
      <c r="U25" s="223"/>
      <c r="V25" s="223"/>
      <c r="W25" s="223"/>
      <c r="X25" s="223"/>
      <c r="Y25" s="223"/>
      <c r="Z25" s="223"/>
      <c r="AA25" s="223"/>
      <c r="AB25" s="223"/>
      <c r="AC25" s="223"/>
      <c r="AD25" s="223"/>
      <c r="AE25" s="223"/>
      <c r="AF25" s="223"/>
      <c r="AG25" s="223"/>
    </row>
    <row r="26" spans="1:33" s="211" customFormat="1" ht="14">
      <c r="A26" s="211" t="s">
        <v>1158</v>
      </c>
      <c r="C26" s="238">
        <v>1.0349999999999999</v>
      </c>
      <c r="E26" s="223">
        <f>Application!AC887</f>
        <v>0</v>
      </c>
      <c r="F26" s="223"/>
      <c r="G26" s="223">
        <f>E26*$C$26</f>
        <v>0</v>
      </c>
      <c r="H26" s="223"/>
      <c r="I26" s="223">
        <f>G26*$C$26</f>
        <v>0</v>
      </c>
      <c r="J26" s="223"/>
      <c r="K26" s="223">
        <f>I26*$C$26</f>
        <v>0</v>
      </c>
      <c r="L26" s="223"/>
      <c r="M26" s="223">
        <f>K26*$C$26</f>
        <v>0</v>
      </c>
      <c r="N26" s="223"/>
      <c r="O26" s="223">
        <f>M26*$C$26</f>
        <v>0</v>
      </c>
      <c r="P26" s="223"/>
      <c r="Q26" s="223">
        <f>O26*$C$26</f>
        <v>0</v>
      </c>
      <c r="R26" s="223"/>
      <c r="S26" s="223">
        <f>Q26*$C$26</f>
        <v>0</v>
      </c>
      <c r="T26" s="223"/>
      <c r="U26" s="223">
        <f>S26*$C$26</f>
        <v>0</v>
      </c>
      <c r="V26" s="223"/>
      <c r="W26" s="223">
        <f>U26*$C$26</f>
        <v>0</v>
      </c>
      <c r="X26" s="223"/>
      <c r="Y26" s="223">
        <f>W26*$C$26</f>
        <v>0</v>
      </c>
      <c r="Z26" s="223"/>
      <c r="AA26" s="223">
        <f>Y26*$C$26</f>
        <v>0</v>
      </c>
      <c r="AB26" s="223"/>
      <c r="AC26" s="223">
        <f>AA26*$C$26</f>
        <v>0</v>
      </c>
      <c r="AD26" s="223"/>
      <c r="AE26" s="223">
        <f>AC26*$C$26</f>
        <v>0</v>
      </c>
      <c r="AF26" s="223"/>
      <c r="AG26" s="223">
        <f>AE26*$C$26</f>
        <v>0</v>
      </c>
    </row>
    <row r="27" spans="1:33" s="211" customFormat="1" ht="14">
      <c r="A27" s="211" t="s">
        <v>844</v>
      </c>
      <c r="C27" s="238">
        <v>1.0349999999999999</v>
      </c>
      <c r="E27" s="223">
        <f>Application!AC888</f>
        <v>80295</v>
      </c>
      <c r="F27" s="223"/>
      <c r="G27" s="223">
        <f>E27*$C$27</f>
        <v>83105.324999999997</v>
      </c>
      <c r="H27" s="223"/>
      <c r="I27" s="223">
        <f>G27*$C$27</f>
        <v>86014.011374999987</v>
      </c>
      <c r="J27" s="223"/>
      <c r="K27" s="223">
        <f>I27*$C$27</f>
        <v>89024.501773124983</v>
      </c>
      <c r="L27" s="223"/>
      <c r="M27" s="223">
        <f>K27*$C$27</f>
        <v>92140.359335184345</v>
      </c>
      <c r="N27" s="223"/>
      <c r="O27" s="223">
        <f>M27*$C$27</f>
        <v>95365.271911915785</v>
      </c>
      <c r="P27" s="223"/>
      <c r="Q27" s="223">
        <f>O27*$C$27</f>
        <v>98703.056428832831</v>
      </c>
      <c r="R27" s="223"/>
      <c r="S27" s="223">
        <f>Q27*$C$27</f>
        <v>102157.66340384197</v>
      </c>
      <c r="T27" s="223"/>
      <c r="U27" s="223">
        <f>S27*$C$27</f>
        <v>105733.18162297644</v>
      </c>
      <c r="V27" s="223"/>
      <c r="W27" s="223">
        <f>U27*$C$27</f>
        <v>109433.8429797806</v>
      </c>
      <c r="X27" s="223"/>
      <c r="Y27" s="223">
        <f>W27*$C$27</f>
        <v>113264.02748407291</v>
      </c>
      <c r="Z27" s="223"/>
      <c r="AA27" s="223">
        <f>Y27*$C$27</f>
        <v>117228.26844601546</v>
      </c>
      <c r="AB27" s="223"/>
      <c r="AC27" s="223">
        <f>AA27*$C$27</f>
        <v>121331.25784162599</v>
      </c>
      <c r="AD27" s="223"/>
      <c r="AE27" s="223">
        <f>AC27*$C$27</f>
        <v>125577.8518660829</v>
      </c>
      <c r="AF27" s="223"/>
      <c r="AG27" s="223">
        <f>AE27*$C$27</f>
        <v>129973.07668139579</v>
      </c>
    </row>
    <row r="28" spans="1:33" s="211" customFormat="1" ht="14">
      <c r="A28" s="211" t="s">
        <v>845</v>
      </c>
      <c r="C28" s="238"/>
      <c r="E28" s="223">
        <f>Application!AC889</f>
        <v>21350</v>
      </c>
      <c r="F28" s="223"/>
      <c r="G28" s="223">
        <f>$E$28</f>
        <v>21350</v>
      </c>
      <c r="H28" s="223"/>
      <c r="I28" s="223">
        <f>$E$28</f>
        <v>21350</v>
      </c>
      <c r="J28" s="223"/>
      <c r="K28" s="223">
        <f>$E$28</f>
        <v>21350</v>
      </c>
      <c r="L28" s="223"/>
      <c r="M28" s="223">
        <f>$E$28</f>
        <v>21350</v>
      </c>
      <c r="N28" s="223"/>
      <c r="O28" s="223">
        <f>$E$28</f>
        <v>21350</v>
      </c>
      <c r="P28" s="223"/>
      <c r="Q28" s="223">
        <f>$E$28</f>
        <v>21350</v>
      </c>
      <c r="R28" s="223"/>
      <c r="S28" s="223">
        <f>$E$28</f>
        <v>21350</v>
      </c>
      <c r="T28" s="223"/>
      <c r="U28" s="223">
        <f>$E$28</f>
        <v>21350</v>
      </c>
      <c r="V28" s="223"/>
      <c r="W28" s="223">
        <f>$E$28</f>
        <v>21350</v>
      </c>
      <c r="X28" s="223"/>
      <c r="Y28" s="223">
        <f>$E$28</f>
        <v>21350</v>
      </c>
      <c r="Z28" s="223"/>
      <c r="AA28" s="223">
        <f>$E$28</f>
        <v>21350</v>
      </c>
      <c r="AB28" s="223"/>
      <c r="AC28" s="223">
        <f>$E$28</f>
        <v>21350</v>
      </c>
      <c r="AD28" s="223"/>
      <c r="AE28" s="223">
        <f>$E$28</f>
        <v>21350</v>
      </c>
      <c r="AF28" s="223"/>
      <c r="AG28" s="223">
        <f>$E$28</f>
        <v>21350</v>
      </c>
    </row>
    <row r="29" spans="1:33" s="211" customFormat="1" ht="14">
      <c r="A29" s="211" t="s">
        <v>1679</v>
      </c>
      <c r="C29" s="238"/>
      <c r="E29" s="223">
        <f>Application!AC890</f>
        <v>0</v>
      </c>
      <c r="F29" s="223"/>
      <c r="G29" s="223">
        <f>$E$29</f>
        <v>0</v>
      </c>
      <c r="H29" s="223"/>
      <c r="I29" s="223">
        <f>$E$29</f>
        <v>0</v>
      </c>
      <c r="J29" s="223"/>
      <c r="K29" s="223">
        <f>$E$29</f>
        <v>0</v>
      </c>
      <c r="L29" s="223"/>
      <c r="M29" s="223">
        <f>$E$29</f>
        <v>0</v>
      </c>
      <c r="N29" s="223"/>
      <c r="O29" s="223">
        <f>$E$29</f>
        <v>0</v>
      </c>
      <c r="P29" s="223"/>
      <c r="Q29" s="223">
        <f>$E$29</f>
        <v>0</v>
      </c>
      <c r="R29" s="223"/>
      <c r="S29" s="223">
        <f>$E$29</f>
        <v>0</v>
      </c>
      <c r="T29" s="223"/>
      <c r="U29" s="223">
        <f>$E$29</f>
        <v>0</v>
      </c>
      <c r="V29" s="223"/>
      <c r="W29" s="223">
        <f>$E$29</f>
        <v>0</v>
      </c>
      <c r="X29" s="223"/>
      <c r="Y29" s="223">
        <f>$E$29</f>
        <v>0</v>
      </c>
      <c r="Z29" s="223"/>
      <c r="AA29" s="223">
        <f>$E$29</f>
        <v>0</v>
      </c>
      <c r="AB29" s="223"/>
      <c r="AC29" s="223">
        <f>$E$29</f>
        <v>0</v>
      </c>
      <c r="AD29" s="223"/>
      <c r="AE29" s="223">
        <f>$E$29</f>
        <v>0</v>
      </c>
      <c r="AF29" s="223"/>
      <c r="AG29" s="223">
        <f>$E$29</f>
        <v>0</v>
      </c>
    </row>
    <row r="30" spans="1:33" s="211" customFormat="1" ht="14">
      <c r="A30" s="211" t="s">
        <v>843</v>
      </c>
      <c r="C30" s="238">
        <v>1.02</v>
      </c>
      <c r="E30" s="223">
        <f>Application!AC891</f>
        <v>16362</v>
      </c>
      <c r="F30" s="223"/>
      <c r="G30" s="223">
        <f>E30*$C$30</f>
        <v>16689.240000000002</v>
      </c>
      <c r="H30" s="223"/>
      <c r="I30" s="223">
        <f>G30*$C$30</f>
        <v>17023.024800000003</v>
      </c>
      <c r="J30" s="223"/>
      <c r="K30" s="223">
        <f>I30*$C$30</f>
        <v>17363.485296000003</v>
      </c>
      <c r="L30" s="223"/>
      <c r="M30" s="223">
        <f>K30*$C$30</f>
        <v>17710.755001920003</v>
      </c>
      <c r="N30" s="223"/>
      <c r="O30" s="223">
        <f>M30*$C$30</f>
        <v>18064.970101958403</v>
      </c>
      <c r="P30" s="223"/>
      <c r="Q30" s="223">
        <f>O30*$C$30</f>
        <v>18426.26950399757</v>
      </c>
      <c r="R30" s="223"/>
      <c r="S30" s="223">
        <f>Q30*$C$30</f>
        <v>18794.79489407752</v>
      </c>
      <c r="T30" s="223"/>
      <c r="U30" s="223">
        <f>S30*$C$30</f>
        <v>19170.69079195907</v>
      </c>
      <c r="V30" s="223"/>
      <c r="W30" s="223">
        <f>U30*$C$30</f>
        <v>19554.104607798254</v>
      </c>
      <c r="X30" s="223"/>
      <c r="Y30" s="223">
        <f>W30*$C$30</f>
        <v>19945.186699954218</v>
      </c>
      <c r="Z30" s="223"/>
      <c r="AA30" s="223">
        <f>Y30*$C$30</f>
        <v>20344.090433953304</v>
      </c>
      <c r="AB30" s="223"/>
      <c r="AC30" s="223">
        <f>AA30*$C$30</f>
        <v>20750.972242632371</v>
      </c>
      <c r="AD30" s="223"/>
      <c r="AE30" s="223">
        <f>AC30*$C$30</f>
        <v>21165.991687485021</v>
      </c>
      <c r="AF30" s="223"/>
      <c r="AG30" s="223">
        <f>AE30*$C$30</f>
        <v>21589.311521234722</v>
      </c>
    </row>
    <row r="31" spans="1:33" s="211" customFormat="1" ht="14">
      <c r="A31" s="211" t="s">
        <v>1680</v>
      </c>
      <c r="C31" s="238">
        <v>1.02</v>
      </c>
      <c r="E31" s="223">
        <f>Application!AC893</f>
        <v>0</v>
      </c>
      <c r="F31" s="223"/>
      <c r="G31" s="223">
        <f>E31*$C$31</f>
        <v>0</v>
      </c>
      <c r="H31" s="223"/>
      <c r="I31" s="223">
        <f>G31*$C$31</f>
        <v>0</v>
      </c>
      <c r="J31" s="223"/>
      <c r="K31" s="223">
        <f>I31*$C$31</f>
        <v>0</v>
      </c>
      <c r="L31" s="223"/>
      <c r="M31" s="223">
        <f>K31*$C$31</f>
        <v>0</v>
      </c>
      <c r="N31" s="223"/>
      <c r="O31" s="223">
        <f>M31*$C$31</f>
        <v>0</v>
      </c>
      <c r="P31" s="223"/>
      <c r="Q31" s="223">
        <f>O31*$C$31</f>
        <v>0</v>
      </c>
      <c r="R31" s="223"/>
      <c r="S31" s="223">
        <f>Q31*$C$31</f>
        <v>0</v>
      </c>
      <c r="T31" s="223"/>
      <c r="U31" s="223">
        <f>S31*$C$31</f>
        <v>0</v>
      </c>
      <c r="V31" s="223"/>
      <c r="W31" s="223">
        <f>U31*$C$31</f>
        <v>0</v>
      </c>
      <c r="X31" s="223"/>
      <c r="Y31" s="223">
        <f>W31*$C$31</f>
        <v>0</v>
      </c>
      <c r="Z31" s="223"/>
      <c r="AA31" s="223">
        <f>Y31*$C$31</f>
        <v>0</v>
      </c>
      <c r="AB31" s="223"/>
      <c r="AC31" s="223">
        <f>AA31*$C$31</f>
        <v>0</v>
      </c>
      <c r="AD31" s="223"/>
      <c r="AE31" s="223">
        <f>AC31*$C$31</f>
        <v>0</v>
      </c>
      <c r="AF31" s="223"/>
      <c r="AG31" s="223">
        <f>AE31*$C$31</f>
        <v>0</v>
      </c>
    </row>
    <row r="32" spans="1:33" s="211" customFormat="1" ht="14">
      <c r="A32" s="211" t="str">
        <f>Application!C894</f>
        <v>Other (Issuer Fees):</v>
      </c>
      <c r="C32" s="317">
        <v>1</v>
      </c>
      <c r="E32" s="223">
        <f>Application!AC894</f>
        <v>4000</v>
      </c>
      <c r="F32" s="223"/>
      <c r="G32" s="223">
        <f>E32*$C$32</f>
        <v>4000</v>
      </c>
      <c r="H32" s="223"/>
      <c r="I32" s="223">
        <f>G32*$C$32</f>
        <v>4000</v>
      </c>
      <c r="J32" s="223"/>
      <c r="K32" s="223">
        <f>I32*$C$32</f>
        <v>4000</v>
      </c>
      <c r="L32" s="223"/>
      <c r="M32" s="223">
        <f>K32*$C$32</f>
        <v>4000</v>
      </c>
      <c r="N32" s="223"/>
      <c r="O32" s="223">
        <f>M32*$C$32</f>
        <v>4000</v>
      </c>
      <c r="P32" s="223"/>
      <c r="Q32" s="223">
        <f>O32*$C$32</f>
        <v>4000</v>
      </c>
      <c r="R32" s="223"/>
      <c r="S32" s="223">
        <f>Q32*$C$32</f>
        <v>4000</v>
      </c>
      <c r="T32" s="223"/>
      <c r="U32" s="223">
        <f>S32*$C$32</f>
        <v>4000</v>
      </c>
      <c r="V32" s="223"/>
      <c r="W32" s="223">
        <f>U32*$C$32</f>
        <v>4000</v>
      </c>
      <c r="X32" s="223"/>
      <c r="Y32" s="223">
        <f>W32*$C$32</f>
        <v>4000</v>
      </c>
      <c r="Z32" s="223"/>
      <c r="AA32" s="223">
        <f>Y32*$C$32</f>
        <v>4000</v>
      </c>
      <c r="AB32" s="223"/>
      <c r="AC32" s="223">
        <f>AA32*$C$32</f>
        <v>4000</v>
      </c>
      <c r="AD32" s="223"/>
      <c r="AE32" s="223">
        <f>AC32*$C$32</f>
        <v>4000</v>
      </c>
      <c r="AF32" s="223"/>
      <c r="AG32" s="223">
        <f>AE32*$C$32</f>
        <v>4000</v>
      </c>
    </row>
    <row r="33" spans="1:33" s="211" customFormat="1" ht="14">
      <c r="A33" s="211" t="str">
        <f>Application!C895</f>
        <v>Other (Specify):</v>
      </c>
      <c r="C33" s="317">
        <v>1.0349999999999999</v>
      </c>
      <c r="E33" s="223">
        <f>Application!AC895</f>
        <v>0</v>
      </c>
      <c r="F33" s="223"/>
      <c r="G33" s="223">
        <f>E33*$C$33</f>
        <v>0</v>
      </c>
      <c r="H33" s="223"/>
      <c r="I33" s="223">
        <f>G33*$C$33</f>
        <v>0</v>
      </c>
      <c r="J33" s="223"/>
      <c r="K33" s="223">
        <f>I33*$C$33</f>
        <v>0</v>
      </c>
      <c r="L33" s="223"/>
      <c r="M33" s="223">
        <f>K33*$C$33</f>
        <v>0</v>
      </c>
      <c r="N33" s="223"/>
      <c r="O33" s="223">
        <f>M33*$C$33</f>
        <v>0</v>
      </c>
      <c r="P33" s="223"/>
      <c r="Q33" s="223">
        <f>O33*$C$33</f>
        <v>0</v>
      </c>
      <c r="R33" s="223"/>
      <c r="S33" s="223">
        <f>Q33*$C$33</f>
        <v>0</v>
      </c>
      <c r="T33" s="223"/>
      <c r="U33" s="223">
        <f>S33*$C$33</f>
        <v>0</v>
      </c>
      <c r="V33" s="223"/>
      <c r="W33" s="223">
        <f>U33*$C$33</f>
        <v>0</v>
      </c>
      <c r="X33" s="223"/>
      <c r="Y33" s="223">
        <f>W33*$C$33</f>
        <v>0</v>
      </c>
      <c r="Z33" s="223"/>
      <c r="AA33" s="223">
        <f>Y33*$C$33</f>
        <v>0</v>
      </c>
      <c r="AB33" s="223"/>
      <c r="AC33" s="223">
        <f>AA33*$C$33</f>
        <v>0</v>
      </c>
      <c r="AD33" s="223"/>
      <c r="AE33" s="223">
        <f>AC33*$C$33</f>
        <v>0</v>
      </c>
      <c r="AF33" s="223"/>
      <c r="AG33" s="223">
        <f>AE33*$C$33</f>
        <v>0</v>
      </c>
    </row>
    <row r="34" spans="1:33" s="211" customFormat="1" ht="14">
      <c r="C34" s="221"/>
      <c r="E34" s="223"/>
      <c r="F34" s="223"/>
      <c r="G34" s="223"/>
      <c r="H34" s="223"/>
      <c r="I34" s="223"/>
      <c r="J34" s="223"/>
      <c r="K34" s="223"/>
      <c r="L34" s="223"/>
      <c r="M34" s="223"/>
      <c r="N34" s="223"/>
      <c r="O34" s="223"/>
      <c r="P34" s="223"/>
      <c r="Q34" s="223"/>
      <c r="R34" s="223"/>
      <c r="S34" s="223"/>
      <c r="T34" s="223"/>
      <c r="U34" s="223"/>
      <c r="V34" s="223"/>
      <c r="W34" s="223"/>
      <c r="X34" s="223"/>
      <c r="Y34" s="223"/>
      <c r="Z34" s="223"/>
      <c r="AA34" s="223"/>
      <c r="AB34" s="223"/>
      <c r="AC34" s="223"/>
      <c r="AD34" s="223"/>
      <c r="AE34" s="223"/>
      <c r="AF34" s="223"/>
      <c r="AG34" s="223"/>
    </row>
    <row r="35" spans="1:33" s="224" customFormat="1" ht="14">
      <c r="A35" s="224" t="s">
        <v>177</v>
      </c>
      <c r="C35" s="225"/>
      <c r="E35" s="224">
        <f>SUM(E22:E33)</f>
        <v>963839</v>
      </c>
      <c r="G35" s="224">
        <f>SUM(G22:G33)</f>
        <v>996440.68499999994</v>
      </c>
      <c r="I35" s="224">
        <f>SUM(I22:I33)</f>
        <v>1030178.5203749997</v>
      </c>
      <c r="K35" s="224">
        <f>SUM(K22:K33)</f>
        <v>1065092.1732161248</v>
      </c>
      <c r="M35" s="224">
        <f>SUM(M22:M33)</f>
        <v>1101222.696999249</v>
      </c>
      <c r="O35" s="224">
        <f>SUM(O22:O33)</f>
        <v>1138612.5800691938</v>
      </c>
      <c r="Q35" s="224">
        <f>SUM(Q22:Q33)</f>
        <v>1177305.7958200863</v>
      </c>
      <c r="S35" s="224">
        <f>SUM(S22:S33)</f>
        <v>1217347.8546312291</v>
      </c>
      <c r="U35" s="224">
        <f>SUM(U22:U33)</f>
        <v>1258785.8576199107</v>
      </c>
      <c r="W35" s="224">
        <f>SUM(W22:W33)</f>
        <v>1301668.5522747282</v>
      </c>
      <c r="Y35" s="224">
        <f>SUM(Y22:Y33)</f>
        <v>1346046.3900352265</v>
      </c>
      <c r="AA35" s="224">
        <f>SUM(AA22:AA33)</f>
        <v>1391971.5858859599</v>
      </c>
      <c r="AC35" s="224">
        <f>SUM(AC22:AC33)</f>
        <v>1439498.1800354593</v>
      </c>
      <c r="AE35" s="224">
        <f>SUM(AE22:AE33)</f>
        <v>1488682.1017530609</v>
      </c>
      <c r="AG35" s="224">
        <f>SUM(AG22:AG33)</f>
        <v>1539581.2354391057</v>
      </c>
    </row>
    <row r="36" spans="1:33" s="211" customFormat="1" ht="14">
      <c r="C36" s="221"/>
      <c r="E36" s="223"/>
      <c r="F36" s="223"/>
      <c r="G36" s="223"/>
      <c r="H36" s="223"/>
      <c r="I36" s="223"/>
      <c r="J36" s="223"/>
      <c r="K36" s="223"/>
      <c r="L36" s="223"/>
      <c r="M36" s="223"/>
      <c r="N36" s="223"/>
      <c r="O36" s="223"/>
      <c r="P36" s="223"/>
      <c r="Q36" s="223"/>
      <c r="R36" s="223"/>
      <c r="S36" s="223"/>
      <c r="T36" s="223"/>
      <c r="U36" s="223"/>
      <c r="V36" s="223"/>
      <c r="W36" s="223"/>
      <c r="X36" s="223"/>
      <c r="Y36" s="223"/>
      <c r="Z36" s="223"/>
      <c r="AA36" s="223"/>
      <c r="AB36" s="223"/>
      <c r="AC36" s="223"/>
      <c r="AD36" s="223"/>
      <c r="AE36" s="223"/>
      <c r="AF36" s="223"/>
      <c r="AG36" s="223"/>
    </row>
    <row r="37" spans="1:33" s="224" customFormat="1" ht="14">
      <c r="A37" s="224" t="s">
        <v>846</v>
      </c>
      <c r="C37" s="225"/>
      <c r="E37" s="224">
        <f>E11-E35</f>
        <v>573280</v>
      </c>
      <c r="G37" s="224">
        <f>G11-G35</f>
        <v>579106.28999999992</v>
      </c>
      <c r="I37" s="224">
        <f>I11-I35</f>
        <v>584757.12899999984</v>
      </c>
      <c r="K37" s="224">
        <f>K11-K35</f>
        <v>590216.86739324965</v>
      </c>
      <c r="M37" s="224">
        <f>M11-M35</f>
        <v>595469.06962535949</v>
      </c>
      <c r="O37" s="224">
        <f>O11-O35</f>
        <v>600496.48072102969</v>
      </c>
      <c r="Q37" s="224">
        <f>Q11-Q35</f>
        <v>605280.99148989306</v>
      </c>
      <c r="S37" s="224">
        <f>S11-S35</f>
        <v>609803.6023614991</v>
      </c>
      <c r="U37" s="224">
        <f>U11-U35</f>
        <v>614044.38579763542</v>
      </c>
      <c r="W37" s="224">
        <f>W11-W35</f>
        <v>617982.44722825661</v>
      </c>
      <c r="Y37" s="224">
        <f>Y11-Y35</f>
        <v>621595.88445533277</v>
      </c>
      <c r="AA37" s="224">
        <f>AA11-AA35</f>
        <v>624861.7454668635</v>
      </c>
      <c r="AC37" s="224">
        <f>AC11-AC35</f>
        <v>627755.98460118426</v>
      </c>
      <c r="AE37" s="224">
        <f>AE11-AE35</f>
        <v>630253.41699949815</v>
      </c>
      <c r="AG37" s="224">
        <f>AG11-AG35</f>
        <v>632327.6712822679</v>
      </c>
    </row>
    <row r="38" spans="1:33" s="211" customFormat="1" ht="14">
      <c r="C38" s="221"/>
      <c r="E38" s="223"/>
      <c r="F38" s="223"/>
      <c r="G38" s="223"/>
      <c r="H38" s="223"/>
      <c r="I38" s="223"/>
      <c r="J38" s="223"/>
      <c r="K38" s="223"/>
      <c r="L38" s="223"/>
      <c r="M38" s="223"/>
      <c r="N38" s="223"/>
      <c r="O38" s="223"/>
      <c r="P38" s="223"/>
      <c r="Q38" s="223"/>
      <c r="R38" s="223"/>
      <c r="S38" s="223"/>
      <c r="T38" s="223"/>
      <c r="U38" s="223"/>
      <c r="V38" s="223"/>
      <c r="W38" s="223"/>
      <c r="X38" s="223"/>
      <c r="Y38" s="223"/>
      <c r="Z38" s="223"/>
      <c r="AA38" s="223"/>
      <c r="AB38" s="223"/>
      <c r="AC38" s="223"/>
      <c r="AD38" s="223"/>
      <c r="AE38" s="223"/>
      <c r="AF38" s="223"/>
      <c r="AG38" s="223"/>
    </row>
    <row r="39" spans="1:33" s="211" customFormat="1" ht="14">
      <c r="A39" s="219" t="s">
        <v>859</v>
      </c>
      <c r="C39" s="221"/>
      <c r="E39" s="223"/>
      <c r="F39" s="223"/>
      <c r="G39" s="223"/>
      <c r="H39" s="223"/>
      <c r="I39" s="223"/>
      <c r="J39" s="223"/>
      <c r="K39" s="223"/>
      <c r="L39" s="223"/>
      <c r="M39" s="223"/>
      <c r="N39" s="223"/>
      <c r="O39" s="223"/>
      <c r="P39" s="223"/>
      <c r="Q39" s="223"/>
      <c r="R39" s="223"/>
      <c r="S39" s="223"/>
      <c r="T39" s="223"/>
      <c r="U39" s="223"/>
      <c r="V39" s="223"/>
      <c r="W39" s="223"/>
      <c r="X39" s="223"/>
      <c r="Y39" s="223"/>
      <c r="Z39" s="223"/>
      <c r="AA39" s="223"/>
      <c r="AB39" s="223"/>
      <c r="AC39" s="223"/>
      <c r="AD39" s="223"/>
      <c r="AE39" s="223"/>
      <c r="AF39" s="223"/>
      <c r="AG39" s="223"/>
    </row>
    <row r="40" spans="1:33" s="211" customFormat="1" ht="14">
      <c r="A40" s="226" t="str">
        <f>Application!C627</f>
        <v>Citibank</v>
      </c>
      <c r="B40" s="227"/>
      <c r="C40" s="221"/>
      <c r="E40" s="223">
        <f>Application!AF627</f>
        <v>488915</v>
      </c>
      <c r="F40" s="223"/>
      <c r="G40" s="223">
        <f>$E$40</f>
        <v>488915</v>
      </c>
      <c r="H40" s="223"/>
      <c r="I40" s="223">
        <f>$E$40</f>
        <v>488915</v>
      </c>
      <c r="J40" s="223"/>
      <c r="K40" s="223">
        <f>$E$40</f>
        <v>488915</v>
      </c>
      <c r="L40" s="223"/>
      <c r="M40" s="223">
        <f>$E$40</f>
        <v>488915</v>
      </c>
      <c r="N40" s="223"/>
      <c r="O40" s="223">
        <f>$E$40</f>
        <v>488915</v>
      </c>
      <c r="P40" s="223"/>
      <c r="Q40" s="223">
        <f>$E$40</f>
        <v>488915</v>
      </c>
      <c r="R40" s="223"/>
      <c r="S40" s="223">
        <f>$E$40</f>
        <v>488915</v>
      </c>
      <c r="T40" s="223"/>
      <c r="U40" s="223">
        <f>$E$40</f>
        <v>488915</v>
      </c>
      <c r="V40" s="223"/>
      <c r="W40" s="223">
        <f>$E$40</f>
        <v>488915</v>
      </c>
      <c r="X40" s="223"/>
      <c r="Y40" s="223">
        <f>$E$40</f>
        <v>488915</v>
      </c>
      <c r="Z40" s="223"/>
      <c r="AA40" s="223">
        <f>$E$40</f>
        <v>488915</v>
      </c>
      <c r="AB40" s="223"/>
      <c r="AC40" s="223">
        <f>$E$40</f>
        <v>488915</v>
      </c>
      <c r="AD40" s="223"/>
      <c r="AE40" s="223">
        <f>$E$40</f>
        <v>488915</v>
      </c>
      <c r="AF40" s="223"/>
      <c r="AG40" s="223">
        <f>$E$40</f>
        <v>488915</v>
      </c>
    </row>
    <row r="41" spans="1:33" s="211" customFormat="1" ht="14">
      <c r="A41" s="226"/>
      <c r="B41" s="227"/>
      <c r="C41" s="221"/>
      <c r="E41" s="223"/>
      <c r="F41" s="223"/>
      <c r="G41" s="223">
        <f>$E$41</f>
        <v>0</v>
      </c>
      <c r="H41" s="223"/>
      <c r="I41" s="223">
        <f>$E$41</f>
        <v>0</v>
      </c>
      <c r="J41" s="223"/>
      <c r="K41" s="223">
        <f>$E$41</f>
        <v>0</v>
      </c>
      <c r="L41" s="223"/>
      <c r="M41" s="223">
        <f>$E$41</f>
        <v>0</v>
      </c>
      <c r="N41" s="223"/>
      <c r="O41" s="223">
        <f>$E$41</f>
        <v>0</v>
      </c>
      <c r="P41" s="223"/>
      <c r="Q41" s="223">
        <f>$E$41</f>
        <v>0</v>
      </c>
      <c r="R41" s="223"/>
      <c r="S41" s="223">
        <f>$E$41</f>
        <v>0</v>
      </c>
      <c r="T41" s="223"/>
      <c r="U41" s="223">
        <f>$E$41</f>
        <v>0</v>
      </c>
      <c r="V41" s="223"/>
      <c r="W41" s="223">
        <f>$E$41</f>
        <v>0</v>
      </c>
      <c r="X41" s="223"/>
      <c r="Y41" s="223">
        <f>$E$41</f>
        <v>0</v>
      </c>
      <c r="Z41" s="223"/>
      <c r="AA41" s="223">
        <f>$E$41</f>
        <v>0</v>
      </c>
      <c r="AB41" s="223"/>
      <c r="AC41" s="223">
        <f>$E$41</f>
        <v>0</v>
      </c>
      <c r="AD41" s="223"/>
      <c r="AE41" s="223">
        <f>$E$41</f>
        <v>0</v>
      </c>
      <c r="AF41" s="223"/>
      <c r="AG41" s="223">
        <f>$E$41</f>
        <v>0</v>
      </c>
    </row>
    <row r="42" spans="1:33" s="211" customFormat="1" ht="14">
      <c r="A42" s="226"/>
      <c r="B42" s="227"/>
      <c r="C42" s="221"/>
      <c r="E42" s="233"/>
      <c r="F42" s="223"/>
      <c r="G42" s="233">
        <f>$E$42</f>
        <v>0</v>
      </c>
      <c r="H42" s="223"/>
      <c r="I42" s="233">
        <f>$E$42</f>
        <v>0</v>
      </c>
      <c r="J42" s="223"/>
      <c r="K42" s="233">
        <f>$E$42</f>
        <v>0</v>
      </c>
      <c r="L42" s="223"/>
      <c r="M42" s="233">
        <f>$E$42</f>
        <v>0</v>
      </c>
      <c r="N42" s="223"/>
      <c r="O42" s="233">
        <f>$E$42</f>
        <v>0</v>
      </c>
      <c r="P42" s="223"/>
      <c r="Q42" s="233">
        <f>$E$42</f>
        <v>0</v>
      </c>
      <c r="R42" s="223"/>
      <c r="S42" s="233">
        <f>$E$42</f>
        <v>0</v>
      </c>
      <c r="T42" s="223"/>
      <c r="U42" s="233">
        <f>$E$42</f>
        <v>0</v>
      </c>
      <c r="V42" s="223"/>
      <c r="W42" s="233">
        <f>$E$42</f>
        <v>0</v>
      </c>
      <c r="X42" s="223"/>
      <c r="Y42" s="233">
        <f>$E$42</f>
        <v>0</v>
      </c>
      <c r="Z42" s="223"/>
      <c r="AA42" s="233">
        <f>$E$42</f>
        <v>0</v>
      </c>
      <c r="AB42" s="223"/>
      <c r="AC42" s="233">
        <f>$E$42</f>
        <v>0</v>
      </c>
      <c r="AD42" s="223"/>
      <c r="AE42" s="233">
        <f>$E$42</f>
        <v>0</v>
      </c>
      <c r="AF42" s="223"/>
      <c r="AG42" s="233">
        <f>$E$42</f>
        <v>0</v>
      </c>
    </row>
    <row r="43" spans="1:33" s="224" customFormat="1" ht="14">
      <c r="A43" s="224" t="s">
        <v>847</v>
      </c>
      <c r="C43" s="225"/>
      <c r="E43" s="224">
        <f>SUM(E40:E42)</f>
        <v>488915</v>
      </c>
      <c r="G43" s="224">
        <f>SUM(G40:G42)</f>
        <v>488915</v>
      </c>
      <c r="I43" s="224">
        <f>SUM(I40:I42)</f>
        <v>488915</v>
      </c>
      <c r="K43" s="224">
        <f>SUM(K40:K42)</f>
        <v>488915</v>
      </c>
      <c r="M43" s="224">
        <f>SUM(M40:M42)</f>
        <v>488915</v>
      </c>
      <c r="O43" s="224">
        <f>SUM(O40:O42)</f>
        <v>488915</v>
      </c>
      <c r="Q43" s="224">
        <f>SUM(Q40:Q42)</f>
        <v>488915</v>
      </c>
      <c r="S43" s="224">
        <f>SUM(S40:S42)</f>
        <v>488915</v>
      </c>
      <c r="U43" s="224">
        <f>SUM(U40:U42)</f>
        <v>488915</v>
      </c>
      <c r="W43" s="224">
        <f>SUM(W40:W42)</f>
        <v>488915</v>
      </c>
      <c r="Y43" s="224">
        <f>SUM(Y40:Y42)</f>
        <v>488915</v>
      </c>
      <c r="AA43" s="224">
        <f>SUM(AA40:AA42)</f>
        <v>488915</v>
      </c>
      <c r="AC43" s="224">
        <f>SUM(AC40:AC42)</f>
        <v>488915</v>
      </c>
      <c r="AE43" s="224">
        <f>SUM(AE40:AE42)</f>
        <v>488915</v>
      </c>
      <c r="AG43" s="224">
        <f>SUM(AG40:AG42)</f>
        <v>488915</v>
      </c>
    </row>
    <row r="44" spans="1:33" s="211" customFormat="1" ht="14">
      <c r="C44" s="221"/>
      <c r="E44" s="223"/>
      <c r="F44" s="223"/>
      <c r="G44" s="223"/>
      <c r="H44" s="223"/>
      <c r="I44" s="223"/>
      <c r="J44" s="223"/>
      <c r="K44" s="223"/>
      <c r="L44" s="223"/>
      <c r="M44" s="223"/>
      <c r="N44" s="223"/>
      <c r="O44" s="223"/>
      <c r="P44" s="223"/>
      <c r="Q44" s="223"/>
      <c r="R44" s="223"/>
      <c r="S44" s="223"/>
      <c r="T44" s="223"/>
      <c r="U44" s="223"/>
      <c r="V44" s="223"/>
      <c r="W44" s="223"/>
      <c r="X44" s="223"/>
      <c r="Y44" s="223"/>
      <c r="Z44" s="223"/>
      <c r="AA44" s="223"/>
      <c r="AB44" s="223"/>
      <c r="AC44" s="223"/>
      <c r="AD44" s="223"/>
      <c r="AE44" s="223"/>
      <c r="AF44" s="223"/>
      <c r="AG44" s="223"/>
    </row>
    <row r="45" spans="1:33" s="224" customFormat="1" ht="14">
      <c r="A45" s="224" t="s">
        <v>848</v>
      </c>
      <c r="C45" s="225"/>
      <c r="E45" s="224">
        <f>E37-E43</f>
        <v>84365</v>
      </c>
      <c r="G45" s="224">
        <f>G37-G43</f>
        <v>90191.289999999921</v>
      </c>
      <c r="I45" s="224">
        <f>I37-I43</f>
        <v>95842.128999999841</v>
      </c>
      <c r="K45" s="224">
        <f>K37-K43</f>
        <v>101301.86739324965</v>
      </c>
      <c r="M45" s="224">
        <f>M37-M43</f>
        <v>106554.06962535949</v>
      </c>
      <c r="O45" s="224">
        <f>O37-O43</f>
        <v>111581.48072102969</v>
      </c>
      <c r="Q45" s="224">
        <f>Q37-Q43</f>
        <v>116365.99148989306</v>
      </c>
      <c r="S45" s="224">
        <f>S37-S43</f>
        <v>120888.6023614991</v>
      </c>
      <c r="U45" s="224">
        <f>U37-U43</f>
        <v>125129.38579763542</v>
      </c>
      <c r="W45" s="224">
        <f>W37-W43</f>
        <v>129067.44722825661</v>
      </c>
      <c r="Y45" s="224">
        <f>Y37-Y43</f>
        <v>132680.88445533277</v>
      </c>
      <c r="AA45" s="224">
        <f>AA37-AA43</f>
        <v>135946.7454668635</v>
      </c>
      <c r="AC45" s="224">
        <f>AC37-AC43</f>
        <v>138840.98460118426</v>
      </c>
      <c r="AE45" s="224">
        <f>AE37-AE43</f>
        <v>141338.41699949815</v>
      </c>
      <c r="AG45" s="224">
        <f>AG37-AG43</f>
        <v>143412.6712822679</v>
      </c>
    </row>
    <row r="46" spans="1:33" s="211" customFormat="1" ht="14">
      <c r="C46" s="221"/>
      <c r="E46" s="223"/>
      <c r="F46" s="223"/>
      <c r="G46" s="223"/>
      <c r="H46" s="223"/>
      <c r="I46" s="223"/>
      <c r="J46" s="223"/>
      <c r="K46" s="223"/>
      <c r="L46" s="223"/>
      <c r="M46" s="223"/>
      <c r="N46" s="223"/>
      <c r="O46" s="223"/>
      <c r="P46" s="223"/>
      <c r="Q46" s="223"/>
      <c r="R46" s="223"/>
      <c r="S46" s="223"/>
      <c r="T46" s="223"/>
      <c r="U46" s="223"/>
      <c r="V46" s="223"/>
      <c r="W46" s="223"/>
      <c r="X46" s="223"/>
      <c r="Y46" s="223"/>
      <c r="Z46" s="223"/>
      <c r="AA46" s="223"/>
      <c r="AB46" s="223"/>
      <c r="AC46" s="223"/>
      <c r="AD46" s="223"/>
      <c r="AE46" s="223"/>
      <c r="AF46" s="223"/>
      <c r="AG46" s="223"/>
    </row>
    <row r="47" spans="1:33" s="228" customFormat="1" ht="14">
      <c r="A47" s="228" t="s">
        <v>850</v>
      </c>
      <c r="C47" s="221"/>
      <c r="E47" s="228">
        <f>E45/(E4+E6+E8)</f>
        <v>5.2140888246127982E-2</v>
      </c>
      <c r="G47" s="228">
        <f>G45/(G4+G6+G8)</f>
        <v>5.4382209391122684E-2</v>
      </c>
      <c r="I47" s="228">
        <f>I45/(I4+I6+I8)</f>
        <v>5.637996943422318E-2</v>
      </c>
      <c r="K47" s="228">
        <f>K45/(K4+K6+K8)</f>
        <v>5.8138251929174024E-2</v>
      </c>
      <c r="M47" s="228">
        <f>M45/(M4+M6+M8)</f>
        <v>5.9661022782865752E-2</v>
      </c>
      <c r="O47" s="228">
        <f>O45/(O4+O6+O8)</f>
        <v>6.0952132948357121E-2</v>
      </c>
      <c r="Q47" s="228">
        <f>Q45/(Q4+Q6+Q8)</f>
        <v>6.201532105049478E-2</v>
      </c>
      <c r="S47" s="228">
        <f>S45/(S4+S6+S8)</f>
        <v>6.285421594575627E-2</v>
      </c>
      <c r="U47" s="228">
        <f>U45/(U4+U6+U8)</f>
        <v>6.347233921790689E-2</v>
      </c>
      <c r="W47" s="228">
        <f>W45/(W4+W6+W8)</f>
        <v>6.3873107611013502E-2</v>
      </c>
      <c r="Y47" s="228">
        <f>Y45/(Y4+Y6+Y8)</f>
        <v>6.4059835401331172E-2</v>
      </c>
      <c r="AA47" s="228">
        <f>AA45/(AA4+AA6+AA8)</f>
        <v>6.4035736709533317E-2</v>
      </c>
      <c r="AC47" s="228">
        <f>AC45/(AC4+AC6+AC8)</f>
        <v>6.3803927754722226E-2</v>
      </c>
      <c r="AE47" s="228">
        <f>AE45/(AE4+AE6+AE8)</f>
        <v>6.3367429051626054E-2</v>
      </c>
      <c r="AG47" s="228">
        <f>AG45/(AG4+AG6+AG8)</f>
        <v>6.2729167552344547E-2</v>
      </c>
    </row>
    <row r="48" spans="1:33" s="228" customFormat="1" ht="14">
      <c r="A48" s="228" t="s">
        <v>851</v>
      </c>
      <c r="C48" s="221"/>
      <c r="E48" s="228">
        <f>E45/E43</f>
        <v>0.17255555669185851</v>
      </c>
      <c r="G48" s="228">
        <f>G45/G43</f>
        <v>0.18447233159138074</v>
      </c>
      <c r="I48" s="228">
        <f>I45/I43</f>
        <v>0.19603024861172155</v>
      </c>
      <c r="K48" s="228">
        <f>K45/K43</f>
        <v>0.20719729890318286</v>
      </c>
      <c r="M48" s="228">
        <f>M45/M43</f>
        <v>0.21793986608175142</v>
      </c>
      <c r="O48" s="228">
        <f>O45/O43</f>
        <v>0.22822265776470282</v>
      </c>
      <c r="Q48" s="228">
        <f>Q45/Q43</f>
        <v>0.23800863440453465</v>
      </c>
      <c r="S48" s="228">
        <f>S45/S43</f>
        <v>0.24725893531902088</v>
      </c>
      <c r="U48" s="228">
        <f>U45/U43</f>
        <v>0.25593280181143024</v>
      </c>
      <c r="W48" s="228">
        <f>W45/W43</f>
        <v>0.26398749727101156</v>
      </c>
      <c r="Y48" s="228">
        <f>Y45/Y43</f>
        <v>0.27137822413984591</v>
      </c>
      <c r="AA48" s="228">
        <f>AA45/AA43</f>
        <v>0.2780580376279384</v>
      </c>
      <c r="AC48" s="228">
        <f>AC45/AC43</f>
        <v>0.28397775605408765</v>
      </c>
      <c r="AE48" s="228">
        <f>AE45/AE43</f>
        <v>0.28908586768558575</v>
      </c>
      <c r="AG48" s="228">
        <f>AG45/AG43</f>
        <v>0.29332843394509861</v>
      </c>
    </row>
    <row r="49" spans="1:34" s="229" customFormat="1" ht="14">
      <c r="A49" s="229" t="s">
        <v>849</v>
      </c>
      <c r="C49" s="230"/>
      <c r="E49" s="229">
        <f>E37/E43</f>
        <v>1.1725555566918584</v>
      </c>
      <c r="G49" s="229">
        <f>G37/G43</f>
        <v>1.1844723315913808</v>
      </c>
      <c r="I49" s="229">
        <f>I37/I43</f>
        <v>1.1960302486117216</v>
      </c>
      <c r="K49" s="229">
        <f>K37/K43</f>
        <v>1.2071972989031829</v>
      </c>
      <c r="M49" s="229">
        <f>M37/M43</f>
        <v>1.2179398660817513</v>
      </c>
      <c r="O49" s="229">
        <f>O37/O43</f>
        <v>1.2282226577647029</v>
      </c>
      <c r="Q49" s="229">
        <f>Q37/Q43</f>
        <v>1.2380086344045347</v>
      </c>
      <c r="S49" s="229">
        <f>S37/S43</f>
        <v>1.2472589353190209</v>
      </c>
      <c r="U49" s="229">
        <f>U37/U43</f>
        <v>1.2559328018114302</v>
      </c>
      <c r="W49" s="229">
        <f>W37/W43</f>
        <v>1.2639874972710115</v>
      </c>
      <c r="Y49" s="229">
        <f>Y37/Y43</f>
        <v>1.2713782241398459</v>
      </c>
      <c r="AA49" s="229">
        <f>AA37/AA43</f>
        <v>1.2780580376279385</v>
      </c>
      <c r="AC49" s="229">
        <f>AC37/AC43</f>
        <v>1.2839777560540877</v>
      </c>
      <c r="AE49" s="229">
        <f>AE37/AE43</f>
        <v>1.2890858676855856</v>
      </c>
      <c r="AG49" s="229">
        <f>AG37/AG43</f>
        <v>1.2933284339450986</v>
      </c>
    </row>
    <row r="50" spans="1:34" s="211" customFormat="1" ht="14">
      <c r="A50" s="231"/>
      <c r="B50" s="231"/>
      <c r="C50" s="232"/>
      <c r="D50" s="231"/>
      <c r="E50" s="233"/>
      <c r="F50" s="233"/>
      <c r="G50" s="233"/>
      <c r="H50" s="233"/>
      <c r="I50" s="233"/>
      <c r="J50" s="233"/>
      <c r="K50" s="233"/>
      <c r="L50" s="233"/>
      <c r="M50" s="233"/>
      <c r="N50" s="233"/>
      <c r="O50" s="233"/>
      <c r="P50" s="233"/>
      <c r="Q50" s="233"/>
      <c r="R50" s="233"/>
      <c r="S50" s="233"/>
      <c r="T50" s="233"/>
      <c r="U50" s="233"/>
      <c r="V50" s="233"/>
      <c r="W50" s="233"/>
      <c r="X50" s="233"/>
      <c r="Y50" s="233"/>
      <c r="Z50" s="233"/>
      <c r="AA50" s="233"/>
      <c r="AB50" s="233"/>
      <c r="AC50" s="233"/>
      <c r="AD50" s="233"/>
      <c r="AE50" s="233"/>
      <c r="AF50" s="233"/>
      <c r="AG50" s="233"/>
    </row>
    <row r="51" spans="1:34" s="3" customFormat="1">
      <c r="A51" s="3" t="s">
        <v>861</v>
      </c>
      <c r="C51" s="962"/>
      <c r="E51" s="961"/>
      <c r="F51" s="961"/>
      <c r="G51" s="961"/>
      <c r="H51" s="961"/>
      <c r="I51" s="961"/>
      <c r="J51" s="961"/>
      <c r="K51" s="961"/>
      <c r="L51" s="961"/>
      <c r="M51" s="961"/>
      <c r="N51" s="961"/>
      <c r="O51" s="961"/>
      <c r="P51" s="961"/>
      <c r="Q51" s="961"/>
      <c r="R51" s="961"/>
      <c r="S51" s="961"/>
      <c r="T51" s="961"/>
      <c r="U51" s="961"/>
      <c r="V51" s="961"/>
      <c r="W51" s="961"/>
      <c r="X51" s="961"/>
      <c r="Y51" s="961"/>
      <c r="Z51" s="961"/>
      <c r="AA51" s="961"/>
      <c r="AB51" s="961"/>
      <c r="AC51" s="961"/>
      <c r="AD51" s="961"/>
      <c r="AE51" s="961"/>
      <c r="AF51" s="961"/>
      <c r="AG51" s="961"/>
    </row>
    <row r="52" spans="1:34" s="3" customFormat="1">
      <c r="A52" s="2703" t="s">
        <v>1183</v>
      </c>
      <c r="B52" s="2703"/>
      <c r="C52" s="2703"/>
      <c r="D52" s="961"/>
      <c r="E52" s="961"/>
      <c r="F52" s="961"/>
      <c r="G52" s="961"/>
      <c r="H52" s="961"/>
      <c r="I52" s="961"/>
      <c r="J52" s="961"/>
      <c r="K52" s="961"/>
      <c r="L52" s="961"/>
      <c r="M52" s="961"/>
      <c r="N52" s="961"/>
      <c r="O52" s="961"/>
      <c r="P52" s="961"/>
      <c r="Q52" s="961"/>
      <c r="R52" s="961"/>
      <c r="S52" s="961"/>
      <c r="T52" s="961"/>
      <c r="U52" s="961"/>
      <c r="V52" s="961"/>
      <c r="W52" s="961"/>
      <c r="X52" s="961"/>
      <c r="Y52" s="961"/>
      <c r="Z52" s="961"/>
      <c r="AA52" s="961"/>
      <c r="AB52" s="961"/>
      <c r="AC52" s="961"/>
      <c r="AD52" s="961"/>
      <c r="AE52" s="961"/>
      <c r="AF52" s="961"/>
      <c r="AG52" s="961"/>
    </row>
    <row r="53" spans="1:34" s="963" customFormat="1">
      <c r="A53" s="963" t="s">
        <v>853</v>
      </c>
      <c r="C53" s="964">
        <v>1.05</v>
      </c>
      <c r="E53" s="965"/>
      <c r="G53" s="961">
        <f>E53*$C$53</f>
        <v>0</v>
      </c>
      <c r="I53" s="961">
        <f>G53*$C$53</f>
        <v>0</v>
      </c>
      <c r="K53" s="961">
        <f>I53*$C$53</f>
        <v>0</v>
      </c>
      <c r="M53" s="961">
        <f>K53*$C$53</f>
        <v>0</v>
      </c>
      <c r="O53" s="961">
        <f>M53*$C$53</f>
        <v>0</v>
      </c>
      <c r="Q53" s="961">
        <f>O53*$C$53</f>
        <v>0</v>
      </c>
      <c r="S53" s="961">
        <f>Q53*$C$53</f>
        <v>0</v>
      </c>
      <c r="U53" s="961">
        <f>S53*$C$53</f>
        <v>0</v>
      </c>
      <c r="W53" s="961">
        <f>U53*$C$53</f>
        <v>0</v>
      </c>
      <c r="Y53" s="961">
        <f>W53*$C$53</f>
        <v>0</v>
      </c>
      <c r="AA53" s="961">
        <f>Y53*$C$53</f>
        <v>0</v>
      </c>
      <c r="AC53" s="961">
        <f>AA53*$C$53</f>
        <v>0</v>
      </c>
      <c r="AE53" s="961">
        <f>AC53*$C$53</f>
        <v>0</v>
      </c>
      <c r="AG53" s="961">
        <f>AE53*$C$53</f>
        <v>0</v>
      </c>
    </row>
    <row r="54" spans="1:34" s="3" customFormat="1">
      <c r="A54" s="3" t="s">
        <v>854</v>
      </c>
      <c r="C54" s="959">
        <v>1.05</v>
      </c>
      <c r="E54" s="966">
        <v>5000</v>
      </c>
      <c r="F54" s="961"/>
      <c r="G54" s="961">
        <f t="shared" ref="G54:AG57" si="1">E54*$C$53</f>
        <v>5250</v>
      </c>
      <c r="H54" s="961"/>
      <c r="I54" s="961">
        <f t="shared" si="1"/>
        <v>5512.5</v>
      </c>
      <c r="J54" s="961"/>
      <c r="K54" s="961">
        <f t="shared" si="1"/>
        <v>5788.125</v>
      </c>
      <c r="L54" s="961"/>
      <c r="M54" s="961">
        <f t="shared" si="1"/>
        <v>6077.53125</v>
      </c>
      <c r="N54" s="961"/>
      <c r="O54" s="961">
        <f t="shared" si="1"/>
        <v>6381.4078125000005</v>
      </c>
      <c r="P54" s="961"/>
      <c r="Q54" s="961">
        <f t="shared" si="1"/>
        <v>6700.4782031250006</v>
      </c>
      <c r="R54" s="961"/>
      <c r="S54" s="961">
        <f t="shared" si="1"/>
        <v>7035.5021132812508</v>
      </c>
      <c r="T54" s="961"/>
      <c r="U54" s="961">
        <f t="shared" si="1"/>
        <v>7387.2772189453135</v>
      </c>
      <c r="V54" s="961"/>
      <c r="W54" s="961">
        <f t="shared" si="1"/>
        <v>7756.6410798925799</v>
      </c>
      <c r="X54" s="961"/>
      <c r="Y54" s="961">
        <f t="shared" si="1"/>
        <v>8144.4731338872089</v>
      </c>
      <c r="Z54" s="961"/>
      <c r="AA54" s="961">
        <f t="shared" si="1"/>
        <v>8551.6967905815691</v>
      </c>
      <c r="AB54" s="961"/>
      <c r="AC54" s="961">
        <f t="shared" si="1"/>
        <v>8979.2816301106486</v>
      </c>
      <c r="AD54" s="961"/>
      <c r="AE54" s="961">
        <f t="shared" si="1"/>
        <v>9428.2457116161822</v>
      </c>
      <c r="AF54" s="961"/>
      <c r="AG54" s="961">
        <f t="shared" si="1"/>
        <v>9899.6579971969913</v>
      </c>
      <c r="AH54" s="961"/>
    </row>
    <row r="55" spans="1:34" s="3" customFormat="1">
      <c r="A55" s="3" t="s">
        <v>855</v>
      </c>
      <c r="C55" s="959"/>
      <c r="E55" s="966"/>
      <c r="F55" s="961"/>
      <c r="G55" s="961">
        <f t="shared" si="1"/>
        <v>0</v>
      </c>
      <c r="H55" s="961"/>
      <c r="I55" s="961">
        <f t="shared" si="1"/>
        <v>0</v>
      </c>
      <c r="J55" s="961"/>
      <c r="K55" s="961">
        <f t="shared" si="1"/>
        <v>0</v>
      </c>
      <c r="L55" s="961"/>
      <c r="M55" s="961">
        <f t="shared" si="1"/>
        <v>0</v>
      </c>
      <c r="N55" s="961"/>
      <c r="O55" s="961">
        <f t="shared" si="1"/>
        <v>0</v>
      </c>
      <c r="P55" s="961"/>
      <c r="Q55" s="961">
        <f t="shared" si="1"/>
        <v>0</v>
      </c>
      <c r="R55" s="961"/>
      <c r="S55" s="961">
        <f t="shared" si="1"/>
        <v>0</v>
      </c>
      <c r="T55" s="961"/>
      <c r="U55" s="961">
        <f t="shared" si="1"/>
        <v>0</v>
      </c>
      <c r="V55" s="961"/>
      <c r="W55" s="961">
        <f t="shared" si="1"/>
        <v>0</v>
      </c>
      <c r="X55" s="961"/>
      <c r="Y55" s="961">
        <f t="shared" si="1"/>
        <v>0</v>
      </c>
      <c r="Z55" s="961"/>
      <c r="AA55" s="961">
        <f t="shared" si="1"/>
        <v>0</v>
      </c>
      <c r="AB55" s="961"/>
      <c r="AC55" s="961">
        <f t="shared" si="1"/>
        <v>0</v>
      </c>
      <c r="AD55" s="961"/>
      <c r="AE55" s="961">
        <f t="shared" si="1"/>
        <v>0</v>
      </c>
      <c r="AF55" s="961"/>
      <c r="AG55" s="961">
        <f t="shared" si="1"/>
        <v>0</v>
      </c>
      <c r="AH55" s="961"/>
    </row>
    <row r="56" spans="1:34" s="3" customFormat="1">
      <c r="A56" s="967"/>
      <c r="B56" s="967"/>
      <c r="C56" s="959"/>
      <c r="E56" s="966"/>
      <c r="F56" s="961"/>
      <c r="G56" s="961">
        <f t="shared" si="1"/>
        <v>0</v>
      </c>
      <c r="H56" s="961"/>
      <c r="I56" s="961">
        <f t="shared" si="1"/>
        <v>0</v>
      </c>
      <c r="J56" s="961"/>
      <c r="K56" s="961">
        <f t="shared" si="1"/>
        <v>0</v>
      </c>
      <c r="L56" s="961"/>
      <c r="M56" s="961">
        <f t="shared" si="1"/>
        <v>0</v>
      </c>
      <c r="N56" s="961"/>
      <c r="O56" s="961">
        <f t="shared" si="1"/>
        <v>0</v>
      </c>
      <c r="P56" s="961"/>
      <c r="Q56" s="961">
        <f t="shared" si="1"/>
        <v>0</v>
      </c>
      <c r="R56" s="961"/>
      <c r="S56" s="961">
        <f t="shared" si="1"/>
        <v>0</v>
      </c>
      <c r="T56" s="961"/>
      <c r="U56" s="961">
        <f t="shared" si="1"/>
        <v>0</v>
      </c>
      <c r="V56" s="961"/>
      <c r="W56" s="961">
        <f t="shared" si="1"/>
        <v>0</v>
      </c>
      <c r="X56" s="961"/>
      <c r="Y56" s="961">
        <f t="shared" si="1"/>
        <v>0</v>
      </c>
      <c r="Z56" s="961"/>
      <c r="AA56" s="961">
        <f t="shared" si="1"/>
        <v>0</v>
      </c>
      <c r="AB56" s="961"/>
      <c r="AC56" s="961">
        <f t="shared" si="1"/>
        <v>0</v>
      </c>
      <c r="AD56" s="961"/>
      <c r="AE56" s="961">
        <f t="shared" si="1"/>
        <v>0</v>
      </c>
      <c r="AF56" s="961"/>
      <c r="AG56" s="961">
        <f t="shared" si="1"/>
        <v>0</v>
      </c>
      <c r="AH56" s="961"/>
    </row>
    <row r="57" spans="1:34" s="3" customFormat="1">
      <c r="A57" s="967"/>
      <c r="B57" s="967"/>
      <c r="C57" s="959"/>
      <c r="E57" s="968"/>
      <c r="F57" s="961"/>
      <c r="G57" s="969">
        <f t="shared" si="1"/>
        <v>0</v>
      </c>
      <c r="H57" s="961"/>
      <c r="I57" s="969">
        <f t="shared" si="1"/>
        <v>0</v>
      </c>
      <c r="J57" s="961"/>
      <c r="K57" s="969">
        <f t="shared" si="1"/>
        <v>0</v>
      </c>
      <c r="L57" s="961"/>
      <c r="M57" s="969">
        <f t="shared" si="1"/>
        <v>0</v>
      </c>
      <c r="N57" s="961"/>
      <c r="O57" s="969">
        <f t="shared" si="1"/>
        <v>0</v>
      </c>
      <c r="P57" s="961"/>
      <c r="Q57" s="969">
        <f t="shared" si="1"/>
        <v>0</v>
      </c>
      <c r="R57" s="961"/>
      <c r="S57" s="969">
        <f t="shared" si="1"/>
        <v>0</v>
      </c>
      <c r="T57" s="961"/>
      <c r="U57" s="969">
        <f t="shared" si="1"/>
        <v>0</v>
      </c>
      <c r="V57" s="961"/>
      <c r="W57" s="969">
        <f t="shared" si="1"/>
        <v>0</v>
      </c>
      <c r="X57" s="961"/>
      <c r="Y57" s="969">
        <f t="shared" si="1"/>
        <v>0</v>
      </c>
      <c r="Z57" s="961"/>
      <c r="AA57" s="969">
        <f t="shared" si="1"/>
        <v>0</v>
      </c>
      <c r="AB57" s="961"/>
      <c r="AC57" s="969">
        <f t="shared" si="1"/>
        <v>0</v>
      </c>
      <c r="AD57" s="961"/>
      <c r="AE57" s="969">
        <f t="shared" si="1"/>
        <v>0</v>
      </c>
      <c r="AF57" s="961"/>
      <c r="AG57" s="969">
        <f t="shared" si="1"/>
        <v>0</v>
      </c>
      <c r="AH57" s="961"/>
    </row>
    <row r="58" spans="1:34" s="3" customFormat="1">
      <c r="A58" s="963" t="s">
        <v>852</v>
      </c>
      <c r="C58" s="962"/>
      <c r="E58" s="961">
        <f>SUM(E53:E57)</f>
        <v>5000</v>
      </c>
      <c r="F58" s="961"/>
      <c r="G58" s="961">
        <f>SUM(G53:G57)</f>
        <v>5250</v>
      </c>
      <c r="H58" s="961"/>
      <c r="I58" s="961">
        <f>SUM(I53:I57)</f>
        <v>5512.5</v>
      </c>
      <c r="J58" s="961"/>
      <c r="K58" s="961">
        <f>SUM(K53:K57)</f>
        <v>5788.125</v>
      </c>
      <c r="L58" s="961"/>
      <c r="M58" s="961">
        <f>SUM(M53:M57)</f>
        <v>6077.53125</v>
      </c>
      <c r="N58" s="961"/>
      <c r="O58" s="961">
        <f>SUM(O53:O57)</f>
        <v>6381.4078125000005</v>
      </c>
      <c r="P58" s="961"/>
      <c r="Q58" s="961">
        <f>SUM(Q53:Q57)</f>
        <v>6700.4782031250006</v>
      </c>
      <c r="R58" s="961"/>
      <c r="S58" s="961">
        <f>SUM(S53:S57)</f>
        <v>7035.5021132812508</v>
      </c>
      <c r="T58" s="961"/>
      <c r="U58" s="961">
        <f>SUM(U53:U57)</f>
        <v>7387.2772189453135</v>
      </c>
      <c r="V58" s="961"/>
      <c r="W58" s="961">
        <f>SUM(W53:W57)</f>
        <v>7756.6410798925799</v>
      </c>
      <c r="X58" s="961"/>
      <c r="Y58" s="961">
        <f>SUM(Y53:Y57)</f>
        <v>8144.4731338872089</v>
      </c>
      <c r="Z58" s="961"/>
      <c r="AA58" s="961">
        <f>SUM(AA53:AA57)</f>
        <v>8551.6967905815691</v>
      </c>
      <c r="AB58" s="961"/>
      <c r="AC58" s="961">
        <f>SUM(AC53:AC57)</f>
        <v>8979.2816301106486</v>
      </c>
      <c r="AD58" s="961"/>
      <c r="AE58" s="961">
        <f>SUM(AE53:AE57)</f>
        <v>9428.2457116161822</v>
      </c>
      <c r="AF58" s="961"/>
      <c r="AG58" s="961">
        <f>SUM(AG53:AG57)</f>
        <v>9899.6579971969913</v>
      </c>
      <c r="AH58" s="961"/>
    </row>
    <row r="59" spans="1:34" s="3" customFormat="1" ht="12.75" customHeight="1">
      <c r="A59" s="963"/>
      <c r="C59" s="962"/>
      <c r="E59" s="961"/>
      <c r="F59" s="961"/>
      <c r="G59" s="961"/>
      <c r="H59" s="961"/>
      <c r="I59" s="961"/>
      <c r="J59" s="961"/>
      <c r="K59" s="961"/>
      <c r="L59" s="961"/>
      <c r="M59" s="961"/>
      <c r="N59" s="961"/>
      <c r="O59" s="961"/>
      <c r="P59" s="961"/>
      <c r="Q59" s="961"/>
      <c r="R59" s="961"/>
      <c r="S59" s="961"/>
      <c r="T59" s="961"/>
      <c r="U59" s="961"/>
      <c r="V59" s="961"/>
      <c r="W59" s="961"/>
      <c r="X59" s="961"/>
      <c r="Y59" s="961"/>
      <c r="Z59" s="961"/>
      <c r="AA59" s="961"/>
      <c r="AB59" s="961"/>
      <c r="AC59" s="961"/>
      <c r="AD59" s="961"/>
      <c r="AE59" s="961"/>
      <c r="AF59" s="961"/>
      <c r="AG59" s="961"/>
      <c r="AH59" s="961"/>
    </row>
    <row r="60" spans="1:34" s="963" customFormat="1">
      <c r="A60" s="963" t="s">
        <v>857</v>
      </c>
      <c r="C60" s="970"/>
      <c r="E60" s="963">
        <f>E45-E58</f>
        <v>79365</v>
      </c>
      <c r="G60" s="963">
        <f>G45-G58</f>
        <v>84941.289999999921</v>
      </c>
      <c r="I60" s="963">
        <f>I45-I58</f>
        <v>90329.628999999841</v>
      </c>
      <c r="K60" s="963">
        <f>K45-K58</f>
        <v>95513.742393249646</v>
      </c>
      <c r="M60" s="963">
        <f>M45-M58</f>
        <v>100476.53837535949</v>
      </c>
      <c r="O60" s="963">
        <f>O45-O58</f>
        <v>105200.07290852969</v>
      </c>
      <c r="Q60" s="963">
        <f>Q45-Q58</f>
        <v>109665.51328676805</v>
      </c>
      <c r="S60" s="963">
        <f>S45-S58</f>
        <v>113853.10024821784</v>
      </c>
      <c r="U60" s="963">
        <f>U45-U58</f>
        <v>117742.10857869011</v>
      </c>
      <c r="W60" s="963">
        <f>W45-W58</f>
        <v>121310.80614836403</v>
      </c>
      <c r="Y60" s="963">
        <f>Y45-Y58</f>
        <v>124536.41132144556</v>
      </c>
      <c r="AA60" s="963">
        <f>AA45-AA58</f>
        <v>127395.04867628193</v>
      </c>
      <c r="AC60" s="963">
        <f>AC45-AC58</f>
        <v>129861.70297107361</v>
      </c>
      <c r="AE60" s="963">
        <f>AE45-AE58</f>
        <v>131910.17128788197</v>
      </c>
      <c r="AG60" s="963">
        <f>AG45-AG58</f>
        <v>133513.01328507089</v>
      </c>
    </row>
    <row r="61" spans="1:34" s="3" customFormat="1" ht="8.25" customHeight="1">
      <c r="C61" s="962"/>
      <c r="E61" s="961"/>
      <c r="F61" s="961"/>
      <c r="G61" s="961"/>
      <c r="H61" s="961"/>
      <c r="I61" s="961"/>
      <c r="J61" s="961"/>
      <c r="K61" s="961"/>
      <c r="L61" s="961"/>
      <c r="M61" s="961"/>
      <c r="N61" s="961"/>
      <c r="O61" s="961"/>
      <c r="P61" s="961"/>
      <c r="Q61" s="961"/>
      <c r="R61" s="961"/>
      <c r="S61" s="961"/>
      <c r="T61" s="961"/>
      <c r="U61" s="961"/>
      <c r="V61" s="961"/>
      <c r="W61" s="961"/>
      <c r="X61" s="961"/>
      <c r="Y61" s="961"/>
      <c r="Z61" s="961"/>
      <c r="AA61" s="961"/>
      <c r="AB61" s="961"/>
      <c r="AC61" s="961"/>
      <c r="AD61" s="961"/>
      <c r="AE61" s="961"/>
      <c r="AF61" s="961"/>
      <c r="AG61" s="961"/>
      <c r="AH61" s="961"/>
    </row>
    <row r="62" spans="1:34" s="963" customFormat="1">
      <c r="A62" s="963" t="s">
        <v>856</v>
      </c>
      <c r="C62" s="960">
        <v>1</v>
      </c>
      <c r="E62" s="965">
        <f>E60*$C$62</f>
        <v>79365</v>
      </c>
      <c r="G62" s="963">
        <f>G60*$C$62</f>
        <v>84941.289999999921</v>
      </c>
      <c r="I62" s="963">
        <f>I60*$C$62</f>
        <v>90329.628999999841</v>
      </c>
      <c r="K62" s="963">
        <f>K60*$C$62</f>
        <v>95513.742393249646</v>
      </c>
      <c r="M62" s="963">
        <f>M60*$C$62</f>
        <v>100476.53837535949</v>
      </c>
      <c r="O62" s="963">
        <f>O60*$C$62</f>
        <v>105200.07290852969</v>
      </c>
      <c r="Q62" s="963">
        <f>Q60*$C$62</f>
        <v>109665.51328676805</v>
      </c>
      <c r="S62" s="963">
        <f>S60*$C$62</f>
        <v>113853.10024821784</v>
      </c>
      <c r="U62" s="963">
        <f>U60*$C$62</f>
        <v>117742.10857869011</v>
      </c>
      <c r="W62" s="963">
        <f>W60*$C$62</f>
        <v>121310.80614836403</v>
      </c>
      <c r="Y62" s="963">
        <f>Y60*$C$62</f>
        <v>124536.41132144556</v>
      </c>
      <c r="AA62" s="963">
        <f>AA60*$C$62</f>
        <v>127395.04867628193</v>
      </c>
      <c r="AC62" s="963">
        <f>AC60*$C$62</f>
        <v>129861.70297107361</v>
      </c>
      <c r="AE62" s="963">
        <f>AE60*$C$62</f>
        <v>131910.17128788197</v>
      </c>
      <c r="AG62" s="963">
        <f>AG60*$C$62</f>
        <v>133513.01328507089</v>
      </c>
    </row>
    <row r="63" spans="1:34" s="963" customFormat="1">
      <c r="A63" s="2703" t="s">
        <v>1183</v>
      </c>
      <c r="B63" s="2703"/>
      <c r="C63" s="2703"/>
    </row>
    <row r="64" spans="1:34" s="3" customFormat="1" ht="8.25" customHeight="1">
      <c r="C64" s="962"/>
      <c r="E64" s="961"/>
      <c r="F64" s="961"/>
      <c r="G64" s="961"/>
      <c r="H64" s="961"/>
      <c r="I64" s="961"/>
      <c r="J64" s="961"/>
      <c r="K64" s="961"/>
      <c r="L64" s="961"/>
      <c r="M64" s="961"/>
      <c r="N64" s="961"/>
      <c r="O64" s="961"/>
      <c r="P64" s="961"/>
      <c r="Q64" s="961"/>
      <c r="R64" s="961"/>
      <c r="S64" s="961"/>
      <c r="T64" s="961"/>
      <c r="U64" s="961"/>
      <c r="V64" s="961"/>
      <c r="W64" s="961"/>
      <c r="X64" s="961"/>
      <c r="Y64" s="961"/>
      <c r="Z64" s="961"/>
      <c r="AA64" s="961"/>
      <c r="AB64" s="961"/>
      <c r="AC64" s="961"/>
      <c r="AD64" s="961"/>
      <c r="AE64" s="961"/>
      <c r="AF64" s="961"/>
      <c r="AG64" s="961"/>
      <c r="AH64" s="961"/>
    </row>
    <row r="65" spans="1:34" s="3" customFormat="1">
      <c r="A65" s="3" t="s">
        <v>860</v>
      </c>
      <c r="C65" s="960">
        <v>0</v>
      </c>
      <c r="E65" s="961"/>
      <c r="F65" s="961"/>
      <c r="G65" s="961"/>
      <c r="H65" s="961"/>
      <c r="I65" s="961"/>
      <c r="J65" s="961"/>
      <c r="K65" s="961"/>
      <c r="L65" s="961"/>
      <c r="M65" s="961"/>
      <c r="N65" s="961"/>
      <c r="O65" s="961"/>
      <c r="P65" s="961"/>
      <c r="Q65" s="961"/>
      <c r="R65" s="961"/>
      <c r="S65" s="961"/>
      <c r="T65" s="961"/>
      <c r="U65" s="961"/>
      <c r="V65" s="961"/>
      <c r="W65" s="961"/>
      <c r="X65" s="961"/>
      <c r="Y65" s="961"/>
      <c r="Z65" s="961"/>
      <c r="AA65" s="961"/>
      <c r="AB65" s="961"/>
      <c r="AC65" s="961"/>
      <c r="AD65" s="961"/>
      <c r="AE65" s="961"/>
      <c r="AF65" s="961"/>
      <c r="AG65" s="961"/>
      <c r="AH65" s="961"/>
    </row>
    <row r="66" spans="1:34" s="963" customFormat="1">
      <c r="A66" s="965"/>
      <c r="B66" s="965"/>
      <c r="C66" s="964"/>
      <c r="E66" s="965">
        <f>$E60*$C$65</f>
        <v>0</v>
      </c>
      <c r="G66" s="961">
        <f>G60*$C$65</f>
        <v>0</v>
      </c>
      <c r="I66" s="961">
        <f>I60*$C$65</f>
        <v>0</v>
      </c>
      <c r="K66" s="961">
        <f>K60*$C$65</f>
        <v>0</v>
      </c>
      <c r="M66" s="961">
        <f>M60*$C$65</f>
        <v>0</v>
      </c>
      <c r="O66" s="961">
        <f>O60*$C$65</f>
        <v>0</v>
      </c>
      <c r="Q66" s="961">
        <f>Q60*$C$65</f>
        <v>0</v>
      </c>
      <c r="S66" s="961">
        <f>S60*$C$65</f>
        <v>0</v>
      </c>
      <c r="U66" s="961">
        <f>U60*$C$65</f>
        <v>0</v>
      </c>
      <c r="W66" s="961">
        <f>W60*$C$65</f>
        <v>0</v>
      </c>
      <c r="Y66" s="961">
        <f>Y60*$C$65</f>
        <v>0</v>
      </c>
      <c r="AA66" s="961">
        <f>AA60*$C$65</f>
        <v>0</v>
      </c>
      <c r="AC66" s="961">
        <f>AC60*$C$65</f>
        <v>0</v>
      </c>
      <c r="AE66" s="961">
        <f>AE60*$C$65</f>
        <v>0</v>
      </c>
      <c r="AG66" s="961">
        <f>AG60*$C$65</f>
        <v>0</v>
      </c>
    </row>
    <row r="67" spans="1:34" s="961" customFormat="1">
      <c r="A67" s="966"/>
      <c r="B67" s="966"/>
      <c r="C67" s="971"/>
      <c r="E67" s="965">
        <f>$E60*$C$65</f>
        <v>0</v>
      </c>
      <c r="G67" s="961">
        <f>G60*$C$65</f>
        <v>0</v>
      </c>
      <c r="I67" s="961">
        <f>I60*$C$65</f>
        <v>0</v>
      </c>
      <c r="K67" s="961">
        <f>K60*$C$65</f>
        <v>0</v>
      </c>
      <c r="M67" s="961">
        <f>M60*$C$65</f>
        <v>0</v>
      </c>
      <c r="O67" s="961">
        <f>O60*$C$65</f>
        <v>0</v>
      </c>
      <c r="Q67" s="961">
        <f>Q60*$C$65</f>
        <v>0</v>
      </c>
      <c r="S67" s="961">
        <f>S60*$C$65</f>
        <v>0</v>
      </c>
      <c r="U67" s="961">
        <f>U60*$C$65</f>
        <v>0</v>
      </c>
      <c r="W67" s="961">
        <f>W60*$C$65</f>
        <v>0</v>
      </c>
      <c r="Y67" s="961">
        <f>Y60*$C$65</f>
        <v>0</v>
      </c>
      <c r="AA67" s="961">
        <f>AA60*$C$65</f>
        <v>0</v>
      </c>
      <c r="AC67" s="961">
        <f>AC60*$C$65</f>
        <v>0</v>
      </c>
      <c r="AE67" s="961">
        <f>AE60*$C$65</f>
        <v>0</v>
      </c>
      <c r="AG67" s="961">
        <f>AG60*$C$65</f>
        <v>0</v>
      </c>
    </row>
    <row r="68" spans="1:34" s="961" customFormat="1">
      <c r="A68" s="966"/>
      <c r="B68" s="966"/>
      <c r="C68" s="971"/>
      <c r="E68" s="966"/>
      <c r="G68" s="961">
        <f t="shared" ref="G68:AG69" si="2">E68*$C$66</f>
        <v>0</v>
      </c>
      <c r="I68" s="961">
        <f t="shared" si="2"/>
        <v>0</v>
      </c>
      <c r="K68" s="961">
        <f t="shared" si="2"/>
        <v>0</v>
      </c>
      <c r="M68" s="961">
        <f t="shared" si="2"/>
        <v>0</v>
      </c>
      <c r="O68" s="961">
        <f t="shared" si="2"/>
        <v>0</v>
      </c>
      <c r="Q68" s="961">
        <f t="shared" si="2"/>
        <v>0</v>
      </c>
      <c r="S68" s="961">
        <f t="shared" si="2"/>
        <v>0</v>
      </c>
      <c r="U68" s="961">
        <f t="shared" si="2"/>
        <v>0</v>
      </c>
      <c r="W68" s="961">
        <f t="shared" si="2"/>
        <v>0</v>
      </c>
      <c r="Y68" s="961">
        <f t="shared" si="2"/>
        <v>0</v>
      </c>
      <c r="AA68" s="961">
        <f t="shared" si="2"/>
        <v>0</v>
      </c>
      <c r="AC68" s="961">
        <f t="shared" si="2"/>
        <v>0</v>
      </c>
      <c r="AE68" s="961">
        <f t="shared" si="2"/>
        <v>0</v>
      </c>
      <c r="AG68" s="961">
        <f t="shared" si="2"/>
        <v>0</v>
      </c>
    </row>
    <row r="69" spans="1:34" s="961" customFormat="1">
      <c r="A69" s="966"/>
      <c r="B69" s="966"/>
      <c r="C69" s="971"/>
      <c r="E69" s="968"/>
      <c r="G69" s="969">
        <f t="shared" si="2"/>
        <v>0</v>
      </c>
      <c r="I69" s="969">
        <f t="shared" si="2"/>
        <v>0</v>
      </c>
      <c r="K69" s="969">
        <f t="shared" si="2"/>
        <v>0</v>
      </c>
      <c r="M69" s="969">
        <f t="shared" si="2"/>
        <v>0</v>
      </c>
      <c r="O69" s="969">
        <f t="shared" si="2"/>
        <v>0</v>
      </c>
      <c r="Q69" s="969">
        <f t="shared" si="2"/>
        <v>0</v>
      </c>
      <c r="S69" s="969">
        <f t="shared" si="2"/>
        <v>0</v>
      </c>
      <c r="U69" s="969">
        <f t="shared" si="2"/>
        <v>0</v>
      </c>
      <c r="W69" s="969">
        <f t="shared" si="2"/>
        <v>0</v>
      </c>
      <c r="Y69" s="969">
        <f t="shared" si="2"/>
        <v>0</v>
      </c>
      <c r="AA69" s="969">
        <f t="shared" si="2"/>
        <v>0</v>
      </c>
      <c r="AC69" s="969">
        <f t="shared" si="2"/>
        <v>0</v>
      </c>
      <c r="AE69" s="969">
        <f t="shared" si="2"/>
        <v>0</v>
      </c>
      <c r="AG69" s="969">
        <f t="shared" si="2"/>
        <v>0</v>
      </c>
    </row>
    <row r="70" spans="1:34" s="961" customFormat="1">
      <c r="A70" s="963" t="s">
        <v>852</v>
      </c>
      <c r="C70" s="971"/>
      <c r="E70" s="961">
        <f>SUM(E66:E69)</f>
        <v>0</v>
      </c>
      <c r="G70" s="961">
        <f>SUM(G66:G69)</f>
        <v>0</v>
      </c>
      <c r="I70" s="961">
        <f>SUM(I66:I69)</f>
        <v>0</v>
      </c>
      <c r="K70" s="961">
        <f>SUM(K66:K69)</f>
        <v>0</v>
      </c>
      <c r="M70" s="961">
        <f>SUM(M66:M69)</f>
        <v>0</v>
      </c>
      <c r="O70" s="961">
        <f>SUM(O66:O69)</f>
        <v>0</v>
      </c>
      <c r="Q70" s="961">
        <f>SUM(Q66:Q69)</f>
        <v>0</v>
      </c>
      <c r="S70" s="961">
        <f>SUM(S66:S69)</f>
        <v>0</v>
      </c>
      <c r="U70" s="961">
        <f>SUM(U66:U69)</f>
        <v>0</v>
      </c>
      <c r="W70" s="961">
        <f>SUM(W66:W69)</f>
        <v>0</v>
      </c>
      <c r="Y70" s="961">
        <f>SUM(Y66:Y69)</f>
        <v>0</v>
      </c>
      <c r="AA70" s="961">
        <f>SUM(AA66:AA69)</f>
        <v>0</v>
      </c>
      <c r="AC70" s="961">
        <f>SUM(AC66:AC69)</f>
        <v>0</v>
      </c>
      <c r="AE70" s="961">
        <f>SUM(AE66:AE69)</f>
        <v>0</v>
      </c>
      <c r="AG70" s="961">
        <f>SUM(AG66:AG69)</f>
        <v>0</v>
      </c>
    </row>
    <row r="71" spans="1:34" s="961" customFormat="1">
      <c r="A71" s="963"/>
      <c r="C71" s="971"/>
    </row>
    <row r="72" spans="1:34" s="961" customFormat="1">
      <c r="A72" s="963" t="s">
        <v>1722</v>
      </c>
      <c r="C72" s="971"/>
      <c r="E72" s="963">
        <f>E60-E62-E70</f>
        <v>0</v>
      </c>
      <c r="G72" s="963">
        <f>G60-G62-G70</f>
        <v>0</v>
      </c>
      <c r="I72" s="963">
        <f>I60-I62-I70</f>
        <v>0</v>
      </c>
      <c r="K72" s="963">
        <f>K60-K62-K70</f>
        <v>0</v>
      </c>
      <c r="M72" s="963">
        <f>M60-M62-M70</f>
        <v>0</v>
      </c>
      <c r="O72" s="963">
        <f>O60-O62-O70</f>
        <v>0</v>
      </c>
      <c r="Q72" s="963">
        <f>Q60-Q62-Q70</f>
        <v>0</v>
      </c>
      <c r="S72" s="963">
        <f>S60-S62-S70</f>
        <v>0</v>
      </c>
      <c r="U72" s="963">
        <f>U60-U62-U70</f>
        <v>0</v>
      </c>
      <c r="W72" s="963">
        <f>W60-W62-W70</f>
        <v>0</v>
      </c>
      <c r="Y72" s="963">
        <f>Y60-Y62-Y70</f>
        <v>0</v>
      </c>
      <c r="AA72" s="963">
        <f>AA60-AA62-AA70</f>
        <v>0</v>
      </c>
      <c r="AC72" s="963">
        <f>AC60-AC62-AC70</f>
        <v>0</v>
      </c>
      <c r="AE72" s="963">
        <f>AE60-AE62-AE70</f>
        <v>0</v>
      </c>
      <c r="AG72" s="963">
        <f>AG60-AG62-AG70</f>
        <v>0</v>
      </c>
    </row>
    <row r="73" spans="1:34" s="961" customFormat="1" ht="13">
      <c r="A73" s="530"/>
      <c r="C73" s="971"/>
    </row>
    <row r="74" spans="1:34" s="218" customFormat="1" ht="13">
      <c r="A74" s="530"/>
      <c r="C74" s="183"/>
    </row>
    <row r="75" spans="1:34" s="218" customFormat="1">
      <c r="A75" s="961" t="s">
        <v>1721</v>
      </c>
      <c r="C75" s="183"/>
    </row>
    <row r="76" spans="1:34" s="218" customFormat="1">
      <c r="C76" s="183"/>
    </row>
    <row r="77" spans="1:34" s="235" customFormat="1" ht="30" customHeight="1">
      <c r="A77" s="2701" t="s">
        <v>1720</v>
      </c>
      <c r="B77" s="2702"/>
      <c r="C77" s="2702"/>
      <c r="D77" s="2702"/>
      <c r="E77" s="2702"/>
      <c r="F77" s="2702"/>
      <c r="G77" s="2702"/>
      <c r="H77" s="2702"/>
      <c r="I77" s="2702"/>
      <c r="J77" s="2702"/>
      <c r="K77" s="2702"/>
      <c r="L77" s="2702"/>
      <c r="M77" s="2702"/>
      <c r="N77" s="2702"/>
      <c r="O77" s="2702"/>
      <c r="P77" s="2702"/>
      <c r="Q77" s="2702"/>
      <c r="R77" s="2702"/>
      <c r="S77" s="2702"/>
      <c r="T77" s="2702"/>
      <c r="U77" s="2702"/>
      <c r="V77" s="2702"/>
      <c r="W77" s="2702"/>
      <c r="X77" s="2702"/>
      <c r="Y77" s="2702"/>
      <c r="Z77" s="2702"/>
      <c r="AA77" s="2702"/>
      <c r="AB77" s="2702"/>
      <c r="AC77" s="2702"/>
      <c r="AD77" s="2702"/>
      <c r="AE77" s="2702"/>
      <c r="AF77" s="2702"/>
      <c r="AG77" s="270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2.5" zeroHeight="1"/>
  <cols>
    <col min="1" max="1" width="161.7265625" customWidth="1"/>
    <col min="2" max="16384" width="8.81640625" hidden="1"/>
  </cols>
  <sheetData>
    <row r="1" spans="1:1" ht="46.5">
      <c r="A1" s="314" t="s">
        <v>970</v>
      </c>
    </row>
    <row r="2" spans="1:1" ht="15.5">
      <c r="A2" s="315"/>
    </row>
    <row r="3" spans="1:1" ht="15.5">
      <c r="A3" s="316" t="s">
        <v>965</v>
      </c>
    </row>
    <row r="4" spans="1:1" ht="15.5">
      <c r="A4" s="316" t="s">
        <v>966</v>
      </c>
    </row>
    <row r="5" spans="1:1" ht="15.5">
      <c r="A5" s="316" t="s">
        <v>967</v>
      </c>
    </row>
    <row r="6" spans="1:1" ht="15.5">
      <c r="A6" s="316" t="s">
        <v>969</v>
      </c>
    </row>
    <row r="7" spans="1:1" ht="15.5">
      <c r="A7" s="316" t="s">
        <v>968</v>
      </c>
    </row>
    <row r="8" spans="1:1" ht="15.5">
      <c r="A8" s="347" t="s">
        <v>1023</v>
      </c>
    </row>
    <row r="9" spans="1:1" ht="15.5">
      <c r="A9" s="316" t="s">
        <v>1024</v>
      </c>
    </row>
  </sheetData>
  <sheetProtection algorithmName="SHA-512" hashValue="MJ38VdBPcRPeFkIpamdOp5f74HI9QhoIePg8D38RwHf5UPcq59DjEPmTjKriPyXiBmcAMzWzHJj3I3CEMTY1jg==" saltValue="mZIUeJdIhf0VSuIRDGMDG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topLeftCell="A94" workbookViewId="0">
      <selection activeCell="K28" sqref="K28"/>
    </sheetView>
  </sheetViews>
  <sheetFormatPr defaultColWidth="9.1796875" defaultRowHeight="12.5" zeroHeight="1"/>
  <cols>
    <col min="1" max="1" width="35.7265625" style="205" customWidth="1"/>
    <col min="2" max="4" width="14.7265625" style="205" customWidth="1"/>
    <col min="5" max="5" width="50.7265625" style="205" customWidth="1"/>
    <col min="6" max="253" width="9.1796875" style="205" customWidth="1"/>
    <col min="254" max="16384" width="9.1796875" style="205"/>
  </cols>
  <sheetData>
    <row r="1" spans="1:6" s="276" customFormat="1" ht="18" customHeight="1">
      <c r="A1" s="514" t="s">
        <v>1216</v>
      </c>
      <c r="D1" s="281"/>
    </row>
    <row r="2" spans="1:6" s="276" customFormat="1" ht="13">
      <c r="A2" s="260" t="s">
        <v>888</v>
      </c>
      <c r="B2" s="262"/>
      <c r="C2" s="262"/>
      <c r="D2" s="259"/>
      <c r="E2" s="263"/>
      <c r="F2" s="262"/>
    </row>
    <row r="3" spans="1:6" s="352" customFormat="1" ht="80.25" customHeight="1">
      <c r="A3" s="278"/>
      <c r="B3" s="264" t="s">
        <v>889</v>
      </c>
      <c r="C3" s="264" t="s">
        <v>890</v>
      </c>
      <c r="D3" s="264" t="s">
        <v>891</v>
      </c>
      <c r="E3" s="261" t="s">
        <v>892</v>
      </c>
      <c r="F3" s="261"/>
    </row>
    <row r="4" spans="1:6" s="353" customFormat="1" ht="13">
      <c r="A4" s="265" t="s">
        <v>26</v>
      </c>
      <c r="B4" s="265"/>
      <c r="C4" s="265"/>
      <c r="D4" s="265"/>
      <c r="E4" s="283"/>
      <c r="F4" s="265"/>
    </row>
    <row r="5" spans="1:6" s="353" customFormat="1">
      <c r="A5" s="365" t="s">
        <v>27</v>
      </c>
      <c r="B5" s="267">
        <f>'Sources and Uses Budget'!$C4</f>
        <v>4600000</v>
      </c>
      <c r="C5" s="267">
        <f>'Sources and Uses Budget'!$C4</f>
        <v>4600000</v>
      </c>
      <c r="D5" s="271">
        <f>C5-B5</f>
        <v>0</v>
      </c>
      <c r="E5" s="269"/>
      <c r="F5" s="268"/>
    </row>
    <row r="6" spans="1:6" s="353" customFormat="1">
      <c r="A6" s="365" t="s">
        <v>28</v>
      </c>
      <c r="B6" s="267">
        <f>'Sources and Uses Budget'!$C5</f>
        <v>0</v>
      </c>
      <c r="C6" s="267">
        <f>'Sources and Uses Budget'!$C5</f>
        <v>0</v>
      </c>
      <c r="D6" s="271">
        <f t="shared" ref="D6:D77" si="0">C6-B6</f>
        <v>0</v>
      </c>
      <c r="E6" s="269"/>
      <c r="F6" s="268"/>
    </row>
    <row r="7" spans="1:6" s="353" customFormat="1">
      <c r="A7" s="365" t="s">
        <v>29</v>
      </c>
      <c r="B7" s="267">
        <f>'Sources and Uses Budget'!$C6</f>
        <v>0</v>
      </c>
      <c r="C7" s="267">
        <f>'Sources and Uses Budget'!$C6</f>
        <v>0</v>
      </c>
      <c r="D7" s="271">
        <f t="shared" si="0"/>
        <v>0</v>
      </c>
      <c r="E7" s="269"/>
      <c r="F7" s="268"/>
    </row>
    <row r="8" spans="1:6" s="353" customFormat="1">
      <c r="A8" s="365" t="s">
        <v>97</v>
      </c>
      <c r="B8" s="267">
        <f>'Sources and Uses Budget'!$C7</f>
        <v>0</v>
      </c>
      <c r="C8" s="267">
        <f>'Sources and Uses Budget'!$C7</f>
        <v>0</v>
      </c>
      <c r="D8" s="271">
        <f t="shared" si="0"/>
        <v>0</v>
      </c>
      <c r="E8" s="269"/>
      <c r="F8" s="268"/>
    </row>
    <row r="9" spans="1:6" s="353" customFormat="1">
      <c r="A9" s="366" t="s">
        <v>592</v>
      </c>
      <c r="B9" s="271">
        <f>SUM(B5:B8)</f>
        <v>4600000</v>
      </c>
      <c r="C9" s="271">
        <f>SUM(C5:C8)</f>
        <v>4600000</v>
      </c>
      <c r="D9" s="271">
        <f t="shared" si="0"/>
        <v>0</v>
      </c>
      <c r="E9" s="269"/>
      <c r="F9" s="268"/>
    </row>
    <row r="10" spans="1:6" s="353" customFormat="1">
      <c r="A10" s="365" t="s">
        <v>593</v>
      </c>
      <c r="B10" s="267">
        <f>'Sources and Uses Budget'!$C9</f>
        <v>9000000</v>
      </c>
      <c r="C10" s="267">
        <f>'Sources and Uses Budget'!$C9</f>
        <v>9000000</v>
      </c>
      <c r="D10" s="271">
        <f t="shared" si="0"/>
        <v>0</v>
      </c>
      <c r="E10" s="269"/>
      <c r="F10" s="268"/>
    </row>
    <row r="11" spans="1:6" s="353" customFormat="1">
      <c r="A11" s="365" t="s">
        <v>594</v>
      </c>
      <c r="B11" s="267">
        <f>'Sources and Uses Budget'!$C10</f>
        <v>0</v>
      </c>
      <c r="C11" s="267">
        <f>'Sources and Uses Budget'!$C10</f>
        <v>0</v>
      </c>
      <c r="D11" s="271">
        <f t="shared" si="0"/>
        <v>0</v>
      </c>
      <c r="E11" s="269"/>
      <c r="F11" s="268"/>
    </row>
    <row r="12" spans="1:6" s="353" customFormat="1">
      <c r="A12" s="366" t="s">
        <v>595</v>
      </c>
      <c r="B12" s="271">
        <f>SUM(B10:B11)</f>
        <v>9000000</v>
      </c>
      <c r="C12" s="271">
        <f>SUM(C10:C11)</f>
        <v>9000000</v>
      </c>
      <c r="D12" s="271">
        <f t="shared" si="0"/>
        <v>0</v>
      </c>
      <c r="E12" s="269"/>
      <c r="F12" s="268"/>
    </row>
    <row r="13" spans="1:6" s="353" customFormat="1">
      <c r="A13" s="366" t="s">
        <v>84</v>
      </c>
      <c r="B13" s="271">
        <f>SUM(B9+B12)</f>
        <v>13600000</v>
      </c>
      <c r="C13" s="271">
        <f>SUM(C9+C12)</f>
        <v>13600000</v>
      </c>
      <c r="D13" s="271">
        <f t="shared" si="0"/>
        <v>0</v>
      </c>
      <c r="E13" s="269"/>
      <c r="F13" s="268"/>
    </row>
    <row r="14" spans="1:6" s="353" customFormat="1">
      <c r="A14" s="367" t="s">
        <v>901</v>
      </c>
      <c r="B14" s="267">
        <f>'Sources and Uses Budget'!$C13</f>
        <v>0</v>
      </c>
      <c r="C14" s="267">
        <f>'Sources and Uses Budget'!$C13</f>
        <v>0</v>
      </c>
      <c r="D14" s="271">
        <f t="shared" si="0"/>
        <v>0</v>
      </c>
      <c r="E14" s="269"/>
      <c r="F14" s="268"/>
    </row>
    <row r="15" spans="1:6" s="353" customFormat="1" ht="23">
      <c r="A15" s="365" t="s">
        <v>902</v>
      </c>
      <c r="B15" s="267">
        <f>'Sources and Uses Budget'!$C14</f>
        <v>0</v>
      </c>
      <c r="C15" s="267">
        <f>'Sources and Uses Budget'!$C14</f>
        <v>0</v>
      </c>
      <c r="D15" s="271">
        <f t="shared" si="0"/>
        <v>0</v>
      </c>
      <c r="E15" s="269"/>
      <c r="F15" s="268"/>
    </row>
    <row r="16" spans="1:6" s="353" customFormat="1">
      <c r="A16" s="365" t="s">
        <v>1160</v>
      </c>
      <c r="B16" s="267">
        <f>'Sources and Uses Budget'!$C15</f>
        <v>0</v>
      </c>
      <c r="C16" s="267">
        <f>'Sources and Uses Budget'!$C15</f>
        <v>0</v>
      </c>
      <c r="D16" s="271">
        <f t="shared" si="0"/>
        <v>0</v>
      </c>
      <c r="E16" s="269"/>
      <c r="F16" s="268"/>
    </row>
    <row r="17" spans="1:6" s="353" customFormat="1" ht="13">
      <c r="A17" s="265" t="s">
        <v>596</v>
      </c>
      <c r="B17" s="265"/>
      <c r="C17" s="265"/>
      <c r="D17" s="265"/>
      <c r="E17" s="283"/>
      <c r="F17" s="265"/>
    </row>
    <row r="18" spans="1:6" s="353" customFormat="1">
      <c r="A18" s="145" t="s">
        <v>597</v>
      </c>
      <c r="B18" s="267">
        <f>'Sources and Uses Budget'!$C17</f>
        <v>0</v>
      </c>
      <c r="C18" s="267">
        <f>'Sources and Uses Budget'!$C17</f>
        <v>0</v>
      </c>
      <c r="D18" s="271">
        <f t="shared" si="0"/>
        <v>0</v>
      </c>
      <c r="E18" s="269"/>
      <c r="F18" s="268"/>
    </row>
    <row r="19" spans="1:6" s="353" customFormat="1">
      <c r="A19" s="145" t="s">
        <v>598</v>
      </c>
      <c r="B19" s="267">
        <f>'Sources and Uses Budget'!$C18</f>
        <v>8419656</v>
      </c>
      <c r="C19" s="267">
        <f>'Sources and Uses Budget'!$C18</f>
        <v>8419656</v>
      </c>
      <c r="D19" s="271">
        <f t="shared" si="0"/>
        <v>0</v>
      </c>
      <c r="E19" s="269"/>
      <c r="F19" s="268"/>
    </row>
    <row r="20" spans="1:6" s="353" customFormat="1">
      <c r="A20" s="145" t="s">
        <v>599</v>
      </c>
      <c r="B20" s="267">
        <f>'Sources and Uses Budget'!$C19</f>
        <v>520653</v>
      </c>
      <c r="C20" s="267">
        <f>'Sources and Uses Budget'!$C19</f>
        <v>520653</v>
      </c>
      <c r="D20" s="271">
        <f t="shared" si="0"/>
        <v>0</v>
      </c>
      <c r="E20" s="269"/>
      <c r="F20" s="268"/>
    </row>
    <row r="21" spans="1:6" s="353" customFormat="1">
      <c r="A21" s="145" t="s">
        <v>137</v>
      </c>
      <c r="B21" s="267">
        <f>'Sources and Uses Budget'!$C20</f>
        <v>326321</v>
      </c>
      <c r="C21" s="267">
        <f>'Sources and Uses Budget'!$C20</f>
        <v>326321</v>
      </c>
      <c r="D21" s="271">
        <f t="shared" si="0"/>
        <v>0</v>
      </c>
      <c r="E21" s="269"/>
      <c r="F21" s="268"/>
    </row>
    <row r="22" spans="1:6" s="353" customFormat="1">
      <c r="A22" s="145" t="s">
        <v>138</v>
      </c>
      <c r="B22" s="267">
        <f>'Sources and Uses Budget'!$C21</f>
        <v>326321</v>
      </c>
      <c r="C22" s="267">
        <f>'Sources and Uses Budget'!$C21</f>
        <v>326321</v>
      </c>
      <c r="D22" s="271">
        <f t="shared" si="0"/>
        <v>0</v>
      </c>
      <c r="E22" s="269"/>
      <c r="F22" s="268"/>
    </row>
    <row r="23" spans="1:6" s="353" customFormat="1">
      <c r="A23" s="145" t="s">
        <v>139</v>
      </c>
      <c r="B23" s="267">
        <f>'Sources and Uses Budget'!$C22</f>
        <v>0</v>
      </c>
      <c r="C23" s="267">
        <f>'Sources and Uses Budget'!$C22</f>
        <v>0</v>
      </c>
      <c r="D23" s="271">
        <f t="shared" si="0"/>
        <v>0</v>
      </c>
      <c r="E23" s="269"/>
      <c r="F23" s="268"/>
    </row>
    <row r="24" spans="1:6" s="353" customFormat="1">
      <c r="A24" s="145" t="s">
        <v>140</v>
      </c>
      <c r="B24" s="267">
        <f>'Sources and Uses Budget'!$C23</f>
        <v>133211</v>
      </c>
      <c r="C24" s="267">
        <f>'Sources and Uses Budget'!$C23</f>
        <v>133211</v>
      </c>
      <c r="D24" s="271">
        <f t="shared" si="0"/>
        <v>0</v>
      </c>
      <c r="E24" s="269"/>
      <c r="F24" s="268"/>
    </row>
    <row r="25" spans="1:6" s="353" customFormat="1">
      <c r="A25" s="509" t="s">
        <v>1639</v>
      </c>
      <c r="B25" s="267">
        <f>'Sources and Uses Budget'!$C24</f>
        <v>0</v>
      </c>
      <c r="C25" s="267">
        <f>'Sources and Uses Budget'!$C24</f>
        <v>0</v>
      </c>
      <c r="D25" s="271">
        <f t="shared" si="0"/>
        <v>0</v>
      </c>
      <c r="E25" s="269"/>
      <c r="F25" s="268"/>
    </row>
    <row r="26" spans="1:6" s="353" customFormat="1">
      <c r="A26" s="155" t="str">
        <f>'Sources and Uses Budget'!A25</f>
        <v>Other: (Payment and Performance Bond)</v>
      </c>
      <c r="B26" s="267">
        <f>'Sources and Uses Budget'!$C25</f>
        <v>142488</v>
      </c>
      <c r="C26" s="267">
        <f>'Sources and Uses Budget'!$C25</f>
        <v>142488</v>
      </c>
      <c r="D26" s="271">
        <f t="shared" si="0"/>
        <v>0</v>
      </c>
      <c r="E26" s="269"/>
      <c r="F26" s="268"/>
    </row>
    <row r="27" spans="1:6" s="353" customFormat="1" ht="13">
      <c r="A27" s="1019" t="s">
        <v>133</v>
      </c>
      <c r="B27" s="271">
        <f>SUM(B18:B26)</f>
        <v>9868650</v>
      </c>
      <c r="C27" s="271">
        <f>SUM(C18:C26)</f>
        <v>9868650</v>
      </c>
      <c r="D27" s="271">
        <f>SUM(D18:D26)</f>
        <v>0</v>
      </c>
      <c r="E27" s="269"/>
      <c r="F27" s="268"/>
    </row>
    <row r="28" spans="1:6" s="353" customFormat="1" ht="13">
      <c r="A28" s="272" t="s">
        <v>141</v>
      </c>
      <c r="B28" s="267">
        <f>'Sources and Uses Budget'!$C$27</f>
        <v>800000</v>
      </c>
      <c r="C28" s="267">
        <f>'Sources and Uses Budget'!$C$27</f>
        <v>800000</v>
      </c>
      <c r="D28" s="271">
        <f t="shared" si="0"/>
        <v>0</v>
      </c>
      <c r="E28" s="269"/>
      <c r="F28" s="268"/>
    </row>
    <row r="29" spans="1:6" s="353" customFormat="1" ht="13">
      <c r="A29" s="265" t="s">
        <v>142</v>
      </c>
      <c r="B29" s="265"/>
      <c r="C29" s="265"/>
      <c r="D29" s="265"/>
      <c r="E29" s="283"/>
      <c r="F29" s="265"/>
    </row>
    <row r="30" spans="1:6" s="353" customFormat="1">
      <c r="A30" s="145" t="s">
        <v>597</v>
      </c>
      <c r="B30" s="267">
        <f>'Sources and Uses Budget'!$C29</f>
        <v>0</v>
      </c>
      <c r="C30" s="267">
        <f>'Sources and Uses Budget'!$C29</f>
        <v>0</v>
      </c>
      <c r="D30" s="271">
        <f t="shared" si="0"/>
        <v>0</v>
      </c>
      <c r="E30" s="269"/>
      <c r="F30" s="268"/>
    </row>
    <row r="31" spans="1:6" s="353" customFormat="1">
      <c r="A31" s="145" t="s">
        <v>598</v>
      </c>
      <c r="B31" s="267">
        <f>'Sources and Uses Budget'!$C30</f>
        <v>0</v>
      </c>
      <c r="C31" s="267">
        <f>'Sources and Uses Budget'!$C30</f>
        <v>0</v>
      </c>
      <c r="D31" s="271">
        <f t="shared" si="0"/>
        <v>0</v>
      </c>
      <c r="E31" s="269"/>
      <c r="F31" s="268"/>
    </row>
    <row r="32" spans="1:6" s="353" customFormat="1">
      <c r="A32" s="145" t="s">
        <v>599</v>
      </c>
      <c r="B32" s="267">
        <f>'Sources and Uses Budget'!$C31</f>
        <v>0</v>
      </c>
      <c r="C32" s="267">
        <f>'Sources and Uses Budget'!$C31</f>
        <v>0</v>
      </c>
      <c r="D32" s="271">
        <f t="shared" si="0"/>
        <v>0</v>
      </c>
      <c r="E32" s="269"/>
      <c r="F32" s="268"/>
    </row>
    <row r="33" spans="1:6" s="353" customFormat="1">
      <c r="A33" s="145" t="s">
        <v>137</v>
      </c>
      <c r="B33" s="267">
        <f>'Sources and Uses Budget'!$C32</f>
        <v>0</v>
      </c>
      <c r="C33" s="267">
        <f>'Sources and Uses Budget'!$C32</f>
        <v>0</v>
      </c>
      <c r="D33" s="271">
        <f t="shared" si="0"/>
        <v>0</v>
      </c>
      <c r="E33" s="269"/>
      <c r="F33" s="268"/>
    </row>
    <row r="34" spans="1:6" s="353" customFormat="1">
      <c r="A34" s="145" t="s">
        <v>138</v>
      </c>
      <c r="B34" s="267">
        <f>'Sources and Uses Budget'!$C33</f>
        <v>0</v>
      </c>
      <c r="C34" s="267">
        <f>'Sources and Uses Budget'!$C33</f>
        <v>0</v>
      </c>
      <c r="D34" s="271">
        <f t="shared" si="0"/>
        <v>0</v>
      </c>
      <c r="E34" s="269"/>
      <c r="F34" s="268"/>
    </row>
    <row r="35" spans="1:6" s="353" customFormat="1">
      <c r="A35" s="145" t="s">
        <v>139</v>
      </c>
      <c r="B35" s="267">
        <f>'Sources and Uses Budget'!$C34</f>
        <v>0</v>
      </c>
      <c r="C35" s="267">
        <f>'Sources and Uses Budget'!$C34</f>
        <v>0</v>
      </c>
      <c r="D35" s="271">
        <f t="shared" si="0"/>
        <v>0</v>
      </c>
      <c r="E35" s="269"/>
      <c r="F35" s="268"/>
    </row>
    <row r="36" spans="1:6" s="353" customFormat="1">
      <c r="A36" s="145" t="s">
        <v>140</v>
      </c>
      <c r="B36" s="267">
        <f>'Sources and Uses Budget'!$C35</f>
        <v>0</v>
      </c>
      <c r="C36" s="267">
        <f>'Sources and Uses Budget'!$C35</f>
        <v>0</v>
      </c>
      <c r="D36" s="271">
        <f t="shared" si="0"/>
        <v>0</v>
      </c>
      <c r="E36" s="269"/>
      <c r="F36" s="268"/>
    </row>
    <row r="37" spans="1:6" s="353" customFormat="1">
      <c r="A37" s="284" t="s">
        <v>1639</v>
      </c>
      <c r="B37" s="267">
        <f>'Sources and Uses Budget'!$C36</f>
        <v>0</v>
      </c>
      <c r="C37" s="267">
        <f>'Sources and Uses Budget'!$C36</f>
        <v>0</v>
      </c>
      <c r="D37" s="271"/>
      <c r="E37" s="269"/>
      <c r="F37" s="268"/>
    </row>
    <row r="38" spans="1:6" s="353" customFormat="1">
      <c r="A38" s="155" t="str">
        <f>'Sources and Uses Budget'!A37</f>
        <v>Other: (Specify)</v>
      </c>
      <c r="B38" s="267">
        <f>'Sources and Uses Budget'!$C37</f>
        <v>0</v>
      </c>
      <c r="C38" s="267">
        <f>'Sources and Uses Budget'!$C37</f>
        <v>0</v>
      </c>
      <c r="D38" s="271">
        <f t="shared" si="0"/>
        <v>0</v>
      </c>
      <c r="E38" s="269"/>
      <c r="F38" s="268"/>
    </row>
    <row r="39" spans="1:6" s="353" customFormat="1" ht="13">
      <c r="A39" s="272" t="s">
        <v>143</v>
      </c>
      <c r="B39" s="271">
        <f>SUM(B30:B38)</f>
        <v>0</v>
      </c>
      <c r="C39" s="271">
        <f>SUM(C30:C38)</f>
        <v>0</v>
      </c>
      <c r="D39" s="271">
        <f t="shared" si="0"/>
        <v>0</v>
      </c>
      <c r="E39" s="269"/>
      <c r="F39" s="268"/>
    </row>
    <row r="40" spans="1:6" s="353" customFormat="1" ht="13">
      <c r="A40" s="265" t="s">
        <v>144</v>
      </c>
      <c r="B40" s="265"/>
      <c r="C40" s="265"/>
      <c r="D40" s="265"/>
      <c r="E40" s="283"/>
      <c r="F40" s="265"/>
    </row>
    <row r="41" spans="1:6" s="353" customFormat="1">
      <c r="A41" s="270" t="s">
        <v>145</v>
      </c>
      <c r="B41" s="267">
        <f>'Sources and Uses Budget'!$C40</f>
        <v>280000</v>
      </c>
      <c r="C41" s="267">
        <f>'Sources and Uses Budget'!$C40</f>
        <v>280000</v>
      </c>
      <c r="D41" s="271">
        <f t="shared" si="0"/>
        <v>0</v>
      </c>
      <c r="E41" s="269"/>
      <c r="F41" s="268"/>
    </row>
    <row r="42" spans="1:6" s="353" customFormat="1">
      <c r="A42" s="270" t="s">
        <v>146</v>
      </c>
      <c r="B42" s="267">
        <f>'Sources and Uses Budget'!$C41</f>
        <v>0</v>
      </c>
      <c r="C42" s="267">
        <f>'Sources and Uses Budget'!$C41</f>
        <v>0</v>
      </c>
      <c r="D42" s="271">
        <f t="shared" si="0"/>
        <v>0</v>
      </c>
      <c r="E42" s="269"/>
      <c r="F42" s="268"/>
    </row>
    <row r="43" spans="1:6" s="353" customFormat="1" ht="13">
      <c r="A43" s="272" t="s">
        <v>147</v>
      </c>
      <c r="B43" s="271">
        <f>SUM(B41:B42)</f>
        <v>280000</v>
      </c>
      <c r="C43" s="271">
        <f>SUM(C41:C42)</f>
        <v>280000</v>
      </c>
      <c r="D43" s="271">
        <f t="shared" si="0"/>
        <v>0</v>
      </c>
      <c r="E43" s="269"/>
      <c r="F43" s="268"/>
    </row>
    <row r="44" spans="1:6" s="353" customFormat="1" ht="13">
      <c r="A44" s="272" t="s">
        <v>148</v>
      </c>
      <c r="B44" s="267">
        <f>'Sources and Uses Budget'!$C43</f>
        <v>97900</v>
      </c>
      <c r="C44" s="267">
        <f>'Sources and Uses Budget'!$C43</f>
        <v>97900</v>
      </c>
      <c r="D44" s="271">
        <f t="shared" si="0"/>
        <v>0</v>
      </c>
      <c r="E44" s="269"/>
      <c r="F44" s="268"/>
    </row>
    <row r="45" spans="1:6" s="353" customFormat="1" ht="12" customHeight="1">
      <c r="A45" s="265" t="s">
        <v>149</v>
      </c>
      <c r="B45" s="265"/>
      <c r="C45" s="265"/>
      <c r="D45" s="265"/>
      <c r="E45" s="283"/>
      <c r="F45" s="265"/>
    </row>
    <row r="46" spans="1:6" s="353" customFormat="1">
      <c r="A46" s="145" t="s">
        <v>150</v>
      </c>
      <c r="B46" s="267">
        <f>'Sources and Uses Budget'!$C45</f>
        <v>1727434</v>
      </c>
      <c r="C46" s="267">
        <f>'Sources and Uses Budget'!$C45</f>
        <v>1727434</v>
      </c>
      <c r="D46" s="271">
        <f t="shared" si="0"/>
        <v>0</v>
      </c>
      <c r="E46" s="269"/>
      <c r="F46" s="268"/>
    </row>
    <row r="47" spans="1:6" s="353" customFormat="1">
      <c r="A47" s="145" t="s">
        <v>151</v>
      </c>
      <c r="B47" s="267">
        <f>'Sources and Uses Budget'!$C46</f>
        <v>0</v>
      </c>
      <c r="C47" s="267">
        <f>'Sources and Uses Budget'!$C46</f>
        <v>0</v>
      </c>
      <c r="D47" s="271">
        <f t="shared" si="0"/>
        <v>0</v>
      </c>
      <c r="E47" s="269"/>
      <c r="F47" s="268"/>
    </row>
    <row r="48" spans="1:6" s="353" customFormat="1" ht="12" customHeight="1">
      <c r="A48" s="186" t="s">
        <v>152</v>
      </c>
      <c r="B48" s="267">
        <f>'Sources and Uses Budget'!$C47</f>
        <v>0</v>
      </c>
      <c r="C48" s="267">
        <f>'Sources and Uses Budget'!$C47</f>
        <v>0</v>
      </c>
      <c r="D48" s="271">
        <f t="shared" si="0"/>
        <v>0</v>
      </c>
      <c r="E48" s="269"/>
      <c r="F48" s="268"/>
    </row>
    <row r="49" spans="1:6" s="353" customFormat="1">
      <c r="A49" s="145" t="s">
        <v>153</v>
      </c>
      <c r="B49" s="267">
        <f>'Sources and Uses Budget'!$C48</f>
        <v>0</v>
      </c>
      <c r="C49" s="267">
        <f>'Sources and Uses Budget'!$C48</f>
        <v>0</v>
      </c>
      <c r="D49" s="271">
        <f t="shared" si="0"/>
        <v>0</v>
      </c>
      <c r="E49" s="269"/>
      <c r="F49" s="268"/>
    </row>
    <row r="50" spans="1:6" s="353" customFormat="1">
      <c r="A50" s="145" t="s">
        <v>57</v>
      </c>
      <c r="B50" s="267">
        <f>'Sources and Uses Budget'!$C49</f>
        <v>379043</v>
      </c>
      <c r="C50" s="267">
        <f>'Sources and Uses Budget'!$C49</f>
        <v>379043</v>
      </c>
      <c r="D50" s="271">
        <f t="shared" si="0"/>
        <v>0</v>
      </c>
      <c r="E50" s="269"/>
      <c r="F50" s="268"/>
    </row>
    <row r="51" spans="1:6" s="353" customFormat="1">
      <c r="A51" s="145" t="s">
        <v>156</v>
      </c>
      <c r="B51" s="267">
        <f>'Sources and Uses Budget'!$C50</f>
        <v>50000</v>
      </c>
      <c r="C51" s="267">
        <f>'Sources and Uses Budget'!$C50</f>
        <v>50000</v>
      </c>
      <c r="D51" s="271">
        <f t="shared" si="0"/>
        <v>0</v>
      </c>
      <c r="E51" s="269"/>
      <c r="F51" s="268"/>
    </row>
    <row r="52" spans="1:6" s="353" customFormat="1">
      <c r="A52" s="284" t="s">
        <v>154</v>
      </c>
      <c r="B52" s="267">
        <f>'Sources and Uses Budget'!$C51</f>
        <v>0</v>
      </c>
      <c r="C52" s="267">
        <f>'Sources and Uses Budget'!$C51</f>
        <v>0</v>
      </c>
      <c r="D52" s="271">
        <f t="shared" si="0"/>
        <v>0</v>
      </c>
      <c r="E52" s="269"/>
      <c r="F52" s="268"/>
    </row>
    <row r="53" spans="1:6" s="353" customFormat="1">
      <c r="A53" s="145" t="s">
        <v>155</v>
      </c>
      <c r="B53" s="267">
        <f>'Sources and Uses Budget'!$C52</f>
        <v>300000</v>
      </c>
      <c r="C53" s="267">
        <f>'Sources and Uses Budget'!$C52</f>
        <v>300000</v>
      </c>
      <c r="D53" s="271">
        <f t="shared" si="0"/>
        <v>0</v>
      </c>
      <c r="E53" s="269"/>
      <c r="F53" s="268"/>
    </row>
    <row r="54" spans="1:6" s="353" customFormat="1" ht="23">
      <c r="A54" s="155" t="str">
        <f>'Sources and Uses Budget'!A53</f>
        <v>Other: (Bank Construction Inspections &amp; Third Party Reports)</v>
      </c>
      <c r="B54" s="267">
        <f>'Sources and Uses Budget'!$C53</f>
        <v>40000</v>
      </c>
      <c r="C54" s="267">
        <f>'Sources and Uses Budget'!$C53</f>
        <v>40000</v>
      </c>
      <c r="D54" s="271">
        <f t="shared" si="0"/>
        <v>0</v>
      </c>
      <c r="E54" s="269"/>
      <c r="F54" s="268"/>
    </row>
    <row r="55" spans="1:6" s="354" customFormat="1" ht="13">
      <c r="A55" s="272" t="s">
        <v>157</v>
      </c>
      <c r="B55" s="274">
        <f>SUM(B46:B54)</f>
        <v>2496477</v>
      </c>
      <c r="C55" s="274">
        <f>SUM(C46:C54)</f>
        <v>2496477</v>
      </c>
      <c r="D55" s="271">
        <f t="shared" si="0"/>
        <v>0</v>
      </c>
      <c r="E55" s="269"/>
      <c r="F55" s="268"/>
    </row>
    <row r="56" spans="1:6" s="353" customFormat="1" ht="13">
      <c r="A56" s="265" t="s">
        <v>417</v>
      </c>
      <c r="B56" s="265"/>
      <c r="C56" s="265"/>
      <c r="D56" s="265"/>
      <c r="E56" s="283"/>
      <c r="F56" s="265"/>
    </row>
    <row r="57" spans="1:6" s="353" customFormat="1">
      <c r="A57" s="270" t="s">
        <v>158</v>
      </c>
      <c r="B57" s="267">
        <f>'Sources and Uses Budget'!$C56</f>
        <v>0</v>
      </c>
      <c r="C57" s="267">
        <f>'Sources and Uses Budget'!$C56</f>
        <v>0</v>
      </c>
      <c r="D57" s="271">
        <f t="shared" si="0"/>
        <v>0</v>
      </c>
      <c r="E57" s="269"/>
      <c r="F57" s="268"/>
    </row>
    <row r="58" spans="1:6" s="353" customFormat="1" ht="12" customHeight="1">
      <c r="A58" s="270" t="s">
        <v>152</v>
      </c>
      <c r="B58" s="267">
        <f>'Sources and Uses Budget'!$C57</f>
        <v>0</v>
      </c>
      <c r="C58" s="267">
        <f>'Sources and Uses Budget'!$C57</f>
        <v>0</v>
      </c>
      <c r="D58" s="271">
        <f t="shared" si="0"/>
        <v>0</v>
      </c>
      <c r="E58" s="269"/>
      <c r="F58" s="268"/>
    </row>
    <row r="59" spans="1:6" s="353" customFormat="1">
      <c r="A59" s="270" t="s">
        <v>156</v>
      </c>
      <c r="B59" s="267">
        <f>'Sources and Uses Budget'!$C58</f>
        <v>30000</v>
      </c>
      <c r="C59" s="267">
        <f>'Sources and Uses Budget'!$C58</f>
        <v>30000</v>
      </c>
      <c r="D59" s="271">
        <f t="shared" si="0"/>
        <v>0</v>
      </c>
      <c r="E59" s="269"/>
      <c r="F59" s="268"/>
    </row>
    <row r="60" spans="1:6" s="353" customFormat="1">
      <c r="A60" s="270" t="s">
        <v>154</v>
      </c>
      <c r="B60" s="267">
        <f>'Sources and Uses Budget'!$C59</f>
        <v>0</v>
      </c>
      <c r="C60" s="267">
        <f>'Sources and Uses Budget'!$C59</f>
        <v>0</v>
      </c>
      <c r="D60" s="271">
        <f t="shared" si="0"/>
        <v>0</v>
      </c>
      <c r="E60" s="269"/>
      <c r="F60" s="268"/>
    </row>
    <row r="61" spans="1:6" s="353" customFormat="1">
      <c r="A61" s="270" t="s">
        <v>155</v>
      </c>
      <c r="B61" s="267">
        <f>'Sources and Uses Budget'!$C60</f>
        <v>0</v>
      </c>
      <c r="C61" s="267">
        <f>'Sources and Uses Budget'!$C60</f>
        <v>0</v>
      </c>
      <c r="D61" s="271">
        <f t="shared" si="0"/>
        <v>0</v>
      </c>
      <c r="E61" s="269"/>
      <c r="F61" s="268"/>
    </row>
    <row r="62" spans="1:6" s="353" customFormat="1">
      <c r="A62" s="1020" t="str">
        <f>'Sources and Uses Budget'!A61</f>
        <v>Other: (Specify)</v>
      </c>
      <c r="B62" s="267">
        <f>'Sources and Uses Budget'!$C61</f>
        <v>0</v>
      </c>
      <c r="C62" s="267">
        <f>'Sources and Uses Budget'!$C61</f>
        <v>0</v>
      </c>
      <c r="D62" s="271">
        <f t="shared" si="0"/>
        <v>0</v>
      </c>
      <c r="E62" s="269"/>
      <c r="F62" s="268"/>
    </row>
    <row r="63" spans="1:6" s="353" customFormat="1" ht="13.75" customHeight="1">
      <c r="A63" s="272" t="s">
        <v>300</v>
      </c>
      <c r="B63" s="271">
        <f>SUM(B57:B62)</f>
        <v>30000</v>
      </c>
      <c r="C63" s="271">
        <f>SUM(C57:C62)</f>
        <v>30000</v>
      </c>
      <c r="D63" s="271">
        <f t="shared" si="0"/>
        <v>0</v>
      </c>
      <c r="E63" s="269"/>
      <c r="F63" s="268"/>
    </row>
    <row r="64" spans="1:6" s="353" customFormat="1" ht="13">
      <c r="A64" s="275" t="s">
        <v>301</v>
      </c>
      <c r="B64" s="271">
        <f>SUM(B9+B12+B14+B15+B17+B26+B28+B39+B43+B44+B55+B63)</f>
        <v>17446865</v>
      </c>
      <c r="C64" s="271">
        <f>SUM(C9+C12+C14+C15+C17+C26+C28+C39+C43+C44+C55+C63)</f>
        <v>17446865</v>
      </c>
      <c r="D64" s="271">
        <f t="shared" si="0"/>
        <v>0</v>
      </c>
      <c r="E64" s="269"/>
      <c r="F64" s="268"/>
    </row>
    <row r="65" spans="1:6" s="353" customFormat="1" ht="24">
      <c r="A65" s="141" t="s">
        <v>1643</v>
      </c>
      <c r="B65" s="265"/>
      <c r="C65" s="265"/>
      <c r="D65" s="265"/>
      <c r="E65" s="283"/>
      <c r="F65" s="265"/>
    </row>
    <row r="66" spans="1:6" s="353" customFormat="1">
      <c r="A66" s="145" t="s">
        <v>170</v>
      </c>
      <c r="B66" s="267">
        <f>'Sources and Uses Budget'!$C65</f>
        <v>0</v>
      </c>
      <c r="C66" s="267">
        <f>'Sources and Uses Budget'!$C65</f>
        <v>0</v>
      </c>
      <c r="D66" s="271">
        <f t="shared" si="0"/>
        <v>0</v>
      </c>
      <c r="E66" s="269"/>
      <c r="F66" s="268"/>
    </row>
    <row r="67" spans="1:6" s="353" customFormat="1" ht="23">
      <c r="A67" s="284" t="s">
        <v>1640</v>
      </c>
      <c r="B67" s="267">
        <f>'Sources and Uses Budget'!$C66</f>
        <v>0</v>
      </c>
      <c r="C67" s="267">
        <f>'Sources and Uses Budget'!$C66</f>
        <v>0</v>
      </c>
      <c r="D67" s="271"/>
      <c r="E67" s="269"/>
      <c r="F67" s="268"/>
    </row>
    <row r="68" spans="1:6" s="353" customFormat="1" ht="23">
      <c r="A68" s="284" t="s">
        <v>1641</v>
      </c>
      <c r="B68" s="267">
        <f>'Sources and Uses Budget'!$C67</f>
        <v>0</v>
      </c>
      <c r="C68" s="267">
        <f>'Sources and Uses Budget'!$C67</f>
        <v>0</v>
      </c>
      <c r="D68" s="271"/>
      <c r="E68" s="269"/>
      <c r="F68" s="268"/>
    </row>
    <row r="69" spans="1:6" s="353" customFormat="1">
      <c r="A69" s="284" t="s">
        <v>1647</v>
      </c>
      <c r="B69" s="267">
        <f>'Sources and Uses Budget'!$C68</f>
        <v>0</v>
      </c>
      <c r="C69" s="267">
        <f>'Sources and Uses Budget'!$C68</f>
        <v>0</v>
      </c>
      <c r="D69" s="271"/>
      <c r="E69" s="269"/>
      <c r="F69" s="268"/>
    </row>
    <row r="70" spans="1:6" s="353" customFormat="1" ht="23">
      <c r="A70" s="155" t="str">
        <f>'Sources and Uses Budget'!A69</f>
        <v>Other: (Applicant Legal, Including HUD Counsel)</v>
      </c>
      <c r="B70" s="267">
        <f>'Sources and Uses Budget'!$C69</f>
        <v>85000</v>
      </c>
      <c r="C70" s="267">
        <f>'Sources and Uses Budget'!$C69</f>
        <v>85000</v>
      </c>
      <c r="D70" s="271">
        <f t="shared" si="0"/>
        <v>0</v>
      </c>
      <c r="E70" s="269"/>
      <c r="F70" s="268"/>
    </row>
    <row r="71" spans="1:6" s="353" customFormat="1">
      <c r="A71" s="149" t="s">
        <v>1644</v>
      </c>
      <c r="B71" s="271">
        <f>SUM(B66:B70)</f>
        <v>85000</v>
      </c>
      <c r="C71" s="271">
        <f>SUM(C66:C70)</f>
        <v>85000</v>
      </c>
      <c r="D71" s="271">
        <f t="shared" si="0"/>
        <v>0</v>
      </c>
      <c r="E71" s="269"/>
      <c r="F71" s="268"/>
    </row>
    <row r="72" spans="1:6" s="353" customFormat="1" ht="13">
      <c r="A72" s="265" t="s">
        <v>601</v>
      </c>
      <c r="B72" s="265"/>
      <c r="C72" s="265"/>
      <c r="D72" s="265"/>
      <c r="E72" s="283"/>
      <c r="F72" s="265"/>
    </row>
    <row r="73" spans="1:6" s="353" customFormat="1">
      <c r="A73" s="270" t="s">
        <v>602</v>
      </c>
      <c r="B73" s="267">
        <f>'Sources and Uses Budget'!$C72</f>
        <v>0</v>
      </c>
      <c r="C73" s="267">
        <f>'Sources and Uses Budget'!$C72</f>
        <v>0</v>
      </c>
      <c r="D73" s="271">
        <f t="shared" si="0"/>
        <v>0</v>
      </c>
      <c r="E73" s="269"/>
      <c r="F73" s="268"/>
    </row>
    <row r="74" spans="1:6" s="353" customFormat="1">
      <c r="A74" s="270" t="s">
        <v>603</v>
      </c>
      <c r="B74" s="267">
        <f>'Sources and Uses Budget'!$C73</f>
        <v>0</v>
      </c>
      <c r="C74" s="267">
        <f>'Sources and Uses Budget'!$C73</f>
        <v>0</v>
      </c>
      <c r="D74" s="271">
        <f t="shared" si="0"/>
        <v>0</v>
      </c>
      <c r="E74" s="269"/>
      <c r="F74" s="268"/>
    </row>
    <row r="75" spans="1:6" s="353" customFormat="1">
      <c r="A75" s="288" t="s">
        <v>985</v>
      </c>
      <c r="B75" s="267">
        <f>'Sources and Uses Budget'!$C74</f>
        <v>213500</v>
      </c>
      <c r="C75" s="267">
        <f>'Sources and Uses Budget'!$C74</f>
        <v>213500</v>
      </c>
      <c r="D75" s="271">
        <f t="shared" si="0"/>
        <v>0</v>
      </c>
      <c r="E75" s="269"/>
      <c r="F75" s="268"/>
    </row>
    <row r="76" spans="1:6" s="353" customFormat="1">
      <c r="A76" s="270" t="s">
        <v>604</v>
      </c>
      <c r="B76" s="267">
        <f>'Sources and Uses Budget'!$C75</f>
        <v>726377</v>
      </c>
      <c r="C76" s="267">
        <f>'Sources and Uses Budget'!$C75</f>
        <v>726377</v>
      </c>
      <c r="D76" s="271">
        <f t="shared" si="0"/>
        <v>0</v>
      </c>
      <c r="E76" s="269"/>
      <c r="F76" s="268"/>
    </row>
    <row r="77" spans="1:6" s="353" customFormat="1">
      <c r="A77" s="273" t="s">
        <v>34</v>
      </c>
      <c r="B77" s="267">
        <f>'Sources and Uses Budget'!$C76</f>
        <v>0</v>
      </c>
      <c r="C77" s="267">
        <f>'Sources and Uses Budget'!$C76</f>
        <v>0</v>
      </c>
      <c r="D77" s="271">
        <f t="shared" si="0"/>
        <v>0</v>
      </c>
      <c r="E77" s="269"/>
      <c r="F77" s="268"/>
    </row>
    <row r="78" spans="1:6" s="353" customFormat="1" ht="13">
      <c r="A78" s="272" t="s">
        <v>605</v>
      </c>
      <c r="B78" s="271">
        <f>SUM(B73:B77)</f>
        <v>939877</v>
      </c>
      <c r="C78" s="271">
        <f>SUM(C73:C77)</f>
        <v>939877</v>
      </c>
      <c r="D78" s="271">
        <f t="shared" ref="D78:D106" si="1">C78-B78</f>
        <v>0</v>
      </c>
      <c r="E78" s="269"/>
      <c r="F78" s="268"/>
    </row>
    <row r="79" spans="1:6" s="353" customFormat="1" ht="13">
      <c r="A79" s="265" t="s">
        <v>1209</v>
      </c>
      <c r="B79" s="265"/>
      <c r="C79" s="265"/>
      <c r="D79" s="265"/>
      <c r="E79" s="283"/>
      <c r="F79" s="265"/>
    </row>
    <row r="80" spans="1:6" s="353" customFormat="1">
      <c r="A80" s="511" t="s">
        <v>1211</v>
      </c>
      <c r="B80" s="267">
        <f>'Sources and Uses Budget'!$C79</f>
        <v>1480298</v>
      </c>
      <c r="C80" s="267">
        <f>'Sources and Uses Budget'!$C79</f>
        <v>1480298</v>
      </c>
      <c r="D80" s="271">
        <f t="shared" si="1"/>
        <v>0</v>
      </c>
      <c r="E80" s="269"/>
      <c r="F80" s="268"/>
    </row>
    <row r="81" spans="1:6" s="353" customFormat="1">
      <c r="A81" s="511" t="s">
        <v>58</v>
      </c>
      <c r="B81" s="267">
        <f>'Sources and Uses Budget'!$C80</f>
        <v>150000</v>
      </c>
      <c r="C81" s="267">
        <f>'Sources and Uses Budget'!$C80</f>
        <v>150000</v>
      </c>
      <c r="D81" s="271">
        <f>C81-B81</f>
        <v>0</v>
      </c>
      <c r="E81" s="269"/>
      <c r="F81" s="268"/>
    </row>
    <row r="82" spans="1:6" s="353" customFormat="1" ht="13">
      <c r="A82" s="272" t="s">
        <v>1208</v>
      </c>
      <c r="B82" s="271">
        <f>SUM(B80:B81)</f>
        <v>1630298</v>
      </c>
      <c r="C82" s="271">
        <f>SUM(C80:C81)</f>
        <v>1630298</v>
      </c>
      <c r="D82" s="271">
        <f t="shared" si="1"/>
        <v>0</v>
      </c>
      <c r="E82" s="269"/>
      <c r="F82" s="268"/>
    </row>
    <row r="83" spans="1:6" s="353" customFormat="1" ht="13">
      <c r="A83" s="265" t="s">
        <v>764</v>
      </c>
      <c r="B83" s="265"/>
      <c r="C83" s="265"/>
      <c r="D83" s="265"/>
      <c r="E83" s="283"/>
      <c r="F83" s="265"/>
    </row>
    <row r="84" spans="1:6" s="353" customFormat="1" ht="13.75" customHeight="1">
      <c r="A84" s="270" t="s">
        <v>765</v>
      </c>
      <c r="B84" s="267">
        <f>'Sources and Uses Budget'!$C83</f>
        <v>57033</v>
      </c>
      <c r="C84" s="267">
        <f>'Sources and Uses Budget'!$C83</f>
        <v>57033</v>
      </c>
      <c r="D84" s="271">
        <f t="shared" si="1"/>
        <v>0</v>
      </c>
      <c r="E84" s="269"/>
      <c r="F84" s="268"/>
    </row>
    <row r="85" spans="1:6" s="353" customFormat="1">
      <c r="A85" s="270" t="s">
        <v>766</v>
      </c>
      <c r="B85" s="267">
        <f>'Sources and Uses Budget'!$C84</f>
        <v>0</v>
      </c>
      <c r="C85" s="267">
        <f>'Sources and Uses Budget'!$C84</f>
        <v>0</v>
      </c>
      <c r="D85" s="271">
        <f t="shared" si="1"/>
        <v>0</v>
      </c>
      <c r="E85" s="269"/>
      <c r="F85" s="268"/>
    </row>
    <row r="86" spans="1:6" s="353" customFormat="1">
      <c r="A86" s="270" t="s">
        <v>767</v>
      </c>
      <c r="B86" s="267">
        <f>'Sources and Uses Budget'!$C85</f>
        <v>0</v>
      </c>
      <c r="C86" s="267">
        <f>'Sources and Uses Budget'!$C85</f>
        <v>0</v>
      </c>
      <c r="D86" s="271">
        <f t="shared" si="1"/>
        <v>0</v>
      </c>
      <c r="E86" s="269"/>
      <c r="F86" s="268"/>
    </row>
    <row r="87" spans="1:6" s="353" customFormat="1">
      <c r="A87" s="270" t="s">
        <v>768</v>
      </c>
      <c r="B87" s="267">
        <f>'Sources and Uses Budget'!$C86</f>
        <v>100000</v>
      </c>
      <c r="C87" s="267">
        <f>'Sources and Uses Budget'!$C86</f>
        <v>100000</v>
      </c>
      <c r="D87" s="271">
        <f t="shared" si="1"/>
        <v>0</v>
      </c>
      <c r="E87" s="269"/>
      <c r="F87" s="268"/>
    </row>
    <row r="88" spans="1:6" s="353" customFormat="1">
      <c r="A88" s="270" t="s">
        <v>769</v>
      </c>
      <c r="B88" s="267">
        <f>'Sources and Uses Budget'!$C87</f>
        <v>0</v>
      </c>
      <c r="C88" s="267">
        <f>'Sources and Uses Budget'!$C87</f>
        <v>0</v>
      </c>
      <c r="D88" s="271">
        <f t="shared" si="1"/>
        <v>0</v>
      </c>
      <c r="E88" s="269"/>
      <c r="F88" s="268"/>
    </row>
    <row r="89" spans="1:6" s="353" customFormat="1">
      <c r="A89" s="270" t="s">
        <v>770</v>
      </c>
      <c r="B89" s="267">
        <f>'Sources and Uses Budget'!$C88</f>
        <v>25000</v>
      </c>
      <c r="C89" s="267">
        <f>'Sources and Uses Budget'!$C88</f>
        <v>25000</v>
      </c>
      <c r="D89" s="271">
        <f t="shared" si="1"/>
        <v>0</v>
      </c>
      <c r="E89" s="269"/>
      <c r="F89" s="268"/>
    </row>
    <row r="90" spans="1:6" s="353" customFormat="1">
      <c r="A90" s="270" t="s">
        <v>771</v>
      </c>
      <c r="B90" s="267">
        <f>'Sources and Uses Budget'!$C89</f>
        <v>300000</v>
      </c>
      <c r="C90" s="267">
        <f>'Sources and Uses Budget'!$C89</f>
        <v>300000</v>
      </c>
      <c r="D90" s="271">
        <f t="shared" si="1"/>
        <v>0</v>
      </c>
      <c r="E90" s="269"/>
      <c r="F90" s="268"/>
    </row>
    <row r="91" spans="1:6" s="353" customFormat="1">
      <c r="A91" s="270" t="s">
        <v>772</v>
      </c>
      <c r="B91" s="267">
        <f>'Sources and Uses Budget'!$C90</f>
        <v>5500</v>
      </c>
      <c r="C91" s="267">
        <f>'Sources and Uses Budget'!$C90</f>
        <v>5500</v>
      </c>
      <c r="D91" s="271">
        <f t="shared" si="1"/>
        <v>0</v>
      </c>
      <c r="E91" s="269"/>
      <c r="F91" s="268"/>
    </row>
    <row r="92" spans="1:6" s="353" customFormat="1">
      <c r="A92" s="270" t="s">
        <v>371</v>
      </c>
      <c r="B92" s="267">
        <f>'Sources and Uses Budget'!$C91</f>
        <v>30000</v>
      </c>
      <c r="C92" s="267">
        <f>'Sources and Uses Budget'!$C91</f>
        <v>30000</v>
      </c>
      <c r="D92" s="271">
        <f t="shared" si="1"/>
        <v>0</v>
      </c>
      <c r="E92" s="269"/>
      <c r="F92" s="268"/>
    </row>
    <row r="93" spans="1:6" s="353" customFormat="1">
      <c r="A93" s="511" t="s">
        <v>1210</v>
      </c>
      <c r="B93" s="267">
        <f>'Sources and Uses Budget'!$C92</f>
        <v>10000</v>
      </c>
      <c r="C93" s="267">
        <f>'Sources and Uses Budget'!$C92</f>
        <v>10000</v>
      </c>
      <c r="D93" s="271">
        <f t="shared" si="1"/>
        <v>0</v>
      </c>
      <c r="E93" s="269"/>
      <c r="F93" s="268"/>
    </row>
    <row r="94" spans="1:6" s="353" customFormat="1">
      <c r="A94" s="273" t="s">
        <v>34</v>
      </c>
      <c r="B94" s="267">
        <f>'Sources and Uses Budget'!$C93</f>
        <v>76160</v>
      </c>
      <c r="C94" s="267">
        <f>'Sources and Uses Budget'!$C93</f>
        <v>76160</v>
      </c>
      <c r="D94" s="271">
        <f t="shared" si="1"/>
        <v>0</v>
      </c>
      <c r="E94" s="269"/>
      <c r="F94" s="268"/>
    </row>
    <row r="95" spans="1:6" s="353" customFormat="1">
      <c r="A95" s="273" t="s">
        <v>34</v>
      </c>
      <c r="B95" s="267">
        <f>'Sources and Uses Budget'!$C94</f>
        <v>1087527</v>
      </c>
      <c r="C95" s="267">
        <f>'Sources and Uses Budget'!$C94</f>
        <v>1087527</v>
      </c>
      <c r="D95" s="271">
        <f t="shared" si="1"/>
        <v>0</v>
      </c>
      <c r="E95" s="269"/>
      <c r="F95" s="268"/>
    </row>
    <row r="96" spans="1:6" s="353" customFormat="1">
      <c r="A96" s="273" t="s">
        <v>34</v>
      </c>
      <c r="B96" s="267">
        <f>'Sources and Uses Budget'!$C95</f>
        <v>0</v>
      </c>
      <c r="C96" s="267">
        <f>'Sources and Uses Budget'!$C95</f>
        <v>0</v>
      </c>
      <c r="D96" s="271">
        <f t="shared" si="1"/>
        <v>0</v>
      </c>
      <c r="E96" s="269"/>
      <c r="F96" s="268"/>
    </row>
    <row r="97" spans="1:6" s="353" customFormat="1" ht="13">
      <c r="A97" s="272" t="s">
        <v>773</v>
      </c>
      <c r="B97" s="271">
        <f>SUM(B84:B96)</f>
        <v>1691220</v>
      </c>
      <c r="C97" s="271">
        <f>SUM(C84:C96)</f>
        <v>1691220</v>
      </c>
      <c r="D97" s="271">
        <f t="shared" si="1"/>
        <v>0</v>
      </c>
      <c r="E97" s="269"/>
      <c r="F97" s="268"/>
    </row>
    <row r="98" spans="1:6" s="353" customFormat="1" ht="13">
      <c r="A98" s="272" t="s">
        <v>774</v>
      </c>
      <c r="B98" s="271">
        <f>SUM(B64+B71+B78+B82+B97)</f>
        <v>21793260</v>
      </c>
      <c r="C98" s="271">
        <f>SUM(C64+C71+C78+C82+C97)</f>
        <v>21793260</v>
      </c>
      <c r="D98" s="271">
        <f t="shared" si="1"/>
        <v>0</v>
      </c>
      <c r="E98" s="269"/>
      <c r="F98" s="268"/>
    </row>
    <row r="99" spans="1:6" s="353" customFormat="1" ht="13">
      <c r="A99" s="265" t="s">
        <v>775</v>
      </c>
      <c r="B99" s="265"/>
      <c r="C99" s="265"/>
      <c r="D99" s="265"/>
      <c r="E99" s="283"/>
      <c r="F99" s="265"/>
    </row>
    <row r="100" spans="1:6" s="353" customFormat="1">
      <c r="A100" s="145" t="s">
        <v>776</v>
      </c>
      <c r="B100" s="267">
        <f>'Sources and Uses Budget'!$C99</f>
        <v>3532370</v>
      </c>
      <c r="C100" s="267">
        <f>'Sources and Uses Budget'!$C99</f>
        <v>3532370</v>
      </c>
      <c r="D100" s="271">
        <f t="shared" si="1"/>
        <v>0</v>
      </c>
      <c r="E100" s="269"/>
      <c r="F100" s="268"/>
    </row>
    <row r="101" spans="1:6" s="353" customFormat="1">
      <c r="A101" s="284" t="s">
        <v>1645</v>
      </c>
      <c r="B101" s="267">
        <f>'Sources and Uses Budget'!$C100</f>
        <v>0</v>
      </c>
      <c r="C101" s="267">
        <f>'Sources and Uses Budget'!$C100</f>
        <v>0</v>
      </c>
      <c r="D101" s="271">
        <f t="shared" si="1"/>
        <v>0</v>
      </c>
      <c r="E101" s="269"/>
      <c r="F101" s="268"/>
    </row>
    <row r="102" spans="1:6" s="353" customFormat="1">
      <c r="A102" s="145" t="s">
        <v>777</v>
      </c>
      <c r="B102" s="267">
        <f>'Sources and Uses Budget'!$C101</f>
        <v>0</v>
      </c>
      <c r="C102" s="267">
        <f>'Sources and Uses Budget'!$C101</f>
        <v>0</v>
      </c>
      <c r="D102" s="271">
        <f t="shared" si="1"/>
        <v>0</v>
      </c>
      <c r="E102" s="269"/>
      <c r="F102" s="268"/>
    </row>
    <row r="103" spans="1:6" s="353" customFormat="1" ht="12" customHeight="1">
      <c r="A103" s="284" t="s">
        <v>1646</v>
      </c>
      <c r="B103" s="267">
        <f>'Sources and Uses Budget'!$C102</f>
        <v>0</v>
      </c>
      <c r="C103" s="267">
        <f>'Sources and Uses Budget'!$C102</f>
        <v>0</v>
      </c>
      <c r="D103" s="271">
        <f t="shared" si="1"/>
        <v>0</v>
      </c>
      <c r="E103" s="269"/>
      <c r="F103" s="268"/>
    </row>
    <row r="104" spans="1:6" s="353" customFormat="1">
      <c r="A104" s="1020" t="str">
        <f>'Sources and Uses Budget'!A103</f>
        <v>Other: (Specify)</v>
      </c>
      <c r="B104" s="267">
        <f>'Sources and Uses Budget'!$C103</f>
        <v>0</v>
      </c>
      <c r="C104" s="267">
        <f>'Sources and Uses Budget'!$C103</f>
        <v>0</v>
      </c>
      <c r="D104" s="271">
        <f t="shared" si="1"/>
        <v>0</v>
      </c>
      <c r="E104" s="269"/>
      <c r="F104" s="268"/>
    </row>
    <row r="105" spans="1:6" s="353" customFormat="1" ht="13">
      <c r="A105" s="272" t="s">
        <v>778</v>
      </c>
      <c r="B105" s="271">
        <f>SUM(B100:B104)</f>
        <v>3532370</v>
      </c>
      <c r="C105" s="271">
        <f>SUM(C100:C104)</f>
        <v>3532370</v>
      </c>
      <c r="D105" s="271">
        <f t="shared" si="1"/>
        <v>0</v>
      </c>
      <c r="E105" s="269"/>
      <c r="F105" s="268"/>
    </row>
    <row r="106" spans="1:6" s="353" customFormat="1" ht="13">
      <c r="A106" s="272" t="s">
        <v>779</v>
      </c>
      <c r="B106" s="274">
        <f>SUM(B98+B105)</f>
        <v>25325630</v>
      </c>
      <c r="C106" s="274">
        <f>SUM(C98+C105)</f>
        <v>25325630</v>
      </c>
      <c r="D106" s="271">
        <f t="shared" si="1"/>
        <v>0</v>
      </c>
      <c r="E106" s="269"/>
      <c r="F106" s="268"/>
    </row>
    <row r="107" spans="1:6" s="353" customFormat="1" ht="13">
      <c r="A107" s="278" t="s">
        <v>780</v>
      </c>
      <c r="B107" s="279"/>
      <c r="C107" s="280"/>
      <c r="D107" s="282"/>
      <c r="E107" s="266"/>
      <c r="F107" s="277"/>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workbookViewId="0">
      <selection sqref="A1:J1"/>
    </sheetView>
  </sheetViews>
  <sheetFormatPr defaultColWidth="0" defaultRowHeight="12.4" customHeight="1" zeroHeight="1"/>
  <cols>
    <col min="1" max="10" width="10.7265625" style="403" customWidth="1"/>
    <col min="11" max="16384" width="8.81640625" style="403" hidden="1"/>
  </cols>
  <sheetData>
    <row r="1" spans="1:10" ht="15.5">
      <c r="A1" s="1284" t="s">
        <v>1868</v>
      </c>
      <c r="B1" s="1285"/>
      <c r="C1" s="1285"/>
      <c r="D1" s="1285"/>
      <c r="E1" s="1285"/>
      <c r="F1" s="1285"/>
      <c r="G1" s="1285"/>
      <c r="H1" s="1285"/>
      <c r="I1" s="1285"/>
      <c r="J1" s="1285"/>
    </row>
    <row r="2" spans="1:10" ht="15.5">
      <c r="A2" s="1288" t="s">
        <v>1267</v>
      </c>
      <c r="B2" s="1289"/>
      <c r="C2" s="1289"/>
      <c r="D2" s="1289"/>
      <c r="E2" s="1289"/>
      <c r="F2" s="1289"/>
      <c r="G2" s="1289"/>
      <c r="H2" s="1289"/>
      <c r="I2" s="1289"/>
      <c r="J2" s="1289"/>
    </row>
    <row r="3" spans="1:10" ht="12.5"/>
    <row r="4" spans="1:10" ht="12.75" customHeight="1">
      <c r="A4" s="1286" t="s">
        <v>2047</v>
      </c>
      <c r="B4" s="1286"/>
      <c r="C4" s="1286"/>
      <c r="D4" s="1286"/>
      <c r="E4" s="1286"/>
      <c r="F4" s="1286"/>
      <c r="G4" s="1286"/>
      <c r="H4" s="1286"/>
      <c r="I4" s="1286"/>
      <c r="J4" s="1286"/>
    </row>
    <row r="5" spans="1:10" ht="12.5">
      <c r="A5" s="1286"/>
      <c r="B5" s="1286"/>
      <c r="C5" s="1286"/>
      <c r="D5" s="1286"/>
      <c r="E5" s="1286"/>
      <c r="F5" s="1286"/>
      <c r="G5" s="1286"/>
      <c r="H5" s="1286"/>
      <c r="I5" s="1286"/>
      <c r="J5" s="1286"/>
    </row>
    <row r="6" spans="1:10" ht="30" customHeight="1">
      <c r="A6" s="1286"/>
      <c r="B6" s="1286"/>
      <c r="C6" s="1286"/>
      <c r="D6" s="1286"/>
      <c r="E6" s="1286"/>
      <c r="F6" s="1286"/>
      <c r="G6" s="1286"/>
      <c r="H6" s="1286"/>
      <c r="I6" s="1286"/>
      <c r="J6" s="1286"/>
    </row>
    <row r="7" spans="1:10" ht="12.5">
      <c r="A7" s="417"/>
      <c r="B7" s="417"/>
      <c r="C7" s="417"/>
      <c r="D7" s="417"/>
      <c r="E7" s="417"/>
      <c r="F7" s="417"/>
      <c r="G7" s="417"/>
      <c r="H7" s="417"/>
      <c r="I7" s="417"/>
      <c r="J7" s="417"/>
    </row>
    <row r="8" spans="1:10" ht="12.75" customHeight="1">
      <c r="A8" s="403" t="s">
        <v>1871</v>
      </c>
      <c r="B8" s="417"/>
      <c r="C8" s="417"/>
      <c r="D8" s="417"/>
      <c r="E8" s="417"/>
      <c r="F8" s="417"/>
      <c r="G8" s="417"/>
      <c r="H8" s="417"/>
      <c r="I8" s="417"/>
      <c r="J8" s="417"/>
    </row>
    <row r="9" spans="1:10" ht="12.5"/>
    <row r="10" spans="1:10" ht="12.75" customHeight="1">
      <c r="A10" s="1290" t="s">
        <v>1873</v>
      </c>
      <c r="B10" s="1290"/>
      <c r="C10" s="1290"/>
      <c r="D10" s="1290"/>
      <c r="E10" s="1290"/>
      <c r="F10" s="1290"/>
      <c r="G10" s="1290"/>
      <c r="H10" s="1290"/>
      <c r="I10" s="1290"/>
      <c r="J10" s="1290"/>
    </row>
    <row r="11" spans="1:10" ht="12.5">
      <c r="A11" s="1290"/>
      <c r="B11" s="1290"/>
      <c r="C11" s="1290"/>
      <c r="D11" s="1290"/>
      <c r="E11" s="1290"/>
      <c r="F11" s="1290"/>
      <c r="G11" s="1290"/>
      <c r="H11" s="1290"/>
      <c r="I11" s="1290"/>
      <c r="J11" s="1290"/>
    </row>
    <row r="12" spans="1:10" ht="12.5">
      <c r="A12" s="1290"/>
      <c r="B12" s="1290"/>
      <c r="C12" s="1290"/>
      <c r="D12" s="1290"/>
      <c r="E12" s="1290"/>
      <c r="F12" s="1290"/>
      <c r="G12" s="1290"/>
      <c r="H12" s="1290"/>
      <c r="I12" s="1290"/>
      <c r="J12" s="1290"/>
    </row>
    <row r="13" spans="1:10" ht="12.5">
      <c r="A13" s="1290"/>
      <c r="B13" s="1290"/>
      <c r="C13" s="1290"/>
      <c r="D13" s="1290"/>
      <c r="E13" s="1290"/>
      <c r="F13" s="1290"/>
      <c r="G13" s="1290"/>
      <c r="H13" s="1290"/>
      <c r="I13" s="1290"/>
      <c r="J13" s="1290"/>
    </row>
    <row r="14" spans="1:10" ht="12.5">
      <c r="A14" s="1290"/>
      <c r="B14" s="1290"/>
      <c r="C14" s="1290"/>
      <c r="D14" s="1290"/>
      <c r="E14" s="1290"/>
      <c r="F14" s="1290"/>
      <c r="G14" s="1290"/>
      <c r="H14" s="1290"/>
      <c r="I14" s="1290"/>
      <c r="J14" s="1290"/>
    </row>
    <row r="15" spans="1:10" ht="12.5">
      <c r="A15" s="1290"/>
      <c r="B15" s="1290"/>
      <c r="C15" s="1290"/>
      <c r="D15" s="1290"/>
      <c r="E15" s="1290"/>
      <c r="F15" s="1290"/>
      <c r="G15" s="1290"/>
      <c r="H15" s="1290"/>
      <c r="I15" s="1290"/>
      <c r="J15" s="1290"/>
    </row>
    <row r="16" spans="1:10" ht="12.5">
      <c r="A16" s="525"/>
      <c r="B16" s="525"/>
      <c r="C16" s="525"/>
      <c r="D16" s="525"/>
      <c r="E16" s="525"/>
      <c r="F16" s="525"/>
      <c r="G16" s="525"/>
      <c r="H16" s="525"/>
      <c r="I16" s="525"/>
      <c r="J16" s="525"/>
    </row>
    <row r="17" spans="1:10" ht="12.5">
      <c r="A17" s="477" t="s">
        <v>1872</v>
      </c>
      <c r="B17" s="417"/>
      <c r="C17" s="417"/>
      <c r="D17" s="417"/>
      <c r="E17" s="417"/>
      <c r="F17" s="417"/>
      <c r="G17" s="417"/>
      <c r="H17" s="417"/>
      <c r="I17" s="417"/>
      <c r="J17" s="417"/>
    </row>
    <row r="18" spans="1:10" ht="12.5">
      <c r="A18" s="417" t="s">
        <v>249</v>
      </c>
      <c r="B18" s="417"/>
      <c r="C18" s="417"/>
      <c r="D18" s="417"/>
      <c r="E18" s="417"/>
      <c r="F18" s="417"/>
      <c r="G18" s="417"/>
      <c r="H18" s="417"/>
      <c r="I18" s="417"/>
      <c r="J18" s="417"/>
    </row>
    <row r="19" spans="1:10" ht="12.5">
      <c r="A19" s="1289" t="s">
        <v>1188</v>
      </c>
      <c r="B19" s="1289"/>
      <c r="C19" s="1289"/>
      <c r="D19" s="1289"/>
      <c r="E19" s="1289"/>
    </row>
    <row r="20" spans="1:10" ht="12.5"/>
    <row r="21" spans="1:10" ht="12.5"/>
    <row r="22" spans="1:10" ht="12.5"/>
    <row r="23" spans="1:10" ht="12.5"/>
    <row r="24" spans="1:10" ht="12.5"/>
    <row r="25" spans="1:10" ht="12.5"/>
    <row r="26" spans="1:10" ht="12.5"/>
    <row r="27" spans="1:10" ht="12.5"/>
    <row r="28" spans="1:10" ht="12.5"/>
    <row r="29" spans="1:10" ht="12.5"/>
    <row r="30" spans="1:10" ht="12.5"/>
    <row r="31" spans="1:10" ht="12.5"/>
    <row r="32" spans="1:10" ht="12.5"/>
    <row r="33" ht="12.5"/>
    <row r="34" ht="12.5"/>
    <row r="35" ht="12.5"/>
    <row r="36" ht="12.5"/>
    <row r="37" ht="12.5"/>
    <row r="38" ht="12.5"/>
    <row r="39" ht="12.5"/>
    <row r="40" ht="12.5"/>
    <row r="41" ht="12.5"/>
    <row r="42" ht="12.5"/>
    <row r="43" ht="12.5"/>
    <row r="44" ht="12.5"/>
    <row r="45" ht="12.5"/>
    <row r="46" ht="12.5"/>
    <row r="47" ht="12.5"/>
    <row r="48" ht="12.5"/>
    <row r="49" spans="1:10" ht="12.5"/>
    <row r="50" spans="1:10" ht="12.5"/>
    <row r="51" spans="1:10" ht="12.5"/>
    <row r="52" spans="1:10" ht="12.5"/>
    <row r="53" spans="1:10" ht="12.5"/>
    <row r="54" spans="1:10" ht="12.5"/>
    <row r="55" spans="1:10" ht="12.5"/>
    <row r="56" spans="1:10" ht="12.5">
      <c r="A56" s="1286" t="s">
        <v>1189</v>
      </c>
      <c r="B56" s="1286"/>
      <c r="C56" s="1286"/>
      <c r="D56" s="1286"/>
      <c r="E56" s="1286"/>
      <c r="F56" s="1286"/>
      <c r="G56" s="1286"/>
      <c r="H56" s="1286"/>
      <c r="I56" s="1286"/>
      <c r="J56" s="1286"/>
    </row>
    <row r="57" spans="1:10" ht="12.5">
      <c r="A57" s="1286"/>
      <c r="B57" s="1286"/>
      <c r="C57" s="1286"/>
      <c r="D57" s="1286"/>
      <c r="E57" s="1286"/>
      <c r="F57" s="1286"/>
      <c r="G57" s="1286"/>
      <c r="H57" s="1286"/>
      <c r="I57" s="1286"/>
      <c r="J57" s="1286"/>
    </row>
    <row r="58" spans="1:10" ht="12.5">
      <c r="A58" s="1286"/>
      <c r="B58" s="1286"/>
      <c r="C58" s="1286"/>
      <c r="D58" s="1286"/>
      <c r="E58" s="1286"/>
      <c r="F58" s="1286"/>
      <c r="G58" s="1286"/>
      <c r="H58" s="1286"/>
      <c r="I58" s="1286"/>
      <c r="J58" s="1286"/>
    </row>
    <row r="59" spans="1:10" ht="12.5"/>
    <row r="60" spans="1:10" ht="12.5">
      <c r="A60" s="403" t="s">
        <v>1188</v>
      </c>
    </row>
    <row r="61" spans="1:10" ht="12.5"/>
    <row r="62" spans="1:10" ht="12.5"/>
    <row r="63" spans="1:10" ht="12.5"/>
    <row r="64" spans="1:10" ht="12.5"/>
    <row r="65" spans="1:9" ht="12.5"/>
    <row r="66" spans="1:9" ht="12.5"/>
    <row r="67" spans="1:9" ht="12.5"/>
    <row r="68" spans="1:9" ht="12.5"/>
    <row r="69" spans="1:9" ht="12.5"/>
    <row r="70" spans="1:9" ht="12.5"/>
    <row r="71" spans="1:9" ht="13">
      <c r="A71" s="1287" t="s">
        <v>1869</v>
      </c>
      <c r="B71" s="1287"/>
      <c r="C71" s="1287"/>
      <c r="D71" s="1287"/>
      <c r="E71" s="1287"/>
      <c r="F71" s="1287"/>
      <c r="G71" s="1287"/>
      <c r="H71" s="1287"/>
      <c r="I71" s="1287"/>
    </row>
    <row r="72" spans="1:9" ht="12.5">
      <c r="A72" s="1277" t="s">
        <v>2045</v>
      </c>
      <c r="B72" s="1277"/>
      <c r="C72" s="1277"/>
      <c r="D72" s="1277"/>
      <c r="E72" s="1277"/>
    </row>
    <row r="73" spans="1:9" ht="12.5">
      <c r="A73" s="1277" t="s">
        <v>2046</v>
      </c>
      <c r="B73" s="1277"/>
      <c r="C73" s="1277"/>
      <c r="D73" s="1277"/>
      <c r="E73" s="1277"/>
    </row>
    <row r="74" spans="1:9" ht="12.5">
      <c r="A74" s="1277" t="s">
        <v>1870</v>
      </c>
      <c r="B74" s="1277"/>
      <c r="C74" s="1277"/>
      <c r="D74" s="1277"/>
      <c r="E74" s="1277"/>
    </row>
    <row r="75" spans="1:9" ht="12.5"/>
    <row r="76" spans="1:9" ht="12.5"/>
    <row r="77" spans="1:9" ht="12.5"/>
    <row r="78" spans="1:9" ht="12.4" customHeight="1"/>
    <row r="79" spans="1:9" ht="12.4" customHeight="1"/>
    <row r="80" spans="1:9" ht="12.4" customHeight="1"/>
    <row r="81" ht="12.4" customHeight="1"/>
    <row r="82" ht="12.4" customHeight="1"/>
    <row r="83" ht="12.4" customHeight="1"/>
    <row r="84" ht="12.4" customHeight="1"/>
    <row r="85" ht="12.4" customHeight="1"/>
  </sheetData>
  <sheetProtection algorithmName="SHA-512" hashValue="shkaiIa62bcvL/tg7qbXJYwSfcfV0w6s36auQmJZzrJLVUt/8fu2xjHdaetiELwxGPyOHvqx4QUMDnV9sZr+WQ==" saltValue="0Ki43Xg6HQVBLZRgcdNsJg==" spinCount="100000" sheet="1" objects="1" scenarios="1"/>
  <mergeCells count="10">
    <mergeCell ref="A74:E74"/>
    <mergeCell ref="A72:E72"/>
    <mergeCell ref="A73:E73"/>
    <mergeCell ref="A1:J1"/>
    <mergeCell ref="A56:J58"/>
    <mergeCell ref="A71:I71"/>
    <mergeCell ref="A2:J2"/>
    <mergeCell ref="A4:J6"/>
    <mergeCell ref="A10:J15"/>
    <mergeCell ref="A19:E19"/>
  </mergeCells>
  <hyperlinks>
    <hyperlink ref="A72" r:id="rId1" display="http://www.treasurer.ca.gov/ctcac/assignments.asp" xr:uid="{00000000-0004-0000-0200-000000000000}"/>
    <hyperlink ref="A73" r:id="rId2" display="http://www.treasurer.ca.gov/ctcac/contacts.asp" xr:uid="{00000000-0004-0000-0200-000001000000}"/>
    <hyperlink ref="A74"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12700</xdr:colOff>
                <xdr:row>77</xdr:row>
                <xdr:rowOff>95250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18"/>
  <sheetViews>
    <sheetView showGridLines="0" topLeftCell="A1108" workbookViewId="0">
      <selection activeCell="F1122" sqref="F1122"/>
    </sheetView>
  </sheetViews>
  <sheetFormatPr defaultColWidth="0" defaultRowHeight="13" zeroHeight="1"/>
  <cols>
    <col min="1" max="1" width="3.54296875" style="481" customWidth="1"/>
    <col min="2" max="2" width="13.54296875" style="481" customWidth="1"/>
    <col min="3" max="3" width="2.54296875" style="481" customWidth="1"/>
    <col min="4" max="5" width="3.54296875" style="403" customWidth="1"/>
    <col min="6" max="6" width="65.54296875" style="403" customWidth="1"/>
    <col min="7" max="7" width="1.54296875" style="403" customWidth="1"/>
    <col min="8" max="8" width="3.54296875" style="403" customWidth="1"/>
    <col min="9" max="9" width="9.1796875" style="405" customWidth="1"/>
    <col min="10" max="10" width="8.81640625" style="403" hidden="1" customWidth="1"/>
    <col min="11" max="16384" width="8.81640625" style="403" hidden="1"/>
  </cols>
  <sheetData>
    <row r="1" spans="1:13"/>
    <row r="2" spans="1:13">
      <c r="A2" s="1291" t="s">
        <v>2460</v>
      </c>
      <c r="B2" s="1291"/>
      <c r="C2" s="1291"/>
      <c r="D2" s="1291"/>
      <c r="E2" s="1291"/>
      <c r="F2" s="1291"/>
      <c r="G2" s="1291"/>
      <c r="H2" s="1291"/>
      <c r="I2" s="1291"/>
    </row>
    <row r="3" spans="1:13">
      <c r="A3" s="1292" t="s">
        <v>2219</v>
      </c>
      <c r="B3" s="1292"/>
      <c r="C3" s="1292"/>
      <c r="D3" s="1292"/>
      <c r="E3" s="1292"/>
      <c r="F3" s="1292"/>
      <c r="G3" s="1292"/>
      <c r="H3" s="1292"/>
      <c r="I3" s="1292"/>
    </row>
    <row r="4" spans="1:13">
      <c r="A4" s="1292"/>
      <c r="B4" s="1292"/>
      <c r="C4" s="1289"/>
      <c r="D4" s="1289"/>
      <c r="E4" s="1289"/>
      <c r="F4" s="1289"/>
      <c r="G4" s="1289"/>
    </row>
    <row r="5" spans="1:13">
      <c r="A5" s="1292"/>
      <c r="B5" s="1292"/>
      <c r="C5" s="1289"/>
      <c r="D5" s="1289"/>
      <c r="E5" s="1289"/>
      <c r="F5" s="1289"/>
      <c r="G5" s="1289"/>
    </row>
    <row r="6" spans="1:13" ht="12.75" customHeight="1">
      <c r="A6" s="1316" t="s">
        <v>2218</v>
      </c>
      <c r="B6" s="1316"/>
      <c r="C6" s="1316"/>
      <c r="D6" s="1316"/>
      <c r="E6" s="1316"/>
      <c r="F6" s="1316"/>
      <c r="G6" s="1316"/>
      <c r="I6" s="491"/>
    </row>
    <row r="7" spans="1:13">
      <c r="A7" s="1316"/>
      <c r="B7" s="1316"/>
      <c r="C7" s="1316"/>
      <c r="D7" s="1316"/>
      <c r="E7" s="1316"/>
      <c r="F7" s="1316"/>
      <c r="G7" s="1316"/>
      <c r="I7" s="491"/>
    </row>
    <row r="8" spans="1:13">
      <c r="A8" s="482"/>
      <c r="B8" s="482"/>
      <c r="C8" s="483"/>
      <c r="D8" s="483"/>
      <c r="E8" s="483"/>
      <c r="F8" s="483"/>
    </row>
    <row r="9" spans="1:13">
      <c r="A9" s="1296" t="s">
        <v>1100</v>
      </c>
      <c r="B9" s="1296"/>
      <c r="C9" s="1296"/>
      <c r="D9" s="1296"/>
      <c r="E9" s="1296"/>
      <c r="F9" s="1296"/>
      <c r="G9" s="1296"/>
      <c r="H9" s="1029"/>
      <c r="I9" s="1030"/>
    </row>
    <row r="10" spans="1:13">
      <c r="A10" s="483"/>
      <c r="B10" s="483"/>
      <c r="E10" s="405"/>
    </row>
    <row r="11" spans="1:13" ht="13.75" customHeight="1">
      <c r="C11" s="483"/>
      <c r="D11" s="1315" t="s">
        <v>1099</v>
      </c>
      <c r="E11" s="1315"/>
      <c r="F11" s="1315"/>
    </row>
    <row r="12" spans="1:13">
      <c r="C12" s="483"/>
      <c r="D12" s="1315"/>
      <c r="E12" s="1315"/>
      <c r="F12" s="1315"/>
    </row>
    <row r="13" spans="1:13">
      <c r="A13" s="484"/>
      <c r="B13" s="484"/>
      <c r="C13" s="484"/>
      <c r="D13" s="1294" t="s">
        <v>1089</v>
      </c>
      <c r="E13" s="1294"/>
      <c r="F13" s="1294"/>
      <c r="M13" s="96"/>
    </row>
    <row r="14" spans="1:13">
      <c r="A14" s="484"/>
      <c r="B14" s="484"/>
      <c r="C14" s="484"/>
      <c r="D14" s="477"/>
      <c r="L14" s="313"/>
    </row>
    <row r="15" spans="1:13">
      <c r="A15" s="485"/>
      <c r="B15" s="486" t="s">
        <v>2731</v>
      </c>
      <c r="C15" s="484"/>
      <c r="D15" s="1293" t="s">
        <v>1921</v>
      </c>
      <c r="E15" s="1293"/>
      <c r="F15" s="1293"/>
      <c r="I15" s="491"/>
    </row>
    <row r="16" spans="1:13">
      <c r="A16" s="484"/>
      <c r="B16" s="484"/>
      <c r="C16" s="484"/>
      <c r="D16" s="1293"/>
      <c r="E16" s="1293"/>
      <c r="F16" s="1293"/>
      <c r="I16" s="491"/>
    </row>
    <row r="17" spans="1:9">
      <c r="A17" s="484"/>
      <c r="B17" s="484"/>
      <c r="C17" s="484"/>
      <c r="D17" s="1293"/>
      <c r="E17" s="1293"/>
      <c r="F17" s="1293"/>
      <c r="I17" s="491"/>
    </row>
    <row r="18" spans="1:9">
      <c r="A18" s="484"/>
      <c r="B18" s="484"/>
      <c r="C18" s="484"/>
      <c r="D18" s="446"/>
      <c r="E18" s="313" t="s">
        <v>1919</v>
      </c>
      <c r="F18" s="446"/>
      <c r="I18" s="491"/>
    </row>
    <row r="19" spans="1:9">
      <c r="A19" s="484"/>
      <c r="B19" s="484"/>
      <c r="C19" s="484"/>
      <c r="I19" s="491"/>
    </row>
    <row r="20" spans="1:9">
      <c r="A20" s="485"/>
      <c r="B20" s="486" t="s">
        <v>2732</v>
      </c>
      <c r="D20" s="1293" t="s">
        <v>1922</v>
      </c>
      <c r="E20" s="1293"/>
      <c r="F20" s="1293"/>
      <c r="I20" s="491"/>
    </row>
    <row r="21" spans="1:9">
      <c r="A21" s="485"/>
      <c r="D21" s="1293"/>
      <c r="E21" s="1293"/>
      <c r="F21" s="1293"/>
      <c r="I21" s="491"/>
    </row>
    <row r="22" spans="1:9">
      <c r="A22" s="485"/>
      <c r="D22" s="393"/>
      <c r="E22" s="96" t="s">
        <v>1918</v>
      </c>
      <c r="F22" s="393"/>
      <c r="I22" s="491"/>
    </row>
    <row r="23" spans="1:9">
      <c r="A23" s="485"/>
      <c r="B23" s="485"/>
      <c r="D23" s="447"/>
      <c r="I23" s="491"/>
    </row>
    <row r="24" spans="1:9">
      <c r="A24" s="485"/>
      <c r="B24" s="486" t="s">
        <v>2731</v>
      </c>
      <c r="D24" s="1293" t="s">
        <v>1090</v>
      </c>
      <c r="E24" s="1293"/>
      <c r="F24" s="1293"/>
      <c r="I24" s="491"/>
    </row>
    <row r="25" spans="1:9">
      <c r="A25" s="485"/>
      <c r="B25" s="485"/>
      <c r="D25" s="1293"/>
      <c r="E25" s="1293"/>
      <c r="F25" s="1293"/>
      <c r="I25" s="491"/>
    </row>
    <row r="26" spans="1:9">
      <c r="I26" s="491"/>
    </row>
    <row r="27" spans="1:9">
      <c r="A27" s="485"/>
      <c r="B27" s="486" t="s">
        <v>2732</v>
      </c>
      <c r="D27" s="1293" t="s">
        <v>2048</v>
      </c>
      <c r="E27" s="1293"/>
      <c r="F27" s="1293"/>
      <c r="I27" s="491"/>
    </row>
    <row r="28" spans="1:9">
      <c r="D28" s="1293"/>
      <c r="E28" s="1293"/>
      <c r="F28" s="1293"/>
      <c r="I28" s="491"/>
    </row>
    <row r="29" spans="1:9">
      <c r="D29" s="1293"/>
      <c r="E29" s="1293"/>
      <c r="F29" s="1293"/>
      <c r="I29" s="491"/>
    </row>
    <row r="30" spans="1:9">
      <c r="D30" s="1293"/>
      <c r="E30" s="1293"/>
      <c r="F30" s="1293"/>
      <c r="I30" s="491"/>
    </row>
    <row r="31" spans="1:9">
      <c r="D31" s="1293"/>
      <c r="E31" s="1293"/>
      <c r="F31" s="1293"/>
      <c r="I31" s="491"/>
    </row>
    <row r="32" spans="1:9">
      <c r="D32" s="448"/>
      <c r="I32" s="491"/>
    </row>
    <row r="33" spans="1:9">
      <c r="B33" s="486" t="s">
        <v>2731</v>
      </c>
      <c r="D33" s="1293" t="s">
        <v>2049</v>
      </c>
      <c r="E33" s="1293"/>
      <c r="F33" s="1293"/>
      <c r="I33" s="491"/>
    </row>
    <row r="34" spans="1:9">
      <c r="D34" s="1293"/>
      <c r="E34" s="1293"/>
      <c r="F34" s="1293"/>
      <c r="I34" s="491"/>
    </row>
    <row r="35" spans="1:9">
      <c r="A35" s="485"/>
      <c r="B35" s="485"/>
      <c r="D35" s="448"/>
      <c r="I35" s="491"/>
    </row>
    <row r="36" spans="1:9" ht="14.5" customHeight="1">
      <c r="A36" s="485"/>
      <c r="B36" s="486" t="s">
        <v>2731</v>
      </c>
      <c r="D36" s="1293" t="s">
        <v>1213</v>
      </c>
      <c r="E36" s="1293"/>
      <c r="F36" s="1293"/>
      <c r="I36" s="491"/>
    </row>
    <row r="37" spans="1:9">
      <c r="A37" s="485"/>
      <c r="B37" s="485"/>
      <c r="D37" s="1293"/>
      <c r="E37" s="1293"/>
      <c r="F37" s="1293"/>
      <c r="I37" s="491"/>
    </row>
    <row r="38" spans="1:9">
      <c r="A38" s="485"/>
      <c r="B38" s="485"/>
      <c r="D38" s="1293"/>
      <c r="E38" s="1293"/>
      <c r="F38" s="1293"/>
      <c r="I38" s="491"/>
    </row>
    <row r="39" spans="1:9">
      <c r="A39" s="485"/>
      <c r="B39" s="485"/>
      <c r="D39" s="1293"/>
      <c r="E39" s="1293"/>
      <c r="F39" s="1293"/>
      <c r="I39" s="491"/>
    </row>
    <row r="40" spans="1:9">
      <c r="A40" s="485"/>
      <c r="B40" s="485"/>
      <c r="I40" s="491"/>
    </row>
    <row r="41" spans="1:9">
      <c r="A41" s="485"/>
      <c r="B41" s="486" t="s">
        <v>2731</v>
      </c>
      <c r="D41" s="1293" t="s">
        <v>1091</v>
      </c>
      <c r="E41" s="1293"/>
      <c r="F41" s="1293"/>
      <c r="I41" s="491"/>
    </row>
    <row r="42" spans="1:9">
      <c r="A42" s="485"/>
      <c r="B42" s="485"/>
      <c r="D42" s="1293"/>
      <c r="E42" s="1293"/>
      <c r="F42" s="1293"/>
      <c r="I42" s="491"/>
    </row>
    <row r="43" spans="1:9">
      <c r="A43" s="485"/>
      <c r="B43" s="485"/>
      <c r="D43" s="1293"/>
      <c r="E43" s="1293"/>
      <c r="F43" s="1293"/>
      <c r="I43" s="491"/>
    </row>
    <row r="44" spans="1:9">
      <c r="A44" s="485"/>
      <c r="B44" s="485"/>
      <c r="D44" s="1293"/>
      <c r="E44" s="1293"/>
      <c r="F44" s="1293"/>
      <c r="I44" s="491"/>
    </row>
    <row r="45" spans="1:9">
      <c r="A45" s="485"/>
      <c r="B45" s="485"/>
      <c r="D45" s="1293"/>
      <c r="E45" s="1293"/>
      <c r="F45" s="1293"/>
      <c r="I45" s="491"/>
    </row>
    <row r="46" spans="1:9">
      <c r="A46" s="485"/>
      <c r="B46" s="485"/>
      <c r="D46" s="446"/>
      <c r="E46" s="446"/>
      <c r="F46" s="446"/>
      <c r="I46" s="491"/>
    </row>
    <row r="47" spans="1:9">
      <c r="A47" s="485"/>
      <c r="B47" s="486" t="s">
        <v>2731</v>
      </c>
      <c r="D47" s="1293" t="s">
        <v>1092</v>
      </c>
      <c r="E47" s="1293"/>
      <c r="F47" s="1293"/>
      <c r="I47" s="491"/>
    </row>
    <row r="48" spans="1:9">
      <c r="A48" s="485"/>
      <c r="B48" s="485"/>
      <c r="D48" s="1293"/>
      <c r="E48" s="1293"/>
      <c r="F48" s="1293"/>
      <c r="I48" s="491"/>
    </row>
    <row r="49" spans="1:9">
      <c r="A49" s="485"/>
      <c r="B49" s="485"/>
      <c r="D49" s="1293"/>
      <c r="E49" s="1293"/>
      <c r="F49" s="1293"/>
      <c r="I49" s="491"/>
    </row>
    <row r="50" spans="1:9" ht="23.25" customHeight="1">
      <c r="A50" s="485"/>
      <c r="B50" s="485"/>
      <c r="D50" s="1293"/>
      <c r="E50" s="1293"/>
      <c r="F50" s="1293"/>
      <c r="I50" s="491"/>
    </row>
    <row r="51" spans="1:9">
      <c r="A51" s="485"/>
      <c r="B51" s="485"/>
      <c r="D51" s="447"/>
      <c r="I51" s="491"/>
    </row>
    <row r="52" spans="1:9" ht="14.5" customHeight="1">
      <c r="A52" s="485"/>
      <c r="B52" s="486" t="s">
        <v>2732</v>
      </c>
      <c r="D52" s="1293" t="s">
        <v>1093</v>
      </c>
      <c r="E52" s="1293"/>
      <c r="F52" s="1293"/>
      <c r="I52" s="491"/>
    </row>
    <row r="53" spans="1:9">
      <c r="A53" s="485"/>
      <c r="B53" s="485"/>
      <c r="D53" s="1293"/>
      <c r="E53" s="1293"/>
      <c r="F53" s="1293"/>
      <c r="I53" s="491"/>
    </row>
    <row r="54" spans="1:9">
      <c r="A54" s="485"/>
      <c r="B54" s="485"/>
      <c r="D54" s="1293"/>
      <c r="E54" s="1293"/>
      <c r="F54" s="1293"/>
      <c r="I54" s="491"/>
    </row>
    <row r="55" spans="1:9">
      <c r="A55" s="485"/>
      <c r="B55" s="485"/>
      <c r="I55" s="491"/>
    </row>
    <row r="56" spans="1:9">
      <c r="A56" s="485"/>
      <c r="B56" s="486" t="s">
        <v>2732</v>
      </c>
      <c r="D56" s="1317" t="s">
        <v>1094</v>
      </c>
      <c r="E56" s="1317"/>
      <c r="F56" s="1317"/>
      <c r="I56" s="491"/>
    </row>
    <row r="57" spans="1:9">
      <c r="A57" s="485"/>
      <c r="B57" s="485"/>
      <c r="D57" s="1317"/>
      <c r="E57" s="1317"/>
      <c r="F57" s="1317"/>
      <c r="I57" s="491"/>
    </row>
    <row r="58" spans="1:9">
      <c r="A58" s="485"/>
      <c r="B58" s="485"/>
      <c r="D58" s="393" t="s">
        <v>1920</v>
      </c>
      <c r="E58" s="446"/>
      <c r="F58" s="446"/>
      <c r="I58" s="491"/>
    </row>
    <row r="59" spans="1:9">
      <c r="A59" s="485"/>
      <c r="B59" s="485"/>
      <c r="D59" s="446"/>
      <c r="E59" s="313" t="s">
        <v>1919</v>
      </c>
      <c r="F59" s="446"/>
      <c r="I59" s="491"/>
    </row>
    <row r="60" spans="1:9">
      <c r="D60" s="448"/>
      <c r="I60" s="491"/>
    </row>
    <row r="61" spans="1:9">
      <c r="A61" s="485"/>
      <c r="B61" s="486" t="s">
        <v>2731</v>
      </c>
      <c r="D61" s="1293" t="s">
        <v>1095</v>
      </c>
      <c r="E61" s="1293"/>
      <c r="F61" s="1293"/>
      <c r="I61" s="491"/>
    </row>
    <row r="62" spans="1:9">
      <c r="D62" s="1293"/>
      <c r="E62" s="1293"/>
      <c r="F62" s="1293"/>
      <c r="I62" s="491"/>
    </row>
    <row r="63" spans="1:9">
      <c r="D63" s="1293"/>
      <c r="E63" s="1293"/>
      <c r="F63" s="1293"/>
      <c r="I63" s="491"/>
    </row>
    <row r="64" spans="1:9">
      <c r="I64" s="491"/>
    </row>
    <row r="65" spans="1:9">
      <c r="A65" s="485"/>
      <c r="B65" s="486" t="s">
        <v>2731</v>
      </c>
      <c r="D65" s="1293" t="s">
        <v>1096</v>
      </c>
      <c r="E65" s="1293"/>
      <c r="F65" s="1293"/>
      <c r="I65" s="491"/>
    </row>
    <row r="66" spans="1:9">
      <c r="D66" s="1293"/>
      <c r="E66" s="1293"/>
      <c r="F66" s="1293"/>
      <c r="I66" s="491"/>
    </row>
    <row r="67" spans="1:9">
      <c r="I67" s="491"/>
    </row>
    <row r="68" spans="1:9">
      <c r="A68" s="485"/>
      <c r="B68" s="486" t="s">
        <v>2731</v>
      </c>
      <c r="D68" s="1293" t="s">
        <v>1097</v>
      </c>
      <c r="E68" s="1293"/>
      <c r="F68" s="1293"/>
      <c r="I68" s="491"/>
    </row>
    <row r="69" spans="1:9">
      <c r="D69" s="1293"/>
      <c r="E69" s="1293"/>
      <c r="F69" s="1293"/>
      <c r="I69" s="491"/>
    </row>
    <row r="70" spans="1:9">
      <c r="D70" s="1293"/>
      <c r="E70" s="1293"/>
      <c r="F70" s="1293"/>
      <c r="I70" s="491"/>
    </row>
    <row r="71" spans="1:9">
      <c r="I71" s="491"/>
    </row>
    <row r="72" spans="1:9">
      <c r="A72" s="485"/>
      <c r="B72" s="486" t="s">
        <v>2731</v>
      </c>
      <c r="D72" s="1293" t="s">
        <v>1098</v>
      </c>
      <c r="E72" s="1293"/>
      <c r="F72" s="1293"/>
      <c r="I72" s="491"/>
    </row>
    <row r="73" spans="1:9">
      <c r="D73" s="1293"/>
      <c r="E73" s="1293"/>
      <c r="F73" s="1293"/>
      <c r="I73" s="491"/>
    </row>
    <row r="74" spans="1:9">
      <c r="A74" s="485"/>
      <c r="B74" s="485"/>
      <c r="D74" s="447"/>
      <c r="I74" s="491"/>
    </row>
    <row r="75" spans="1:9">
      <c r="A75" s="1296" t="s">
        <v>1043</v>
      </c>
      <c r="B75" s="1296"/>
      <c r="C75" s="1296"/>
      <c r="D75" s="1296"/>
      <c r="E75" s="1296"/>
      <c r="F75" s="1296"/>
      <c r="G75" s="1296"/>
      <c r="H75" s="1029"/>
      <c r="I75" s="1155"/>
    </row>
    <row r="76" spans="1:9">
      <c r="I76" s="491"/>
    </row>
    <row r="77" spans="1:9">
      <c r="C77" s="487"/>
      <c r="D77" s="1295" t="s">
        <v>1101</v>
      </c>
      <c r="E77" s="1295"/>
      <c r="F77" s="1295"/>
      <c r="I77" s="491"/>
    </row>
    <row r="78" spans="1:9">
      <c r="A78" s="447"/>
      <c r="B78" s="447"/>
      <c r="D78" s="1293" t="s">
        <v>1116</v>
      </c>
      <c r="E78" s="1293"/>
      <c r="F78" s="1293"/>
      <c r="I78" s="491"/>
    </row>
    <row r="79" spans="1:9">
      <c r="A79" s="447"/>
      <c r="B79" s="447"/>
      <c r="I79" s="491"/>
    </row>
    <row r="80" spans="1:9" ht="13.75" customHeight="1">
      <c r="A80" s="485"/>
      <c r="B80" s="486" t="s">
        <v>2732</v>
      </c>
      <c r="D80" s="1293" t="s">
        <v>1244</v>
      </c>
      <c r="E80" s="1293"/>
      <c r="F80" s="1293"/>
      <c r="I80" s="491"/>
    </row>
    <row r="81" spans="1:9">
      <c r="A81" s="485"/>
      <c r="B81" s="485"/>
      <c r="D81" s="1293"/>
      <c r="E81" s="1293"/>
      <c r="F81" s="1293"/>
      <c r="I81" s="491"/>
    </row>
    <row r="82" spans="1:9">
      <c r="A82" s="485"/>
      <c r="B82" s="485"/>
      <c r="D82" s="1293"/>
      <c r="E82" s="1293"/>
      <c r="F82" s="1293"/>
      <c r="I82" s="491"/>
    </row>
    <row r="83" spans="1:9">
      <c r="A83" s="485"/>
      <c r="B83" s="485"/>
      <c r="D83" s="1293"/>
      <c r="E83" s="1293"/>
      <c r="F83" s="1293"/>
      <c r="I83" s="491"/>
    </row>
    <row r="84" spans="1:9">
      <c r="A84" s="485"/>
      <c r="B84" s="485"/>
      <c r="D84" s="1293"/>
      <c r="E84" s="1293"/>
      <c r="F84" s="1293"/>
      <c r="I84" s="491"/>
    </row>
    <row r="85" spans="1:9">
      <c r="A85" s="485"/>
      <c r="B85" s="485"/>
      <c r="D85" s="1293"/>
      <c r="E85" s="1293"/>
      <c r="F85" s="1293"/>
      <c r="I85" s="491"/>
    </row>
    <row r="86" spans="1:9">
      <c r="A86" s="485"/>
      <c r="B86" s="485"/>
      <c r="D86" s="1293"/>
      <c r="E86" s="1293"/>
      <c r="F86" s="1293"/>
      <c r="I86" s="491"/>
    </row>
    <row r="87" spans="1:9">
      <c r="A87" s="485"/>
      <c r="B87" s="485"/>
      <c r="D87" s="1293"/>
      <c r="E87" s="1293"/>
      <c r="F87" s="1293"/>
      <c r="I87" s="491"/>
    </row>
    <row r="88" spans="1:9">
      <c r="A88" s="485"/>
      <c r="B88" s="485"/>
      <c r="D88" s="386"/>
      <c r="E88" s="386"/>
      <c r="F88" s="386"/>
      <c r="I88" s="491"/>
    </row>
    <row r="89" spans="1:9" ht="15" customHeight="1">
      <c r="A89" s="485"/>
      <c r="B89" s="486" t="s">
        <v>2732</v>
      </c>
      <c r="D89" s="1293" t="s">
        <v>1741</v>
      </c>
      <c r="E89" s="1293"/>
      <c r="F89" s="1293"/>
      <c r="I89" s="491"/>
    </row>
    <row r="90" spans="1:9">
      <c r="A90" s="485"/>
      <c r="B90" s="485"/>
      <c r="D90" s="1293"/>
      <c r="E90" s="1293"/>
      <c r="F90" s="1293"/>
      <c r="I90" s="491"/>
    </row>
    <row r="91" spans="1:9">
      <c r="A91" s="485"/>
      <c r="B91" s="485"/>
      <c r="D91" s="446"/>
      <c r="E91" s="446"/>
      <c r="F91" s="446"/>
      <c r="I91" s="491"/>
    </row>
    <row r="92" spans="1:9">
      <c r="A92" s="485"/>
      <c r="B92" s="486" t="s">
        <v>2732</v>
      </c>
      <c r="D92" s="1293" t="s">
        <v>1744</v>
      </c>
      <c r="E92" s="1293"/>
      <c r="F92" s="1293"/>
      <c r="I92" s="491"/>
    </row>
    <row r="93" spans="1:9">
      <c r="A93" s="485"/>
      <c r="B93" s="485"/>
      <c r="D93" s="1293"/>
      <c r="E93" s="1293"/>
      <c r="F93" s="1293"/>
      <c r="I93" s="491"/>
    </row>
    <row r="94" spans="1:9">
      <c r="A94" s="485"/>
      <c r="B94" s="485"/>
      <c r="D94" s="1293"/>
      <c r="E94" s="1293"/>
      <c r="F94" s="1293"/>
      <c r="I94" s="491"/>
    </row>
    <row r="95" spans="1:9">
      <c r="A95" s="485"/>
      <c r="B95" s="485"/>
      <c r="D95" s="446"/>
      <c r="E95" s="446"/>
      <c r="F95" s="446"/>
      <c r="I95" s="491"/>
    </row>
    <row r="96" spans="1:9">
      <c r="A96" s="485"/>
      <c r="B96" s="486" t="s">
        <v>2732</v>
      </c>
      <c r="D96" s="1293" t="s">
        <v>1743</v>
      </c>
      <c r="E96" s="1293"/>
      <c r="F96" s="1293"/>
      <c r="I96" s="491"/>
    </row>
    <row r="97" spans="1:9" s="988" customFormat="1">
      <c r="A97" s="986"/>
      <c r="B97" s="986"/>
      <c r="C97" s="987"/>
      <c r="D97" s="1293"/>
      <c r="E97" s="1293"/>
      <c r="F97" s="1293"/>
      <c r="I97" s="1156"/>
    </row>
    <row r="98" spans="1:9">
      <c r="A98" s="485"/>
      <c r="B98" s="485"/>
      <c r="D98" s="393"/>
      <c r="E98" s="313" t="s">
        <v>1923</v>
      </c>
      <c r="F98" s="446"/>
      <c r="I98" s="491"/>
    </row>
    <row r="99" spans="1:9">
      <c r="A99" s="485"/>
      <c r="B99" s="485"/>
      <c r="D99" s="386"/>
      <c r="E99" s="386"/>
      <c r="F99" s="386"/>
      <c r="I99" s="491"/>
    </row>
    <row r="100" spans="1:9">
      <c r="A100" s="485"/>
      <c r="B100" s="486" t="s">
        <v>2731</v>
      </c>
      <c r="D100" s="1293" t="s">
        <v>1742</v>
      </c>
      <c r="E100" s="1293"/>
      <c r="F100" s="1293"/>
      <c r="I100" s="491"/>
    </row>
    <row r="101" spans="1:9">
      <c r="A101" s="485"/>
      <c r="B101" s="485"/>
      <c r="D101" s="1293"/>
      <c r="E101" s="1293"/>
      <c r="F101" s="1293"/>
      <c r="I101" s="491"/>
    </row>
    <row r="102" spans="1:9">
      <c r="A102" s="485"/>
      <c r="B102" s="485"/>
      <c r="D102" s="446"/>
      <c r="E102" s="446"/>
      <c r="F102" s="446"/>
      <c r="I102" s="491"/>
    </row>
    <row r="103" spans="1:9" ht="14.5" customHeight="1">
      <c r="A103" s="485"/>
      <c r="B103" s="486" t="s">
        <v>2731</v>
      </c>
      <c r="D103" s="1293" t="s">
        <v>1193</v>
      </c>
      <c r="E103" s="1293"/>
      <c r="F103" s="1293"/>
      <c r="I103" s="491"/>
    </row>
    <row r="104" spans="1:9">
      <c r="A104" s="485"/>
      <c r="B104" s="485"/>
      <c r="D104" s="1293"/>
      <c r="E104" s="1293"/>
      <c r="F104" s="1293"/>
      <c r="I104" s="491"/>
    </row>
    <row r="105" spans="1:9">
      <c r="A105" s="485"/>
      <c r="B105" s="485"/>
      <c r="D105" s="1293"/>
      <c r="E105" s="1293"/>
      <c r="F105" s="1293"/>
      <c r="I105" s="491"/>
    </row>
    <row r="106" spans="1:9">
      <c r="A106" s="485"/>
      <c r="B106" s="485"/>
      <c r="D106" s="1293"/>
      <c r="E106" s="1293"/>
      <c r="F106" s="1293"/>
      <c r="I106" s="491"/>
    </row>
    <row r="107" spans="1:9">
      <c r="A107" s="485"/>
      <c r="B107" s="485"/>
      <c r="D107" s="1293"/>
      <c r="E107" s="1293"/>
      <c r="F107" s="1293"/>
      <c r="I107" s="491"/>
    </row>
    <row r="108" spans="1:9">
      <c r="A108" s="485"/>
      <c r="B108" s="485"/>
      <c r="D108" s="1293"/>
      <c r="E108" s="1293"/>
      <c r="F108" s="1293"/>
      <c r="I108" s="491"/>
    </row>
    <row r="109" spans="1:9">
      <c r="A109" s="485"/>
      <c r="B109" s="485"/>
      <c r="D109" s="1293"/>
      <c r="E109" s="1293"/>
      <c r="F109" s="1293"/>
      <c r="I109" s="491"/>
    </row>
    <row r="110" spans="1:9">
      <c r="A110" s="485"/>
      <c r="B110" s="485"/>
      <c r="D110" s="1293"/>
      <c r="E110" s="1293"/>
      <c r="F110" s="1293"/>
      <c r="I110" s="491"/>
    </row>
    <row r="111" spans="1:9">
      <c r="A111" s="485"/>
      <c r="B111" s="485"/>
      <c r="D111" s="1293"/>
      <c r="E111" s="1293"/>
      <c r="F111" s="1293"/>
      <c r="I111" s="491"/>
    </row>
    <row r="112" spans="1:9">
      <c r="A112" s="485"/>
      <c r="B112" s="485"/>
      <c r="D112" s="1293"/>
      <c r="E112" s="1293"/>
      <c r="F112" s="1293"/>
      <c r="I112" s="491"/>
    </row>
    <row r="113" spans="1:9">
      <c r="A113" s="485"/>
      <c r="B113" s="485"/>
      <c r="D113" s="1293"/>
      <c r="E113" s="1293"/>
      <c r="F113" s="1293"/>
      <c r="I113" s="491"/>
    </row>
    <row r="114" spans="1:9">
      <c r="A114" s="485"/>
      <c r="B114" s="485"/>
      <c r="D114" s="1293"/>
      <c r="E114" s="1293"/>
      <c r="F114" s="1293"/>
      <c r="I114" s="491"/>
    </row>
    <row r="115" spans="1:9">
      <c r="A115" s="485"/>
      <c r="B115" s="485"/>
      <c r="D115" s="1293"/>
      <c r="E115" s="1293"/>
      <c r="F115" s="1293"/>
      <c r="I115" s="491"/>
    </row>
    <row r="116" spans="1:9">
      <c r="A116" s="485"/>
      <c r="B116" s="485"/>
      <c r="D116" s="1293"/>
      <c r="E116" s="1293"/>
      <c r="F116" s="1293"/>
      <c r="I116" s="491"/>
    </row>
    <row r="117" spans="1:9">
      <c r="A117" s="485"/>
      <c r="B117" s="485"/>
      <c r="D117" s="1293"/>
      <c r="E117" s="1293"/>
      <c r="F117" s="1293"/>
      <c r="I117" s="491"/>
    </row>
    <row r="118" spans="1:9">
      <c r="A118" s="485"/>
      <c r="B118" s="485"/>
      <c r="D118" s="525"/>
      <c r="E118" s="525"/>
      <c r="F118" s="525"/>
      <c r="I118" s="491"/>
    </row>
    <row r="119" spans="1:9" ht="14.25" customHeight="1">
      <c r="A119" s="485"/>
      <c r="B119" s="486" t="s">
        <v>2731</v>
      </c>
      <c r="D119" s="1313" t="s">
        <v>1102</v>
      </c>
      <c r="E119" s="1313"/>
      <c r="F119" s="1313"/>
      <c r="I119" s="491"/>
    </row>
    <row r="120" spans="1:9">
      <c r="A120" s="485"/>
      <c r="B120" s="485"/>
      <c r="D120" s="1313"/>
      <c r="E120" s="1313"/>
      <c r="F120" s="1313"/>
      <c r="I120" s="491"/>
    </row>
    <row r="121" spans="1:9">
      <c r="A121" s="485"/>
      <c r="B121" s="485"/>
      <c r="D121" s="1313"/>
      <c r="E121" s="1313"/>
      <c r="F121" s="1313"/>
      <c r="I121" s="491"/>
    </row>
    <row r="122" spans="1:9">
      <c r="A122" s="485"/>
      <c r="B122" s="485"/>
      <c r="D122" s="1313"/>
      <c r="E122" s="1313"/>
      <c r="F122" s="1313"/>
      <c r="I122" s="491"/>
    </row>
    <row r="123" spans="1:9">
      <c r="A123" s="485"/>
      <c r="B123" s="485"/>
      <c r="D123" s="1313"/>
      <c r="E123" s="1313"/>
      <c r="F123" s="1313"/>
      <c r="I123" s="491"/>
    </row>
    <row r="124" spans="1:9">
      <c r="A124" s="485"/>
      <c r="B124" s="485"/>
      <c r="D124" s="1313"/>
      <c r="E124" s="1313"/>
      <c r="F124" s="1313"/>
      <c r="I124" s="491"/>
    </row>
    <row r="125" spans="1:9">
      <c r="A125" s="485"/>
      <c r="B125" s="485"/>
      <c r="D125" s="1313"/>
      <c r="E125" s="1313"/>
      <c r="F125" s="1313"/>
      <c r="I125" s="491"/>
    </row>
    <row r="126" spans="1:9">
      <c r="A126" s="485"/>
      <c r="B126" s="485"/>
      <c r="D126" s="1313"/>
      <c r="E126" s="1313"/>
      <c r="F126" s="1313"/>
      <c r="I126" s="491"/>
    </row>
    <row r="127" spans="1:9">
      <c r="C127" s="403"/>
      <c r="D127" s="526"/>
      <c r="E127" s="526"/>
      <c r="F127" s="526"/>
      <c r="I127" s="491"/>
    </row>
    <row r="128" spans="1:9">
      <c r="A128" s="485"/>
      <c r="B128" s="486" t="s">
        <v>2732</v>
      </c>
      <c r="C128" s="403"/>
      <c r="D128" s="1313" t="s">
        <v>2050</v>
      </c>
      <c r="E128" s="1313"/>
      <c r="F128" s="1313"/>
      <c r="I128" s="491"/>
    </row>
    <row r="129" spans="1:9">
      <c r="A129" s="485"/>
      <c r="B129" s="485"/>
      <c r="C129" s="403"/>
      <c r="D129" s="1313"/>
      <c r="E129" s="1313"/>
      <c r="F129" s="1313"/>
      <c r="I129" s="491"/>
    </row>
    <row r="130" spans="1:9">
      <c r="I130" s="491"/>
    </row>
    <row r="131" spans="1:9">
      <c r="A131" s="485"/>
      <c r="B131" s="486" t="s">
        <v>2732</v>
      </c>
      <c r="D131" s="1293" t="s">
        <v>1103</v>
      </c>
      <c r="E131" s="1293"/>
      <c r="F131" s="1293"/>
      <c r="I131" s="491"/>
    </row>
    <row r="132" spans="1:9">
      <c r="D132" s="1293"/>
      <c r="E132" s="1293"/>
      <c r="F132" s="1293"/>
      <c r="I132" s="491"/>
    </row>
    <row r="133" spans="1:9">
      <c r="D133" s="1293"/>
      <c r="E133" s="1293"/>
      <c r="F133" s="1293"/>
      <c r="I133" s="491"/>
    </row>
    <row r="134" spans="1:9">
      <c r="D134" s="1293"/>
      <c r="E134" s="1293"/>
      <c r="F134" s="1293"/>
      <c r="I134" s="491"/>
    </row>
    <row r="135" spans="1:9">
      <c r="D135" s="1293"/>
      <c r="E135" s="1293"/>
      <c r="F135" s="1293"/>
      <c r="I135" s="491"/>
    </row>
    <row r="136" spans="1:9">
      <c r="I136" s="491"/>
    </row>
    <row r="137" spans="1:9">
      <c r="A137" s="485"/>
      <c r="B137" s="486" t="s">
        <v>2732</v>
      </c>
      <c r="D137" s="1293" t="s">
        <v>1104</v>
      </c>
      <c r="E137" s="1293"/>
      <c r="F137" s="1293"/>
      <c r="I137" s="491"/>
    </row>
    <row r="138" spans="1:9" s="418" customFormat="1" ht="13.75" customHeight="1">
      <c r="A138" s="489"/>
      <c r="B138" s="489"/>
      <c r="C138" s="489"/>
      <c r="D138" s="1293"/>
      <c r="E138" s="1293"/>
      <c r="F138" s="1293"/>
      <c r="I138" s="1157"/>
    </row>
    <row r="139" spans="1:9" ht="13.75" customHeight="1">
      <c r="D139" s="1293"/>
      <c r="E139" s="1293"/>
      <c r="F139" s="1293"/>
      <c r="I139" s="491"/>
    </row>
    <row r="140" spans="1:9" ht="13.75" customHeight="1">
      <c r="D140" s="1293"/>
      <c r="E140" s="1293"/>
      <c r="F140" s="1293"/>
      <c r="I140" s="491"/>
    </row>
    <row r="141" spans="1:9" ht="13.75" customHeight="1">
      <c r="D141" s="1293"/>
      <c r="E141" s="1293"/>
      <c r="F141" s="1293"/>
      <c r="I141" s="491"/>
    </row>
    <row r="142" spans="1:9" ht="13.75" customHeight="1">
      <c r="A142" s="490"/>
      <c r="B142" s="490"/>
      <c r="D142" s="1293"/>
      <c r="E142" s="1293"/>
      <c r="F142" s="1293"/>
      <c r="I142" s="491"/>
    </row>
    <row r="143" spans="1:9" ht="13.75" customHeight="1">
      <c r="D143" s="1293"/>
      <c r="E143" s="1293"/>
      <c r="F143" s="1293"/>
      <c r="I143" s="491"/>
    </row>
    <row r="144" spans="1:9" ht="13.75" customHeight="1">
      <c r="D144" s="1293"/>
      <c r="E144" s="1293"/>
      <c r="F144" s="1293"/>
      <c r="I144" s="491"/>
    </row>
    <row r="145" spans="2:9" ht="13.75" customHeight="1">
      <c r="D145" s="1293"/>
      <c r="E145" s="1293"/>
      <c r="F145" s="1293"/>
      <c r="I145" s="491"/>
    </row>
    <row r="146" spans="2:9" ht="13.75" customHeight="1">
      <c r="D146" s="1293"/>
      <c r="E146" s="1293"/>
      <c r="F146" s="1293"/>
      <c r="I146" s="491"/>
    </row>
    <row r="147" spans="2:9" ht="13.75" customHeight="1">
      <c r="D147" s="1293"/>
      <c r="E147" s="1293"/>
      <c r="F147" s="1293"/>
      <c r="I147" s="491"/>
    </row>
    <row r="148" spans="2:9" ht="13.75" customHeight="1">
      <c r="D148" s="1293"/>
      <c r="E148" s="1293"/>
      <c r="F148" s="1293"/>
      <c r="I148" s="491"/>
    </row>
    <row r="149" spans="2:9" ht="13.75" customHeight="1">
      <c r="D149" s="1293"/>
      <c r="E149" s="1293"/>
      <c r="F149" s="1293"/>
      <c r="I149" s="491"/>
    </row>
    <row r="150" spans="2:9" ht="13.75" customHeight="1">
      <c r="D150" s="477"/>
      <c r="E150" s="447"/>
      <c r="F150" s="447"/>
      <c r="I150" s="491"/>
    </row>
    <row r="151" spans="2:9" ht="13.75" customHeight="1">
      <c r="B151" s="486" t="s">
        <v>2731</v>
      </c>
      <c r="D151" s="1293" t="s">
        <v>1176</v>
      </c>
      <c r="E151" s="1293"/>
      <c r="F151" s="1293"/>
      <c r="I151" s="491"/>
    </row>
    <row r="152" spans="2:9" ht="13.75" customHeight="1">
      <c r="D152" s="1293"/>
      <c r="E152" s="1293"/>
      <c r="F152" s="1293"/>
      <c r="I152" s="491"/>
    </row>
    <row r="153" spans="2:9" ht="13.75" customHeight="1">
      <c r="D153" s="1293"/>
      <c r="E153" s="1293"/>
      <c r="F153" s="1293"/>
      <c r="I153" s="491"/>
    </row>
    <row r="154" spans="2:9" ht="13.75" customHeight="1">
      <c r="D154" s="1293"/>
      <c r="E154" s="1293"/>
      <c r="F154" s="1293"/>
      <c r="I154" s="491"/>
    </row>
    <row r="155" spans="2:9" ht="13.75" customHeight="1">
      <c r="D155" s="1293"/>
      <c r="E155" s="1293"/>
      <c r="F155" s="1293"/>
      <c r="I155" s="491"/>
    </row>
    <row r="156" spans="2:9" ht="13.75" customHeight="1">
      <c r="D156" s="1293"/>
      <c r="E156" s="1293"/>
      <c r="F156" s="1293"/>
      <c r="I156" s="491"/>
    </row>
    <row r="157" spans="2:9" ht="13.75" customHeight="1">
      <c r="D157" s="1293"/>
      <c r="E157" s="1293"/>
      <c r="F157" s="1293"/>
      <c r="I157" s="491"/>
    </row>
    <row r="158" spans="2:9" ht="13.75" customHeight="1">
      <c r="D158" s="1293"/>
      <c r="E158" s="1293"/>
      <c r="F158" s="1293"/>
      <c r="I158" s="491"/>
    </row>
    <row r="159" spans="2:9" ht="13.75" customHeight="1">
      <c r="D159" s="1293"/>
      <c r="E159" s="1293"/>
      <c r="F159" s="1293"/>
      <c r="I159" s="491"/>
    </row>
    <row r="160" spans="2:9" ht="13.75" customHeight="1">
      <c r="D160" s="1293"/>
      <c r="E160" s="1293"/>
      <c r="F160" s="1293"/>
      <c r="I160" s="491"/>
    </row>
    <row r="161" spans="1:9" ht="13.75" customHeight="1">
      <c r="D161" s="1293"/>
      <c r="E161" s="1293"/>
      <c r="F161" s="1293"/>
      <c r="I161" s="491"/>
    </row>
    <row r="162" spans="1:9" ht="13.75" customHeight="1">
      <c r="D162" s="1293"/>
      <c r="E162" s="1293"/>
      <c r="F162" s="1293"/>
      <c r="I162" s="491"/>
    </row>
    <row r="163" spans="1:9" ht="13.75" customHeight="1">
      <c r="D163" s="1293"/>
      <c r="E163" s="1293"/>
      <c r="F163" s="1293"/>
      <c r="I163" s="491"/>
    </row>
    <row r="164" spans="1:9" ht="13.75" customHeight="1">
      <c r="D164" s="1293"/>
      <c r="E164" s="1293"/>
      <c r="F164" s="1293"/>
      <c r="I164" s="491"/>
    </row>
    <row r="165" spans="1:9" ht="13.75" customHeight="1">
      <c r="D165" s="1293"/>
      <c r="E165" s="1293"/>
      <c r="F165" s="1293"/>
      <c r="I165" s="491"/>
    </row>
    <row r="166" spans="1:9" ht="13.75" customHeight="1">
      <c r="D166" s="1293"/>
      <c r="E166" s="1293"/>
      <c r="F166" s="1293"/>
      <c r="I166" s="491"/>
    </row>
    <row r="167" spans="1:9" ht="13.75" customHeight="1">
      <c r="D167" s="1293"/>
      <c r="E167" s="1293"/>
      <c r="F167" s="1293"/>
      <c r="I167" s="491"/>
    </row>
    <row r="168" spans="1:9" ht="13.75" customHeight="1">
      <c r="D168" s="1293"/>
      <c r="E168" s="1293"/>
      <c r="F168" s="1293"/>
      <c r="I168" s="491"/>
    </row>
    <row r="169" spans="1:9" ht="13.75" customHeight="1">
      <c r="D169" s="1314" t="s">
        <v>2073</v>
      </c>
      <c r="E169" s="1314"/>
      <c r="F169" s="1314"/>
      <c r="G169" s="508"/>
      <c r="I169" s="491"/>
    </row>
    <row r="170" spans="1:9" ht="13.75" customHeight="1">
      <c r="D170" s="1305"/>
      <c r="E170" s="1305"/>
      <c r="F170" s="1305"/>
      <c r="G170" s="1305"/>
      <c r="I170" s="491"/>
    </row>
    <row r="171" spans="1:9" ht="14.5" customHeight="1">
      <c r="A171" s="490"/>
      <c r="B171" s="486" t="s">
        <v>2731</v>
      </c>
      <c r="C171" s="477"/>
      <c r="D171" s="1273" t="s">
        <v>2213</v>
      </c>
      <c r="E171" s="1273"/>
      <c r="F171" s="1273"/>
      <c r="G171" s="477"/>
      <c r="I171" s="491"/>
    </row>
    <row r="172" spans="1:9" ht="14.5" customHeight="1">
      <c r="A172" s="490"/>
      <c r="B172" s="490"/>
      <c r="C172" s="477"/>
      <c r="D172" s="1273"/>
      <c r="E172" s="1273"/>
      <c r="F172" s="1273"/>
      <c r="G172" s="477"/>
      <c r="I172" s="491"/>
    </row>
    <row r="173" spans="1:9" ht="14.5" customHeight="1">
      <c r="A173" s="490"/>
      <c r="B173" s="490"/>
      <c r="C173" s="477"/>
      <c r="D173" s="1273"/>
      <c r="E173" s="1273"/>
      <c r="F173" s="1273"/>
      <c r="G173" s="477"/>
      <c r="I173" s="491"/>
    </row>
    <row r="174" spans="1:9" ht="14.5" customHeight="1">
      <c r="A174" s="490"/>
      <c r="B174" s="490"/>
      <c r="C174" s="477"/>
      <c r="D174" s="1273"/>
      <c r="E174" s="1273"/>
      <c r="F174" s="1273"/>
      <c r="G174" s="477"/>
      <c r="I174" s="491"/>
    </row>
    <row r="175" spans="1:9" ht="13.75" customHeight="1">
      <c r="A175" s="490"/>
      <c r="B175" s="490"/>
      <c r="C175" s="477"/>
      <c r="D175" s="1273"/>
      <c r="E175" s="1273"/>
      <c r="F175" s="1273"/>
      <c r="G175" s="477"/>
      <c r="I175" s="491"/>
    </row>
    <row r="176" spans="1:9" ht="13.75" customHeight="1">
      <c r="A176" s="490"/>
      <c r="B176" s="490"/>
      <c r="C176" s="477"/>
      <c r="D176" s="477"/>
      <c r="E176" s="477"/>
      <c r="F176" s="477"/>
      <c r="G176" s="477"/>
      <c r="I176" s="491"/>
    </row>
    <row r="177" spans="1:9" ht="13.75" customHeight="1">
      <c r="A177" s="490"/>
      <c r="B177" s="486" t="s">
        <v>2731</v>
      </c>
      <c r="C177" s="477"/>
      <c r="D177" s="1273" t="s">
        <v>1105</v>
      </c>
      <c r="E177" s="1273"/>
      <c r="F177" s="1273"/>
      <c r="G177" s="477"/>
      <c r="I177" s="491"/>
    </row>
    <row r="178" spans="1:9" ht="13.75" customHeight="1">
      <c r="A178" s="490"/>
      <c r="B178" s="490"/>
      <c r="C178" s="477"/>
      <c r="D178" s="1273"/>
      <c r="E178" s="1273"/>
      <c r="F178" s="1273"/>
      <c r="G178" s="477"/>
      <c r="I178" s="491"/>
    </row>
    <row r="179" spans="1:9" ht="13.75" customHeight="1">
      <c r="A179" s="490"/>
      <c r="B179" s="490"/>
      <c r="C179" s="477"/>
      <c r="D179" s="1273"/>
      <c r="E179" s="1273"/>
      <c r="F179" s="1273"/>
      <c r="G179" s="477"/>
      <c r="I179" s="491"/>
    </row>
    <row r="180" spans="1:9" ht="13.75" customHeight="1">
      <c r="A180" s="490"/>
      <c r="B180" s="490"/>
      <c r="C180" s="477"/>
      <c r="D180" s="1273"/>
      <c r="E180" s="1273"/>
      <c r="F180" s="1273"/>
      <c r="G180" s="477"/>
      <c r="I180" s="491"/>
    </row>
    <row r="181" spans="1:9" ht="13.75" customHeight="1">
      <c r="D181" s="447"/>
      <c r="E181" s="447"/>
      <c r="F181" s="447"/>
      <c r="I181" s="491"/>
    </row>
    <row r="182" spans="1:9" ht="13.75" customHeight="1">
      <c r="B182" s="486" t="s">
        <v>2731</v>
      </c>
      <c r="D182" s="1297" t="s">
        <v>2051</v>
      </c>
      <c r="E182" s="1297"/>
      <c r="F182" s="1297"/>
      <c r="I182" s="491"/>
    </row>
    <row r="183" spans="1:9" ht="13.75" customHeight="1">
      <c r="D183" s="1297"/>
      <c r="E183" s="1297"/>
      <c r="F183" s="1297"/>
      <c r="I183" s="491"/>
    </row>
    <row r="184" spans="1:9" ht="13.75" customHeight="1">
      <c r="D184" s="1297"/>
      <c r="E184" s="1297"/>
      <c r="F184" s="1297"/>
      <c r="I184" s="491"/>
    </row>
    <row r="185" spans="1:9" ht="13.75" customHeight="1">
      <c r="A185" s="491"/>
      <c r="B185" s="491"/>
      <c r="E185" s="447"/>
      <c r="F185" s="447"/>
      <c r="I185" s="491"/>
    </row>
    <row r="186" spans="1:9">
      <c r="A186" s="1296" t="s">
        <v>2052</v>
      </c>
      <c r="B186" s="1296"/>
      <c r="C186" s="1296"/>
      <c r="D186" s="1296"/>
      <c r="E186" s="1296"/>
      <c r="F186" s="1296"/>
      <c r="G186" s="1296"/>
      <c r="H186" s="1029"/>
      <c r="I186" s="1155"/>
    </row>
    <row r="187" spans="1:9" ht="12" customHeight="1">
      <c r="D187" s="447"/>
      <c r="E187" s="447"/>
      <c r="F187" s="447"/>
      <c r="I187" s="491"/>
    </row>
    <row r="188" spans="1:9">
      <c r="B188" s="1299" t="s">
        <v>445</v>
      </c>
      <c r="C188" s="1299"/>
      <c r="D188" s="1299"/>
      <c r="E188" s="1299"/>
      <c r="F188" s="1299"/>
      <c r="I188" s="491"/>
    </row>
    <row r="189" spans="1:9">
      <c r="B189" s="393" t="s">
        <v>1874</v>
      </c>
      <c r="C189" s="393"/>
      <c r="D189" s="393"/>
      <c r="E189" s="393"/>
      <c r="F189" s="393"/>
      <c r="I189" s="491"/>
    </row>
    <row r="190" spans="1:9" ht="12" customHeight="1">
      <c r="A190" s="483"/>
      <c r="B190" s="483"/>
      <c r="C190" s="483"/>
      <c r="I190" s="491"/>
    </row>
    <row r="191" spans="1:9">
      <c r="A191" s="1296" t="s">
        <v>1044</v>
      </c>
      <c r="B191" s="1296"/>
      <c r="C191" s="1296"/>
      <c r="D191" s="1296"/>
      <c r="E191" s="1296"/>
      <c r="F191" s="1296"/>
      <c r="G191" s="1296"/>
      <c r="H191" s="1029"/>
      <c r="I191" s="1155"/>
    </row>
    <row r="192" spans="1:9" ht="12" customHeight="1">
      <c r="A192" s="405"/>
      <c r="B192" s="405"/>
      <c r="E192" s="405"/>
      <c r="I192" s="491"/>
    </row>
    <row r="193" spans="1:9" ht="13.75" customHeight="1">
      <c r="A193" s="405"/>
      <c r="B193" s="405"/>
      <c r="D193" s="1295" t="s">
        <v>1745</v>
      </c>
      <c r="E193" s="1295"/>
      <c r="F193" s="1295"/>
      <c r="I193" s="491"/>
    </row>
    <row r="194" spans="1:9">
      <c r="A194" s="405"/>
      <c r="B194" s="405"/>
      <c r="D194" s="1295"/>
      <c r="E194" s="1295"/>
      <c r="F194" s="1295"/>
      <c r="I194" s="491"/>
    </row>
    <row r="195" spans="1:9">
      <c r="A195" s="405"/>
      <c r="B195" s="405"/>
      <c r="D195" s="1299" t="s">
        <v>1194</v>
      </c>
      <c r="E195" s="1299"/>
      <c r="F195" s="1299"/>
      <c r="I195" s="491"/>
    </row>
    <row r="196" spans="1:9">
      <c r="A196" s="405"/>
      <c r="B196" s="405"/>
      <c r="D196" s="393"/>
      <c r="E196" s="393"/>
      <c r="F196" s="393"/>
      <c r="I196" s="491"/>
    </row>
    <row r="197" spans="1:9">
      <c r="A197" s="405"/>
      <c r="B197" s="486" t="s">
        <v>2731</v>
      </c>
      <c r="D197" s="1310" t="s">
        <v>1746</v>
      </c>
      <c r="E197" s="1310"/>
      <c r="F197" s="1310"/>
      <c r="I197" s="491"/>
    </row>
    <row r="198" spans="1:9">
      <c r="A198" s="405"/>
      <c r="B198" s="405"/>
      <c r="D198" s="1311" t="s">
        <v>1901</v>
      </c>
      <c r="E198" s="1311"/>
      <c r="F198" s="1311"/>
      <c r="I198" s="491"/>
    </row>
    <row r="199" spans="1:9">
      <c r="A199" s="405"/>
      <c r="B199" s="405"/>
      <c r="D199" s="96" t="s">
        <v>1747</v>
      </c>
      <c r="E199" s="1312" t="s">
        <v>1924</v>
      </c>
      <c r="F199" s="1312"/>
      <c r="I199" s="491"/>
    </row>
    <row r="200" spans="1:9">
      <c r="A200" s="405"/>
      <c r="B200" s="405"/>
      <c r="D200" s="3"/>
      <c r="E200" s="3"/>
      <c r="F200" s="3"/>
      <c r="I200" s="491"/>
    </row>
    <row r="201" spans="1:9">
      <c r="A201" s="405"/>
      <c r="B201" s="486" t="s">
        <v>2731</v>
      </c>
      <c r="D201" s="1311" t="s">
        <v>1748</v>
      </c>
      <c r="E201" s="1311"/>
      <c r="F201" s="1311"/>
      <c r="I201" s="491"/>
    </row>
    <row r="202" spans="1:9">
      <c r="A202" s="405"/>
      <c r="B202" s="405"/>
      <c r="D202" s="1310" t="s">
        <v>1901</v>
      </c>
      <c r="E202" s="1310"/>
      <c r="F202" s="1310"/>
      <c r="I202" s="491"/>
    </row>
    <row r="203" spans="1:9">
      <c r="A203" s="405"/>
      <c r="B203" s="405"/>
      <c r="D203" s="57" t="s">
        <v>1749</v>
      </c>
      <c r="E203" s="1312" t="s">
        <v>1925</v>
      </c>
      <c r="F203" s="1312"/>
      <c r="I203" s="491"/>
    </row>
    <row r="204" spans="1:9">
      <c r="A204" s="405"/>
      <c r="B204" s="405"/>
      <c r="D204" s="3"/>
      <c r="E204" s="3"/>
      <c r="F204" s="3"/>
      <c r="I204" s="491"/>
    </row>
    <row r="205" spans="1:9">
      <c r="A205" s="405"/>
      <c r="B205" s="486" t="s">
        <v>2731</v>
      </c>
      <c r="D205" s="1311" t="s">
        <v>1750</v>
      </c>
      <c r="E205" s="1311"/>
      <c r="F205" s="1311"/>
      <c r="I205" s="491"/>
    </row>
    <row r="206" spans="1:9">
      <c r="A206" s="405"/>
      <c r="B206" s="405"/>
      <c r="D206" s="1310" t="s">
        <v>1901</v>
      </c>
      <c r="E206" s="1310"/>
      <c r="F206" s="1310"/>
      <c r="I206" s="491"/>
    </row>
    <row r="207" spans="1:9">
      <c r="A207" s="405"/>
      <c r="B207" s="405"/>
      <c r="D207" s="57" t="s">
        <v>1747</v>
      </c>
      <c r="E207" s="1312" t="s">
        <v>1926</v>
      </c>
      <c r="F207" s="1312"/>
      <c r="I207" s="491"/>
    </row>
    <row r="208" spans="1:9">
      <c r="A208" s="405"/>
      <c r="B208" s="405"/>
      <c r="D208" s="393"/>
      <c r="E208" s="393"/>
      <c r="F208" s="393"/>
      <c r="I208" s="491"/>
    </row>
    <row r="209" spans="1:9" ht="14.25" customHeight="1">
      <c r="A209" s="485"/>
      <c r="B209" s="486" t="s">
        <v>2731</v>
      </c>
      <c r="D209" s="387" t="s">
        <v>1894</v>
      </c>
      <c r="E209" s="386"/>
      <c r="F209" s="386"/>
      <c r="I209" s="491"/>
    </row>
    <row r="210" spans="1:9">
      <c r="A210" s="485"/>
      <c r="B210" s="485"/>
      <c r="D210" s="1310" t="s">
        <v>1901</v>
      </c>
      <c r="E210" s="1310"/>
      <c r="F210" s="1310"/>
      <c r="I210" s="491"/>
    </row>
    <row r="211" spans="1:9">
      <c r="D211" s="386"/>
      <c r="E211" s="1312" t="s">
        <v>1927</v>
      </c>
      <c r="F211" s="1312"/>
      <c r="I211" s="491"/>
    </row>
    <row r="212" spans="1:9">
      <c r="D212" s="448"/>
      <c r="I212" s="491"/>
    </row>
    <row r="213" spans="1:9">
      <c r="B213" s="486" t="s">
        <v>2731</v>
      </c>
      <c r="D213" s="1311" t="s">
        <v>1751</v>
      </c>
      <c r="E213" s="1311"/>
      <c r="F213" s="1311"/>
      <c r="I213" s="491"/>
    </row>
    <row r="214" spans="1:9">
      <c r="D214" s="1310" t="s">
        <v>1901</v>
      </c>
      <c r="E214" s="1310"/>
      <c r="F214" s="1310"/>
      <c r="I214" s="491"/>
    </row>
    <row r="215" spans="1:9">
      <c r="D215" s="57" t="s">
        <v>1747</v>
      </c>
      <c r="E215" s="1312" t="s">
        <v>1928</v>
      </c>
      <c r="F215" s="1312"/>
      <c r="I215" s="491"/>
    </row>
    <row r="216" spans="1:9">
      <c r="D216" s="452"/>
      <c r="E216" s="452"/>
      <c r="F216" s="452"/>
      <c r="I216" s="491"/>
    </row>
    <row r="217" spans="1:9">
      <c r="A217" s="485"/>
      <c r="B217" s="486" t="s">
        <v>2731</v>
      </c>
      <c r="D217" s="1293" t="s">
        <v>1215</v>
      </c>
      <c r="E217" s="1293"/>
      <c r="F217" s="1293"/>
      <c r="I217" s="491"/>
    </row>
    <row r="218" spans="1:9" ht="14.5" customHeight="1">
      <c r="A218" s="485"/>
      <c r="B218" s="403"/>
      <c r="D218" s="1293"/>
      <c r="E218" s="1293"/>
      <c r="F218" s="1293"/>
      <c r="I218" s="491"/>
    </row>
    <row r="219" spans="1:9">
      <c r="A219" s="485"/>
      <c r="D219" s="1293"/>
      <c r="E219" s="1293"/>
      <c r="F219" s="1293"/>
      <c r="I219" s="491"/>
    </row>
    <row r="220" spans="1:9">
      <c r="A220" s="485"/>
      <c r="D220" s="1293"/>
      <c r="E220" s="1293"/>
      <c r="F220" s="1293"/>
      <c r="I220" s="491"/>
    </row>
    <row r="221" spans="1:9">
      <c r="D221" s="452"/>
      <c r="E221" s="452"/>
      <c r="F221" s="452"/>
      <c r="I221" s="491"/>
    </row>
    <row r="222" spans="1:9">
      <c r="A222" s="1296" t="s">
        <v>1045</v>
      </c>
      <c r="B222" s="1296"/>
      <c r="C222" s="1296"/>
      <c r="D222" s="1296"/>
      <c r="E222" s="1296"/>
      <c r="F222" s="1296"/>
      <c r="G222" s="1296"/>
      <c r="H222" s="1029"/>
      <c r="I222" s="1155"/>
    </row>
    <row r="223" spans="1:9" ht="12" customHeight="1">
      <c r="D223" s="447"/>
      <c r="E223" s="447"/>
      <c r="F223" s="447"/>
      <c r="I223" s="491"/>
    </row>
    <row r="224" spans="1:9">
      <c r="C224" s="487"/>
      <c r="D224" s="1301" t="s">
        <v>207</v>
      </c>
      <c r="E224" s="1301"/>
      <c r="F224" s="1301"/>
      <c r="I224" s="491"/>
    </row>
    <row r="225" spans="1:9">
      <c r="A225" s="483"/>
      <c r="B225" s="483"/>
      <c r="C225" s="483"/>
      <c r="D225" s="1294" t="s">
        <v>1119</v>
      </c>
      <c r="E225" s="1294"/>
      <c r="F225" s="1294"/>
      <c r="I225" s="491"/>
    </row>
    <row r="226" spans="1:9" ht="12" customHeight="1">
      <c r="A226" s="491"/>
      <c r="B226" s="491"/>
      <c r="C226" s="491"/>
      <c r="I226" s="491"/>
    </row>
    <row r="227" spans="1:9" ht="13.75" customHeight="1">
      <c r="A227" s="491"/>
      <c r="C227" s="491"/>
      <c r="D227" s="1301" t="s">
        <v>545</v>
      </c>
      <c r="E227" s="1301"/>
      <c r="F227" s="1301"/>
      <c r="I227" s="491"/>
    </row>
    <row r="228" spans="1:9">
      <c r="A228" s="485"/>
      <c r="B228" s="486" t="s">
        <v>2732</v>
      </c>
      <c r="D228" s="1293" t="s">
        <v>1752</v>
      </c>
      <c r="E228" s="1293"/>
      <c r="F228" s="1293"/>
      <c r="I228" s="491"/>
    </row>
    <row r="229" spans="1:9" ht="14.25" customHeight="1">
      <c r="A229" s="485"/>
      <c r="B229" s="485"/>
      <c r="D229" s="1293"/>
      <c r="E229" s="1293"/>
      <c r="F229" s="1293"/>
      <c r="I229" s="491"/>
    </row>
    <row r="230" spans="1:9" ht="14.25" customHeight="1">
      <c r="A230" s="485"/>
      <c r="B230" s="485"/>
      <c r="D230" s="1293"/>
      <c r="E230" s="1293"/>
      <c r="F230" s="1293"/>
      <c r="I230" s="491"/>
    </row>
    <row r="231" spans="1:9">
      <c r="A231" s="485"/>
      <c r="B231" s="485"/>
      <c r="D231" s="1293"/>
      <c r="E231" s="1293"/>
      <c r="F231" s="1293"/>
      <c r="I231" s="491"/>
    </row>
    <row r="232" spans="1:9">
      <c r="A232" s="485"/>
      <c r="B232" s="485"/>
      <c r="D232" s="446"/>
      <c r="E232" s="446"/>
      <c r="F232" s="446"/>
      <c r="I232" s="491"/>
    </row>
    <row r="233" spans="1:9">
      <c r="A233" s="485"/>
      <c r="B233" s="486" t="s">
        <v>2732</v>
      </c>
      <c r="D233" s="1293" t="s">
        <v>1753</v>
      </c>
      <c r="E233" s="1293"/>
      <c r="F233" s="1293"/>
      <c r="I233" s="491"/>
    </row>
    <row r="234" spans="1:9">
      <c r="A234" s="485"/>
      <c r="B234" s="485"/>
      <c r="D234" s="1293"/>
      <c r="E234" s="1293"/>
      <c r="F234" s="1293"/>
      <c r="I234" s="491"/>
    </row>
    <row r="235" spans="1:9">
      <c r="A235" s="485"/>
      <c r="B235" s="485"/>
      <c r="D235" s="1293"/>
      <c r="E235" s="1293"/>
      <c r="F235" s="1293"/>
      <c r="I235" s="491"/>
    </row>
    <row r="236" spans="1:9">
      <c r="A236" s="485"/>
      <c r="B236" s="485"/>
      <c r="D236" s="1293"/>
      <c r="E236" s="1293"/>
      <c r="F236" s="1293"/>
      <c r="I236" s="491"/>
    </row>
    <row r="237" spans="1:9" ht="14.25" customHeight="1">
      <c r="A237" s="485"/>
      <c r="B237" s="485"/>
      <c r="D237" s="1293"/>
      <c r="E237" s="1293"/>
      <c r="F237" s="1293"/>
      <c r="I237" s="491"/>
    </row>
    <row r="238" spans="1:9" ht="14.25" customHeight="1">
      <c r="A238" s="485"/>
      <c r="B238" s="485"/>
      <c r="D238" s="446"/>
      <c r="E238" s="446"/>
      <c r="F238" s="446"/>
      <c r="I238" s="491"/>
    </row>
    <row r="239" spans="1:9">
      <c r="A239" s="485"/>
      <c r="B239" s="485"/>
      <c r="D239" s="1293" t="s">
        <v>1117</v>
      </c>
      <c r="E239" s="1293"/>
      <c r="F239" s="1293"/>
      <c r="I239" s="491"/>
    </row>
    <row r="240" spans="1:9">
      <c r="A240" s="485"/>
      <c r="B240" s="485"/>
      <c r="D240" s="1293"/>
      <c r="E240" s="1293"/>
      <c r="F240" s="1293"/>
      <c r="I240" s="491"/>
    </row>
    <row r="241" spans="1:9">
      <c r="A241" s="485"/>
      <c r="B241" s="485"/>
      <c r="D241" s="1293"/>
      <c r="E241" s="1293"/>
      <c r="F241" s="1293"/>
      <c r="I241" s="491"/>
    </row>
    <row r="242" spans="1:9">
      <c r="A242" s="485"/>
      <c r="B242" s="485"/>
      <c r="D242" s="1293"/>
      <c r="E242" s="1293"/>
      <c r="F242" s="1293"/>
      <c r="I242" s="491"/>
    </row>
    <row r="243" spans="1:9">
      <c r="A243" s="485"/>
      <c r="B243" s="485"/>
      <c r="D243" s="1293"/>
      <c r="E243" s="1293"/>
      <c r="F243" s="1293"/>
      <c r="I243" s="491"/>
    </row>
    <row r="244" spans="1:9">
      <c r="A244" s="485"/>
      <c r="B244" s="485"/>
      <c r="D244" s="447"/>
      <c r="E244" s="447"/>
      <c r="F244" s="447"/>
      <c r="I244" s="491"/>
    </row>
    <row r="245" spans="1:9">
      <c r="A245" s="485"/>
      <c r="B245" s="486" t="s">
        <v>2732</v>
      </c>
      <c r="D245" s="1293" t="s">
        <v>2053</v>
      </c>
      <c r="E245" s="1293"/>
      <c r="F245" s="1293"/>
      <c r="I245" s="491"/>
    </row>
    <row r="246" spans="1:9">
      <c r="A246" s="485"/>
      <c r="B246" s="485"/>
      <c r="D246" s="1293"/>
      <c r="E246" s="1293"/>
      <c r="F246" s="1293"/>
      <c r="I246" s="491"/>
    </row>
    <row r="247" spans="1:9">
      <c r="A247" s="485"/>
      <c r="B247" s="485"/>
      <c r="D247" s="1293"/>
      <c r="E247" s="1293"/>
      <c r="F247" s="1293"/>
      <c r="I247" s="491"/>
    </row>
    <row r="248" spans="1:9">
      <c r="A248" s="485"/>
      <c r="B248" s="485"/>
      <c r="E248" s="1037" t="s">
        <v>1895</v>
      </c>
      <c r="I248" s="491"/>
    </row>
    <row r="249" spans="1:9">
      <c r="A249" s="485"/>
      <c r="B249" s="485"/>
      <c r="D249" s="447"/>
      <c r="E249" s="447"/>
      <c r="F249" s="447"/>
      <c r="I249" s="491"/>
    </row>
    <row r="250" spans="1:9" ht="14.5" customHeight="1">
      <c r="A250" s="485"/>
      <c r="B250" s="486" t="s">
        <v>2731</v>
      </c>
      <c r="D250" s="1293" t="s">
        <v>2054</v>
      </c>
      <c r="E250" s="1293"/>
      <c r="F250" s="1293"/>
      <c r="I250" s="491"/>
    </row>
    <row r="251" spans="1:9">
      <c r="A251" s="485"/>
      <c r="B251" s="485"/>
      <c r="D251" s="1293"/>
      <c r="E251" s="1293"/>
      <c r="F251" s="1293"/>
      <c r="I251" s="491"/>
    </row>
    <row r="252" spans="1:9">
      <c r="A252" s="485"/>
      <c r="B252" s="485"/>
      <c r="D252" s="1293"/>
      <c r="E252" s="1293"/>
      <c r="F252" s="1293"/>
      <c r="I252" s="491"/>
    </row>
    <row r="253" spans="1:9">
      <c r="A253" s="485"/>
      <c r="B253" s="485"/>
      <c r="D253" s="1293"/>
      <c r="E253" s="1293"/>
      <c r="F253" s="1293"/>
      <c r="I253" s="491"/>
    </row>
    <row r="254" spans="1:9">
      <c r="A254" s="485"/>
      <c r="B254" s="485"/>
      <c r="D254" s="1293"/>
      <c r="E254" s="1293"/>
      <c r="F254" s="1293"/>
      <c r="I254" s="491"/>
    </row>
    <row r="255" spans="1:9">
      <c r="A255" s="485"/>
      <c r="B255" s="485"/>
      <c r="D255" s="446"/>
      <c r="E255" s="446"/>
      <c r="F255" s="446"/>
      <c r="I255" s="491"/>
    </row>
    <row r="256" spans="1:9">
      <c r="A256" s="485"/>
      <c r="B256" s="486" t="s">
        <v>2732</v>
      </c>
      <c r="D256" s="393" t="s">
        <v>2055</v>
      </c>
      <c r="E256" s="446"/>
      <c r="F256" s="446"/>
      <c r="I256" s="491"/>
    </row>
    <row r="257" spans="1:9">
      <c r="A257" s="485"/>
      <c r="B257" s="485"/>
      <c r="E257" s="1037" t="s">
        <v>1896</v>
      </c>
      <c r="I257" s="491"/>
    </row>
    <row r="258" spans="1:9">
      <c r="D258" s="447"/>
      <c r="E258" s="447"/>
      <c r="F258" s="447"/>
      <c r="I258" s="491"/>
    </row>
    <row r="259" spans="1:9">
      <c r="A259" s="485"/>
      <c r="B259" s="486" t="s">
        <v>2732</v>
      </c>
      <c r="D259" s="1293" t="s">
        <v>1118</v>
      </c>
      <c r="E259" s="1293"/>
      <c r="F259" s="1293"/>
      <c r="I259" s="491"/>
    </row>
    <row r="260" spans="1:9">
      <c r="A260" s="485"/>
      <c r="B260" s="485"/>
      <c r="D260" s="1293"/>
      <c r="E260" s="1293"/>
      <c r="F260" s="1293"/>
      <c r="I260" s="491"/>
    </row>
    <row r="261" spans="1:9">
      <c r="D261" s="492"/>
      <c r="I261" s="491"/>
    </row>
    <row r="262" spans="1:9">
      <c r="A262" s="1296" t="s">
        <v>1046</v>
      </c>
      <c r="B262" s="1296"/>
      <c r="C262" s="1296"/>
      <c r="D262" s="1296"/>
      <c r="E262" s="1296"/>
      <c r="F262" s="1296"/>
      <c r="G262" s="1296"/>
      <c r="H262" s="1029"/>
      <c r="I262" s="1155"/>
    </row>
    <row r="263" spans="1:9">
      <c r="D263" s="492"/>
      <c r="I263" s="491"/>
    </row>
    <row r="264" spans="1:9">
      <c r="C264" s="487"/>
      <c r="D264" s="1301" t="s">
        <v>1120</v>
      </c>
      <c r="E264" s="1301"/>
      <c r="F264" s="1301"/>
      <c r="I264" s="491"/>
    </row>
    <row r="265" spans="1:9">
      <c r="A265" s="483"/>
      <c r="B265" s="483"/>
      <c r="C265" s="483"/>
      <c r="D265" s="447"/>
      <c r="E265" s="447"/>
      <c r="F265" s="447"/>
      <c r="I265" s="491"/>
    </row>
    <row r="266" spans="1:9">
      <c r="A266" s="484"/>
      <c r="B266" s="484"/>
      <c r="C266" s="484"/>
      <c r="D266" s="1301" t="s">
        <v>268</v>
      </c>
      <c r="E266" s="1301"/>
      <c r="F266" s="1301"/>
      <c r="I266" s="491"/>
    </row>
    <row r="267" spans="1:9" ht="14.5" customHeight="1">
      <c r="A267" s="485"/>
      <c r="B267" s="486" t="s">
        <v>2732</v>
      </c>
      <c r="D267" s="1293" t="s">
        <v>1195</v>
      </c>
      <c r="E267" s="1293"/>
      <c r="F267" s="1293"/>
      <c r="I267" s="491"/>
    </row>
    <row r="268" spans="1:9">
      <c r="D268" s="1293"/>
      <c r="E268" s="1293"/>
      <c r="F268" s="1293"/>
      <c r="I268" s="491"/>
    </row>
    <row r="269" spans="1:9">
      <c r="E269" s="1037" t="s">
        <v>1897</v>
      </c>
      <c r="I269" s="491"/>
    </row>
    <row r="270" spans="1:9">
      <c r="D270" s="447"/>
      <c r="E270" s="447"/>
      <c r="F270" s="447"/>
      <c r="I270" s="491"/>
    </row>
    <row r="271" spans="1:9" ht="14.5" customHeight="1">
      <c r="A271" s="485"/>
      <c r="B271" s="486" t="s">
        <v>2731</v>
      </c>
      <c r="D271" s="1293" t="s">
        <v>2056</v>
      </c>
      <c r="E271" s="1293"/>
      <c r="F271" s="1293"/>
      <c r="I271" s="491"/>
    </row>
    <row r="272" spans="1:9">
      <c r="D272" s="1293"/>
      <c r="E272" s="1293"/>
      <c r="F272" s="1293"/>
      <c r="I272" s="491"/>
    </row>
    <row r="273" spans="1:9">
      <c r="D273" s="1293"/>
      <c r="E273" s="1293"/>
      <c r="F273" s="1293"/>
      <c r="I273" s="491"/>
    </row>
    <row r="274" spans="1:9">
      <c r="D274" s="1293"/>
      <c r="E274" s="1293"/>
      <c r="F274" s="1293"/>
      <c r="I274" s="491"/>
    </row>
    <row r="275" spans="1:9">
      <c r="D275" s="1293"/>
      <c r="E275" s="1293"/>
      <c r="F275" s="1293"/>
      <c r="I275" s="491"/>
    </row>
    <row r="276" spans="1:9">
      <c r="D276" s="1293"/>
      <c r="E276" s="1293"/>
      <c r="F276" s="1293"/>
      <c r="I276" s="491"/>
    </row>
    <row r="277" spans="1:9">
      <c r="D277" s="447"/>
      <c r="E277" s="447"/>
      <c r="F277" s="447"/>
      <c r="I277" s="491"/>
    </row>
    <row r="278" spans="1:9">
      <c r="A278" s="485"/>
      <c r="B278" s="486" t="s">
        <v>2732</v>
      </c>
      <c r="D278" s="1293" t="s">
        <v>1121</v>
      </c>
      <c r="E278" s="1293"/>
      <c r="F278" s="1293"/>
      <c r="I278" s="491"/>
    </row>
    <row r="279" spans="1:9">
      <c r="D279" s="1293"/>
      <c r="E279" s="1293"/>
      <c r="F279" s="1293"/>
      <c r="I279" s="491"/>
    </row>
    <row r="280" spans="1:9">
      <c r="D280" s="1293"/>
      <c r="E280" s="1293"/>
      <c r="F280" s="1293"/>
      <c r="I280" s="491"/>
    </row>
    <row r="281" spans="1:9">
      <c r="D281" s="493"/>
      <c r="E281" s="447"/>
      <c r="F281" s="447"/>
      <c r="I281" s="491"/>
    </row>
    <row r="282" spans="1:9">
      <c r="A282" s="1296" t="s">
        <v>1047</v>
      </c>
      <c r="B282" s="1296"/>
      <c r="C282" s="1296"/>
      <c r="D282" s="1296"/>
      <c r="E282" s="1296"/>
      <c r="F282" s="1296"/>
      <c r="G282" s="1296"/>
      <c r="H282" s="1029"/>
      <c r="I282" s="1155"/>
    </row>
    <row r="283" spans="1:9">
      <c r="D283" s="493"/>
      <c r="E283" s="447"/>
      <c r="F283" s="447"/>
      <c r="I283" s="491"/>
    </row>
    <row r="284" spans="1:9">
      <c r="C284" s="483"/>
      <c r="D284" s="1295" t="s">
        <v>1122</v>
      </c>
      <c r="E284" s="1295"/>
      <c r="F284" s="1295"/>
      <c r="I284" s="491"/>
    </row>
    <row r="285" spans="1:9">
      <c r="C285" s="483"/>
      <c r="D285" s="1295"/>
      <c r="E285" s="1295"/>
      <c r="F285" s="1295"/>
      <c r="I285" s="491"/>
    </row>
    <row r="286" spans="1:9">
      <c r="A286" s="484"/>
      <c r="B286" s="484"/>
      <c r="C286" s="484"/>
      <c r="D286" s="405"/>
      <c r="I286" s="491"/>
    </row>
    <row r="287" spans="1:9">
      <c r="C287" s="484"/>
      <c r="D287" s="1301" t="s">
        <v>208</v>
      </c>
      <c r="E287" s="1301"/>
      <c r="F287" s="1301"/>
      <c r="I287" s="491"/>
    </row>
    <row r="288" spans="1:9" ht="15.75" customHeight="1">
      <c r="A288" s="485"/>
      <c r="B288" s="485"/>
      <c r="D288" s="1308" t="s">
        <v>1123</v>
      </c>
      <c r="E288" s="1308"/>
      <c r="F288" s="1308"/>
      <c r="I288" s="491"/>
    </row>
    <row r="289" spans="1:9">
      <c r="E289" s="447"/>
      <c r="F289" s="447"/>
      <c r="I289" s="491"/>
    </row>
    <row r="290" spans="1:9">
      <c r="A290" s="485"/>
      <c r="B290" s="486" t="s">
        <v>2732</v>
      </c>
      <c r="D290" s="1293" t="s">
        <v>1124</v>
      </c>
      <c r="E290" s="1293"/>
      <c r="F290" s="1293"/>
      <c r="I290" s="491"/>
    </row>
    <row r="291" spans="1:9">
      <c r="A291" s="485"/>
      <c r="B291" s="485"/>
      <c r="D291" s="1293"/>
      <c r="E291" s="1293"/>
      <c r="F291" s="1293"/>
      <c r="I291" s="491"/>
    </row>
    <row r="292" spans="1:9">
      <c r="D292" s="447"/>
      <c r="E292" s="447"/>
      <c r="F292" s="447"/>
      <c r="I292" s="491"/>
    </row>
    <row r="293" spans="1:9">
      <c r="A293" s="485"/>
      <c r="B293" s="486" t="s">
        <v>2732</v>
      </c>
      <c r="D293" s="1293" t="s">
        <v>1125</v>
      </c>
      <c r="E293" s="1293"/>
      <c r="F293" s="1293"/>
      <c r="I293" s="491"/>
    </row>
    <row r="294" spans="1:9">
      <c r="A294" s="485"/>
      <c r="B294" s="485"/>
      <c r="D294" s="1293"/>
      <c r="E294" s="1293"/>
      <c r="F294" s="1293"/>
      <c r="I294" s="491"/>
    </row>
    <row r="295" spans="1:9">
      <c r="A295" s="485"/>
      <c r="B295" s="485"/>
      <c r="D295" s="1293"/>
      <c r="E295" s="1293"/>
      <c r="F295" s="1293"/>
      <c r="I295" s="491"/>
    </row>
    <row r="296" spans="1:9">
      <c r="D296" s="447"/>
      <c r="E296" s="447"/>
      <c r="F296" s="447"/>
      <c r="I296" s="491"/>
    </row>
    <row r="297" spans="1:9">
      <c r="A297" s="485"/>
      <c r="B297" s="486" t="s">
        <v>2731</v>
      </c>
      <c r="D297" s="1293" t="s">
        <v>1126</v>
      </c>
      <c r="E297" s="1293"/>
      <c r="F297" s="1293"/>
      <c r="I297" s="491"/>
    </row>
    <row r="298" spans="1:9">
      <c r="A298" s="485"/>
      <c r="B298" s="485"/>
      <c r="D298" s="1293"/>
      <c r="E298" s="1293"/>
      <c r="F298" s="1293"/>
      <c r="I298" s="491"/>
    </row>
    <row r="299" spans="1:9">
      <c r="A299" s="491"/>
      <c r="B299" s="491"/>
      <c r="E299" s="447"/>
      <c r="F299" s="447"/>
      <c r="I299" s="491"/>
    </row>
    <row r="300" spans="1:9">
      <c r="A300" s="1296" t="s">
        <v>1048</v>
      </c>
      <c r="B300" s="1296"/>
      <c r="C300" s="1296"/>
      <c r="D300" s="1296"/>
      <c r="E300" s="1296"/>
      <c r="F300" s="1296"/>
      <c r="G300" s="1296"/>
      <c r="H300" s="1029"/>
      <c r="I300" s="1155"/>
    </row>
    <row r="301" spans="1:9">
      <c r="A301" s="491"/>
      <c r="B301" s="491"/>
      <c r="D301" s="447"/>
      <c r="E301" s="447"/>
      <c r="F301" s="447"/>
      <c r="I301" s="491"/>
    </row>
    <row r="302" spans="1:9">
      <c r="C302" s="491"/>
      <c r="D302" s="1301" t="s">
        <v>681</v>
      </c>
      <c r="E302" s="1301"/>
      <c r="F302" s="1301"/>
      <c r="I302" s="491"/>
    </row>
    <row r="303" spans="1:9">
      <c r="C303" s="491"/>
      <c r="D303" s="1294" t="s">
        <v>1127</v>
      </c>
      <c r="E303" s="1294"/>
      <c r="F303" s="1294"/>
      <c r="I303" s="491"/>
    </row>
    <row r="304" spans="1:9">
      <c r="C304" s="491"/>
      <c r="D304" s="494"/>
      <c r="I304" s="491"/>
    </row>
    <row r="305" spans="1:9">
      <c r="B305" s="486" t="s">
        <v>2732</v>
      </c>
      <c r="D305" s="1294" t="s">
        <v>1128</v>
      </c>
      <c r="E305" s="1294"/>
      <c r="F305" s="1294"/>
      <c r="I305" s="491"/>
    </row>
    <row r="306" spans="1:9">
      <c r="A306" s="485"/>
      <c r="B306" s="485"/>
      <c r="D306" s="495"/>
      <c r="E306" s="496"/>
      <c r="F306" s="496"/>
      <c r="I306" s="491"/>
    </row>
    <row r="307" spans="1:9" ht="13.75" customHeight="1">
      <c r="B307" s="486" t="s">
        <v>2731</v>
      </c>
      <c r="D307" s="1303" t="s">
        <v>1218</v>
      </c>
      <c r="E307" s="1303"/>
      <c r="F307" s="1303"/>
      <c r="I307" s="491"/>
    </row>
    <row r="308" spans="1:9">
      <c r="A308" s="485"/>
      <c r="B308" s="485"/>
      <c r="D308" s="1303"/>
      <c r="E308" s="1303"/>
      <c r="F308" s="1303"/>
      <c r="I308" s="491"/>
    </row>
    <row r="309" spans="1:9">
      <c r="A309" s="485"/>
      <c r="B309" s="485"/>
      <c r="D309" s="1303"/>
      <c r="E309" s="1303"/>
      <c r="F309" s="1303"/>
      <c r="I309" s="491"/>
    </row>
    <row r="310" spans="1:9">
      <c r="A310" s="485"/>
      <c r="B310" s="485"/>
      <c r="D310" s="1303"/>
      <c r="E310" s="1303"/>
      <c r="F310" s="1303"/>
      <c r="I310" s="491"/>
    </row>
    <row r="311" spans="1:9">
      <c r="A311" s="485"/>
      <c r="B311" s="485"/>
      <c r="D311" s="1303"/>
      <c r="E311" s="1303"/>
      <c r="F311" s="1303"/>
      <c r="I311" s="491"/>
    </row>
    <row r="312" spans="1:9">
      <c r="A312" s="485"/>
      <c r="B312" s="485"/>
      <c r="D312" s="495"/>
      <c r="E312" s="496"/>
      <c r="F312" s="496"/>
      <c r="I312" s="491"/>
    </row>
    <row r="313" spans="1:9" ht="13.75" customHeight="1">
      <c r="B313" s="486" t="s">
        <v>2731</v>
      </c>
      <c r="D313" s="1303" t="s">
        <v>1129</v>
      </c>
      <c r="E313" s="1303"/>
      <c r="F313" s="1303"/>
      <c r="I313" s="491"/>
    </row>
    <row r="314" spans="1:9">
      <c r="D314" s="1303"/>
      <c r="E314" s="1303"/>
      <c r="F314" s="1303"/>
      <c r="I314" s="491"/>
    </row>
    <row r="315" spans="1:9">
      <c r="A315" s="485"/>
      <c r="B315" s="485"/>
      <c r="D315" s="495"/>
      <c r="E315" s="496"/>
      <c r="F315" s="496"/>
      <c r="I315" s="491"/>
    </row>
    <row r="316" spans="1:9">
      <c r="B316" s="486" t="s">
        <v>2731</v>
      </c>
      <c r="D316" s="1294" t="s">
        <v>1130</v>
      </c>
      <c r="E316" s="1294"/>
      <c r="F316" s="1294"/>
      <c r="I316" s="491"/>
    </row>
    <row r="317" spans="1:9">
      <c r="E317" s="447"/>
      <c r="F317" s="447"/>
      <c r="I317" s="491"/>
    </row>
    <row r="318" spans="1:9">
      <c r="A318" s="485"/>
      <c r="B318" s="486" t="s">
        <v>2732</v>
      </c>
      <c r="D318" s="1293" t="s">
        <v>2247</v>
      </c>
      <c r="E318" s="1293"/>
      <c r="F318" s="1293"/>
      <c r="I318" s="491"/>
    </row>
    <row r="319" spans="1:9">
      <c r="A319" s="485"/>
      <c r="B319" s="485"/>
      <c r="D319" s="1293"/>
      <c r="E319" s="1293"/>
      <c r="F319" s="1293"/>
      <c r="I319" s="491"/>
    </row>
    <row r="320" spans="1:9">
      <c r="A320" s="485"/>
      <c r="B320" s="485"/>
      <c r="D320" s="1293"/>
      <c r="E320" s="1293"/>
      <c r="F320" s="1293"/>
      <c r="I320" s="491"/>
    </row>
    <row r="321" spans="1:9">
      <c r="A321" s="485"/>
      <c r="B321" s="485"/>
      <c r="D321" s="1293"/>
      <c r="E321" s="1293"/>
      <c r="F321" s="1293"/>
      <c r="I321" s="491"/>
    </row>
    <row r="322" spans="1:9">
      <c r="A322" s="485"/>
      <c r="B322" s="485"/>
      <c r="D322" s="1293"/>
      <c r="E322" s="1293"/>
      <c r="F322" s="1293"/>
      <c r="I322" s="491"/>
    </row>
    <row r="323" spans="1:9">
      <c r="A323" s="485"/>
      <c r="B323" s="485"/>
      <c r="D323" s="1293"/>
      <c r="E323" s="1293"/>
      <c r="F323" s="1293"/>
      <c r="I323" s="491"/>
    </row>
    <row r="324" spans="1:9">
      <c r="A324" s="485"/>
      <c r="B324" s="485"/>
      <c r="D324" s="1293"/>
      <c r="E324" s="1293"/>
      <c r="F324" s="1293"/>
      <c r="I324" s="491"/>
    </row>
    <row r="325" spans="1:9">
      <c r="A325" s="485"/>
      <c r="B325" s="485"/>
      <c r="D325" s="1293"/>
      <c r="E325" s="1293"/>
      <c r="F325" s="1293"/>
      <c r="I325" s="491"/>
    </row>
    <row r="326" spans="1:9">
      <c r="A326" s="485"/>
      <c r="B326" s="485"/>
      <c r="D326" s="1293"/>
      <c r="E326" s="1293"/>
      <c r="F326" s="1293"/>
      <c r="I326" s="491"/>
    </row>
    <row r="327" spans="1:9">
      <c r="A327" s="485"/>
      <c r="B327" s="485"/>
      <c r="D327" s="1293"/>
      <c r="E327" s="1293"/>
      <c r="F327" s="1293"/>
      <c r="I327" s="491"/>
    </row>
    <row r="328" spans="1:9">
      <c r="A328" s="485"/>
      <c r="B328" s="485"/>
      <c r="D328" s="1293"/>
      <c r="E328" s="1293"/>
      <c r="F328" s="1293"/>
      <c r="I328" s="491"/>
    </row>
    <row r="329" spans="1:9">
      <c r="A329" s="485"/>
      <c r="B329" s="485"/>
      <c r="D329" s="1293"/>
      <c r="E329" s="1293"/>
      <c r="F329" s="1293"/>
      <c r="I329" s="491"/>
    </row>
    <row r="330" spans="1:9">
      <c r="A330" s="485"/>
      <c r="B330" s="485"/>
      <c r="D330" s="1293"/>
      <c r="E330" s="1293"/>
      <c r="F330" s="1293"/>
      <c r="I330" s="491"/>
    </row>
    <row r="331" spans="1:9">
      <c r="A331" s="485"/>
      <c r="B331" s="485"/>
      <c r="D331" s="1293"/>
      <c r="E331" s="1293"/>
      <c r="F331" s="1293"/>
      <c r="I331" s="491"/>
    </row>
    <row r="332" spans="1:9">
      <c r="A332" s="485"/>
      <c r="B332" s="485"/>
      <c r="D332" s="1293"/>
      <c r="E332" s="1293"/>
      <c r="F332" s="1293"/>
      <c r="I332" s="491"/>
    </row>
    <row r="333" spans="1:9">
      <c r="D333" s="447"/>
      <c r="E333" s="447"/>
      <c r="F333" s="447"/>
      <c r="I333" s="491"/>
    </row>
    <row r="334" spans="1:9">
      <c r="A334" s="485"/>
      <c r="B334" s="486" t="s">
        <v>2731</v>
      </c>
      <c r="D334" s="1293" t="s">
        <v>1131</v>
      </c>
      <c r="E334" s="1293"/>
      <c r="F334" s="1293"/>
      <c r="I334" s="491"/>
    </row>
    <row r="335" spans="1:9">
      <c r="D335" s="1293"/>
      <c r="E335" s="1293"/>
      <c r="F335" s="1293"/>
      <c r="I335" s="491"/>
    </row>
    <row r="336" spans="1:9">
      <c r="D336" s="1293"/>
      <c r="E336" s="1293"/>
      <c r="F336" s="1293"/>
      <c r="I336" s="491"/>
    </row>
    <row r="337" spans="1:9">
      <c r="D337" s="1293"/>
      <c r="E337" s="1293"/>
      <c r="F337" s="1293"/>
      <c r="I337" s="491"/>
    </row>
    <row r="338" spans="1:9">
      <c r="D338" s="1293"/>
      <c r="E338" s="1293"/>
      <c r="F338" s="1293"/>
      <c r="I338" s="491"/>
    </row>
    <row r="339" spans="1:9">
      <c r="D339" s="1293"/>
      <c r="E339" s="1293"/>
      <c r="F339" s="1293"/>
      <c r="I339" s="491"/>
    </row>
    <row r="340" spans="1:9">
      <c r="D340" s="1293"/>
      <c r="E340" s="1293"/>
      <c r="F340" s="1293"/>
      <c r="I340" s="491"/>
    </row>
    <row r="341" spans="1:9">
      <c r="D341" s="1293"/>
      <c r="E341" s="1293"/>
      <c r="F341" s="1293"/>
      <c r="I341" s="491"/>
    </row>
    <row r="342" spans="1:9">
      <c r="D342" s="1293"/>
      <c r="E342" s="1293"/>
      <c r="F342" s="1293"/>
      <c r="I342" s="491"/>
    </row>
    <row r="343" spans="1:9">
      <c r="D343" s="447"/>
      <c r="E343" s="447"/>
      <c r="F343" s="447"/>
      <c r="I343" s="491"/>
    </row>
    <row r="344" spans="1:9" ht="14.25" customHeight="1">
      <c r="A344" s="485"/>
      <c r="B344" s="486" t="s">
        <v>2732</v>
      </c>
      <c r="D344" s="1293" t="s">
        <v>1902</v>
      </c>
      <c r="E344" s="1293"/>
      <c r="F344" s="1293"/>
      <c r="I344" s="491"/>
    </row>
    <row r="345" spans="1:9">
      <c r="D345" s="1293"/>
      <c r="E345" s="1293"/>
      <c r="F345" s="1293"/>
      <c r="I345" s="491"/>
    </row>
    <row r="346" spans="1:9">
      <c r="D346" s="1293"/>
      <c r="E346" s="1293"/>
      <c r="F346" s="1293"/>
      <c r="I346" s="491"/>
    </row>
    <row r="347" spans="1:9">
      <c r="D347" s="1293"/>
      <c r="E347" s="1293"/>
      <c r="F347" s="1293"/>
      <c r="I347" s="491"/>
    </row>
    <row r="348" spans="1:9">
      <c r="D348" s="387" t="s">
        <v>1901</v>
      </c>
      <c r="E348" s="386"/>
      <c r="F348" s="386"/>
      <c r="I348" s="491"/>
    </row>
    <row r="349" spans="1:9">
      <c r="D349" s="386"/>
      <c r="E349" s="96" t="s">
        <v>1898</v>
      </c>
      <c r="G349" s="96"/>
      <c r="I349" s="491"/>
    </row>
    <row r="350" spans="1:9">
      <c r="D350" s="446"/>
      <c r="E350" s="446"/>
      <c r="F350" s="446"/>
      <c r="I350" s="491"/>
    </row>
    <row r="351" spans="1:9" ht="13.5" thickBot="1">
      <c r="A351" s="1023"/>
      <c r="B351" s="1023"/>
      <c r="C351" s="1023"/>
      <c r="D351" s="1306" t="s">
        <v>978</v>
      </c>
      <c r="E351" s="1306"/>
      <c r="F351" s="1306"/>
      <c r="G351" s="1028"/>
      <c r="H351" s="1028"/>
      <c r="I351" s="1158"/>
    </row>
    <row r="352" spans="1:9" ht="13.5" thickTop="1">
      <c r="D352" s="1304" t="s">
        <v>2248</v>
      </c>
      <c r="E352" s="1304"/>
      <c r="F352" s="1304"/>
      <c r="I352" s="491"/>
    </row>
    <row r="353" spans="1:9">
      <c r="D353" s="447"/>
      <c r="E353" s="447"/>
      <c r="F353" s="447"/>
      <c r="I353" s="491"/>
    </row>
    <row r="354" spans="1:9">
      <c r="A354" s="477"/>
      <c r="B354" s="477"/>
      <c r="C354" s="477"/>
      <c r="D354" s="448"/>
      <c r="E354" s="448"/>
      <c r="F354" s="447"/>
      <c r="I354" s="491"/>
    </row>
    <row r="355" spans="1:9">
      <c r="A355" s="485"/>
      <c r="B355" s="486" t="s">
        <v>2731</v>
      </c>
      <c r="C355" s="488"/>
      <c r="D355" s="1294" t="s">
        <v>1900</v>
      </c>
      <c r="E355" s="1294"/>
      <c r="F355" s="1294"/>
      <c r="I355" s="491"/>
    </row>
    <row r="356" spans="1:9" ht="12.75" customHeight="1">
      <c r="D356" s="1038"/>
      <c r="E356" s="96" t="s">
        <v>1899</v>
      </c>
      <c r="F356" s="1038"/>
      <c r="I356" s="491"/>
    </row>
    <row r="357" spans="1:9">
      <c r="D357" s="1293" t="s">
        <v>1238</v>
      </c>
      <c r="E357" s="1293"/>
      <c r="F357" s="1293"/>
      <c r="I357" s="491"/>
    </row>
    <row r="358" spans="1:9">
      <c r="D358" s="1293"/>
      <c r="E358" s="1293"/>
      <c r="F358" s="1293"/>
      <c r="I358" s="491"/>
    </row>
    <row r="359" spans="1:9">
      <c r="D359" s="1293"/>
      <c r="E359" s="1293"/>
      <c r="F359" s="1293"/>
      <c r="I359" s="491"/>
    </row>
    <row r="360" spans="1:9">
      <c r="A360" s="485"/>
      <c r="B360" s="486" t="s">
        <v>2731</v>
      </c>
      <c r="C360" s="477"/>
      <c r="D360" s="1305" t="s">
        <v>2057</v>
      </c>
      <c r="E360" s="1305"/>
      <c r="F360" s="1305"/>
      <c r="I360" s="481"/>
    </row>
    <row r="361" spans="1:9">
      <c r="A361" s="477"/>
      <c r="B361" s="477"/>
      <c r="C361" s="477"/>
      <c r="D361" s="448"/>
      <c r="E361" s="448"/>
      <c r="F361" s="447"/>
      <c r="I361" s="491"/>
    </row>
    <row r="362" spans="1:9">
      <c r="A362" s="477"/>
      <c r="B362" s="486" t="s">
        <v>2731</v>
      </c>
      <c r="C362" s="477"/>
      <c r="D362" s="1273" t="s">
        <v>2058</v>
      </c>
      <c r="E362" s="1273"/>
      <c r="F362" s="1273"/>
      <c r="I362" s="491"/>
    </row>
    <row r="363" spans="1:9">
      <c r="A363" s="477"/>
      <c r="B363" s="477"/>
      <c r="C363" s="477"/>
      <c r="D363" s="1273"/>
      <c r="E363" s="1273"/>
      <c r="F363" s="1273"/>
      <c r="I363" s="491"/>
    </row>
    <row r="364" spans="1:9">
      <c r="A364" s="477"/>
      <c r="B364" s="477"/>
      <c r="C364" s="477"/>
      <c r="D364" s="1273"/>
      <c r="E364" s="1273"/>
      <c r="F364" s="1273"/>
      <c r="I364" s="491"/>
    </row>
    <row r="365" spans="1:9">
      <c r="A365" s="477"/>
      <c r="B365" s="477"/>
      <c r="C365" s="477"/>
      <c r="D365" s="1273"/>
      <c r="E365" s="1273"/>
      <c r="F365" s="1273"/>
      <c r="I365" s="491"/>
    </row>
    <row r="366" spans="1:9">
      <c r="A366" s="477"/>
      <c r="B366" s="477"/>
      <c r="C366" s="477"/>
      <c r="D366" s="1273"/>
      <c r="E366" s="1273"/>
      <c r="F366" s="1273"/>
      <c r="I366" s="491"/>
    </row>
    <row r="367" spans="1:9">
      <c r="A367" s="477"/>
      <c r="B367" s="477"/>
      <c r="C367" s="477"/>
      <c r="D367" s="1273"/>
      <c r="E367" s="1273"/>
      <c r="F367" s="1273"/>
      <c r="I367" s="491"/>
    </row>
    <row r="368" spans="1:9">
      <c r="A368" s="477"/>
      <c r="B368" s="477"/>
      <c r="C368" s="477"/>
      <c r="D368" s="1273"/>
      <c r="E368" s="1273"/>
      <c r="F368" s="1273"/>
      <c r="I368" s="491"/>
    </row>
    <row r="369" spans="1:9">
      <c r="A369" s="477"/>
      <c r="B369" s="477"/>
      <c r="C369" s="477"/>
      <c r="D369" s="1273"/>
      <c r="E369" s="1273"/>
      <c r="F369" s="1273"/>
      <c r="I369" s="491"/>
    </row>
    <row r="370" spans="1:9">
      <c r="A370" s="477"/>
      <c r="B370" s="477"/>
      <c r="C370" s="477"/>
      <c r="D370" s="1273"/>
      <c r="E370" s="1273"/>
      <c r="F370" s="1273"/>
      <c r="I370" s="491"/>
    </row>
    <row r="371" spans="1:9">
      <c r="A371" s="477"/>
      <c r="B371" s="477"/>
      <c r="C371" s="477"/>
      <c r="D371" s="1273"/>
      <c r="E371" s="1273"/>
      <c r="F371" s="1273"/>
      <c r="I371" s="491"/>
    </row>
    <row r="372" spans="1:9">
      <c r="A372" s="477"/>
      <c r="B372" s="477"/>
      <c r="C372" s="477"/>
      <c r="D372" s="1273"/>
      <c r="E372" s="1273"/>
      <c r="F372" s="1273"/>
      <c r="I372" s="491"/>
    </row>
    <row r="373" spans="1:9">
      <c r="A373" s="477"/>
      <c r="B373" s="477"/>
      <c r="C373" s="477"/>
      <c r="D373" s="1273"/>
      <c r="E373" s="1273"/>
      <c r="F373" s="1273"/>
      <c r="I373" s="491"/>
    </row>
    <row r="374" spans="1:9">
      <c r="A374" s="477"/>
      <c r="B374" s="477"/>
      <c r="C374" s="477"/>
      <c r="D374" s="452"/>
      <c r="E374" s="452"/>
      <c r="F374" s="452"/>
      <c r="I374" s="491"/>
    </row>
    <row r="375" spans="1:9" ht="12.4" customHeight="1">
      <c r="A375" s="477"/>
      <c r="B375" s="486" t="s">
        <v>2731</v>
      </c>
      <c r="C375" s="477"/>
      <c r="D375" s="1290" t="s">
        <v>1220</v>
      </c>
      <c r="E375" s="1290"/>
      <c r="F375" s="1290"/>
      <c r="I375" s="491"/>
    </row>
    <row r="376" spans="1:9">
      <c r="A376" s="477"/>
      <c r="B376" s="477"/>
      <c r="C376" s="477"/>
      <c r="D376" s="1290"/>
      <c r="E376" s="1290"/>
      <c r="F376" s="1290"/>
      <c r="I376" s="491"/>
    </row>
    <row r="377" spans="1:9">
      <c r="A377" s="477"/>
      <c r="B377" s="477"/>
      <c r="C377" s="477"/>
      <c r="D377" s="1290"/>
      <c r="E377" s="1290"/>
      <c r="F377" s="1290"/>
      <c r="I377" s="491"/>
    </row>
    <row r="378" spans="1:9">
      <c r="A378" s="477"/>
      <c r="B378" s="477"/>
      <c r="C378" s="477"/>
      <c r="D378" s="1290"/>
      <c r="E378" s="1290"/>
      <c r="F378" s="1290"/>
      <c r="I378" s="491"/>
    </row>
    <row r="379" spans="1:9">
      <c r="A379" s="477"/>
      <c r="B379" s="477"/>
      <c r="C379" s="477"/>
      <c r="D379" s="525"/>
      <c r="E379" s="525"/>
      <c r="F379" s="525"/>
      <c r="I379" s="491"/>
    </row>
    <row r="380" spans="1:9">
      <c r="A380" s="477"/>
      <c r="B380" s="486" t="s">
        <v>2731</v>
      </c>
      <c r="C380" s="477"/>
      <c r="D380" s="403" t="s">
        <v>1833</v>
      </c>
      <c r="E380" s="525"/>
      <c r="F380" s="525"/>
      <c r="I380" s="491"/>
    </row>
    <row r="381" spans="1:9">
      <c r="A381" s="477"/>
      <c r="B381" s="477"/>
      <c r="C381" s="477"/>
      <c r="D381" s="403" t="s">
        <v>1834</v>
      </c>
      <c r="E381" s="525"/>
      <c r="F381" s="525"/>
      <c r="I381" s="491"/>
    </row>
    <row r="382" spans="1:9">
      <c r="A382" s="477"/>
      <c r="B382" s="477"/>
      <c r="C382" s="477"/>
      <c r="D382" s="403" t="s">
        <v>1835</v>
      </c>
      <c r="E382" s="525"/>
      <c r="F382" s="525"/>
      <c r="I382" s="491"/>
    </row>
    <row r="383" spans="1:9">
      <c r="A383" s="477"/>
      <c r="B383" s="477"/>
      <c r="C383" s="477"/>
      <c r="D383" s="403" t="s">
        <v>1836</v>
      </c>
      <c r="E383" s="525"/>
      <c r="F383" s="525"/>
      <c r="I383" s="491"/>
    </row>
    <row r="384" spans="1:9">
      <c r="A384" s="477"/>
      <c r="B384" s="477"/>
      <c r="C384" s="477"/>
      <c r="D384" s="403" t="s">
        <v>1837</v>
      </c>
      <c r="E384" s="525"/>
      <c r="F384" s="525"/>
      <c r="I384" s="491"/>
    </row>
    <row r="385" spans="1:9">
      <c r="A385" s="477"/>
      <c r="B385" s="477"/>
      <c r="C385" s="477"/>
      <c r="D385" s="403" t="s">
        <v>1838</v>
      </c>
      <c r="E385" s="525"/>
      <c r="F385" s="525"/>
      <c r="I385" s="491"/>
    </row>
    <row r="386" spans="1:9">
      <c r="A386" s="477"/>
      <c r="B386" s="477"/>
      <c r="C386" s="477"/>
      <c r="E386" s="448"/>
      <c r="F386" s="447"/>
      <c r="I386" s="491"/>
    </row>
    <row r="387" spans="1:9">
      <c r="A387" s="485"/>
      <c r="B387" s="486" t="s">
        <v>2731</v>
      </c>
      <c r="C387" s="477"/>
      <c r="D387" s="1273" t="s">
        <v>1132</v>
      </c>
      <c r="E387" s="1273"/>
      <c r="F387" s="1273"/>
      <c r="I387" s="491"/>
    </row>
    <row r="388" spans="1:9">
      <c r="A388" s="477"/>
      <c r="B388" s="477"/>
      <c r="C388" s="477"/>
      <c r="D388" s="1273"/>
      <c r="E388" s="1273"/>
      <c r="F388" s="1273"/>
      <c r="I388" s="491"/>
    </row>
    <row r="389" spans="1:9">
      <c r="A389" s="477"/>
      <c r="B389" s="477"/>
      <c r="C389" s="477"/>
      <c r="D389" s="1273"/>
      <c r="E389" s="1273"/>
      <c r="F389" s="1273"/>
      <c r="I389" s="491"/>
    </row>
    <row r="390" spans="1:9">
      <c r="A390" s="477"/>
      <c r="B390" s="477"/>
      <c r="C390" s="477"/>
      <c r="D390" s="1273"/>
      <c r="E390" s="1273"/>
      <c r="F390" s="1273"/>
      <c r="I390" s="491"/>
    </row>
    <row r="391" spans="1:9">
      <c r="A391" s="477"/>
      <c r="B391" s="477"/>
      <c r="C391" s="477"/>
      <c r="D391" s="448"/>
      <c r="E391" s="448"/>
      <c r="F391" s="447"/>
      <c r="I391" s="491"/>
    </row>
    <row r="392" spans="1:9">
      <c r="A392" s="477"/>
      <c r="B392" s="477"/>
      <c r="C392" s="477"/>
      <c r="D392" s="1273" t="s">
        <v>1133</v>
      </c>
      <c r="E392" s="1273"/>
      <c r="F392" s="1273"/>
      <c r="I392" s="491"/>
    </row>
    <row r="393" spans="1:9">
      <c r="A393" s="477"/>
      <c r="B393" s="477"/>
      <c r="C393" s="477"/>
      <c r="D393" s="1273"/>
      <c r="E393" s="1273"/>
      <c r="F393" s="1273"/>
      <c r="I393" s="491"/>
    </row>
    <row r="394" spans="1:9">
      <c r="A394" s="477"/>
      <c r="B394" s="477"/>
      <c r="C394" s="477"/>
      <c r="D394" s="1273"/>
      <c r="E394" s="1273"/>
      <c r="F394" s="1273"/>
      <c r="I394" s="491"/>
    </row>
    <row r="395" spans="1:9">
      <c r="A395" s="477"/>
      <c r="B395" s="477"/>
      <c r="C395" s="477"/>
      <c r="D395" s="1273"/>
      <c r="E395" s="1273"/>
      <c r="F395" s="1273"/>
      <c r="I395" s="491"/>
    </row>
    <row r="396" spans="1:9" ht="18" customHeight="1">
      <c r="A396" s="477"/>
      <c r="B396" s="477"/>
      <c r="C396" s="477"/>
      <c r="D396" s="1273"/>
      <c r="E396" s="1273"/>
      <c r="F396" s="1273"/>
      <c r="I396" s="491"/>
    </row>
    <row r="397" spans="1:9">
      <c r="A397" s="477"/>
      <c r="B397" s="477"/>
      <c r="C397" s="477"/>
      <c r="D397" s="1273"/>
      <c r="E397" s="1273"/>
      <c r="F397" s="1273"/>
      <c r="I397" s="491"/>
    </row>
    <row r="398" spans="1:9">
      <c r="A398" s="477"/>
      <c r="B398" s="477"/>
      <c r="C398" s="477"/>
      <c r="D398" s="1273"/>
      <c r="E398" s="1273"/>
      <c r="F398" s="1273"/>
      <c r="I398" s="491"/>
    </row>
    <row r="399" spans="1:9">
      <c r="A399" s="477"/>
      <c r="B399" s="477"/>
      <c r="C399" s="477"/>
      <c r="D399" s="1273"/>
      <c r="E399" s="1273"/>
      <c r="F399" s="1273"/>
      <c r="I399" s="491"/>
    </row>
    <row r="400" spans="1:9" ht="8.25" customHeight="1">
      <c r="A400" s="477"/>
      <c r="B400" s="477"/>
      <c r="C400" s="477"/>
      <c r="D400" s="1273"/>
      <c r="E400" s="1273"/>
      <c r="F400" s="1273"/>
      <c r="I400" s="491"/>
    </row>
    <row r="401" spans="1:9" ht="13.75" customHeight="1">
      <c r="A401" s="477"/>
      <c r="B401" s="477"/>
      <c r="C401" s="477"/>
      <c r="D401" s="1273" t="s">
        <v>1134</v>
      </c>
      <c r="E401" s="1273"/>
      <c r="F401" s="1273"/>
      <c r="I401" s="491"/>
    </row>
    <row r="402" spans="1:9">
      <c r="A402" s="477"/>
      <c r="B402" s="477"/>
      <c r="C402" s="477"/>
      <c r="D402" s="1273"/>
      <c r="E402" s="1273"/>
      <c r="F402" s="1273"/>
      <c r="I402" s="491"/>
    </row>
    <row r="403" spans="1:9">
      <c r="A403" s="477"/>
      <c r="B403" s="477"/>
      <c r="C403" s="477"/>
      <c r="D403" s="1273"/>
      <c r="E403" s="1273"/>
      <c r="F403" s="1273"/>
      <c r="I403" s="491"/>
    </row>
    <row r="404" spans="1:9">
      <c r="A404" s="477"/>
      <c r="B404" s="477"/>
      <c r="C404" s="477"/>
      <c r="D404" s="1273"/>
      <c r="E404" s="1273"/>
      <c r="F404" s="1273"/>
      <c r="I404" s="491"/>
    </row>
    <row r="405" spans="1:9">
      <c r="A405" s="477"/>
      <c r="B405" s="477"/>
      <c r="C405" s="477"/>
      <c r="D405" s="1273"/>
      <c r="E405" s="1273"/>
      <c r="F405" s="1273"/>
      <c r="I405" s="491"/>
    </row>
    <row r="406" spans="1:9">
      <c r="A406" s="477"/>
      <c r="B406" s="477"/>
      <c r="C406" s="477"/>
      <c r="D406" s="1273"/>
      <c r="E406" s="1273"/>
      <c r="F406" s="1273"/>
      <c r="I406" s="491"/>
    </row>
    <row r="407" spans="1:9">
      <c r="A407" s="477"/>
      <c r="B407" s="477"/>
      <c r="C407" s="477"/>
      <c r="D407" s="1273"/>
      <c r="E407" s="1273"/>
      <c r="F407" s="1273"/>
      <c r="I407" s="491"/>
    </row>
    <row r="408" spans="1:9">
      <c r="A408" s="477"/>
      <c r="B408" s="477"/>
      <c r="C408" s="477"/>
      <c r="D408" s="1273"/>
      <c r="E408" s="1273"/>
      <c r="F408" s="1273"/>
      <c r="I408" s="491"/>
    </row>
    <row r="409" spans="1:9">
      <c r="A409" s="477"/>
      <c r="B409" s="477"/>
      <c r="C409" s="477"/>
      <c r="D409" s="1273"/>
      <c r="E409" s="1273"/>
      <c r="F409" s="1273"/>
      <c r="I409" s="491"/>
    </row>
    <row r="410" spans="1:9">
      <c r="A410" s="477"/>
      <c r="B410" s="477"/>
      <c r="C410" s="477"/>
      <c r="D410" s="1273"/>
      <c r="E410" s="1273"/>
      <c r="F410" s="1273"/>
      <c r="I410" s="491"/>
    </row>
    <row r="411" spans="1:9">
      <c r="A411" s="477"/>
      <c r="B411" s="477"/>
      <c r="C411" s="477"/>
      <c r="D411" s="1273"/>
      <c r="E411" s="1273"/>
      <c r="F411" s="1273"/>
      <c r="I411" s="491"/>
    </row>
    <row r="412" spans="1:9">
      <c r="A412" s="477"/>
      <c r="B412" s="477"/>
      <c r="C412" s="477"/>
      <c r="D412" s="1273"/>
      <c r="E412" s="1273"/>
      <c r="F412" s="1273"/>
      <c r="I412" s="491"/>
    </row>
    <row r="413" spans="1:9">
      <c r="A413" s="477"/>
      <c r="B413" s="477"/>
      <c r="C413" s="497"/>
      <c r="D413" s="1273"/>
      <c r="E413" s="1273"/>
      <c r="F413" s="1273"/>
      <c r="I413" s="491"/>
    </row>
    <row r="414" spans="1:9">
      <c r="A414" s="477"/>
      <c r="B414" s="477"/>
      <c r="C414" s="497"/>
      <c r="D414" s="1273"/>
      <c r="E414" s="1273"/>
      <c r="F414" s="1273"/>
      <c r="I414" s="491"/>
    </row>
    <row r="415" spans="1:9">
      <c r="A415" s="477"/>
      <c r="B415" s="477"/>
      <c r="C415" s="477"/>
      <c r="D415" s="1273"/>
      <c r="E415" s="1273"/>
      <c r="F415" s="1273"/>
      <c r="I415" s="491"/>
    </row>
    <row r="416" spans="1:9">
      <c r="A416" s="477"/>
      <c r="B416" s="477"/>
      <c r="C416" s="497"/>
      <c r="D416" s="1273"/>
      <c r="E416" s="1273"/>
      <c r="F416" s="1273"/>
      <c r="I416" s="491"/>
    </row>
    <row r="417" spans="1:9">
      <c r="A417" s="477"/>
      <c r="B417" s="477"/>
      <c r="C417" s="497"/>
      <c r="D417" s="1273"/>
      <c r="E417" s="1273"/>
      <c r="F417" s="1273"/>
      <c r="I417" s="491"/>
    </row>
    <row r="418" spans="1:9">
      <c r="A418" s="477"/>
      <c r="B418" s="477"/>
      <c r="C418" s="497"/>
      <c r="D418" s="1273"/>
      <c r="E418" s="1273"/>
      <c r="F418" s="1273"/>
      <c r="I418" s="491"/>
    </row>
    <row r="419" spans="1:9">
      <c r="A419" s="477"/>
      <c r="B419" s="477"/>
      <c r="C419" s="477"/>
      <c r="D419" s="448"/>
      <c r="E419" s="448"/>
      <c r="F419" s="447"/>
      <c r="I419" s="491"/>
    </row>
    <row r="420" spans="1:9">
      <c r="A420" s="477"/>
      <c r="B420" s="486" t="s">
        <v>2731</v>
      </c>
      <c r="C420" s="477"/>
      <c r="D420" s="1273" t="s">
        <v>1135</v>
      </c>
      <c r="E420" s="1273"/>
      <c r="F420" s="1273"/>
      <c r="I420" s="491"/>
    </row>
    <row r="421" spans="1:9">
      <c r="A421" s="477"/>
      <c r="B421" s="477"/>
      <c r="C421" s="477"/>
      <c r="D421" s="1273"/>
      <c r="E421" s="1273"/>
      <c r="F421" s="1273"/>
      <c r="I421" s="491"/>
    </row>
    <row r="422" spans="1:9">
      <c r="A422" s="477"/>
      <c r="B422" s="477"/>
      <c r="C422" s="477"/>
      <c r="D422" s="452"/>
      <c r="E422" s="452"/>
      <c r="F422" s="452"/>
      <c r="I422" s="491"/>
    </row>
    <row r="423" spans="1:9" ht="14.5" customHeight="1">
      <c r="A423" s="485"/>
      <c r="B423" s="486" t="s">
        <v>2731</v>
      </c>
      <c r="D423" s="1273" t="s">
        <v>1881</v>
      </c>
      <c r="E423" s="1273"/>
      <c r="F423" s="1273"/>
      <c r="I423" s="491"/>
    </row>
    <row r="424" spans="1:9" ht="14.5" customHeight="1">
      <c r="A424" s="485"/>
      <c r="D424" s="1273"/>
      <c r="E424" s="1273"/>
      <c r="F424" s="1273"/>
      <c r="I424" s="491"/>
    </row>
    <row r="425" spans="1:9" ht="14.5" customHeight="1">
      <c r="A425" s="485"/>
      <c r="D425" s="1273"/>
      <c r="E425" s="1273"/>
      <c r="F425" s="1273"/>
      <c r="I425" s="491"/>
    </row>
    <row r="426" spans="1:9" ht="14.5" customHeight="1">
      <c r="A426" s="485"/>
      <c r="D426" s="1273"/>
      <c r="E426" s="1273"/>
      <c r="F426" s="1273"/>
      <c r="I426" s="491"/>
    </row>
    <row r="427" spans="1:9" ht="14.5" customHeight="1">
      <c r="A427" s="485"/>
      <c r="D427" s="1273"/>
      <c r="E427" s="1273"/>
      <c r="F427" s="1273"/>
      <c r="I427" s="491"/>
    </row>
    <row r="428" spans="1:9" ht="14.5" customHeight="1">
      <c r="A428" s="485"/>
      <c r="D428" s="386"/>
      <c r="E428" s="386"/>
      <c r="F428" s="386"/>
      <c r="I428" s="491"/>
    </row>
    <row r="429" spans="1:9" ht="13.75" customHeight="1">
      <c r="A429" s="485"/>
      <c r="B429" s="486" t="s">
        <v>2731</v>
      </c>
      <c r="C429" s="477"/>
      <c r="D429" s="1273" t="s">
        <v>1239</v>
      </c>
      <c r="E429" s="1273"/>
      <c r="F429" s="1273"/>
      <c r="I429" s="491"/>
    </row>
    <row r="430" spans="1:9">
      <c r="A430" s="498"/>
      <c r="B430" s="498"/>
      <c r="C430" s="477"/>
      <c r="D430" s="1273"/>
      <c r="E430" s="1273"/>
      <c r="F430" s="1273"/>
      <c r="I430" s="491"/>
    </row>
    <row r="431" spans="1:9">
      <c r="A431" s="498"/>
      <c r="B431" s="498"/>
      <c r="C431" s="477"/>
      <c r="D431" s="1273"/>
      <c r="E431" s="1273"/>
      <c r="F431" s="1273"/>
      <c r="I431" s="491"/>
    </row>
    <row r="432" spans="1:9">
      <c r="A432" s="498"/>
      <c r="B432" s="498"/>
      <c r="C432" s="477"/>
      <c r="D432" s="1273"/>
      <c r="E432" s="1273"/>
      <c r="F432" s="1273"/>
      <c r="I432" s="491"/>
    </row>
    <row r="433" spans="1:9" ht="15.75" customHeight="1">
      <c r="A433" s="498"/>
      <c r="B433" s="498"/>
      <c r="C433" s="477"/>
      <c r="D433" s="1307" t="s">
        <v>2074</v>
      </c>
      <c r="E433" s="1273"/>
      <c r="F433" s="1273"/>
      <c r="I433" s="491"/>
    </row>
    <row r="434" spans="1:9">
      <c r="D434" s="447"/>
      <c r="E434" s="447"/>
      <c r="F434" s="447"/>
      <c r="I434" s="491"/>
    </row>
    <row r="435" spans="1:9">
      <c r="A435" s="485"/>
      <c r="B435" s="486" t="s">
        <v>2731</v>
      </c>
      <c r="C435" s="488"/>
      <c r="D435" s="1293" t="s">
        <v>2059</v>
      </c>
      <c r="E435" s="1293"/>
      <c r="F435" s="1293"/>
      <c r="I435" s="491"/>
    </row>
    <row r="436" spans="1:9">
      <c r="A436" s="485"/>
      <c r="B436" s="485"/>
      <c r="D436" s="1293"/>
      <c r="E436" s="1293"/>
      <c r="F436" s="1293"/>
      <c r="I436" s="491"/>
    </row>
    <row r="437" spans="1:9">
      <c r="D437" s="1293"/>
      <c r="E437" s="1293"/>
      <c r="F437" s="1293"/>
      <c r="I437" s="491"/>
    </row>
    <row r="438" spans="1:9">
      <c r="D438" s="1293"/>
      <c r="E438" s="1293"/>
      <c r="F438" s="1293"/>
      <c r="I438" s="491"/>
    </row>
    <row r="439" spans="1:9">
      <c r="D439" s="1293"/>
      <c r="E439" s="1293"/>
      <c r="F439" s="1293"/>
      <c r="I439" s="491"/>
    </row>
    <row r="440" spans="1:9">
      <c r="D440" s="1293"/>
      <c r="E440" s="1293"/>
      <c r="F440" s="1293"/>
      <c r="I440" s="491"/>
    </row>
    <row r="441" spans="1:9">
      <c r="D441" s="1293"/>
      <c r="E441" s="1293"/>
      <c r="F441" s="1293"/>
      <c r="I441" s="491"/>
    </row>
    <row r="442" spans="1:9">
      <c r="D442" s="1293"/>
      <c r="E442" s="1293"/>
      <c r="F442" s="1293"/>
      <c r="I442" s="491"/>
    </row>
    <row r="443" spans="1:9">
      <c r="D443" s="1293"/>
      <c r="E443" s="1293"/>
      <c r="F443" s="1293"/>
      <c r="I443" s="491"/>
    </row>
    <row r="444" spans="1:9">
      <c r="D444" s="1293"/>
      <c r="E444" s="1293"/>
      <c r="F444" s="1293"/>
      <c r="I444" s="491"/>
    </row>
    <row r="445" spans="1:9">
      <c r="D445" s="1293"/>
      <c r="E445" s="1293"/>
      <c r="F445" s="1293"/>
      <c r="I445" s="491"/>
    </row>
    <row r="446" spans="1:9">
      <c r="D446" s="1293"/>
      <c r="E446" s="1293"/>
      <c r="F446" s="1293"/>
      <c r="I446" s="491"/>
    </row>
    <row r="447" spans="1:9">
      <c r="D447" s="1293"/>
      <c r="E447" s="1293"/>
      <c r="F447" s="1293"/>
      <c r="I447" s="491"/>
    </row>
    <row r="448" spans="1:9">
      <c r="A448" s="403"/>
      <c r="B448" s="403"/>
      <c r="C448" s="403"/>
      <c r="D448" s="1293"/>
      <c r="E448" s="1293"/>
      <c r="F448" s="1293"/>
      <c r="I448" s="491"/>
    </row>
    <row r="449" spans="1:9">
      <c r="A449" s="403"/>
      <c r="B449" s="403"/>
      <c r="C449" s="403"/>
      <c r="D449" s="1293"/>
      <c r="E449" s="1293"/>
      <c r="F449" s="1293"/>
      <c r="I449" s="491"/>
    </row>
    <row r="450" spans="1:9">
      <c r="A450" s="403"/>
      <c r="B450" s="403"/>
      <c r="C450" s="403"/>
      <c r="D450" s="1293"/>
      <c r="E450" s="1293"/>
      <c r="F450" s="1293"/>
      <c r="I450" s="491"/>
    </row>
    <row r="451" spans="1:9">
      <c r="A451" s="403"/>
      <c r="B451" s="403"/>
      <c r="C451" s="403"/>
      <c r="D451" s="1293"/>
      <c r="E451" s="1293"/>
      <c r="F451" s="1293"/>
      <c r="I451" s="491"/>
    </row>
    <row r="452" spans="1:9">
      <c r="A452" s="403"/>
      <c r="B452" s="403"/>
      <c r="C452" s="403"/>
      <c r="D452" s="1293"/>
      <c r="E452" s="1293"/>
      <c r="F452" s="1293"/>
      <c r="I452" s="491"/>
    </row>
    <row r="453" spans="1:9">
      <c r="A453" s="403"/>
      <c r="B453" s="403"/>
      <c r="C453" s="403"/>
      <c r="D453" s="1293"/>
      <c r="E453" s="1293"/>
      <c r="F453" s="1293"/>
      <c r="I453" s="491"/>
    </row>
    <row r="454" spans="1:9">
      <c r="A454" s="403"/>
      <c r="B454" s="403"/>
      <c r="C454" s="403"/>
      <c r="D454" s="1293"/>
      <c r="E454" s="1293"/>
      <c r="F454" s="1293"/>
      <c r="I454" s="491"/>
    </row>
    <row r="455" spans="1:9">
      <c r="A455" s="403"/>
      <c r="B455" s="403"/>
      <c r="C455" s="403"/>
      <c r="D455" s="1293"/>
      <c r="E455" s="1293"/>
      <c r="F455" s="1293"/>
      <c r="I455" s="491"/>
    </row>
    <row r="456" spans="1:9">
      <c r="A456" s="403"/>
      <c r="B456" s="403"/>
      <c r="C456" s="403"/>
      <c r="D456" s="1293"/>
      <c r="E456" s="1293"/>
      <c r="F456" s="1293"/>
      <c r="I456" s="491"/>
    </row>
    <row r="457" spans="1:9">
      <c r="A457" s="403"/>
      <c r="B457" s="403"/>
      <c r="C457" s="403"/>
      <c r="D457" s="1293"/>
      <c r="E457" s="1293"/>
      <c r="F457" s="1293"/>
      <c r="I457" s="491"/>
    </row>
    <row r="458" spans="1:9">
      <c r="A458" s="403"/>
      <c r="B458" s="403"/>
      <c r="C458" s="403"/>
      <c r="D458" s="1293"/>
      <c r="E458" s="1293"/>
      <c r="F458" s="1293"/>
      <c r="I458" s="491"/>
    </row>
    <row r="459" spans="1:9">
      <c r="A459" s="403"/>
      <c r="B459" s="403"/>
      <c r="C459" s="403"/>
      <c r="D459" s="1293"/>
      <c r="E459" s="1293"/>
      <c r="F459" s="1293"/>
      <c r="I459" s="491"/>
    </row>
    <row r="460" spans="1:9">
      <c r="A460" s="403"/>
      <c r="B460" s="403"/>
      <c r="C460" s="403"/>
      <c r="D460" s="1293"/>
      <c r="E460" s="1293"/>
      <c r="F460" s="1293"/>
      <c r="I460" s="491"/>
    </row>
    <row r="461" spans="1:9">
      <c r="A461" s="403"/>
      <c r="B461" s="403"/>
      <c r="C461" s="403"/>
      <c r="D461" s="1293"/>
      <c r="E461" s="1293"/>
      <c r="F461" s="1293"/>
      <c r="I461" s="491"/>
    </row>
    <row r="462" spans="1:9">
      <c r="A462" s="403"/>
      <c r="B462" s="403"/>
      <c r="C462" s="403"/>
      <c r="D462" s="1293"/>
      <c r="E462" s="1293"/>
      <c r="F462" s="1293"/>
      <c r="I462" s="491"/>
    </row>
    <row r="463" spans="1:9">
      <c r="A463" s="403"/>
      <c r="B463" s="403"/>
      <c r="C463" s="403"/>
      <c r="D463" s="1293"/>
      <c r="E463" s="1293"/>
      <c r="F463" s="1293"/>
      <c r="I463" s="491"/>
    </row>
    <row r="464" spans="1:9">
      <c r="D464" s="1293"/>
      <c r="E464" s="1293"/>
      <c r="F464" s="1293"/>
      <c r="I464" s="491"/>
    </row>
    <row r="465" spans="1:9" ht="40.75" customHeight="1">
      <c r="D465" s="1293"/>
      <c r="E465" s="1293"/>
      <c r="F465" s="1293"/>
      <c r="I465" s="491"/>
    </row>
    <row r="466" spans="1:9">
      <c r="D466" s="447"/>
      <c r="E466" s="447"/>
      <c r="F466" s="447"/>
      <c r="I466" s="491"/>
    </row>
    <row r="467" spans="1:9">
      <c r="A467" s="485"/>
      <c r="B467" s="486" t="s">
        <v>2731</v>
      </c>
      <c r="C467" s="488"/>
      <c r="D467" s="1293" t="s">
        <v>1136</v>
      </c>
      <c r="E467" s="1293"/>
      <c r="F467" s="1293"/>
      <c r="I467" s="491"/>
    </row>
    <row r="468" spans="1:9">
      <c r="D468" s="1293"/>
      <c r="E468" s="1293"/>
      <c r="F468" s="1293"/>
      <c r="I468" s="491"/>
    </row>
    <row r="469" spans="1:9">
      <c r="D469" s="1293"/>
      <c r="E469" s="1293"/>
      <c r="F469" s="1293"/>
      <c r="I469" s="491"/>
    </row>
    <row r="470" spans="1:9">
      <c r="D470" s="446"/>
      <c r="E470" s="446"/>
      <c r="F470" s="446"/>
      <c r="I470" s="491"/>
    </row>
    <row r="471" spans="1:9">
      <c r="B471" s="486" t="s">
        <v>2731</v>
      </c>
      <c r="C471" s="485"/>
      <c r="D471" s="1293" t="s">
        <v>1196</v>
      </c>
      <c r="E471" s="1293"/>
      <c r="F471" s="1293"/>
      <c r="I471" s="491"/>
    </row>
    <row r="472" spans="1:9">
      <c r="D472" s="1293"/>
      <c r="E472" s="1293"/>
      <c r="F472" s="1293"/>
      <c r="I472" s="491"/>
    </row>
    <row r="473" spans="1:9">
      <c r="D473" s="447"/>
      <c r="E473" s="447"/>
      <c r="F473" s="447"/>
      <c r="I473" s="491"/>
    </row>
    <row r="474" spans="1:9">
      <c r="B474" s="486" t="s">
        <v>2731</v>
      </c>
      <c r="C474" s="485"/>
      <c r="D474" s="1293" t="s">
        <v>1137</v>
      </c>
      <c r="E474" s="1293"/>
      <c r="F474" s="1293"/>
      <c r="I474" s="491"/>
    </row>
    <row r="475" spans="1:9">
      <c r="D475" s="1293"/>
      <c r="E475" s="1293"/>
      <c r="F475" s="1293"/>
      <c r="I475" s="491"/>
    </row>
    <row r="476" spans="1:9">
      <c r="D476" s="1293"/>
      <c r="E476" s="1293"/>
      <c r="F476" s="1293"/>
      <c r="I476" s="491"/>
    </row>
    <row r="477" spans="1:9">
      <c r="D477" s="1293"/>
      <c r="E477" s="1293"/>
      <c r="F477" s="1293"/>
      <c r="I477" s="491"/>
    </row>
    <row r="478" spans="1:9">
      <c r="B478" s="486" t="s">
        <v>2731</v>
      </c>
      <c r="D478" s="1293"/>
      <c r="E478" s="1293"/>
      <c r="F478" s="1293"/>
      <c r="I478" s="491"/>
    </row>
    <row r="479" spans="1:9">
      <c r="A479" s="403"/>
      <c r="B479" s="403"/>
      <c r="C479" s="403"/>
      <c r="D479" s="1293"/>
      <c r="E479" s="1293"/>
      <c r="F479" s="1293"/>
      <c r="I479" s="491"/>
    </row>
    <row r="480" spans="1:9">
      <c r="A480" s="403"/>
      <c r="C480" s="403"/>
      <c r="D480" s="1293"/>
      <c r="E480" s="1293"/>
      <c r="F480" s="1293"/>
      <c r="I480" s="491"/>
    </row>
    <row r="481" spans="1:9">
      <c r="A481" s="403"/>
      <c r="B481" s="486" t="s">
        <v>2731</v>
      </c>
      <c r="C481" s="403"/>
      <c r="D481" s="1293"/>
      <c r="E481" s="1293"/>
      <c r="F481" s="1293"/>
      <c r="I481" s="491"/>
    </row>
    <row r="482" spans="1:9">
      <c r="A482" s="403"/>
      <c r="B482" s="403"/>
      <c r="C482" s="403"/>
      <c r="D482" s="1293"/>
      <c r="E482" s="1293"/>
      <c r="F482" s="1293"/>
      <c r="I482" s="491"/>
    </row>
    <row r="483" spans="1:9">
      <c r="A483" s="403"/>
      <c r="C483" s="403"/>
      <c r="D483" s="1293"/>
      <c r="E483" s="1293"/>
      <c r="F483" s="1293"/>
      <c r="I483" s="491"/>
    </row>
    <row r="484" spans="1:9">
      <c r="A484" s="403"/>
      <c r="C484" s="403"/>
      <c r="D484" s="1293"/>
      <c r="E484" s="1293"/>
      <c r="F484" s="1293"/>
      <c r="I484" s="491"/>
    </row>
    <row r="485" spans="1:9">
      <c r="A485" s="403"/>
      <c r="C485" s="403"/>
      <c r="D485" s="1293"/>
      <c r="E485" s="1293"/>
      <c r="F485" s="1293"/>
      <c r="I485" s="491"/>
    </row>
    <row r="486" spans="1:9">
      <c r="A486" s="403"/>
      <c r="B486" s="486" t="s">
        <v>2731</v>
      </c>
      <c r="C486" s="403"/>
      <c r="D486" s="1293"/>
      <c r="E486" s="1293"/>
      <c r="F486" s="1293"/>
      <c r="I486" s="491"/>
    </row>
    <row r="487" spans="1:9">
      <c r="A487" s="403"/>
      <c r="C487" s="403"/>
      <c r="D487" s="1293"/>
      <c r="E487" s="1293"/>
      <c r="F487" s="1293"/>
      <c r="I487" s="491"/>
    </row>
    <row r="488" spans="1:9">
      <c r="A488" s="403"/>
      <c r="B488" s="486" t="s">
        <v>2731</v>
      </c>
      <c r="C488" s="403"/>
      <c r="D488" s="1293" t="s">
        <v>1138</v>
      </c>
      <c r="E488" s="1293"/>
      <c r="F488" s="1293"/>
      <c r="I488" s="491"/>
    </row>
    <row r="489" spans="1:9">
      <c r="A489" s="403"/>
      <c r="B489" s="403"/>
      <c r="C489" s="403"/>
      <c r="D489" s="1293"/>
      <c r="E489" s="1293"/>
      <c r="F489" s="1293"/>
      <c r="I489" s="491"/>
    </row>
    <row r="490" spans="1:9">
      <c r="A490" s="403"/>
      <c r="B490" s="403"/>
      <c r="C490" s="403"/>
      <c r="D490" s="1293"/>
      <c r="E490" s="1293"/>
      <c r="F490" s="1293"/>
      <c r="I490" s="491"/>
    </row>
    <row r="491" spans="1:9">
      <c r="A491" s="403"/>
      <c r="B491" s="403"/>
      <c r="C491" s="403"/>
      <c r="D491" s="1293"/>
      <c r="E491" s="1293"/>
      <c r="F491" s="1293"/>
      <c r="I491" s="491"/>
    </row>
    <row r="492" spans="1:9">
      <c r="D492" s="1293"/>
      <c r="E492" s="1293"/>
      <c r="F492" s="1293"/>
      <c r="I492" s="491"/>
    </row>
    <row r="493" spans="1:9">
      <c r="D493" s="447"/>
      <c r="E493" s="447"/>
      <c r="F493" s="447"/>
      <c r="I493" s="491"/>
    </row>
    <row r="494" spans="1:9">
      <c r="B494" s="486" t="s">
        <v>2731</v>
      </c>
      <c r="D494" s="1294" t="s">
        <v>1139</v>
      </c>
      <c r="E494" s="1294"/>
      <c r="F494" s="1294"/>
      <c r="I494" s="491"/>
    </row>
    <row r="495" spans="1:9">
      <c r="A495" s="447"/>
      <c r="B495" s="447"/>
      <c r="I495" s="491"/>
    </row>
    <row r="496" spans="1:9">
      <c r="A496" s="1296" t="s">
        <v>1049</v>
      </c>
      <c r="B496" s="1296"/>
      <c r="C496" s="1296"/>
      <c r="D496" s="1296"/>
      <c r="E496" s="1296"/>
      <c r="F496" s="1296"/>
      <c r="G496" s="1296"/>
      <c r="H496" s="1029"/>
      <c r="I496" s="1155"/>
    </row>
    <row r="497" spans="1:9">
      <c r="A497" s="447"/>
      <c r="B497" s="447"/>
      <c r="I497" s="491"/>
    </row>
    <row r="498" spans="1:9">
      <c r="D498" s="1309" t="s">
        <v>882</v>
      </c>
      <c r="E498" s="1309"/>
      <c r="F498" s="1309"/>
      <c r="I498" s="491"/>
    </row>
    <row r="499" spans="1:9">
      <c r="A499" s="485"/>
      <c r="B499" s="485"/>
      <c r="D499" s="1305" t="s">
        <v>1140</v>
      </c>
      <c r="E499" s="1305"/>
      <c r="F499" s="1305"/>
      <c r="I499" s="491"/>
    </row>
    <row r="500" spans="1:9">
      <c r="A500" s="485"/>
      <c r="B500" s="485"/>
      <c r="D500" s="448"/>
      <c r="I500" s="491"/>
    </row>
    <row r="501" spans="1:9">
      <c r="A501" s="485"/>
      <c r="B501" s="486" t="s">
        <v>2732</v>
      </c>
      <c r="D501" s="1273" t="s">
        <v>1141</v>
      </c>
      <c r="E501" s="1273"/>
      <c r="F501" s="1273"/>
      <c r="I501" s="491"/>
    </row>
    <row r="502" spans="1:9">
      <c r="A502" s="485"/>
      <c r="B502" s="485"/>
      <c r="D502" s="1273"/>
      <c r="E502" s="1273"/>
      <c r="F502" s="1273"/>
      <c r="I502" s="491"/>
    </row>
    <row r="503" spans="1:9">
      <c r="A503" s="485"/>
      <c r="B503" s="485"/>
      <c r="D503" s="447"/>
      <c r="I503" s="491"/>
    </row>
    <row r="504" spans="1:9" ht="12.75" customHeight="1">
      <c r="B504" s="486" t="s">
        <v>2732</v>
      </c>
      <c r="D504" s="1297" t="s">
        <v>1272</v>
      </c>
      <c r="E504" s="1297"/>
      <c r="F504" s="1297"/>
      <c r="I504" s="491"/>
    </row>
    <row r="505" spans="1:9">
      <c r="A505" s="485"/>
      <c r="D505" s="1297"/>
      <c r="E505" s="1297"/>
      <c r="F505" s="1297"/>
      <c r="I505" s="491"/>
    </row>
    <row r="506" spans="1:9">
      <c r="A506" s="485"/>
      <c r="B506" s="485"/>
      <c r="D506" s="1297"/>
      <c r="E506" s="1297"/>
      <c r="F506" s="1297"/>
      <c r="I506" s="491"/>
    </row>
    <row r="507" spans="1:9">
      <c r="A507" s="485"/>
      <c r="B507" s="485"/>
      <c r="D507" s="1297"/>
      <c r="E507" s="1297"/>
      <c r="F507" s="1297"/>
      <c r="I507" s="491"/>
    </row>
    <row r="508" spans="1:9">
      <c r="A508" s="485"/>
      <c r="D508" s="521"/>
      <c r="E508" s="521"/>
      <c r="F508" s="521"/>
      <c r="I508" s="491"/>
    </row>
    <row r="509" spans="1:9">
      <c r="A509" s="485"/>
      <c r="B509" s="486" t="s">
        <v>2731</v>
      </c>
      <c r="D509" s="1294" t="s">
        <v>1142</v>
      </c>
      <c r="E509" s="1294"/>
      <c r="F509" s="1294"/>
      <c r="I509" s="491"/>
    </row>
    <row r="510" spans="1:9">
      <c r="A510" s="485"/>
      <c r="B510" s="485"/>
      <c r="D510" s="447"/>
      <c r="I510" s="491"/>
    </row>
    <row r="511" spans="1:9">
      <c r="A511" s="485"/>
      <c r="B511" s="486" t="s">
        <v>2732</v>
      </c>
      <c r="D511" s="1293" t="s">
        <v>1143</v>
      </c>
      <c r="E511" s="1293"/>
      <c r="F511" s="1293"/>
      <c r="I511" s="491"/>
    </row>
    <row r="512" spans="1:9">
      <c r="A512" s="485"/>
      <c r="D512" s="1293"/>
      <c r="E512" s="1293"/>
      <c r="F512" s="1293"/>
      <c r="I512" s="491"/>
    </row>
    <row r="513" spans="1:9">
      <c r="A513" s="491"/>
      <c r="B513" s="491"/>
      <c r="D513" s="448"/>
      <c r="I513" s="491"/>
    </row>
    <row r="514" spans="1:9">
      <c r="A514" s="491"/>
      <c r="B514" s="486" t="s">
        <v>2731</v>
      </c>
      <c r="D514" s="1294" t="s">
        <v>1144</v>
      </c>
      <c r="E514" s="1294"/>
      <c r="F514" s="1294"/>
      <c r="I514" s="491"/>
    </row>
    <row r="515" spans="1:9">
      <c r="D515" s="447"/>
      <c r="E515" s="447"/>
      <c r="F515" s="447"/>
      <c r="I515" s="491"/>
    </row>
    <row r="516" spans="1:9">
      <c r="B516" s="486" t="s">
        <v>2731</v>
      </c>
      <c r="D516" s="1293" t="s">
        <v>2282</v>
      </c>
      <c r="E516" s="1293"/>
      <c r="F516" s="1293"/>
      <c r="I516" s="491"/>
    </row>
    <row r="517" spans="1:9">
      <c r="D517" s="1293"/>
      <c r="E517" s="1293"/>
      <c r="F517" s="1293"/>
      <c r="I517" s="491"/>
    </row>
    <row r="518" spans="1:9">
      <c r="D518" s="1293"/>
      <c r="E518" s="1293"/>
      <c r="F518" s="1293"/>
      <c r="I518" s="491"/>
    </row>
    <row r="519" spans="1:9">
      <c r="D519" s="447"/>
      <c r="E519" s="447"/>
      <c r="F519" s="447"/>
      <c r="I519" s="491"/>
    </row>
    <row r="520" spans="1:9">
      <c r="A520" s="485"/>
      <c r="B520" s="485"/>
      <c r="D520" s="447"/>
      <c r="I520" s="491"/>
    </row>
    <row r="521" spans="1:9">
      <c r="A521" s="1296" t="s">
        <v>1050</v>
      </c>
      <c r="B521" s="1296"/>
      <c r="C521" s="1296"/>
      <c r="D521" s="1296"/>
      <c r="E521" s="1296"/>
      <c r="F521" s="1296"/>
      <c r="G521" s="1296"/>
      <c r="H521" s="1029"/>
      <c r="I521" s="1155"/>
    </row>
    <row r="522" spans="1:9" ht="12" customHeight="1">
      <c r="A522" s="485"/>
      <c r="B522" s="485"/>
      <c r="D522" s="447"/>
      <c r="I522" s="491"/>
    </row>
    <row r="523" spans="1:9">
      <c r="C523" s="483"/>
      <c r="D523" s="1301" t="s">
        <v>792</v>
      </c>
      <c r="E523" s="1301"/>
      <c r="F523" s="1301"/>
      <c r="I523" s="491"/>
    </row>
    <row r="524" spans="1:9">
      <c r="C524" s="483"/>
      <c r="D524" s="507" t="s">
        <v>1198</v>
      </c>
      <c r="E524" s="507"/>
      <c r="F524" s="507"/>
      <c r="I524" s="491"/>
    </row>
    <row r="525" spans="1:9">
      <c r="C525" s="483"/>
      <c r="D525" s="507" t="s">
        <v>1199</v>
      </c>
      <c r="E525" s="507"/>
      <c r="F525" s="507"/>
      <c r="I525" s="491"/>
    </row>
    <row r="526" spans="1:9">
      <c r="C526" s="483"/>
      <c r="D526" s="482"/>
      <c r="E526" s="482"/>
      <c r="F526" s="482"/>
      <c r="I526" s="491"/>
    </row>
    <row r="527" spans="1:9" ht="13.75" customHeight="1">
      <c r="A527" s="484"/>
      <c r="B527" s="486" t="s">
        <v>2732</v>
      </c>
      <c r="C527" s="484"/>
      <c r="D527" s="1273" t="s">
        <v>2060</v>
      </c>
      <c r="E527" s="1273"/>
      <c r="F527" s="1273"/>
      <c r="I527" s="491"/>
    </row>
    <row r="528" spans="1:9">
      <c r="A528" s="484"/>
      <c r="B528" s="484"/>
      <c r="C528" s="484"/>
      <c r="D528" s="1273"/>
      <c r="E528" s="1273"/>
      <c r="F528" s="1273"/>
      <c r="I528" s="491"/>
    </row>
    <row r="529" spans="1:9">
      <c r="A529" s="484"/>
      <c r="B529" s="484"/>
      <c r="C529" s="484"/>
      <c r="D529" s="452"/>
      <c r="E529" s="452"/>
      <c r="F529" s="452"/>
      <c r="I529" s="481"/>
    </row>
    <row r="530" spans="1:9" ht="12.75" customHeight="1">
      <c r="A530" s="484"/>
      <c r="B530" s="486" t="s">
        <v>2731</v>
      </c>
      <c r="D530" s="387" t="s">
        <v>1903</v>
      </c>
      <c r="E530" s="386"/>
      <c r="F530" s="386"/>
      <c r="I530" s="491"/>
    </row>
    <row r="531" spans="1:9">
      <c r="A531" s="484"/>
      <c r="B531" s="484"/>
      <c r="C531" s="484"/>
      <c r="D531" s="386"/>
      <c r="E531" s="96" t="s">
        <v>1904</v>
      </c>
      <c r="I531" s="491"/>
    </row>
    <row r="532" spans="1:9">
      <c r="A532" s="484"/>
      <c r="B532" s="484"/>
      <c r="D532" s="1290" t="s">
        <v>2061</v>
      </c>
      <c r="E532" s="1290"/>
      <c r="F532" s="1290"/>
      <c r="I532" s="491"/>
    </row>
    <row r="533" spans="1:9">
      <c r="A533" s="484"/>
      <c r="B533" s="484"/>
      <c r="D533" s="1290"/>
      <c r="E533" s="1290"/>
      <c r="F533" s="1290"/>
      <c r="I533" s="491"/>
    </row>
    <row r="534" spans="1:9">
      <c r="A534" s="484"/>
      <c r="B534" s="484"/>
      <c r="C534" s="484"/>
      <c r="D534" s="1290"/>
      <c r="E534" s="1290"/>
      <c r="F534" s="1290"/>
      <c r="I534" s="491"/>
    </row>
    <row r="535" spans="1:9">
      <c r="A535" s="484"/>
      <c r="B535" s="484"/>
      <c r="C535" s="484"/>
      <c r="D535" s="499"/>
      <c r="F535" s="447"/>
      <c r="I535" s="491"/>
    </row>
    <row r="536" spans="1:9" ht="13.15" customHeight="1">
      <c r="A536" s="484"/>
      <c r="B536" s="486" t="s">
        <v>2731</v>
      </c>
      <c r="C536" s="484"/>
      <c r="D536" s="1293" t="s">
        <v>2062</v>
      </c>
      <c r="E536" s="1293"/>
      <c r="F536" s="1293"/>
      <c r="I536" s="491"/>
    </row>
    <row r="537" spans="1:9">
      <c r="A537" s="484"/>
      <c r="B537" s="484"/>
      <c r="C537" s="484"/>
      <c r="D537" s="1293"/>
      <c r="E537" s="1293"/>
      <c r="F537" s="1293"/>
      <c r="I537" s="491"/>
    </row>
    <row r="538" spans="1:9" ht="12" customHeight="1">
      <c r="A538" s="447"/>
      <c r="B538" s="447"/>
      <c r="C538" s="488"/>
      <c r="D538" s="447"/>
      <c r="F538" s="449"/>
      <c r="I538" s="491"/>
    </row>
    <row r="539" spans="1:9">
      <c r="A539" s="1296" t="s">
        <v>1051</v>
      </c>
      <c r="B539" s="1296"/>
      <c r="C539" s="1296"/>
      <c r="D539" s="1296"/>
      <c r="E539" s="1296"/>
      <c r="F539" s="1296"/>
      <c r="G539" s="1296"/>
      <c r="H539" s="1029"/>
      <c r="I539" s="1155"/>
    </row>
    <row r="540" spans="1:9">
      <c r="A540" s="447"/>
      <c r="B540" s="447"/>
      <c r="C540" s="488"/>
      <c r="F540" s="449"/>
      <c r="I540" s="491"/>
    </row>
    <row r="541" spans="1:9">
      <c r="B541" s="1299" t="s">
        <v>445</v>
      </c>
      <c r="C541" s="1299"/>
      <c r="D541" s="1299"/>
      <c r="E541" s="1299"/>
      <c r="F541" s="1299"/>
      <c r="I541" s="491"/>
    </row>
    <row r="542" spans="1:9">
      <c r="A542" s="447"/>
      <c r="B542" s="447"/>
      <c r="C542" s="488"/>
      <c r="D542" s="447"/>
      <c r="F542" s="447"/>
      <c r="I542" s="491"/>
    </row>
    <row r="543" spans="1:9">
      <c r="A543" s="1300" t="s">
        <v>1052</v>
      </c>
      <c r="B543" s="1300"/>
      <c r="C543" s="1300"/>
      <c r="D543" s="1300"/>
      <c r="E543" s="1300"/>
      <c r="F543" s="1300"/>
      <c r="G543" s="1300"/>
      <c r="H543" s="1029"/>
      <c r="I543" s="1155"/>
    </row>
    <row r="544" spans="1:9">
      <c r="A544" s="447"/>
      <c r="B544" s="447"/>
      <c r="C544" s="488"/>
      <c r="D544" s="447"/>
      <c r="F544" s="447"/>
      <c r="I544" s="491"/>
    </row>
    <row r="545" spans="1:9">
      <c r="C545" s="488"/>
      <c r="D545" s="1301" t="s">
        <v>682</v>
      </c>
      <c r="E545" s="1301"/>
      <c r="F545" s="1301"/>
      <c r="I545" s="491"/>
    </row>
    <row r="546" spans="1:9">
      <c r="C546" s="488"/>
      <c r="D546" s="1294" t="s">
        <v>1080</v>
      </c>
      <c r="E546" s="1294"/>
      <c r="F546" s="1294"/>
      <c r="I546" s="491"/>
    </row>
    <row r="547" spans="1:9">
      <c r="C547" s="488"/>
      <c r="D547" s="447"/>
      <c r="E547" s="447"/>
      <c r="F547" s="447"/>
      <c r="I547" s="491"/>
    </row>
    <row r="548" spans="1:9" ht="13.75" customHeight="1">
      <c r="A548" s="485"/>
      <c r="B548" s="486" t="s">
        <v>2732</v>
      </c>
      <c r="C548" s="488"/>
      <c r="D548" s="1294" t="s">
        <v>883</v>
      </c>
      <c r="E548" s="1294"/>
      <c r="F548" s="1294"/>
      <c r="I548" s="491"/>
    </row>
    <row r="549" spans="1:9" ht="13.75" customHeight="1">
      <c r="A549" s="488"/>
      <c r="B549" s="488"/>
      <c r="C549" s="488"/>
      <c r="D549" s="447"/>
      <c r="I549" s="491"/>
    </row>
    <row r="550" spans="1:9">
      <c r="A550" s="485"/>
      <c r="B550" s="486" t="s">
        <v>2732</v>
      </c>
      <c r="C550" s="488"/>
      <c r="D550" s="1293" t="s">
        <v>1081</v>
      </c>
      <c r="E550" s="1293"/>
      <c r="F550" s="1293"/>
      <c r="I550" s="491"/>
    </row>
    <row r="551" spans="1:9">
      <c r="A551" s="488"/>
      <c r="B551" s="488"/>
      <c r="C551" s="488"/>
      <c r="D551" s="1293"/>
      <c r="E551" s="1293"/>
      <c r="F551" s="1293"/>
      <c r="I551" s="491"/>
    </row>
    <row r="552" spans="1:9">
      <c r="A552" s="488"/>
      <c r="B552" s="488"/>
      <c r="C552" s="488"/>
      <c r="D552" s="447"/>
      <c r="E552" s="447"/>
      <c r="F552" s="447"/>
      <c r="I552" s="491"/>
    </row>
    <row r="553" spans="1:9">
      <c r="A553" s="485"/>
      <c r="B553" s="486" t="s">
        <v>2732</v>
      </c>
      <c r="C553" s="488"/>
      <c r="D553" s="1293" t="s">
        <v>1082</v>
      </c>
      <c r="E553" s="1293"/>
      <c r="F553" s="1293"/>
      <c r="I553" s="491"/>
    </row>
    <row r="554" spans="1:9">
      <c r="A554" s="488"/>
      <c r="B554" s="488"/>
      <c r="C554" s="488"/>
      <c r="D554" s="1293"/>
      <c r="E554" s="1293"/>
      <c r="F554" s="1293"/>
      <c r="I554" s="491"/>
    </row>
    <row r="555" spans="1:9">
      <c r="A555" s="488"/>
      <c r="B555" s="488"/>
      <c r="C555" s="488"/>
      <c r="D555" s="447"/>
      <c r="E555" s="447"/>
      <c r="F555" s="447"/>
      <c r="I555" s="491"/>
    </row>
    <row r="556" spans="1:9">
      <c r="A556" s="485"/>
      <c r="B556" s="486" t="s">
        <v>2732</v>
      </c>
      <c r="C556" s="488"/>
      <c r="D556" s="1293" t="s">
        <v>1083</v>
      </c>
      <c r="E556" s="1293"/>
      <c r="F556" s="1293"/>
      <c r="I556" s="491"/>
    </row>
    <row r="557" spans="1:9">
      <c r="A557" s="488"/>
      <c r="B557" s="488"/>
      <c r="C557" s="488"/>
      <c r="D557" s="1293"/>
      <c r="E557" s="1293"/>
      <c r="F557" s="1293"/>
      <c r="I557" s="491"/>
    </row>
    <row r="558" spans="1:9">
      <c r="A558" s="488"/>
      <c r="B558" s="488"/>
      <c r="C558" s="488"/>
      <c r="D558" s="447"/>
      <c r="E558" s="447"/>
      <c r="F558" s="447"/>
      <c r="I558" s="491"/>
    </row>
    <row r="559" spans="1:9">
      <c r="A559" s="485"/>
      <c r="B559" s="486" t="s">
        <v>2732</v>
      </c>
      <c r="C559" s="488"/>
      <c r="D559" s="1293" t="s">
        <v>1084</v>
      </c>
      <c r="E559" s="1293"/>
      <c r="F559" s="1293"/>
      <c r="I559" s="491"/>
    </row>
    <row r="560" spans="1:9">
      <c r="A560" s="488"/>
      <c r="B560" s="488"/>
      <c r="C560" s="488"/>
      <c r="D560" s="1293"/>
      <c r="E560" s="1293"/>
      <c r="F560" s="1293"/>
      <c r="I560" s="491"/>
    </row>
    <row r="561" spans="1:9">
      <c r="A561" s="488"/>
      <c r="B561" s="488"/>
      <c r="C561" s="488"/>
      <c r="D561" s="1293"/>
      <c r="E561" s="1293"/>
      <c r="F561" s="1293"/>
      <c r="I561" s="491"/>
    </row>
    <row r="562" spans="1:9">
      <c r="A562" s="488"/>
      <c r="B562" s="488"/>
      <c r="C562" s="488"/>
      <c r="D562" s="447"/>
      <c r="E562" s="447"/>
      <c r="F562" s="447"/>
      <c r="I562" s="491"/>
    </row>
    <row r="563" spans="1:9">
      <c r="A563" s="485"/>
      <c r="B563" s="486" t="s">
        <v>2731</v>
      </c>
      <c r="C563" s="488"/>
      <c r="D563" s="1293" t="s">
        <v>2249</v>
      </c>
      <c r="E563" s="1293"/>
      <c r="F563" s="1293"/>
      <c r="I563" s="491"/>
    </row>
    <row r="564" spans="1:9">
      <c r="A564" s="488"/>
      <c r="B564" s="488"/>
      <c r="C564" s="488"/>
      <c r="D564" s="1293"/>
      <c r="E564" s="1293"/>
      <c r="F564" s="1293"/>
      <c r="I564" s="491"/>
    </row>
    <row r="565" spans="1:9">
      <c r="A565" s="488"/>
      <c r="B565" s="488"/>
      <c r="C565" s="488"/>
      <c r="D565" s="447"/>
      <c r="E565" s="447"/>
      <c r="F565" s="447"/>
      <c r="I565" s="491"/>
    </row>
    <row r="566" spans="1:9">
      <c r="A566" s="485"/>
      <c r="B566" s="486" t="s">
        <v>306</v>
      </c>
      <c r="C566" s="488"/>
      <c r="D566" s="1293" t="s">
        <v>1085</v>
      </c>
      <c r="E566" s="1293"/>
      <c r="F566" s="1293"/>
      <c r="I566" s="491"/>
    </row>
    <row r="567" spans="1:9">
      <c r="A567" s="488"/>
      <c r="B567" s="488"/>
      <c r="C567" s="488"/>
      <c r="D567" s="1293"/>
      <c r="E567" s="1293"/>
      <c r="F567" s="1293"/>
      <c r="I567" s="491"/>
    </row>
    <row r="568" spans="1:9">
      <c r="A568" s="488"/>
      <c r="B568" s="488"/>
      <c r="C568" s="488"/>
      <c r="D568" s="447"/>
      <c r="E568" s="447"/>
      <c r="F568" s="447"/>
      <c r="I568" s="491"/>
    </row>
    <row r="569" spans="1:9">
      <c r="A569" s="485"/>
      <c r="B569" s="486" t="s">
        <v>2732</v>
      </c>
      <c r="C569" s="488"/>
      <c r="D569" s="1294" t="s">
        <v>1086</v>
      </c>
      <c r="E569" s="1294"/>
      <c r="F569" s="1294"/>
      <c r="I569" s="491"/>
    </row>
    <row r="570" spans="1:9">
      <c r="A570" s="491"/>
      <c r="B570" s="491"/>
      <c r="C570" s="488"/>
      <c r="D570" s="1294" t="s">
        <v>1906</v>
      </c>
      <c r="E570" s="1294"/>
      <c r="F570" s="1294"/>
      <c r="I570" s="491"/>
    </row>
    <row r="571" spans="1:9">
      <c r="A571" s="491"/>
      <c r="B571" s="491"/>
      <c r="C571" s="488"/>
      <c r="E571" s="96" t="s">
        <v>1905</v>
      </c>
      <c r="F571" s="405"/>
      <c r="I571" s="491"/>
    </row>
    <row r="572" spans="1:9">
      <c r="A572" s="485"/>
      <c r="B572" s="485"/>
      <c r="C572" s="488"/>
      <c r="E572" s="447"/>
      <c r="F572" s="447"/>
      <c r="I572" s="491"/>
    </row>
    <row r="573" spans="1:9">
      <c r="A573" s="485"/>
      <c r="B573" s="486" t="s">
        <v>2732</v>
      </c>
      <c r="C573" s="488"/>
      <c r="D573" s="1294" t="s">
        <v>1087</v>
      </c>
      <c r="E573" s="1294"/>
      <c r="F573" s="1294"/>
      <c r="I573" s="491"/>
    </row>
    <row r="574" spans="1:9">
      <c r="C574" s="488"/>
      <c r="D574" s="1293" t="s">
        <v>1088</v>
      </c>
      <c r="E574" s="1293"/>
      <c r="F574" s="1293"/>
      <c r="I574" s="491"/>
    </row>
    <row r="575" spans="1:9">
      <c r="A575" s="488"/>
      <c r="B575" s="488"/>
      <c r="C575" s="488"/>
      <c r="D575" s="1293"/>
      <c r="E575" s="1293"/>
      <c r="F575" s="1293"/>
      <c r="I575" s="491"/>
    </row>
    <row r="576" spans="1:9">
      <c r="A576" s="488"/>
      <c r="B576" s="488"/>
      <c r="C576" s="488"/>
      <c r="D576" s="1293"/>
      <c r="E576" s="1293"/>
      <c r="F576" s="1293"/>
      <c r="I576" s="491"/>
    </row>
    <row r="577" spans="1:9">
      <c r="A577" s="488"/>
      <c r="B577" s="488"/>
      <c r="C577" s="488"/>
      <c r="D577" s="447"/>
      <c r="E577" s="447"/>
      <c r="F577" s="447"/>
      <c r="I577" s="491"/>
    </row>
    <row r="578" spans="1:9">
      <c r="A578" s="485"/>
      <c r="B578" s="486" t="s">
        <v>2732</v>
      </c>
      <c r="C578" s="488"/>
      <c r="D578" s="1293" t="s">
        <v>2063</v>
      </c>
      <c r="E578" s="1293"/>
      <c r="F578" s="1293"/>
      <c r="I578" s="491"/>
    </row>
    <row r="579" spans="1:9">
      <c r="A579" s="485"/>
      <c r="B579" s="485"/>
      <c r="C579" s="488"/>
      <c r="D579" s="1293"/>
      <c r="E579" s="1293"/>
      <c r="F579" s="1293"/>
      <c r="I579" s="491"/>
    </row>
    <row r="580" spans="1:9">
      <c r="A580" s="485"/>
      <c r="B580" s="485"/>
      <c r="C580" s="488"/>
      <c r="D580" s="1293"/>
      <c r="E580" s="1293"/>
      <c r="F580" s="1293"/>
      <c r="I580" s="491"/>
    </row>
    <row r="581" spans="1:9">
      <c r="A581" s="485"/>
      <c r="B581" s="485"/>
      <c r="C581" s="488"/>
      <c r="D581" s="1293"/>
      <c r="E581" s="1293"/>
      <c r="F581" s="1293"/>
      <c r="I581" s="491"/>
    </row>
    <row r="582" spans="1:9">
      <c r="A582" s="485"/>
      <c r="B582" s="485"/>
      <c r="C582" s="488"/>
      <c r="D582" s="447"/>
      <c r="E582" s="447"/>
      <c r="F582" s="447"/>
      <c r="I582" s="491"/>
    </row>
    <row r="583" spans="1:9">
      <c r="A583" s="1296" t="s">
        <v>1053</v>
      </c>
      <c r="B583" s="1296"/>
      <c r="C583" s="1296"/>
      <c r="D583" s="1296"/>
      <c r="E583" s="1296"/>
      <c r="F583" s="1296"/>
      <c r="G583" s="1296"/>
      <c r="H583" s="1029"/>
      <c r="I583" s="1155"/>
    </row>
    <row r="584" spans="1:9">
      <c r="A584" s="488"/>
      <c r="B584" s="488"/>
      <c r="C584" s="488"/>
      <c r="E584" s="447"/>
      <c r="F584" s="447"/>
      <c r="I584" s="491"/>
    </row>
    <row r="585" spans="1:9" ht="12.75" customHeight="1">
      <c r="C585" s="483"/>
      <c r="D585" s="1295" t="s">
        <v>209</v>
      </c>
      <c r="E585" s="1295"/>
      <c r="F585" s="1295"/>
      <c r="I585" s="491"/>
    </row>
    <row r="586" spans="1:9">
      <c r="A586" s="484"/>
      <c r="B586" s="484"/>
      <c r="C586" s="484"/>
      <c r="D586" s="1297" t="s">
        <v>1066</v>
      </c>
      <c r="E586" s="1297"/>
      <c r="F586" s="1297"/>
      <c r="I586" s="491"/>
    </row>
    <row r="587" spans="1:9">
      <c r="A587" s="403"/>
      <c r="B587" s="403"/>
      <c r="C587" s="484"/>
      <c r="D587" s="500"/>
      <c r="I587" s="491"/>
    </row>
    <row r="588" spans="1:9">
      <c r="A588" s="484"/>
      <c r="B588" s="486" t="s">
        <v>2732</v>
      </c>
      <c r="D588" s="1297" t="s">
        <v>887</v>
      </c>
      <c r="E588" s="1297"/>
      <c r="F588" s="1297"/>
      <c r="I588" s="491"/>
    </row>
    <row r="589" spans="1:9">
      <c r="A589" s="491"/>
      <c r="B589" s="491"/>
      <c r="D589" s="477"/>
      <c r="I589" s="491"/>
    </row>
    <row r="590" spans="1:9">
      <c r="A590" s="491"/>
      <c r="B590" s="486" t="s">
        <v>2732</v>
      </c>
      <c r="D590" s="1297" t="s">
        <v>2064</v>
      </c>
      <c r="E590" s="1297"/>
      <c r="F590" s="1297"/>
      <c r="I590" s="491"/>
    </row>
    <row r="591" spans="1:9">
      <c r="A591" s="491"/>
      <c r="B591" s="491"/>
      <c r="D591" s="1297"/>
      <c r="E591" s="1297"/>
      <c r="F591" s="1297"/>
      <c r="I591" s="491"/>
    </row>
    <row r="592" spans="1:9">
      <c r="A592" s="491"/>
      <c r="B592" s="491"/>
      <c r="D592" s="1297"/>
      <c r="E592" s="1297"/>
      <c r="F592" s="1297"/>
      <c r="I592" s="491"/>
    </row>
    <row r="593" spans="1:9">
      <c r="A593" s="491"/>
      <c r="B593" s="491"/>
      <c r="D593" s="1297"/>
      <c r="E593" s="1297"/>
      <c r="F593" s="1297"/>
      <c r="I593" s="491"/>
    </row>
    <row r="594" spans="1:9">
      <c r="A594" s="491"/>
      <c r="B594" s="486" t="s">
        <v>2731</v>
      </c>
      <c r="D594" s="1297" t="s">
        <v>1067</v>
      </c>
      <c r="E594" s="1297"/>
      <c r="F594" s="1297"/>
      <c r="I594" s="491"/>
    </row>
    <row r="595" spans="1:9">
      <c r="A595" s="491"/>
      <c r="B595" s="491"/>
      <c r="D595" s="1297"/>
      <c r="E595" s="1297"/>
      <c r="F595" s="1297"/>
      <c r="I595" s="491"/>
    </row>
    <row r="596" spans="1:9">
      <c r="A596" s="491"/>
      <c r="B596" s="491"/>
      <c r="D596" s="1297"/>
      <c r="E596" s="1297"/>
      <c r="F596" s="1297"/>
      <c r="I596" s="491"/>
    </row>
    <row r="597" spans="1:9">
      <c r="A597" s="491"/>
      <c r="B597" s="491"/>
      <c r="D597" s="1297"/>
      <c r="E597" s="1297"/>
      <c r="F597" s="1297"/>
      <c r="I597" s="491"/>
    </row>
    <row r="598" spans="1:9">
      <c r="A598" s="491"/>
      <c r="B598" s="491"/>
      <c r="D598" s="441"/>
      <c r="E598" s="441"/>
      <c r="F598" s="441"/>
      <c r="I598" s="491"/>
    </row>
    <row r="599" spans="1:9">
      <c r="A599" s="491"/>
      <c r="B599" s="486" t="s">
        <v>2732</v>
      </c>
      <c r="D599" s="1297" t="s">
        <v>2065</v>
      </c>
      <c r="E599" s="1297"/>
      <c r="F599" s="1297"/>
      <c r="I599" s="491"/>
    </row>
    <row r="600" spans="1:9">
      <c r="A600" s="491"/>
      <c r="B600" s="491"/>
      <c r="D600" s="1297"/>
      <c r="E600" s="1297"/>
      <c r="F600" s="1297"/>
      <c r="I600" s="491"/>
    </row>
    <row r="601" spans="1:9">
      <c r="A601" s="491"/>
      <c r="B601" s="491"/>
      <c r="D601" s="500"/>
      <c r="I601" s="491"/>
    </row>
    <row r="602" spans="1:9">
      <c r="A602" s="491"/>
      <c r="B602" s="486" t="s">
        <v>2731</v>
      </c>
      <c r="D602" s="1297" t="s">
        <v>1068</v>
      </c>
      <c r="E602" s="1297"/>
      <c r="F602" s="1297"/>
      <c r="I602" s="491"/>
    </row>
    <row r="603" spans="1:9">
      <c r="A603" s="491"/>
      <c r="B603" s="491"/>
      <c r="D603" s="1297"/>
      <c r="E603" s="1297"/>
      <c r="F603" s="1297"/>
      <c r="I603" s="491"/>
    </row>
    <row r="604" spans="1:9">
      <c r="A604" s="485"/>
      <c r="B604" s="485"/>
      <c r="D604" s="500"/>
      <c r="I604" s="491"/>
    </row>
    <row r="605" spans="1:9">
      <c r="A605" s="1296" t="s">
        <v>1054</v>
      </c>
      <c r="B605" s="1296"/>
      <c r="C605" s="1296"/>
      <c r="D605" s="1296"/>
      <c r="E605" s="1296"/>
      <c r="F605" s="1296"/>
      <c r="G605" s="1296"/>
      <c r="H605" s="1029"/>
      <c r="I605" s="1155"/>
    </row>
    <row r="606" spans="1:9">
      <c r="I606" s="491"/>
    </row>
    <row r="607" spans="1:9">
      <c r="D607" s="1301" t="s">
        <v>1106</v>
      </c>
      <c r="E607" s="1301"/>
      <c r="F607" s="1301"/>
      <c r="I607" s="491"/>
    </row>
    <row r="608" spans="1:9">
      <c r="D608" s="1302" t="s">
        <v>1107</v>
      </c>
      <c r="E608" s="1302"/>
      <c r="F608" s="1302"/>
      <c r="I608" s="491"/>
    </row>
    <row r="609" spans="1:9">
      <c r="D609" s="445"/>
      <c r="I609" s="491"/>
    </row>
    <row r="610" spans="1:9" ht="14.25" customHeight="1">
      <c r="A610" s="485"/>
      <c r="B610" s="486" t="s">
        <v>2732</v>
      </c>
      <c r="D610" s="1322" t="s">
        <v>1907</v>
      </c>
      <c r="E610" s="1322"/>
      <c r="F610" s="1322"/>
      <c r="I610" s="491"/>
    </row>
    <row r="611" spans="1:9">
      <c r="D611" s="1322"/>
      <c r="E611" s="1322"/>
      <c r="F611" s="1322"/>
      <c r="I611" s="491"/>
    </row>
    <row r="612" spans="1:9">
      <c r="D612" s="386"/>
      <c r="E612" s="1037" t="s">
        <v>1908</v>
      </c>
      <c r="F612" s="386"/>
      <c r="I612" s="491"/>
    </row>
    <row r="613" spans="1:9">
      <c r="I613" s="491"/>
    </row>
    <row r="614" spans="1:9">
      <c r="A614" s="1296" t="s">
        <v>1055</v>
      </c>
      <c r="B614" s="1296"/>
      <c r="C614" s="1296"/>
      <c r="D614" s="1296"/>
      <c r="E614" s="1296"/>
      <c r="F614" s="1296"/>
      <c r="G614" s="1296"/>
      <c r="H614" s="1029"/>
      <c r="I614" s="1155"/>
    </row>
    <row r="615" spans="1:9">
      <c r="A615" s="447"/>
      <c r="B615" s="447"/>
      <c r="I615" s="491"/>
    </row>
    <row r="616" spans="1:9">
      <c r="A616" s="483"/>
      <c r="B616" s="483"/>
      <c r="C616" s="483"/>
      <c r="D616" s="1330" t="s">
        <v>1108</v>
      </c>
      <c r="E616" s="1330"/>
      <c r="F616" s="1330"/>
      <c r="I616" s="491"/>
    </row>
    <row r="617" spans="1:9">
      <c r="A617" s="483"/>
      <c r="B617" s="483"/>
      <c r="C617" s="483"/>
      <c r="D617" s="1330"/>
      <c r="E617" s="1330"/>
      <c r="F617" s="1330"/>
      <c r="I617" s="491"/>
    </row>
    <row r="618" spans="1:9">
      <c r="C618" s="484"/>
      <c r="D618" s="1302" t="s">
        <v>1109</v>
      </c>
      <c r="E618" s="1302"/>
      <c r="F618" s="1302"/>
      <c r="I618" s="491"/>
    </row>
    <row r="619" spans="1:9">
      <c r="C619" s="484"/>
      <c r="D619" s="445"/>
      <c r="E619" s="445"/>
      <c r="F619" s="445"/>
      <c r="I619" s="491"/>
    </row>
    <row r="620" spans="1:9" ht="12.75" customHeight="1">
      <c r="A620" s="491"/>
      <c r="B620" s="486" t="s">
        <v>2732</v>
      </c>
      <c r="D620" s="1318" t="s">
        <v>1110</v>
      </c>
      <c r="E620" s="1318"/>
      <c r="F620" s="1318"/>
      <c r="I620" s="491"/>
    </row>
    <row r="621" spans="1:9">
      <c r="D621" s="1318"/>
      <c r="E621" s="1318"/>
      <c r="F621" s="1318"/>
      <c r="I621" s="491"/>
    </row>
    <row r="622" spans="1:9">
      <c r="I622" s="491"/>
    </row>
    <row r="623" spans="1:9">
      <c r="B623" s="486" t="s">
        <v>2732</v>
      </c>
      <c r="D623" s="1318" t="s">
        <v>1111</v>
      </c>
      <c r="E623" s="1318"/>
      <c r="F623" s="1318"/>
      <c r="I623" s="491"/>
    </row>
    <row r="624" spans="1:9">
      <c r="C624" s="501"/>
      <c r="D624" s="1318"/>
      <c r="E624" s="1318"/>
      <c r="F624" s="1318"/>
      <c r="I624" s="491"/>
    </row>
    <row r="625" spans="1:9">
      <c r="C625" s="501"/>
      <c r="I625" s="491"/>
    </row>
    <row r="626" spans="1:9">
      <c r="B626" s="486" t="s">
        <v>2731</v>
      </c>
      <c r="C626" s="501"/>
      <c r="D626" s="1318" t="s">
        <v>1112</v>
      </c>
      <c r="E626" s="1318"/>
      <c r="F626" s="1318"/>
      <c r="I626" s="491"/>
    </row>
    <row r="627" spans="1:9">
      <c r="C627" s="501"/>
      <c r="D627" s="1318"/>
      <c r="E627" s="1318"/>
      <c r="F627" s="1318"/>
      <c r="I627" s="501"/>
    </row>
    <row r="628" spans="1:9">
      <c r="C628" s="501"/>
      <c r="I628" s="491"/>
    </row>
    <row r="629" spans="1:9">
      <c r="A629" s="1296" t="s">
        <v>1056</v>
      </c>
      <c r="B629" s="1296"/>
      <c r="C629" s="1296"/>
      <c r="D629" s="1296"/>
      <c r="E629" s="1296"/>
      <c r="F629" s="1296"/>
      <c r="G629" s="1296"/>
      <c r="H629" s="1029"/>
      <c r="I629" s="1155"/>
    </row>
    <row r="630" spans="1:9">
      <c r="A630" s="483"/>
      <c r="B630" s="483"/>
      <c r="C630" s="483"/>
      <c r="I630" s="491"/>
    </row>
    <row r="631" spans="1:9">
      <c r="C631" s="491"/>
      <c r="D631" s="1301" t="s">
        <v>1113</v>
      </c>
      <c r="E631" s="1301"/>
      <c r="F631" s="1301"/>
      <c r="I631" s="491"/>
    </row>
    <row r="632" spans="1:9">
      <c r="A632" s="491"/>
      <c r="B632" s="491"/>
      <c r="D632" s="405"/>
      <c r="I632" s="491"/>
    </row>
    <row r="633" spans="1:9" ht="14.25" customHeight="1">
      <c r="A633" s="485"/>
      <c r="B633" s="486" t="s">
        <v>2732</v>
      </c>
      <c r="D633" s="1322" t="s">
        <v>2066</v>
      </c>
      <c r="E633" s="1322"/>
      <c r="F633" s="1322"/>
      <c r="I633" s="491"/>
    </row>
    <row r="634" spans="1:9">
      <c r="D634" s="1322"/>
      <c r="E634" s="1322"/>
      <c r="F634" s="1322"/>
      <c r="I634" s="491"/>
    </row>
    <row r="635" spans="1:9">
      <c r="D635" s="386"/>
      <c r="E635" s="1037" t="s">
        <v>1910</v>
      </c>
      <c r="F635" s="386"/>
      <c r="I635" s="491"/>
    </row>
    <row r="636" spans="1:9">
      <c r="D636" s="1293" t="s">
        <v>1909</v>
      </c>
      <c r="E636" s="1293"/>
      <c r="F636" s="1293"/>
      <c r="I636" s="491"/>
    </row>
    <row r="637" spans="1:9">
      <c r="D637" s="1293"/>
      <c r="E637" s="1293"/>
      <c r="F637" s="1293"/>
      <c r="I637" s="491"/>
    </row>
    <row r="638" spans="1:9">
      <c r="D638" s="1293"/>
      <c r="E638" s="1293"/>
      <c r="F638" s="1293"/>
      <c r="I638" s="491"/>
    </row>
    <row r="639" spans="1:9">
      <c r="D639" s="446"/>
      <c r="E639" s="446"/>
      <c r="F639" s="446"/>
      <c r="I639" s="491"/>
    </row>
    <row r="640" spans="1:9">
      <c r="A640" s="485"/>
      <c r="B640" s="486" t="s">
        <v>2731</v>
      </c>
      <c r="D640" s="1293" t="s">
        <v>1114</v>
      </c>
      <c r="E640" s="1293"/>
      <c r="F640" s="1293"/>
      <c r="I640" s="491"/>
    </row>
    <row r="641" spans="1:9">
      <c r="A641" s="488"/>
      <c r="B641" s="488"/>
      <c r="C641" s="488"/>
      <c r="D641" s="1293"/>
      <c r="E641" s="1293"/>
      <c r="F641" s="1293"/>
      <c r="I641" s="491"/>
    </row>
    <row r="642" spans="1:9">
      <c r="A642" s="488"/>
      <c r="B642" s="488"/>
      <c r="C642" s="488"/>
      <c r="D642" s="447"/>
      <c r="E642" s="447"/>
      <c r="F642" s="447"/>
      <c r="I642" s="491"/>
    </row>
    <row r="643" spans="1:9">
      <c r="A643" s="485"/>
      <c r="B643" s="486" t="s">
        <v>2731</v>
      </c>
      <c r="C643" s="488"/>
      <c r="D643" s="1293" t="s">
        <v>1224</v>
      </c>
      <c r="E643" s="1293"/>
      <c r="F643" s="1293"/>
      <c r="I643" s="491"/>
    </row>
    <row r="644" spans="1:9">
      <c r="A644" s="485"/>
      <c r="B644" s="485"/>
      <c r="C644" s="488"/>
      <c r="D644" s="1293"/>
      <c r="E644" s="1293"/>
      <c r="F644" s="1293"/>
      <c r="I644" s="491"/>
    </row>
    <row r="645" spans="1:9">
      <c r="A645" s="485"/>
      <c r="B645" s="485"/>
      <c r="C645" s="488"/>
      <c r="D645" s="1293"/>
      <c r="E645" s="1293"/>
      <c r="F645" s="1293"/>
      <c r="I645" s="491"/>
    </row>
    <row r="646" spans="1:9">
      <c r="A646" s="488"/>
      <c r="B646" s="486" t="s">
        <v>2731</v>
      </c>
      <c r="C646" s="488"/>
      <c r="D646" s="1294" t="s">
        <v>1115</v>
      </c>
      <c r="E646" s="1294"/>
      <c r="F646" s="1294"/>
      <c r="I646" s="491"/>
    </row>
    <row r="647" spans="1:9">
      <c r="A647" s="488"/>
      <c r="B647" s="488"/>
      <c r="C647" s="488"/>
      <c r="D647" s="447"/>
      <c r="E647" s="447"/>
      <c r="F647" s="447"/>
      <c r="I647" s="491"/>
    </row>
    <row r="648" spans="1:9">
      <c r="A648" s="1296" t="s">
        <v>1057</v>
      </c>
      <c r="B648" s="1296"/>
      <c r="C648" s="1296"/>
      <c r="D648" s="1296"/>
      <c r="E648" s="1296"/>
      <c r="F648" s="1296"/>
      <c r="G648" s="1296"/>
      <c r="H648" s="1029"/>
      <c r="I648" s="1155"/>
    </row>
    <row r="649" spans="1:9">
      <c r="A649" s="447"/>
      <c r="B649" s="447"/>
      <c r="C649" s="488"/>
      <c r="D649" s="447"/>
      <c r="E649" s="447"/>
      <c r="F649" s="447"/>
      <c r="I649" s="491"/>
    </row>
    <row r="650" spans="1:9">
      <c r="C650" s="483"/>
      <c r="D650" s="1301" t="s">
        <v>1145</v>
      </c>
      <c r="E650" s="1301"/>
      <c r="F650" s="1301"/>
      <c r="I650" s="491"/>
    </row>
    <row r="651" spans="1:9">
      <c r="A651" s="484"/>
      <c r="B651" s="484"/>
      <c r="C651" s="484"/>
      <c r="D651" s="1294" t="s">
        <v>1146</v>
      </c>
      <c r="E651" s="1294"/>
      <c r="F651" s="1294"/>
      <c r="I651" s="491"/>
    </row>
    <row r="652" spans="1:9">
      <c r="A652" s="484"/>
      <c r="B652" s="484"/>
      <c r="C652" s="484"/>
      <c r="D652" s="447"/>
      <c r="E652" s="447"/>
      <c r="F652" s="447"/>
      <c r="I652" s="491"/>
    </row>
    <row r="653" spans="1:9" ht="12.75" customHeight="1">
      <c r="B653" s="486" t="s">
        <v>2732</v>
      </c>
      <c r="C653" s="488"/>
      <c r="D653" s="1293" t="s">
        <v>1280</v>
      </c>
      <c r="E653" s="1293"/>
      <c r="F653" s="1293"/>
      <c r="I653" s="491"/>
    </row>
    <row r="654" spans="1:9">
      <c r="D654" s="1293"/>
      <c r="E654" s="1293"/>
      <c r="F654" s="1293"/>
      <c r="I654" s="491"/>
    </row>
    <row r="655" spans="1:9">
      <c r="D655" s="1293"/>
      <c r="E655" s="1293"/>
      <c r="F655" s="1293"/>
      <c r="I655" s="491"/>
    </row>
    <row r="656" spans="1:9">
      <c r="D656" s="1293"/>
      <c r="E656" s="1293"/>
      <c r="F656" s="1293"/>
      <c r="I656" s="491"/>
    </row>
    <row r="657" spans="1:9" ht="14.5" customHeight="1">
      <c r="A657" s="485"/>
      <c r="B657" s="485"/>
      <c r="C657" s="488"/>
      <c r="D657" s="386"/>
      <c r="E657" s="386"/>
      <c r="F657" s="386"/>
      <c r="I657" s="491"/>
    </row>
    <row r="658" spans="1:9" ht="12.75" customHeight="1">
      <c r="A658" s="484"/>
      <c r="B658" s="486" t="s">
        <v>2732</v>
      </c>
      <c r="C658" s="488"/>
      <c r="D658" s="1293" t="s">
        <v>1282</v>
      </c>
      <c r="E658" s="1293"/>
      <c r="F658" s="1293"/>
      <c r="I658" s="491"/>
    </row>
    <row r="659" spans="1:9">
      <c r="A659" s="484"/>
      <c r="B659" s="485"/>
      <c r="C659" s="488"/>
      <c r="D659" s="1293"/>
      <c r="E659" s="1293"/>
      <c r="F659" s="1293"/>
      <c r="I659" s="491"/>
    </row>
    <row r="660" spans="1:9">
      <c r="A660" s="484"/>
      <c r="B660" s="485"/>
      <c r="C660" s="488"/>
      <c r="D660" s="1293"/>
      <c r="E660" s="1293"/>
      <c r="F660" s="1293"/>
      <c r="I660" s="491"/>
    </row>
    <row r="661" spans="1:9">
      <c r="A661" s="484"/>
      <c r="B661" s="485"/>
      <c r="C661" s="488"/>
      <c r="D661" s="1293"/>
      <c r="E661" s="1293"/>
      <c r="F661" s="1293"/>
      <c r="I661" s="491"/>
    </row>
    <row r="662" spans="1:9">
      <c r="A662" s="484"/>
      <c r="B662" s="485"/>
      <c r="C662" s="488"/>
      <c r="D662" s="1293"/>
      <c r="E662" s="1293"/>
      <c r="F662" s="1293"/>
      <c r="I662" s="491"/>
    </row>
    <row r="663" spans="1:9" ht="14.25" customHeight="1">
      <c r="A663" s="484"/>
      <c r="B663" s="485"/>
      <c r="C663" s="488"/>
      <c r="F663" s="387"/>
      <c r="I663" s="491"/>
    </row>
    <row r="664" spans="1:9" ht="12.75" customHeight="1">
      <c r="A664" s="484"/>
      <c r="B664" s="486" t="s">
        <v>2731</v>
      </c>
      <c r="C664" s="488"/>
      <c r="D664" s="1293" t="s">
        <v>1281</v>
      </c>
      <c r="E664" s="1293"/>
      <c r="F664" s="1293"/>
      <c r="I664" s="491"/>
    </row>
    <row r="665" spans="1:9">
      <c r="A665" s="484"/>
      <c r="B665" s="485"/>
      <c r="C665" s="488"/>
      <c r="D665" s="1293"/>
      <c r="E665" s="1293"/>
      <c r="F665" s="1293"/>
      <c r="I665" s="491"/>
    </row>
    <row r="666" spans="1:9">
      <c r="A666" s="485"/>
      <c r="B666" s="485"/>
      <c r="C666" s="488"/>
      <c r="D666" s="1293"/>
      <c r="E666" s="1293"/>
      <c r="F666" s="1293"/>
      <c r="I666" s="491"/>
    </row>
    <row r="667" spans="1:9">
      <c r="A667" s="485"/>
      <c r="B667" s="485"/>
      <c r="C667" s="488"/>
      <c r="D667" s="1293"/>
      <c r="E667" s="1293"/>
      <c r="F667" s="1293"/>
      <c r="I667" s="491"/>
    </row>
    <row r="668" spans="1:9">
      <c r="A668" s="485"/>
      <c r="B668" s="485"/>
      <c r="C668" s="488"/>
      <c r="D668" s="446"/>
      <c r="E668" s="446"/>
      <c r="F668" s="446"/>
      <c r="I668" s="491"/>
    </row>
    <row r="669" spans="1:9" ht="12.75" customHeight="1">
      <c r="A669" s="484"/>
      <c r="B669" s="486" t="s">
        <v>2731</v>
      </c>
      <c r="C669" s="488"/>
      <c r="D669" s="1293" t="s">
        <v>2067</v>
      </c>
      <c r="E669" s="1293"/>
      <c r="F669" s="1293"/>
      <c r="I669" s="491"/>
    </row>
    <row r="670" spans="1:9" ht="12.75" customHeight="1">
      <c r="A670" s="484"/>
      <c r="B670" s="485"/>
      <c r="C670" s="488"/>
      <c r="D670" s="1293"/>
      <c r="E670" s="1293"/>
      <c r="F670" s="1293"/>
      <c r="I670" s="491"/>
    </row>
    <row r="671" spans="1:9" ht="12.75" customHeight="1">
      <c r="A671" s="484"/>
      <c r="B671" s="485"/>
      <c r="C671" s="488"/>
      <c r="D671" s="1293"/>
      <c r="E671" s="1293"/>
      <c r="F671" s="1293"/>
      <c r="I671" s="491"/>
    </row>
    <row r="672" spans="1:9" ht="12.75" customHeight="1">
      <c r="A672" s="484"/>
      <c r="B672" s="485"/>
      <c r="C672" s="488"/>
      <c r="D672" s="1293"/>
      <c r="E672" s="1293"/>
      <c r="F672" s="1293"/>
      <c r="I672" s="491"/>
    </row>
    <row r="673" spans="1:11" ht="12.75" customHeight="1">
      <c r="A673" s="484"/>
      <c r="B673" s="485"/>
      <c r="C673" s="488"/>
      <c r="D673" s="1293"/>
      <c r="E673" s="1293"/>
      <c r="F673" s="1293"/>
      <c r="I673" s="491"/>
    </row>
    <row r="674" spans="1:11" ht="12.75" customHeight="1">
      <c r="A674" s="484"/>
      <c r="B674" s="485"/>
      <c r="C674" s="488"/>
      <c r="D674" s="1293"/>
      <c r="E674" s="1293"/>
      <c r="F674" s="1293"/>
      <c r="I674" s="491"/>
    </row>
    <row r="675" spans="1:11" ht="12.75" customHeight="1">
      <c r="A675" s="484"/>
      <c r="B675" s="485"/>
      <c r="C675" s="488"/>
      <c r="D675" s="1293"/>
      <c r="E675" s="1293"/>
      <c r="F675" s="1293"/>
      <c r="I675" s="491"/>
    </row>
    <row r="676" spans="1:11" ht="12.75" customHeight="1">
      <c r="A676" s="484"/>
      <c r="B676" s="485"/>
      <c r="C676" s="488"/>
      <c r="D676" s="1293"/>
      <c r="E676" s="1293"/>
      <c r="F676" s="1293"/>
      <c r="I676" s="491"/>
    </row>
    <row r="677" spans="1:11" ht="12.75" customHeight="1">
      <c r="A677" s="484"/>
      <c r="B677" s="485"/>
      <c r="C677" s="488"/>
      <c r="D677" s="1293"/>
      <c r="E677" s="1293"/>
      <c r="F677" s="1293"/>
      <c r="I677" s="491"/>
    </row>
    <row r="678" spans="1:11">
      <c r="A678" s="488"/>
      <c r="B678" s="488"/>
      <c r="C678" s="488"/>
      <c r="D678" s="447"/>
      <c r="E678" s="447"/>
      <c r="F678" s="447"/>
      <c r="I678" s="491"/>
    </row>
    <row r="679" spans="1:11">
      <c r="A679" s="1296" t="s">
        <v>1058</v>
      </c>
      <c r="B679" s="1296"/>
      <c r="C679" s="1296"/>
      <c r="D679" s="1296"/>
      <c r="E679" s="1296"/>
      <c r="F679" s="1296"/>
      <c r="G679" s="1296"/>
      <c r="H679" s="1031"/>
      <c r="I679" s="1159"/>
      <c r="J679" s="502"/>
      <c r="K679" s="502"/>
    </row>
    <row r="680" spans="1:11">
      <c r="A680" s="449"/>
      <c r="B680" s="449"/>
      <c r="C680" s="449"/>
      <c r="D680" s="449"/>
      <c r="E680" s="449"/>
      <c r="F680" s="449"/>
      <c r="G680" s="449"/>
      <c r="H680" s="502"/>
      <c r="I680" s="484"/>
      <c r="J680" s="502"/>
      <c r="K680" s="502"/>
    </row>
    <row r="681" spans="1:11">
      <c r="C681" s="483"/>
      <c r="D681" s="1301" t="s">
        <v>99</v>
      </c>
      <c r="E681" s="1301"/>
      <c r="F681" s="1301"/>
      <c r="H681" s="502"/>
      <c r="I681" s="484"/>
      <c r="J681" s="502"/>
      <c r="K681" s="502"/>
    </row>
    <row r="682" spans="1:11">
      <c r="A682" s="483"/>
      <c r="B682" s="483"/>
      <c r="C682" s="483"/>
      <c r="D682" s="1301" t="s">
        <v>123</v>
      </c>
      <c r="E682" s="1301"/>
      <c r="F682" s="1301"/>
      <c r="H682" s="502"/>
      <c r="I682" s="484"/>
      <c r="J682" s="502"/>
      <c r="K682" s="502"/>
    </row>
    <row r="683" spans="1:11">
      <c r="A683" s="484"/>
      <c r="B683" s="484"/>
      <c r="C683" s="484"/>
      <c r="D683" s="1294" t="s">
        <v>1075</v>
      </c>
      <c r="E683" s="1294"/>
      <c r="F683" s="1294"/>
      <c r="H683" s="502"/>
      <c r="I683" s="484"/>
      <c r="J683" s="502"/>
      <c r="K683" s="502"/>
    </row>
    <row r="684" spans="1:11">
      <c r="A684" s="484"/>
      <c r="B684" s="484"/>
      <c r="C684" s="484"/>
      <c r="H684" s="502"/>
      <c r="I684" s="484"/>
      <c r="J684" s="502"/>
      <c r="K684" s="502"/>
    </row>
    <row r="685" spans="1:11">
      <c r="A685" s="485"/>
      <c r="B685" s="486" t="s">
        <v>2731</v>
      </c>
      <c r="C685" s="484"/>
      <c r="D685" s="1294" t="s">
        <v>884</v>
      </c>
      <c r="E685" s="1294"/>
      <c r="F685" s="1294"/>
      <c r="H685" s="502"/>
      <c r="I685" s="484"/>
      <c r="J685" s="502"/>
      <c r="K685" s="502"/>
    </row>
    <row r="686" spans="1:11">
      <c r="A686" s="484"/>
      <c r="B686" s="484"/>
      <c r="C686" s="484"/>
      <c r="D686" s="1294" t="s">
        <v>893</v>
      </c>
      <c r="E686" s="1294"/>
      <c r="F686" s="1294"/>
      <c r="H686" s="502"/>
      <c r="I686" s="484"/>
      <c r="J686" s="502"/>
      <c r="K686" s="502"/>
    </row>
    <row r="687" spans="1:11" ht="12.75" customHeight="1">
      <c r="A687" s="484"/>
      <c r="B687" s="484"/>
      <c r="C687" s="484"/>
      <c r="E687" s="1037" t="s">
        <v>1912</v>
      </c>
      <c r="F687" s="421"/>
      <c r="H687" s="502"/>
      <c r="I687" s="484"/>
      <c r="J687" s="502"/>
      <c r="K687" s="502"/>
    </row>
    <row r="688" spans="1:11">
      <c r="A688" s="484"/>
      <c r="B688" s="484"/>
      <c r="C688" s="484"/>
      <c r="E688" s="502" t="s">
        <v>1911</v>
      </c>
      <c r="F688" s="421"/>
      <c r="I688" s="484"/>
      <c r="J688" s="502"/>
      <c r="K688" s="502"/>
    </row>
    <row r="689" spans="1:11">
      <c r="A689" s="484"/>
      <c r="B689" s="484"/>
      <c r="C689" s="484"/>
      <c r="D689" s="503"/>
      <c r="E689" s="447"/>
      <c r="H689" s="502"/>
      <c r="I689" s="484"/>
      <c r="J689" s="502"/>
      <c r="K689" s="502"/>
    </row>
    <row r="690" spans="1:11">
      <c r="A690" s="485"/>
      <c r="B690" s="486" t="s">
        <v>2731</v>
      </c>
      <c r="C690" s="484"/>
      <c r="D690" s="1293" t="s">
        <v>2068</v>
      </c>
      <c r="E690" s="1293"/>
      <c r="F690" s="1293"/>
      <c r="H690" s="502"/>
      <c r="I690" s="484"/>
      <c r="J690" s="502"/>
      <c r="K690" s="502"/>
    </row>
    <row r="691" spans="1:11">
      <c r="A691" s="491"/>
      <c r="B691" s="491"/>
      <c r="C691" s="484"/>
      <c r="D691" s="1293"/>
      <c r="E691" s="1293"/>
      <c r="F691" s="1293"/>
      <c r="H691" s="502"/>
      <c r="I691" s="484"/>
      <c r="J691" s="502"/>
      <c r="K691" s="502"/>
    </row>
    <row r="692" spans="1:11">
      <c r="A692" s="484"/>
      <c r="B692" s="484"/>
      <c r="C692" s="484"/>
      <c r="D692" s="1293"/>
      <c r="E692" s="1293"/>
      <c r="F692" s="1293"/>
      <c r="H692" s="502"/>
      <c r="I692" s="484"/>
      <c r="J692" s="502"/>
      <c r="K692" s="502"/>
    </row>
    <row r="693" spans="1:11">
      <c r="A693" s="484"/>
      <c r="B693" s="484"/>
      <c r="C693" s="484"/>
      <c r="H693" s="502"/>
      <c r="J693" s="502"/>
      <c r="K693" s="502"/>
    </row>
    <row r="694" spans="1:11">
      <c r="A694" s="485"/>
      <c r="B694" s="486" t="s">
        <v>2732</v>
      </c>
      <c r="C694" s="484"/>
      <c r="D694" s="1294" t="s">
        <v>916</v>
      </c>
      <c r="E694" s="1294"/>
      <c r="F694" s="1294"/>
      <c r="H694" s="502"/>
      <c r="I694" s="484"/>
      <c r="J694" s="502"/>
      <c r="K694" s="502"/>
    </row>
    <row r="695" spans="1:11">
      <c r="A695" s="485"/>
      <c r="B695" s="485"/>
      <c r="C695" s="484"/>
      <c r="D695" s="1294" t="s">
        <v>893</v>
      </c>
      <c r="E695" s="1294"/>
      <c r="F695" s="1294"/>
      <c r="H695" s="502"/>
      <c r="I695" s="484"/>
      <c r="J695" s="502"/>
      <c r="K695" s="502"/>
    </row>
    <row r="696" spans="1:11">
      <c r="A696" s="484"/>
      <c r="B696" s="484"/>
      <c r="C696" s="484"/>
      <c r="E696" s="1037" t="s">
        <v>1913</v>
      </c>
      <c r="F696" s="405"/>
      <c r="H696" s="502"/>
      <c r="I696" s="484"/>
      <c r="J696" s="502"/>
      <c r="K696" s="502"/>
    </row>
    <row r="697" spans="1:11">
      <c r="A697" s="484"/>
      <c r="B697" s="484"/>
      <c r="C697" s="484"/>
      <c r="D697" s="405"/>
      <c r="H697" s="502"/>
      <c r="I697" s="484"/>
      <c r="J697" s="502"/>
      <c r="K697" s="502"/>
    </row>
    <row r="698" spans="1:11">
      <c r="A698" s="485"/>
      <c r="B698" s="486" t="s">
        <v>2731</v>
      </c>
      <c r="C698" s="484"/>
      <c r="D698" s="1294" t="s">
        <v>2471</v>
      </c>
      <c r="E698" s="1294"/>
      <c r="F698" s="1294"/>
      <c r="H698" s="502"/>
      <c r="I698" s="484"/>
      <c r="J698" s="502"/>
      <c r="K698" s="502"/>
    </row>
    <row r="699" spans="1:11">
      <c r="A699" s="485"/>
      <c r="B699" s="485"/>
      <c r="C699" s="484"/>
      <c r="D699" s="1294" t="s">
        <v>893</v>
      </c>
      <c r="E699" s="1294"/>
      <c r="F699" s="1294"/>
      <c r="H699" s="502"/>
      <c r="I699" s="484"/>
      <c r="J699" s="502"/>
      <c r="K699" s="502"/>
    </row>
    <row r="700" spans="1:11">
      <c r="A700" s="484"/>
      <c r="B700" s="484"/>
      <c r="C700" s="484"/>
      <c r="E700" s="1037" t="s">
        <v>2472</v>
      </c>
      <c r="F700" s="405"/>
      <c r="H700" s="502"/>
      <c r="I700" s="484"/>
      <c r="J700" s="502"/>
      <c r="K700" s="502"/>
    </row>
    <row r="701" spans="1:11">
      <c r="A701" s="484"/>
      <c r="B701" s="484"/>
      <c r="C701" s="484"/>
      <c r="D701" s="405"/>
      <c r="H701" s="502"/>
      <c r="I701" s="484"/>
      <c r="J701" s="502"/>
      <c r="K701" s="502"/>
    </row>
    <row r="702" spans="1:11">
      <c r="A702" s="485"/>
      <c r="B702" s="486" t="s">
        <v>2732</v>
      </c>
      <c r="C702" s="484"/>
      <c r="D702" s="1293" t="s">
        <v>2246</v>
      </c>
      <c r="E702" s="1293"/>
      <c r="F702" s="1293"/>
      <c r="H702" s="502"/>
      <c r="I702" s="484"/>
      <c r="J702" s="502"/>
      <c r="K702" s="502"/>
    </row>
    <row r="703" spans="1:11">
      <c r="A703" s="484"/>
      <c r="B703" s="484"/>
      <c r="C703" s="484"/>
      <c r="D703" s="1293"/>
      <c r="E703" s="1293"/>
      <c r="F703" s="1293"/>
      <c r="H703" s="502"/>
      <c r="I703" s="484"/>
      <c r="J703" s="502"/>
      <c r="K703" s="502"/>
    </row>
    <row r="704" spans="1:11">
      <c r="A704" s="484"/>
      <c r="B704" s="484"/>
      <c r="C704" s="484"/>
      <c r="D704" s="1293"/>
      <c r="E704" s="1293"/>
      <c r="F704" s="1293"/>
      <c r="H704" s="502"/>
      <c r="I704" s="484"/>
      <c r="J704" s="502"/>
      <c r="K704" s="502"/>
    </row>
    <row r="705" spans="1:11">
      <c r="A705" s="484"/>
      <c r="B705" s="484"/>
      <c r="C705" s="484"/>
      <c r="D705" s="1293"/>
      <c r="E705" s="1293"/>
      <c r="F705" s="1293"/>
      <c r="H705" s="502"/>
      <c r="I705" s="484"/>
      <c r="J705" s="502"/>
      <c r="K705" s="502"/>
    </row>
    <row r="706" spans="1:11">
      <c r="A706" s="484"/>
      <c r="B706" s="484"/>
      <c r="C706" s="484"/>
      <c r="D706" s="1293"/>
      <c r="E706" s="1293"/>
      <c r="F706" s="1293"/>
      <c r="H706" s="502"/>
      <c r="I706" s="484"/>
      <c r="J706" s="502"/>
      <c r="K706" s="502"/>
    </row>
    <row r="707" spans="1:11">
      <c r="A707" s="484"/>
      <c r="B707" s="484"/>
      <c r="C707" s="484"/>
      <c r="D707" s="1293"/>
      <c r="E707" s="1293"/>
      <c r="F707" s="1293"/>
      <c r="H707" s="502"/>
      <c r="I707" s="484"/>
      <c r="J707" s="502"/>
      <c r="K707" s="502"/>
    </row>
    <row r="708" spans="1:11">
      <c r="A708" s="484"/>
      <c r="B708" s="484"/>
      <c r="C708" s="484"/>
      <c r="D708" s="446"/>
      <c r="E708" s="446"/>
      <c r="F708" s="446"/>
      <c r="H708" s="502"/>
      <c r="I708" s="484"/>
      <c r="J708" s="502"/>
      <c r="K708" s="502"/>
    </row>
    <row r="709" spans="1:11">
      <c r="A709" s="484"/>
      <c r="B709" s="486" t="s">
        <v>2731</v>
      </c>
      <c r="C709" s="484"/>
      <c r="D709" s="1293" t="s">
        <v>1200</v>
      </c>
      <c r="E709" s="1293"/>
      <c r="F709" s="1293"/>
      <c r="H709" s="502"/>
      <c r="I709" s="484"/>
      <c r="J709" s="502"/>
      <c r="K709" s="502"/>
    </row>
    <row r="710" spans="1:11">
      <c r="A710" s="484"/>
      <c r="B710" s="484"/>
      <c r="C710" s="484"/>
      <c r="D710" s="1293"/>
      <c r="E710" s="1293"/>
      <c r="F710" s="1293"/>
      <c r="H710" s="502"/>
      <c r="I710" s="484"/>
      <c r="J710" s="502"/>
      <c r="K710" s="502"/>
    </row>
    <row r="711" spans="1:11">
      <c r="A711" s="484"/>
      <c r="B711" s="484"/>
      <c r="C711" s="484"/>
      <c r="D711" s="446"/>
      <c r="E711" s="446"/>
      <c r="F711" s="446"/>
      <c r="H711" s="502"/>
      <c r="I711" s="484"/>
      <c r="J711" s="502"/>
      <c r="K711" s="502"/>
    </row>
    <row r="712" spans="1:11">
      <c r="A712" s="485"/>
      <c r="B712" s="486" t="s">
        <v>2731</v>
      </c>
      <c r="C712" s="484"/>
      <c r="D712" s="1293" t="s">
        <v>1076</v>
      </c>
      <c r="E712" s="1293"/>
      <c r="F712" s="1293"/>
      <c r="H712" s="502"/>
      <c r="I712" s="484"/>
      <c r="J712" s="502"/>
      <c r="K712" s="502"/>
    </row>
    <row r="713" spans="1:11">
      <c r="A713" s="484"/>
      <c r="B713" s="484"/>
      <c r="C713" s="484"/>
      <c r="D713" s="1293"/>
      <c r="E713" s="1293"/>
      <c r="F713" s="1293"/>
      <c r="H713" s="502"/>
      <c r="I713" s="484"/>
      <c r="J713" s="502"/>
      <c r="K713" s="502"/>
    </row>
    <row r="714" spans="1:11">
      <c r="A714" s="484"/>
      <c r="B714" s="484"/>
      <c r="C714" s="484"/>
      <c r="D714" s="1293"/>
      <c r="E714" s="1293"/>
      <c r="F714" s="1293"/>
      <c r="H714" s="502"/>
      <c r="I714" s="484"/>
      <c r="J714" s="502"/>
      <c r="K714" s="502"/>
    </row>
    <row r="715" spans="1:11" ht="15" customHeight="1">
      <c r="A715" s="484"/>
      <c r="B715" s="484"/>
      <c r="C715" s="484"/>
      <c r="D715" s="1293"/>
      <c r="E715" s="1293"/>
      <c r="F715" s="1293"/>
      <c r="H715" s="502"/>
      <c r="I715" s="484"/>
      <c r="J715" s="502"/>
      <c r="K715" s="502"/>
    </row>
    <row r="716" spans="1:11" ht="15" customHeight="1">
      <c r="A716" s="484"/>
      <c r="B716" s="484"/>
      <c r="C716" s="484"/>
      <c r="D716" s="1293"/>
      <c r="E716" s="1293"/>
      <c r="F716" s="1293"/>
      <c r="H716" s="502"/>
      <c r="I716" s="484"/>
      <c r="J716" s="502"/>
      <c r="K716" s="502"/>
    </row>
    <row r="717" spans="1:11">
      <c r="A717" s="484"/>
      <c r="B717" s="484"/>
      <c r="C717" s="484"/>
      <c r="D717" s="1293"/>
      <c r="E717" s="1293"/>
      <c r="F717" s="1293"/>
      <c r="H717" s="502"/>
      <c r="I717" s="484"/>
      <c r="J717" s="502"/>
      <c r="K717" s="502"/>
    </row>
    <row r="718" spans="1:11">
      <c r="A718" s="484"/>
      <c r="B718" s="484"/>
      <c r="C718" s="484"/>
      <c r="D718" s="1293"/>
      <c r="E718" s="1293"/>
      <c r="F718" s="1293"/>
      <c r="H718" s="502"/>
      <c r="I718" s="484"/>
      <c r="J718" s="502"/>
      <c r="K718" s="502"/>
    </row>
    <row r="719" spans="1:11">
      <c r="A719" s="484"/>
      <c r="B719" s="484"/>
      <c r="C719" s="484"/>
      <c r="D719" s="1293"/>
      <c r="E719" s="1293"/>
      <c r="F719" s="1293"/>
      <c r="H719" s="502"/>
      <c r="I719" s="484"/>
      <c r="J719" s="502"/>
      <c r="K719" s="502"/>
    </row>
    <row r="720" spans="1:11" ht="15" customHeight="1">
      <c r="A720" s="484"/>
      <c r="B720" s="484"/>
      <c r="C720" s="484"/>
      <c r="D720" s="1293"/>
      <c r="E720" s="1293"/>
      <c r="F720" s="1293"/>
      <c r="H720" s="502"/>
      <c r="I720" s="484"/>
      <c r="J720" s="502"/>
      <c r="K720" s="502"/>
    </row>
    <row r="721" spans="1:11">
      <c r="A721" s="484"/>
      <c r="B721" s="484"/>
      <c r="C721" s="484"/>
      <c r="D721" s="1293"/>
      <c r="E721" s="1293"/>
      <c r="F721" s="1293"/>
      <c r="H721" s="502"/>
      <c r="I721" s="484"/>
      <c r="J721" s="502"/>
      <c r="K721" s="502"/>
    </row>
    <row r="722" spans="1:11">
      <c r="A722" s="484"/>
      <c r="B722" s="484"/>
      <c r="C722" s="484"/>
      <c r="D722" s="1293"/>
      <c r="E722" s="1293"/>
      <c r="F722" s="1293"/>
      <c r="H722" s="502"/>
      <c r="I722" s="484"/>
      <c r="J722" s="502"/>
      <c r="K722" s="502"/>
    </row>
    <row r="723" spans="1:11">
      <c r="A723" s="484"/>
      <c r="B723" s="484"/>
      <c r="C723" s="484"/>
      <c r="D723" s="1293"/>
      <c r="E723" s="1293"/>
      <c r="F723" s="1293"/>
      <c r="H723" s="502"/>
      <c r="I723" s="484"/>
      <c r="J723" s="502"/>
      <c r="K723" s="502"/>
    </row>
    <row r="724" spans="1:11">
      <c r="A724" s="484"/>
      <c r="B724" s="484"/>
      <c r="C724" s="484"/>
      <c r="D724" s="1293"/>
      <c r="E724" s="1293"/>
      <c r="F724" s="1293"/>
      <c r="H724" s="502"/>
      <c r="I724" s="484"/>
      <c r="J724" s="502"/>
      <c r="K724" s="502"/>
    </row>
    <row r="725" spans="1:11">
      <c r="A725" s="484"/>
      <c r="B725" s="486" t="s">
        <v>2731</v>
      </c>
      <c r="C725" s="484"/>
      <c r="D725" s="1293" t="s">
        <v>2464</v>
      </c>
      <c r="E725" s="1293"/>
      <c r="F725" s="1293"/>
      <c r="H725" s="502"/>
      <c r="I725" s="484"/>
      <c r="J725" s="502"/>
      <c r="K725" s="502"/>
    </row>
    <row r="726" spans="1:11">
      <c r="A726" s="484"/>
      <c r="B726" s="484"/>
      <c r="C726" s="484"/>
      <c r="D726" s="1293"/>
      <c r="E726" s="1293"/>
      <c r="F726" s="1293"/>
      <c r="H726" s="502"/>
      <c r="I726" s="484"/>
      <c r="J726" s="502"/>
      <c r="K726" s="502"/>
    </row>
    <row r="727" spans="1:11">
      <c r="A727" s="484"/>
      <c r="B727" s="484"/>
      <c r="C727" s="484"/>
      <c r="D727" s="1293"/>
      <c r="E727" s="1293"/>
      <c r="F727" s="1293"/>
      <c r="H727" s="502"/>
      <c r="I727" s="484"/>
      <c r="J727" s="502"/>
      <c r="K727" s="502"/>
    </row>
    <row r="728" spans="1:11">
      <c r="A728" s="484"/>
      <c r="B728" s="484"/>
      <c r="C728" s="484"/>
      <c r="D728" s="446"/>
      <c r="E728" s="446"/>
      <c r="F728" s="446"/>
      <c r="H728" s="502"/>
      <c r="I728" s="484"/>
      <c r="J728" s="502"/>
      <c r="K728" s="502"/>
    </row>
    <row r="729" spans="1:11">
      <c r="A729" s="484"/>
      <c r="B729" s="486" t="s">
        <v>2731</v>
      </c>
      <c r="C729" s="484"/>
      <c r="D729" s="1293" t="s">
        <v>2463</v>
      </c>
      <c r="E729" s="1293"/>
      <c r="F729" s="1293"/>
      <c r="H729" s="502"/>
      <c r="I729" s="484"/>
      <c r="J729" s="502"/>
      <c r="K729" s="502"/>
    </row>
    <row r="730" spans="1:11">
      <c r="A730" s="484"/>
      <c r="B730" s="484"/>
      <c r="C730" s="484"/>
      <c r="D730" s="1293"/>
      <c r="E730" s="1293"/>
      <c r="F730" s="1293"/>
      <c r="H730" s="502"/>
      <c r="I730" s="484"/>
      <c r="J730" s="502"/>
      <c r="K730" s="502"/>
    </row>
    <row r="731" spans="1:11">
      <c r="A731" s="484"/>
      <c r="B731" s="484"/>
      <c r="C731" s="484"/>
      <c r="D731" s="1293"/>
      <c r="E731" s="1293"/>
      <c r="F731" s="1293"/>
      <c r="H731" s="502"/>
      <c r="I731" s="484"/>
      <c r="J731" s="502"/>
      <c r="K731" s="502"/>
    </row>
    <row r="732" spans="1:11">
      <c r="A732" s="484"/>
      <c r="B732" s="484"/>
      <c r="C732" s="484"/>
      <c r="H732" s="502"/>
      <c r="I732" s="484"/>
      <c r="J732" s="502"/>
      <c r="K732" s="502"/>
    </row>
    <row r="733" spans="1:11">
      <c r="A733" s="484"/>
      <c r="B733" s="486" t="s">
        <v>2731</v>
      </c>
      <c r="C733" s="484"/>
      <c r="D733" s="1293" t="s">
        <v>2462</v>
      </c>
      <c r="E733" s="1293"/>
      <c r="F733" s="1293"/>
      <c r="H733" s="502"/>
      <c r="I733" s="484"/>
      <c r="J733" s="502"/>
      <c r="K733" s="502"/>
    </row>
    <row r="734" spans="1:11">
      <c r="A734" s="484"/>
      <c r="B734" s="484"/>
      <c r="C734" s="484"/>
      <c r="D734" s="1293"/>
      <c r="E734" s="1293"/>
      <c r="F734" s="1293"/>
      <c r="H734" s="502"/>
      <c r="I734" s="484"/>
      <c r="J734" s="502"/>
      <c r="K734" s="502"/>
    </row>
    <row r="735" spans="1:11">
      <c r="A735" s="484"/>
      <c r="B735" s="484"/>
      <c r="C735" s="484"/>
      <c r="D735" s="1293"/>
      <c r="E735" s="1293"/>
      <c r="F735" s="1293"/>
      <c r="H735" s="502"/>
      <c r="I735" s="484"/>
      <c r="J735" s="502"/>
      <c r="K735" s="502"/>
    </row>
    <row r="736" spans="1:11">
      <c r="A736" s="484"/>
      <c r="B736" s="484"/>
      <c r="C736" s="484"/>
      <c r="D736" s="1293"/>
      <c r="E736" s="1293"/>
      <c r="F736" s="1293"/>
      <c r="H736" s="502"/>
      <c r="I736" s="484"/>
      <c r="J736" s="502"/>
      <c r="K736" s="502"/>
    </row>
    <row r="737" spans="1:11">
      <c r="A737" s="484"/>
      <c r="B737" s="484"/>
      <c r="C737" s="484"/>
      <c r="H737" s="502"/>
      <c r="I737" s="484"/>
      <c r="J737" s="502"/>
      <c r="K737" s="502"/>
    </row>
    <row r="738" spans="1:11">
      <c r="A738" s="485"/>
      <c r="B738" s="486" t="s">
        <v>2731</v>
      </c>
      <c r="C738" s="484"/>
      <c r="D738" s="1293" t="s">
        <v>1077</v>
      </c>
      <c r="E738" s="1293"/>
      <c r="F738" s="1293"/>
      <c r="H738" s="502"/>
      <c r="I738" s="484"/>
      <c r="J738" s="502"/>
      <c r="K738" s="502"/>
    </row>
    <row r="739" spans="1:11">
      <c r="A739" s="484"/>
      <c r="B739" s="484"/>
      <c r="C739" s="484"/>
      <c r="D739" s="1293"/>
      <c r="E739" s="1293"/>
      <c r="F739" s="1293"/>
      <c r="H739" s="502"/>
      <c r="I739" s="484"/>
      <c r="J739" s="502"/>
      <c r="K739" s="502"/>
    </row>
    <row r="740" spans="1:11">
      <c r="A740" s="484"/>
      <c r="B740" s="484"/>
      <c r="C740" s="484"/>
      <c r="D740" s="1293"/>
      <c r="E740" s="1293"/>
      <c r="F740" s="1293"/>
      <c r="H740" s="502"/>
      <c r="I740" s="484"/>
      <c r="J740" s="502"/>
      <c r="K740" s="502"/>
    </row>
    <row r="741" spans="1:11">
      <c r="A741" s="484"/>
      <c r="B741" s="484"/>
      <c r="C741" s="484"/>
      <c r="D741" s="1293"/>
      <c r="E741" s="1293"/>
      <c r="F741" s="1293"/>
      <c r="H741" s="502"/>
      <c r="I741" s="484"/>
      <c r="J741" s="502"/>
      <c r="K741" s="502"/>
    </row>
    <row r="742" spans="1:11">
      <c r="A742" s="484"/>
      <c r="B742" s="484"/>
      <c r="C742" s="484"/>
      <c r="D742" s="1293"/>
      <c r="E742" s="1293"/>
      <c r="F742" s="1293"/>
      <c r="H742" s="502"/>
      <c r="I742" s="484"/>
      <c r="J742" s="502"/>
      <c r="K742" s="502"/>
    </row>
    <row r="743" spans="1:11">
      <c r="A743" s="484"/>
      <c r="B743" s="484"/>
      <c r="C743" s="484"/>
      <c r="D743" s="493"/>
      <c r="H743" s="502"/>
      <c r="I743" s="484"/>
      <c r="J743" s="502"/>
      <c r="K743" s="502"/>
    </row>
    <row r="744" spans="1:11">
      <c r="A744" s="485"/>
      <c r="B744" s="486" t="s">
        <v>2731</v>
      </c>
      <c r="C744" s="484"/>
      <c r="D744" s="1293" t="s">
        <v>2146</v>
      </c>
      <c r="E744" s="1293"/>
      <c r="F744" s="1293"/>
      <c r="H744" s="502"/>
      <c r="I744" s="484"/>
      <c r="J744" s="502"/>
      <c r="K744" s="502"/>
    </row>
    <row r="745" spans="1:11">
      <c r="A745" s="484"/>
      <c r="B745" s="484"/>
      <c r="C745" s="484"/>
      <c r="D745" s="1293"/>
      <c r="E745" s="1293"/>
      <c r="F745" s="1293"/>
      <c r="H745" s="502"/>
      <c r="I745" s="484"/>
      <c r="J745" s="502"/>
      <c r="K745" s="502"/>
    </row>
    <row r="746" spans="1:11">
      <c r="A746" s="484"/>
      <c r="B746" s="484"/>
      <c r="C746" s="484"/>
      <c r="D746" s="1293"/>
      <c r="E746" s="1293"/>
      <c r="F746" s="1293"/>
      <c r="H746" s="502"/>
      <c r="I746" s="484"/>
      <c r="J746" s="502"/>
      <c r="K746" s="502"/>
    </row>
    <row r="747" spans="1:11">
      <c r="A747" s="484"/>
      <c r="B747" s="484"/>
      <c r="C747" s="484"/>
      <c r="D747" s="1293"/>
      <c r="E747" s="1293"/>
      <c r="F747" s="1293"/>
      <c r="H747" s="502"/>
      <c r="I747" s="484"/>
      <c r="J747" s="502"/>
      <c r="K747" s="502"/>
    </row>
    <row r="748" spans="1:11">
      <c r="A748" s="484"/>
      <c r="B748" s="484"/>
      <c r="C748" s="484"/>
      <c r="D748" s="1293"/>
      <c r="E748" s="1293"/>
      <c r="F748" s="1293"/>
      <c r="H748" s="502"/>
      <c r="I748" s="484"/>
      <c r="J748" s="502"/>
      <c r="K748" s="502"/>
    </row>
    <row r="749" spans="1:11">
      <c r="A749" s="484"/>
      <c r="B749" s="484"/>
      <c r="C749" s="484"/>
      <c r="D749" s="1293"/>
      <c r="E749" s="1293"/>
      <c r="F749" s="1293"/>
      <c r="H749" s="502"/>
      <c r="I749" s="484"/>
      <c r="J749" s="502"/>
      <c r="K749" s="502"/>
    </row>
    <row r="750" spans="1:11">
      <c r="A750" s="484"/>
      <c r="B750" s="484"/>
      <c r="C750" s="484"/>
      <c r="D750" s="1293"/>
      <c r="E750" s="1293"/>
      <c r="F750" s="1293"/>
      <c r="H750" s="502"/>
      <c r="I750" s="484"/>
      <c r="J750" s="502"/>
      <c r="K750" s="502"/>
    </row>
    <row r="751" spans="1:11">
      <c r="A751" s="484"/>
      <c r="B751" s="484"/>
      <c r="C751" s="484"/>
      <c r="D751" s="1331" t="s">
        <v>2075</v>
      </c>
      <c r="E751" s="1331"/>
      <c r="F751" s="1331"/>
      <c r="H751" s="502"/>
      <c r="I751" s="484"/>
      <c r="J751" s="502"/>
      <c r="K751" s="502"/>
    </row>
    <row r="752" spans="1:11">
      <c r="A752" s="484"/>
      <c r="B752" s="484"/>
      <c r="C752" s="484"/>
      <c r="D752" s="342"/>
      <c r="H752" s="502"/>
      <c r="I752" s="484"/>
      <c r="J752" s="502"/>
      <c r="K752" s="502"/>
    </row>
    <row r="753" spans="1:11">
      <c r="A753" s="1300" t="s">
        <v>1059</v>
      </c>
      <c r="B753" s="1300"/>
      <c r="C753" s="1300"/>
      <c r="D753" s="1300"/>
      <c r="E753" s="1300"/>
      <c r="F753" s="1300"/>
      <c r="G753" s="1300"/>
      <c r="H753" s="1031"/>
      <c r="I753" s="1159"/>
      <c r="J753" s="502"/>
      <c r="K753" s="502"/>
    </row>
    <row r="754" spans="1:11">
      <c r="A754" s="484"/>
      <c r="B754" s="484"/>
      <c r="C754" s="484"/>
      <c r="D754" s="493"/>
      <c r="G754" s="502"/>
      <c r="H754" s="502"/>
      <c r="I754" s="484"/>
      <c r="J754" s="502"/>
      <c r="K754" s="502"/>
    </row>
    <row r="755" spans="1:11" ht="13.75" customHeight="1">
      <c r="C755" s="484"/>
      <c r="D755" s="1295" t="s">
        <v>1069</v>
      </c>
      <c r="E755" s="1295"/>
      <c r="F755" s="1295"/>
      <c r="G755" s="502"/>
      <c r="H755" s="502"/>
      <c r="I755" s="484"/>
      <c r="J755" s="502"/>
      <c r="K755" s="502"/>
    </row>
    <row r="756" spans="1:11">
      <c r="A756" s="484"/>
      <c r="B756" s="484"/>
      <c r="C756" s="484"/>
      <c r="D756" s="1299" t="s">
        <v>1070</v>
      </c>
      <c r="E756" s="1299"/>
      <c r="F756" s="1299"/>
      <c r="G756" s="502"/>
      <c r="H756" s="502"/>
      <c r="I756" s="484"/>
      <c r="J756" s="502"/>
      <c r="K756" s="502"/>
    </row>
    <row r="757" spans="1:11">
      <c r="A757" s="484"/>
      <c r="B757" s="484"/>
      <c r="C757" s="484"/>
      <c r="G757" s="502"/>
      <c r="H757" s="502"/>
      <c r="I757" s="484"/>
      <c r="J757" s="502"/>
      <c r="K757" s="502"/>
    </row>
    <row r="758" spans="1:11">
      <c r="A758" s="485"/>
      <c r="B758" s="486" t="s">
        <v>2732</v>
      </c>
      <c r="D758" s="1293" t="s">
        <v>1071</v>
      </c>
      <c r="E758" s="1293"/>
      <c r="F758" s="1293"/>
      <c r="G758" s="502"/>
      <c r="H758" s="502"/>
      <c r="I758" s="484"/>
      <c r="J758" s="502"/>
      <c r="K758" s="502"/>
    </row>
    <row r="759" spans="1:11" ht="10.5" customHeight="1">
      <c r="D759" s="1293"/>
      <c r="E759" s="1293"/>
      <c r="F759" s="1293"/>
      <c r="G759" s="502"/>
      <c r="H759" s="502"/>
      <c r="I759" s="484"/>
      <c r="J759" s="502"/>
      <c r="K759" s="502"/>
    </row>
    <row r="760" spans="1:11">
      <c r="D760" s="1293"/>
      <c r="E760" s="1293"/>
      <c r="F760" s="1293"/>
      <c r="G760" s="502"/>
      <c r="H760" s="502"/>
      <c r="I760" s="484"/>
      <c r="J760" s="502"/>
      <c r="K760" s="502"/>
    </row>
    <row r="761" spans="1:11">
      <c r="D761" s="1293"/>
      <c r="E761" s="1293"/>
      <c r="F761" s="1293"/>
      <c r="G761" s="502"/>
      <c r="H761" s="502"/>
      <c r="I761" s="484"/>
      <c r="J761" s="502"/>
      <c r="K761" s="502"/>
    </row>
    <row r="762" spans="1:11">
      <c r="D762" s="1293"/>
      <c r="E762" s="1293"/>
      <c r="F762" s="1293"/>
      <c r="G762" s="502"/>
      <c r="H762" s="502"/>
      <c r="I762" s="484"/>
      <c r="J762" s="502"/>
      <c r="K762" s="502"/>
    </row>
    <row r="763" spans="1:11" ht="15.65" customHeight="1">
      <c r="D763" s="1293"/>
      <c r="E763" s="1293"/>
      <c r="F763" s="1293"/>
      <c r="G763" s="502"/>
      <c r="H763" s="502"/>
      <c r="I763" s="484"/>
      <c r="J763" s="502"/>
      <c r="K763" s="502"/>
    </row>
    <row r="764" spans="1:11">
      <c r="D764" s="500"/>
      <c r="E764" s="447"/>
      <c r="F764" s="447"/>
      <c r="G764" s="502"/>
      <c r="H764" s="502"/>
      <c r="I764" s="484"/>
      <c r="J764" s="502"/>
      <c r="K764" s="502"/>
    </row>
    <row r="765" spans="1:11" s="506" customFormat="1">
      <c r="A765" s="504"/>
      <c r="B765" s="486" t="s">
        <v>2731</v>
      </c>
      <c r="C765" s="505"/>
      <c r="D765" s="1293" t="s">
        <v>1240</v>
      </c>
      <c r="E765" s="1293"/>
      <c r="F765" s="1293"/>
      <c r="I765" s="1160"/>
    </row>
    <row r="766" spans="1:11" s="506" customFormat="1">
      <c r="A766" s="505"/>
      <c r="B766" s="505"/>
      <c r="C766" s="505"/>
      <c r="D766" s="1293"/>
      <c r="E766" s="1293"/>
      <c r="F766" s="1293"/>
      <c r="I766" s="1160"/>
    </row>
    <row r="767" spans="1:11" s="506" customFormat="1">
      <c r="A767" s="505"/>
      <c r="B767" s="505"/>
      <c r="C767" s="505"/>
      <c r="D767" s="1293"/>
      <c r="E767" s="1293"/>
      <c r="F767" s="1293"/>
      <c r="I767" s="1160"/>
    </row>
    <row r="768" spans="1:11" s="506" customFormat="1">
      <c r="A768" s="505"/>
      <c r="B768" s="505"/>
      <c r="C768" s="505"/>
      <c r="D768" s="1293"/>
      <c r="E768" s="1293"/>
      <c r="F768" s="1293"/>
      <c r="I768" s="1160"/>
    </row>
    <row r="769" spans="1:11" s="506" customFormat="1">
      <c r="A769" s="505"/>
      <c r="B769" s="505"/>
      <c r="C769" s="505"/>
      <c r="D769" s="500"/>
      <c r="I769" s="1160"/>
    </row>
    <row r="770" spans="1:11" s="506" customFormat="1">
      <c r="A770" s="485"/>
      <c r="B770" s="486" t="s">
        <v>2732</v>
      </c>
      <c r="C770" s="505"/>
      <c r="D770" s="1318" t="s">
        <v>1241</v>
      </c>
      <c r="E770" s="1318"/>
      <c r="F770" s="1318"/>
      <c r="I770" s="1160"/>
    </row>
    <row r="771" spans="1:11" s="506" customFormat="1">
      <c r="A771" s="505"/>
      <c r="B771" s="505"/>
      <c r="C771" s="505"/>
      <c r="D771" s="1318"/>
      <c r="E771" s="1318"/>
      <c r="F771" s="1318"/>
      <c r="I771" s="1160"/>
    </row>
    <row r="772" spans="1:11" s="506" customFormat="1">
      <c r="A772" s="505"/>
      <c r="B772" s="505"/>
      <c r="C772" s="505"/>
      <c r="D772" s="1318"/>
      <c r="E772" s="1318"/>
      <c r="F772" s="1318"/>
      <c r="I772" s="1160"/>
    </row>
    <row r="773" spans="1:11">
      <c r="D773" s="500"/>
      <c r="E773" s="447"/>
      <c r="F773" s="447"/>
      <c r="G773" s="502"/>
      <c r="H773" s="502"/>
      <c r="I773" s="484"/>
      <c r="J773" s="502"/>
      <c r="K773" s="502"/>
    </row>
    <row r="774" spans="1:11">
      <c r="A774" s="485"/>
      <c r="B774" s="486" t="s">
        <v>2731</v>
      </c>
      <c r="D774" s="1293" t="s">
        <v>1197</v>
      </c>
      <c r="E774" s="1293"/>
      <c r="F774" s="1293"/>
      <c r="G774" s="502"/>
      <c r="H774" s="502"/>
      <c r="I774" s="484"/>
      <c r="J774" s="502"/>
      <c r="K774" s="502"/>
    </row>
    <row r="775" spans="1:11">
      <c r="D775" s="1293"/>
      <c r="E775" s="1293"/>
      <c r="F775" s="1293"/>
      <c r="G775" s="502"/>
      <c r="H775" s="502"/>
      <c r="I775" s="484"/>
      <c r="J775" s="502"/>
      <c r="K775" s="502"/>
    </row>
    <row r="776" spans="1:11">
      <c r="D776" s="446"/>
      <c r="E776" s="446"/>
      <c r="F776" s="446"/>
      <c r="G776" s="502"/>
      <c r="H776" s="502"/>
      <c r="I776" s="484"/>
      <c r="J776" s="502"/>
      <c r="K776" s="502"/>
    </row>
    <row r="777" spans="1:11">
      <c r="B777" s="486" t="s">
        <v>2731</v>
      </c>
      <c r="D777" s="1293" t="s">
        <v>1214</v>
      </c>
      <c r="E777" s="1293"/>
      <c r="F777" s="1293"/>
      <c r="G777" s="502"/>
      <c r="H777" s="502"/>
      <c r="I777" s="484"/>
      <c r="J777" s="502"/>
      <c r="K777" s="502"/>
    </row>
    <row r="778" spans="1:11">
      <c r="D778" s="1293"/>
      <c r="E778" s="1293"/>
      <c r="F778" s="1293"/>
      <c r="G778" s="502"/>
      <c r="H778" s="502"/>
      <c r="I778" s="484"/>
      <c r="J778" s="502"/>
      <c r="K778" s="502"/>
    </row>
    <row r="779" spans="1:11">
      <c r="D779" s="1293"/>
      <c r="E779" s="1293"/>
      <c r="F779" s="1293"/>
      <c r="G779" s="502"/>
      <c r="H779" s="502"/>
      <c r="I779" s="484"/>
      <c r="J779" s="502"/>
      <c r="K779" s="502"/>
    </row>
    <row r="780" spans="1:11">
      <c r="D780" s="446"/>
      <c r="E780" s="446"/>
      <c r="F780" s="446"/>
      <c r="G780" s="502"/>
      <c r="H780" s="502"/>
      <c r="I780" s="484"/>
      <c r="J780" s="502"/>
      <c r="K780" s="502"/>
    </row>
    <row r="781" spans="1:11">
      <c r="A781" s="1325" t="s">
        <v>1800</v>
      </c>
      <c r="B781" s="1325"/>
      <c r="C781" s="1325"/>
      <c r="D781" s="1325"/>
      <c r="E781" s="1325"/>
      <c r="F781" s="1325"/>
      <c r="G781" s="1325"/>
      <c r="H781" s="1029"/>
      <c r="I781" s="1155"/>
    </row>
    <row r="782" spans="1:11">
      <c r="A782" s="57"/>
      <c r="B782" s="57"/>
      <c r="C782" s="355"/>
      <c r="D782" s="3"/>
      <c r="E782" s="3"/>
      <c r="F782" s="3"/>
      <c r="G782" s="3"/>
      <c r="I782" s="491"/>
    </row>
    <row r="783" spans="1:11">
      <c r="A783" s="57"/>
      <c r="B783" s="57"/>
      <c r="C783" s="355"/>
      <c r="D783" s="1324" t="s">
        <v>1854</v>
      </c>
      <c r="E783" s="1324"/>
      <c r="F783" s="1324"/>
      <c r="G783" s="3"/>
      <c r="I783" s="491"/>
    </row>
    <row r="784" spans="1:11">
      <c r="A784" s="57"/>
      <c r="B784" s="57"/>
      <c r="C784" s="355"/>
      <c r="D784" s="1305" t="s">
        <v>1754</v>
      </c>
      <c r="E784" s="1305"/>
      <c r="F784" s="1305"/>
      <c r="G784" s="3"/>
      <c r="I784" s="491"/>
    </row>
    <row r="785" spans="1:9">
      <c r="A785" s="57"/>
      <c r="B785" s="57"/>
      <c r="C785" s="355"/>
      <c r="D785" s="448"/>
      <c r="E785" s="448"/>
      <c r="F785" s="448"/>
      <c r="G785" s="3"/>
      <c r="I785" s="491"/>
    </row>
    <row r="786" spans="1:9">
      <c r="A786" s="57"/>
      <c r="B786" s="486" t="s">
        <v>2731</v>
      </c>
      <c r="C786" s="355"/>
      <c r="D786" s="1326" t="s">
        <v>1755</v>
      </c>
      <c r="E786" s="1326"/>
      <c r="F786" s="1326"/>
      <c r="G786" s="3"/>
      <c r="I786" s="484"/>
    </row>
    <row r="787" spans="1:9">
      <c r="A787" s="57"/>
      <c r="B787" s="57"/>
      <c r="C787" s="355"/>
      <c r="D787" s="1326"/>
      <c r="E787" s="1326"/>
      <c r="F787" s="1326"/>
      <c r="G787" s="3"/>
      <c r="I787" s="491"/>
    </row>
    <row r="788" spans="1:9">
      <c r="A788" s="174"/>
      <c r="B788" s="174"/>
      <c r="C788" s="174"/>
      <c r="D788" s="1326"/>
      <c r="E788" s="1326"/>
      <c r="F788" s="1326"/>
      <c r="G788" s="118"/>
      <c r="I788" s="491"/>
    </row>
    <row r="789" spans="1:9">
      <c r="A789" s="355"/>
      <c r="B789" s="355"/>
      <c r="C789" s="355"/>
      <c r="D789" s="173"/>
      <c r="E789" s="3"/>
      <c r="F789" s="3"/>
      <c r="G789" s="3"/>
      <c r="I789" s="491"/>
    </row>
    <row r="790" spans="1:9">
      <c r="A790" s="172"/>
      <c r="B790" s="486" t="s">
        <v>2731</v>
      </c>
      <c r="C790" s="172"/>
      <c r="D790" s="1326" t="s">
        <v>1756</v>
      </c>
      <c r="E790" s="1326"/>
      <c r="F790" s="1326"/>
      <c r="G790" s="3"/>
      <c r="I790" s="484"/>
    </row>
    <row r="791" spans="1:9">
      <c r="A791" s="172"/>
      <c r="B791" s="172"/>
      <c r="C791" s="172"/>
      <c r="D791" s="1326"/>
      <c r="E791" s="1326"/>
      <c r="F791" s="1326"/>
      <c r="G791" s="3"/>
      <c r="I791" s="491"/>
    </row>
    <row r="792" spans="1:9">
      <c r="A792" s="172"/>
      <c r="B792" s="172"/>
      <c r="C792" s="172"/>
      <c r="D792" s="1326"/>
      <c r="E792" s="1326"/>
      <c r="F792" s="1326"/>
      <c r="G792" s="3"/>
      <c r="I792" s="491"/>
    </row>
    <row r="793" spans="1:9">
      <c r="A793" s="174"/>
      <c r="B793" s="174"/>
      <c r="C793" s="174"/>
      <c r="D793" s="3"/>
      <c r="E793" s="989"/>
      <c r="F793" s="989"/>
      <c r="G793" s="989"/>
      <c r="I793" s="491"/>
    </row>
    <row r="794" spans="1:9">
      <c r="A794" s="175"/>
      <c r="B794" s="486" t="s">
        <v>2731</v>
      </c>
      <c r="C794" s="990"/>
      <c r="D794" s="1326" t="s">
        <v>1757</v>
      </c>
      <c r="E794" s="1326"/>
      <c r="F794" s="1326"/>
      <c r="G794" s="989"/>
      <c r="I794" s="484"/>
    </row>
    <row r="795" spans="1:9">
      <c r="A795" s="175"/>
      <c r="B795" s="175"/>
      <c r="C795" s="990"/>
      <c r="D795" s="1326"/>
      <c r="E795" s="1326"/>
      <c r="F795" s="1326"/>
      <c r="G795" s="989"/>
      <c r="I795" s="491"/>
    </row>
    <row r="796" spans="1:9">
      <c r="A796" s="175"/>
      <c r="B796" s="175"/>
      <c r="C796" s="990"/>
      <c r="D796" s="1326"/>
      <c r="E796" s="1326"/>
      <c r="F796" s="1326"/>
      <c r="G796" s="989"/>
      <c r="I796" s="491"/>
    </row>
    <row r="797" spans="1:9">
      <c r="A797" s="175"/>
      <c r="B797" s="175"/>
      <c r="C797" s="990"/>
      <c r="D797" s="118"/>
      <c r="E797" s="3"/>
      <c r="F797" s="3"/>
      <c r="G797" s="989"/>
      <c r="I797" s="491"/>
    </row>
    <row r="798" spans="1:9">
      <c r="A798" s="175"/>
      <c r="B798" s="486" t="s">
        <v>2732</v>
      </c>
      <c r="C798" s="990"/>
      <c r="D798" s="1326" t="s">
        <v>1758</v>
      </c>
      <c r="E798" s="1326"/>
      <c r="F798" s="1326"/>
      <c r="G798" s="989"/>
      <c r="I798" s="484"/>
    </row>
    <row r="799" spans="1:9">
      <c r="A799" s="175"/>
      <c r="B799" s="175"/>
      <c r="C799" s="990"/>
      <c r="D799" s="1326"/>
      <c r="E799" s="1326"/>
      <c r="F799" s="1326"/>
      <c r="G799" s="989"/>
      <c r="I799" s="491"/>
    </row>
    <row r="800" spans="1:9">
      <c r="A800" s="175"/>
      <c r="B800" s="175"/>
      <c r="C800" s="990"/>
      <c r="D800" s="1326"/>
      <c r="E800" s="1326"/>
      <c r="F800" s="1326"/>
      <c r="G800" s="989"/>
      <c r="I800" s="491"/>
    </row>
    <row r="801" spans="1:9">
      <c r="A801" s="175"/>
      <c r="B801" s="175"/>
      <c r="C801" s="990"/>
      <c r="D801" s="1326"/>
      <c r="E801" s="1326"/>
      <c r="F801" s="1326"/>
      <c r="G801" s="989"/>
      <c r="I801" s="491"/>
    </row>
    <row r="802" spans="1:9">
      <c r="A802" s="175"/>
      <c r="B802" s="175"/>
      <c r="C802" s="990"/>
      <c r="D802" s="1326"/>
      <c r="E802" s="1326"/>
      <c r="F802" s="1326"/>
      <c r="G802" s="989"/>
      <c r="I802" s="491"/>
    </row>
    <row r="803" spans="1:9">
      <c r="A803" s="175"/>
      <c r="B803" s="175"/>
      <c r="C803" s="990"/>
      <c r="D803" s="1326"/>
      <c r="E803" s="1326"/>
      <c r="F803" s="1326"/>
      <c r="G803" s="989"/>
      <c r="I803" s="491"/>
    </row>
    <row r="804" spans="1:9">
      <c r="A804" s="175"/>
      <c r="B804" s="175"/>
      <c r="C804" s="990"/>
      <c r="D804" s="1326" t="s">
        <v>1801</v>
      </c>
      <c r="E804" s="1326"/>
      <c r="F804" s="1326"/>
      <c r="G804" s="989"/>
      <c r="I804" s="491"/>
    </row>
    <row r="805" spans="1:9">
      <c r="A805" s="175"/>
      <c r="B805" s="175"/>
      <c r="C805" s="990"/>
      <c r="D805" s="1326"/>
      <c r="E805" s="1326"/>
      <c r="F805" s="1326"/>
      <c r="G805" s="989"/>
      <c r="I805" s="491"/>
    </row>
    <row r="806" spans="1:9">
      <c r="A806" s="175"/>
      <c r="B806" s="175"/>
      <c r="C806" s="990"/>
      <c r="D806" s="1326"/>
      <c r="E806" s="1326"/>
      <c r="F806" s="1326"/>
      <c r="G806" s="989"/>
      <c r="I806" s="491"/>
    </row>
    <row r="807" spans="1:9">
      <c r="A807" s="175"/>
      <c r="B807" s="355"/>
      <c r="C807" s="990"/>
      <c r="D807" s="991"/>
      <c r="E807" s="991"/>
      <c r="F807" s="991"/>
      <c r="G807" s="989"/>
      <c r="I807" s="491"/>
    </row>
    <row r="808" spans="1:9">
      <c r="A808" s="175"/>
      <c r="B808" s="486" t="s">
        <v>2731</v>
      </c>
      <c r="C808" s="990"/>
      <c r="D808" s="1326" t="s">
        <v>1759</v>
      </c>
      <c r="E808" s="1326"/>
      <c r="F808" s="1326"/>
      <c r="G808" s="989"/>
      <c r="I808" s="484"/>
    </row>
    <row r="809" spans="1:9">
      <c r="A809" s="175"/>
      <c r="B809" s="175"/>
      <c r="C809" s="990"/>
      <c r="D809" s="1326"/>
      <c r="E809" s="1326"/>
      <c r="F809" s="1326"/>
      <c r="G809" s="989"/>
      <c r="I809" s="491"/>
    </row>
    <row r="810" spans="1:9">
      <c r="A810" s="175"/>
      <c r="B810" s="175"/>
      <c r="C810" s="990"/>
      <c r="D810" s="1326"/>
      <c r="E810" s="1326"/>
      <c r="F810" s="1326"/>
      <c r="G810" s="989"/>
      <c r="I810" s="491"/>
    </row>
    <row r="811" spans="1:9">
      <c r="A811" s="175"/>
      <c r="B811" s="175"/>
      <c r="C811" s="990"/>
      <c r="D811" s="1326"/>
      <c r="E811" s="1326"/>
      <c r="F811" s="1326"/>
      <c r="G811" s="989"/>
      <c r="I811" s="491"/>
    </row>
    <row r="812" spans="1:9">
      <c r="A812" s="175"/>
      <c r="B812" s="175"/>
      <c r="C812" s="990"/>
      <c r="D812" s="1326"/>
      <c r="E812" s="1326"/>
      <c r="F812" s="1326"/>
      <c r="G812" s="989"/>
      <c r="I812" s="491"/>
    </row>
    <row r="813" spans="1:9">
      <c r="A813" s="175"/>
      <c r="B813" s="175"/>
      <c r="C813" s="990"/>
      <c r="D813" s="1326"/>
      <c r="E813" s="1326"/>
      <c r="F813" s="1326"/>
      <c r="G813" s="989"/>
      <c r="I813" s="491"/>
    </row>
    <row r="814" spans="1:9">
      <c r="A814" s="175"/>
      <c r="B814" s="175"/>
      <c r="C814" s="990"/>
      <c r="D814" s="983"/>
      <c r="E814" s="983"/>
      <c r="F814" s="983"/>
      <c r="G814" s="989"/>
      <c r="I814" s="491"/>
    </row>
    <row r="815" spans="1:9">
      <c r="A815" s="175"/>
      <c r="B815" s="486" t="s">
        <v>2731</v>
      </c>
      <c r="C815" s="990"/>
      <c r="D815" s="1326" t="s">
        <v>1760</v>
      </c>
      <c r="E815" s="1326"/>
      <c r="F815" s="1326"/>
      <c r="G815" s="989"/>
      <c r="I815" s="484"/>
    </row>
    <row r="816" spans="1:9">
      <c r="A816" s="175"/>
      <c r="B816" s="175"/>
      <c r="C816" s="990"/>
      <c r="D816" s="1326"/>
      <c r="E816" s="1326"/>
      <c r="F816" s="1326"/>
      <c r="G816" s="989"/>
      <c r="I816" s="491"/>
    </row>
    <row r="817" spans="1:9">
      <c r="A817" s="175"/>
      <c r="B817" s="175"/>
      <c r="C817" s="990"/>
      <c r="D817" s="1326"/>
      <c r="E817" s="1326"/>
      <c r="F817" s="1326"/>
      <c r="G817" s="989"/>
      <c r="I817" s="491"/>
    </row>
    <row r="818" spans="1:9">
      <c r="A818" s="175"/>
      <c r="B818" s="175"/>
      <c r="C818" s="990"/>
      <c r="D818" s="1326"/>
      <c r="E818" s="1326"/>
      <c r="F818" s="1326"/>
      <c r="G818" s="989"/>
      <c r="I818" s="491"/>
    </row>
    <row r="819" spans="1:9">
      <c r="A819" s="175"/>
      <c r="B819" s="175"/>
      <c r="C819" s="990"/>
      <c r="D819" s="1326"/>
      <c r="E819" s="1326"/>
      <c r="F819" s="1326"/>
      <c r="G819" s="989"/>
      <c r="I819" s="491"/>
    </row>
    <row r="820" spans="1:9">
      <c r="A820" s="175"/>
      <c r="B820" s="175"/>
      <c r="C820" s="990"/>
      <c r="D820" s="1326"/>
      <c r="E820" s="1326"/>
      <c r="F820" s="1326"/>
      <c r="G820" s="989"/>
      <c r="I820" s="491"/>
    </row>
    <row r="821" spans="1:9">
      <c r="A821" s="175"/>
      <c r="B821" s="175"/>
      <c r="C821" s="990"/>
      <c r="D821" s="983"/>
      <c r="E821" s="983"/>
      <c r="F821" s="983"/>
      <c r="G821" s="989"/>
      <c r="I821" s="491"/>
    </row>
    <row r="822" spans="1:9">
      <c r="A822" s="175"/>
      <c r="B822" s="486" t="s">
        <v>2731</v>
      </c>
      <c r="C822" s="990"/>
      <c r="D822" s="1298" t="s">
        <v>1761</v>
      </c>
      <c r="E822" s="1298"/>
      <c r="F822" s="1298"/>
      <c r="G822" s="989"/>
      <c r="I822" s="484"/>
    </row>
    <row r="823" spans="1:9">
      <c r="A823" s="175"/>
      <c r="B823" s="175"/>
      <c r="C823" s="990"/>
      <c r="D823" s="1298"/>
      <c r="E823" s="1298"/>
      <c r="F823" s="1298"/>
      <c r="G823" s="989"/>
      <c r="I823" s="491"/>
    </row>
    <row r="824" spans="1:9">
      <c r="A824" s="13"/>
      <c r="B824" s="13"/>
      <c r="C824" s="990"/>
      <c r="D824" s="1298"/>
      <c r="E824" s="1298"/>
      <c r="F824" s="1298"/>
      <c r="G824" s="989"/>
      <c r="I824" s="491"/>
    </row>
    <row r="825" spans="1:9">
      <c r="A825" s="175"/>
      <c r="B825" s="13"/>
      <c r="C825" s="990"/>
      <c r="D825" s="1298"/>
      <c r="E825" s="1298"/>
      <c r="F825" s="1298"/>
      <c r="G825" s="989"/>
      <c r="I825" s="491"/>
    </row>
    <row r="826" spans="1:9" ht="12.75" customHeight="1">
      <c r="A826" s="175"/>
      <c r="B826" s="13"/>
      <c r="C826" s="990"/>
      <c r="D826" s="1298"/>
      <c r="E826" s="1298"/>
      <c r="F826" s="1298"/>
      <c r="G826" s="989"/>
      <c r="I826" s="491"/>
    </row>
    <row r="827" spans="1:9" ht="12.75" customHeight="1">
      <c r="A827" s="175"/>
      <c r="B827" s="13"/>
      <c r="C827" s="990"/>
      <c r="D827" s="1298"/>
      <c r="E827" s="1298"/>
      <c r="F827" s="1298"/>
      <c r="G827" s="989"/>
      <c r="I827" s="491"/>
    </row>
    <row r="828" spans="1:9" ht="12.75" customHeight="1">
      <c r="A828" s="13"/>
      <c r="B828" s="13"/>
      <c r="C828" s="990"/>
      <c r="D828" s="989"/>
      <c r="E828" s="3"/>
      <c r="F828" s="3"/>
      <c r="G828" s="989"/>
      <c r="I828" s="491"/>
    </row>
    <row r="829" spans="1:9" ht="12.75" customHeight="1">
      <c r="A829" s="1319" t="s">
        <v>1762</v>
      </c>
      <c r="B829" s="1319"/>
      <c r="C829" s="1319"/>
      <c r="D829" s="1319"/>
      <c r="E829" s="1319"/>
      <c r="F829" s="1319"/>
      <c r="G829" s="1319"/>
      <c r="H829" s="1029"/>
      <c r="I829" s="1155"/>
    </row>
    <row r="830" spans="1:9" ht="12.75" customHeight="1">
      <c r="A830" s="172"/>
      <c r="B830" s="172"/>
      <c r="C830" s="990"/>
      <c r="D830" s="989"/>
      <c r="E830" s="989"/>
      <c r="F830" s="989"/>
      <c r="G830" s="989"/>
      <c r="I830" s="491"/>
    </row>
    <row r="831" spans="1:9" ht="12.75" customHeight="1">
      <c r="A831" s="175"/>
      <c r="B831" s="175"/>
      <c r="C831" s="355"/>
      <c r="D831" s="1323" t="s">
        <v>1802</v>
      </c>
      <c r="E831" s="1323"/>
      <c r="F831" s="1323"/>
      <c r="G831" s="3"/>
      <c r="I831" s="491"/>
    </row>
    <row r="832" spans="1:9" ht="14.25" customHeight="1">
      <c r="A832" s="175"/>
      <c r="B832" s="175"/>
      <c r="C832" s="355"/>
      <c r="D832" s="1270" t="s">
        <v>1763</v>
      </c>
      <c r="E832" s="1270"/>
      <c r="F832" s="1270"/>
      <c r="G832" s="3"/>
      <c r="I832" s="491"/>
    </row>
    <row r="833" spans="1:9" ht="12.75" customHeight="1">
      <c r="A833" s="175"/>
      <c r="B833" s="175"/>
      <c r="C833" s="355"/>
      <c r="D833" s="442"/>
      <c r="E833" s="442"/>
      <c r="F833" s="442"/>
      <c r="G833" s="3"/>
      <c r="I833" s="491"/>
    </row>
    <row r="834" spans="1:9" ht="12.75" customHeight="1">
      <c r="A834" s="355"/>
      <c r="B834" s="486" t="s">
        <v>2732</v>
      </c>
      <c r="C834" s="990"/>
      <c r="D834" s="1270" t="s">
        <v>1764</v>
      </c>
      <c r="E834" s="1270"/>
      <c r="F834" s="1270"/>
      <c r="G834" s="3"/>
      <c r="I834" s="491" t="s">
        <v>1879</v>
      </c>
    </row>
    <row r="835" spans="1:9" ht="14.25" customHeight="1">
      <c r="A835" s="13"/>
      <c r="B835" s="13"/>
      <c r="C835" s="990"/>
      <c r="E835" s="1037" t="s">
        <v>1895</v>
      </c>
      <c r="F835" s="1039"/>
      <c r="G835" s="3"/>
      <c r="I835" s="491"/>
    </row>
    <row r="836" spans="1:9" ht="12.75" customHeight="1">
      <c r="A836" s="13"/>
      <c r="B836" s="13"/>
      <c r="C836" s="990"/>
      <c r="D836" s="992"/>
      <c r="E836" s="3"/>
      <c r="F836" s="3"/>
      <c r="G836" s="3"/>
      <c r="I836" s="491"/>
    </row>
    <row r="837" spans="1:9" ht="14.25" hidden="1" customHeight="1">
      <c r="A837" s="13"/>
      <c r="B837" s="486" t="s">
        <v>306</v>
      </c>
      <c r="C837" s="990"/>
      <c r="D837" s="1328" t="s">
        <v>2076</v>
      </c>
      <c r="E837" s="1328"/>
      <c r="F837" s="1328"/>
      <c r="G837" s="3"/>
      <c r="I837" s="491"/>
    </row>
    <row r="838" spans="1:9" ht="12.75" hidden="1" customHeight="1">
      <c r="A838" s="13"/>
      <c r="B838" s="13"/>
      <c r="C838" s="990"/>
      <c r="D838" s="1328"/>
      <c r="E838" s="1328"/>
      <c r="F838" s="1328"/>
      <c r="G838" s="3"/>
      <c r="I838" s="491"/>
    </row>
    <row r="839" spans="1:9" ht="12.75" hidden="1" customHeight="1">
      <c r="A839" s="13"/>
      <c r="B839" s="13"/>
      <c r="C839" s="990"/>
      <c r="D839" s="1328"/>
      <c r="E839" s="1328"/>
      <c r="F839" s="1328"/>
      <c r="G839" s="3"/>
      <c r="I839" s="491"/>
    </row>
    <row r="840" spans="1:9" ht="12.75" hidden="1" customHeight="1">
      <c r="A840" s="13"/>
      <c r="B840" s="13"/>
      <c r="C840" s="990"/>
      <c r="D840" s="1328"/>
      <c r="E840" s="1328"/>
      <c r="F840" s="1328"/>
      <c r="G840" s="3"/>
      <c r="I840" s="491"/>
    </row>
    <row r="841" spans="1:9" ht="12.75" hidden="1" customHeight="1">
      <c r="A841" s="13"/>
      <c r="B841" s="13"/>
      <c r="C841" s="990"/>
      <c r="D841" s="1328"/>
      <c r="E841" s="1328"/>
      <c r="F841" s="1328"/>
      <c r="G841" s="3"/>
      <c r="I841" s="491"/>
    </row>
    <row r="842" spans="1:9" ht="12.75" hidden="1" customHeight="1">
      <c r="A842" s="13"/>
      <c r="B842" s="13"/>
      <c r="C842" s="990"/>
      <c r="D842" s="1328"/>
      <c r="E842" s="1328"/>
      <c r="F842" s="1328"/>
      <c r="G842" s="3"/>
      <c r="I842" s="491"/>
    </row>
    <row r="843" spans="1:9" ht="12.75" hidden="1" customHeight="1">
      <c r="A843" s="13"/>
      <c r="B843" s="13"/>
      <c r="C843" s="990"/>
      <c r="D843" s="1328"/>
      <c r="E843" s="1328"/>
      <c r="F843" s="1328"/>
      <c r="G843" s="3"/>
      <c r="I843" s="491"/>
    </row>
    <row r="844" spans="1:9" ht="12.75" hidden="1" customHeight="1">
      <c r="A844" s="13"/>
      <c r="B844" s="13"/>
      <c r="C844" s="990"/>
      <c r="D844" s="1328"/>
      <c r="E844" s="1328"/>
      <c r="F844" s="1328"/>
      <c r="G844" s="3"/>
      <c r="I844" s="491"/>
    </row>
    <row r="845" spans="1:9" ht="12.75" hidden="1" customHeight="1">
      <c r="A845" s="13"/>
      <c r="B845" s="13"/>
      <c r="C845" s="990"/>
      <c r="D845" s="1328"/>
      <c r="E845" s="1328"/>
      <c r="F845" s="1328"/>
      <c r="G845" s="3"/>
      <c r="I845" s="491"/>
    </row>
    <row r="846" spans="1:9" ht="12.75" hidden="1" customHeight="1">
      <c r="A846" s="13"/>
      <c r="B846" s="13"/>
      <c r="C846" s="990"/>
      <c r="D846" s="1328"/>
      <c r="E846" s="1328"/>
      <c r="F846" s="1328"/>
      <c r="G846" s="3"/>
      <c r="I846" s="491"/>
    </row>
    <row r="847" spans="1:9" ht="12.75" hidden="1" customHeight="1">
      <c r="A847" s="13"/>
      <c r="B847" s="13"/>
      <c r="C847" s="990"/>
      <c r="D847" s="992"/>
      <c r="E847" s="3"/>
      <c r="F847" s="3"/>
      <c r="G847" s="3"/>
      <c r="I847" s="491"/>
    </row>
    <row r="848" spans="1:9" ht="12.75" customHeight="1">
      <c r="A848" s="175"/>
      <c r="B848" s="486" t="s">
        <v>2732</v>
      </c>
      <c r="C848" s="990"/>
      <c r="D848" s="1270" t="s">
        <v>1765</v>
      </c>
      <c r="E848" s="1270"/>
      <c r="F848" s="1270"/>
      <c r="G848" s="3"/>
      <c r="I848" s="491" t="s">
        <v>1882</v>
      </c>
    </row>
    <row r="849" spans="1:9" ht="12.75" customHeight="1">
      <c r="A849" s="175"/>
      <c r="B849" s="175"/>
      <c r="C849" s="990"/>
      <c r="D849" s="1270"/>
      <c r="E849" s="1270"/>
      <c r="F849" s="1270"/>
      <c r="G849" s="3"/>
      <c r="I849" s="491"/>
    </row>
    <row r="850" spans="1:9" ht="12.75" customHeight="1">
      <c r="A850" s="175"/>
      <c r="B850" s="175"/>
      <c r="C850" s="990"/>
      <c r="D850" s="1270"/>
      <c r="E850" s="1270"/>
      <c r="F850" s="1270"/>
      <c r="G850" s="3"/>
      <c r="I850" s="491"/>
    </row>
    <row r="851" spans="1:9" ht="12.75" customHeight="1">
      <c r="A851" s="175"/>
      <c r="B851" s="175"/>
      <c r="C851" s="990"/>
      <c r="D851" s="118"/>
      <c r="E851" s="3"/>
      <c r="F851" s="3"/>
      <c r="G851" s="3"/>
      <c r="I851" s="491"/>
    </row>
    <row r="852" spans="1:9" ht="12.75" customHeight="1">
      <c r="A852" s="993"/>
      <c r="B852" s="486" t="s">
        <v>2731</v>
      </c>
      <c r="C852" s="990"/>
      <c r="D852" s="1323" t="s">
        <v>1766</v>
      </c>
      <c r="E852" s="1323"/>
      <c r="F852" s="1323"/>
      <c r="G852" s="3"/>
      <c r="I852" s="491"/>
    </row>
    <row r="853" spans="1:9" ht="12.75" customHeight="1">
      <c r="A853" s="355"/>
      <c r="B853" s="993"/>
      <c r="C853" s="990"/>
      <c r="D853" s="1323"/>
      <c r="E853" s="1323"/>
      <c r="F853" s="1323"/>
      <c r="G853" s="3"/>
      <c r="I853" s="491"/>
    </row>
    <row r="854" spans="1:9" ht="12.75" customHeight="1">
      <c r="A854" s="175"/>
      <c r="B854" s="355"/>
      <c r="C854" s="990"/>
      <c r="D854" s="1270" t="s">
        <v>2069</v>
      </c>
      <c r="E854" s="1270"/>
      <c r="F854" s="1270"/>
      <c r="G854" s="3"/>
      <c r="I854" s="491"/>
    </row>
    <row r="855" spans="1:9" ht="12.75" customHeight="1">
      <c r="A855" s="175"/>
      <c r="B855" s="175"/>
      <c r="C855" s="990"/>
      <c r="D855" s="1270"/>
      <c r="E855" s="1270"/>
      <c r="F855" s="1270"/>
      <c r="G855" s="3"/>
      <c r="I855" s="491"/>
    </row>
    <row r="856" spans="1:9" ht="12.75" customHeight="1">
      <c r="A856" s="175"/>
      <c r="B856" s="175"/>
      <c r="C856" s="990"/>
      <c r="D856" s="1270"/>
      <c r="E856" s="1270"/>
      <c r="F856" s="1270"/>
      <c r="G856" s="3"/>
      <c r="I856" s="491"/>
    </row>
    <row r="857" spans="1:9" ht="12.75" customHeight="1">
      <c r="A857" s="175"/>
      <c r="B857" s="175"/>
      <c r="C857" s="990"/>
      <c r="D857" s="1270"/>
      <c r="E857" s="1270"/>
      <c r="F857" s="1270"/>
      <c r="G857" s="3"/>
      <c r="I857" s="491"/>
    </row>
    <row r="858" spans="1:9" ht="12.75" customHeight="1">
      <c r="A858" s="175"/>
      <c r="B858" s="175"/>
      <c r="C858" s="990"/>
      <c r="D858" s="1270"/>
      <c r="E858" s="1270"/>
      <c r="F858" s="1270"/>
      <c r="G858" s="3"/>
      <c r="I858" s="491"/>
    </row>
    <row r="859" spans="1:9" ht="12.75" customHeight="1">
      <c r="A859" s="175"/>
      <c r="B859" s="175"/>
      <c r="C859" s="990"/>
      <c r="D859" s="1270"/>
      <c r="E859" s="1270"/>
      <c r="F859" s="1270"/>
      <c r="G859" s="3"/>
      <c r="I859" s="491"/>
    </row>
    <row r="860" spans="1:9" ht="12.75" customHeight="1">
      <c r="A860" s="175"/>
      <c r="B860" s="175"/>
      <c r="C860" s="990"/>
      <c r="D860" s="118"/>
      <c r="E860" s="3"/>
      <c r="F860" s="3"/>
      <c r="G860" s="3"/>
      <c r="I860" s="491"/>
    </row>
    <row r="861" spans="1:9" ht="12.75" customHeight="1">
      <c r="A861" s="175"/>
      <c r="B861" s="486" t="s">
        <v>2733</v>
      </c>
      <c r="C861" s="990"/>
      <c r="D861" s="1270" t="s">
        <v>1767</v>
      </c>
      <c r="E861" s="1270"/>
      <c r="F861" s="1270"/>
      <c r="G861" s="3"/>
      <c r="I861" s="491" t="s">
        <v>1880</v>
      </c>
    </row>
    <row r="862" spans="1:9" ht="12.75" customHeight="1">
      <c r="A862" s="175"/>
      <c r="B862" s="175"/>
      <c r="C862" s="990"/>
      <c r="D862" s="1270" t="s">
        <v>1768</v>
      </c>
      <c r="E862" s="1270"/>
      <c r="F862" s="1270"/>
      <c r="G862" s="3"/>
      <c r="I862" s="491"/>
    </row>
    <row r="863" spans="1:9" ht="12.75" customHeight="1">
      <c r="A863" s="175"/>
      <c r="B863" s="175"/>
      <c r="C863" s="990"/>
      <c r="E863" s="1037" t="s">
        <v>1897</v>
      </c>
      <c r="F863" s="1039"/>
      <c r="G863" s="3"/>
      <c r="I863" s="491"/>
    </row>
    <row r="864" spans="1:9" ht="12.75" customHeight="1">
      <c r="A864" s="175"/>
      <c r="B864" s="175"/>
      <c r="C864" s="990"/>
      <c r="D864" s="118"/>
      <c r="E864" s="3"/>
      <c r="F864" s="3"/>
      <c r="G864" s="3"/>
      <c r="I864" s="491"/>
    </row>
    <row r="865" spans="1:9" ht="12.75" customHeight="1">
      <c r="A865" s="175"/>
      <c r="B865" s="486" t="s">
        <v>2731</v>
      </c>
      <c r="C865" s="990"/>
      <c r="D865" s="1270" t="s">
        <v>1769</v>
      </c>
      <c r="E865" s="1270"/>
      <c r="F865" s="1270"/>
      <c r="G865" s="3"/>
      <c r="I865" s="491" t="s">
        <v>1883</v>
      </c>
    </row>
    <row r="866" spans="1:9" ht="12.75" customHeight="1">
      <c r="A866" s="175"/>
      <c r="B866" s="175"/>
      <c r="C866" s="990"/>
      <c r="D866" s="1270"/>
      <c r="E866" s="1270"/>
      <c r="F866" s="1270"/>
      <c r="G866" s="3"/>
      <c r="I866" s="491"/>
    </row>
    <row r="867" spans="1:9" ht="12.75" customHeight="1">
      <c r="A867" s="175"/>
      <c r="B867" s="175"/>
      <c r="C867" s="990"/>
      <c r="D867" s="1270"/>
      <c r="E867" s="1270"/>
      <c r="F867" s="1270"/>
      <c r="G867" s="3"/>
      <c r="I867" s="491"/>
    </row>
    <row r="868" spans="1:9" ht="12.75" customHeight="1">
      <c r="A868" s="175"/>
      <c r="B868" s="175"/>
      <c r="C868" s="990"/>
      <c r="D868" s="1270"/>
      <c r="E868" s="1270"/>
      <c r="F868" s="1270"/>
      <c r="G868" s="3"/>
      <c r="I868" s="491"/>
    </row>
    <row r="869" spans="1:9" ht="12.75" customHeight="1">
      <c r="A869" s="172"/>
      <c r="B869" s="172"/>
      <c r="C869" s="172"/>
      <c r="D869" s="118"/>
      <c r="E869" s="3"/>
      <c r="F869" s="3"/>
      <c r="G869" s="3"/>
      <c r="I869" s="491"/>
    </row>
    <row r="870" spans="1:9" ht="12.75" customHeight="1">
      <c r="A870" s="984" t="s">
        <v>1770</v>
      </c>
      <c r="B870" s="984"/>
      <c r="C870" s="994"/>
      <c r="D870" s="994"/>
      <c r="E870" s="994"/>
      <c r="F870" s="994"/>
      <c r="G870" s="994"/>
      <c r="H870" s="1029"/>
      <c r="I870" s="1155"/>
    </row>
    <row r="871" spans="1:9" ht="12.75" customHeight="1">
      <c r="A871" s="172"/>
      <c r="B871" s="172"/>
      <c r="C871" s="172"/>
      <c r="D871" s="995"/>
      <c r="E871" s="3"/>
      <c r="F871" s="3"/>
      <c r="G871" s="3"/>
      <c r="I871" s="491"/>
    </row>
    <row r="872" spans="1:9" ht="12.75" customHeight="1">
      <c r="A872" s="355"/>
      <c r="B872" s="355"/>
      <c r="C872" s="174"/>
      <c r="D872" s="1332" t="s">
        <v>1803</v>
      </c>
      <c r="E872" s="1332"/>
      <c r="F872" s="1332"/>
      <c r="G872" s="989"/>
      <c r="I872" s="491"/>
    </row>
    <row r="873" spans="1:9" ht="12.75" customHeight="1">
      <c r="A873" s="355"/>
      <c r="B873" s="355"/>
      <c r="C873" s="174"/>
      <c r="D873" s="1327" t="s">
        <v>1771</v>
      </c>
      <c r="E873" s="1327"/>
      <c r="F873" s="1327"/>
      <c r="G873" s="989"/>
      <c r="I873" s="491"/>
    </row>
    <row r="874" spans="1:9" ht="12.75" customHeight="1">
      <c r="A874" s="355"/>
      <c r="B874" s="355"/>
      <c r="C874" s="174"/>
      <c r="D874" s="996"/>
      <c r="E874" s="996"/>
      <c r="F874" s="996"/>
      <c r="G874" s="989"/>
      <c r="I874" s="491"/>
    </row>
    <row r="875" spans="1:9" ht="12.75" customHeight="1">
      <c r="A875" s="175"/>
      <c r="B875" s="486" t="s">
        <v>2732</v>
      </c>
      <c r="C875" s="355"/>
      <c r="D875" s="1310" t="s">
        <v>1772</v>
      </c>
      <c r="E875" s="1310"/>
      <c r="F875" s="1310"/>
      <c r="G875" s="989"/>
      <c r="I875" s="491" t="s">
        <v>1880</v>
      </c>
    </row>
    <row r="876" spans="1:9" ht="12.75" customHeight="1">
      <c r="A876" s="355"/>
      <c r="B876" s="355"/>
      <c r="C876" s="355"/>
      <c r="D876" s="2" t="s">
        <v>1747</v>
      </c>
      <c r="E876" s="1037" t="s">
        <v>1897</v>
      </c>
      <c r="F876" s="1040"/>
      <c r="G876" s="989"/>
      <c r="I876" s="491"/>
    </row>
    <row r="877" spans="1:9" ht="12.75" customHeight="1">
      <c r="A877" s="355"/>
      <c r="B877" s="355"/>
      <c r="C877" s="355"/>
      <c r="D877" s="118"/>
      <c r="E877" s="989"/>
      <c r="F877" s="989"/>
      <c r="G877" s="989"/>
      <c r="I877" s="491"/>
    </row>
    <row r="878" spans="1:9" ht="12.75" customHeight="1">
      <c r="A878" s="175"/>
      <c r="B878" s="486" t="s">
        <v>2732</v>
      </c>
      <c r="C878" s="355"/>
      <c r="D878" s="1270" t="s">
        <v>1773</v>
      </c>
      <c r="E878" s="1320"/>
      <c r="F878" s="1320"/>
      <c r="G878" s="3"/>
      <c r="I878" s="491" t="s">
        <v>1883</v>
      </c>
    </row>
    <row r="879" spans="1:9" ht="12.75" customHeight="1">
      <c r="A879" s="355"/>
      <c r="B879" s="355"/>
      <c r="C879" s="355"/>
      <c r="D879" s="1320"/>
      <c r="E879" s="1320"/>
      <c r="F879" s="1320"/>
      <c r="G879" s="3"/>
      <c r="I879" s="491"/>
    </row>
    <row r="880" spans="1:9" ht="12.75" customHeight="1">
      <c r="A880" s="355"/>
      <c r="B880" s="355"/>
      <c r="C880" s="355"/>
      <c r="D880" s="118"/>
      <c r="E880" s="3"/>
      <c r="F880" s="3"/>
      <c r="G880" s="3"/>
      <c r="I880" s="491"/>
    </row>
    <row r="881" spans="1:9" ht="12.75" customHeight="1">
      <c r="A881" s="355"/>
      <c r="B881" s="486" t="s">
        <v>2731</v>
      </c>
      <c r="C881" s="355"/>
      <c r="D881" s="1321" t="s">
        <v>1774</v>
      </c>
      <c r="E881" s="1321"/>
      <c r="F881" s="1321"/>
      <c r="G881" s="989"/>
      <c r="I881" s="491"/>
    </row>
    <row r="882" spans="1:9" ht="12.75" customHeight="1">
      <c r="A882" s="355"/>
      <c r="B882" s="997"/>
      <c r="C882" s="355"/>
      <c r="D882" s="1321"/>
      <c r="E882" s="1321"/>
      <c r="F882" s="1321"/>
      <c r="G882" s="989"/>
      <c r="I882" s="491"/>
    </row>
    <row r="883" spans="1:9" ht="12.75" customHeight="1">
      <c r="A883" s="175"/>
      <c r="B883"/>
      <c r="C883" s="355"/>
      <c r="D883" s="1270" t="s">
        <v>2069</v>
      </c>
      <c r="E883" s="1270"/>
      <c r="F883" s="1270"/>
      <c r="G883" s="989"/>
      <c r="I883" s="491"/>
    </row>
    <row r="884" spans="1:9" ht="12.75" customHeight="1">
      <c r="A884" s="175"/>
      <c r="B884" s="175"/>
      <c r="C884" s="355"/>
      <c r="D884" s="1270"/>
      <c r="E884" s="1270"/>
      <c r="F884" s="1270"/>
      <c r="G884" s="989"/>
      <c r="I884" s="491"/>
    </row>
    <row r="885" spans="1:9" ht="12.75" customHeight="1">
      <c r="A885" s="175"/>
      <c r="B885" s="175"/>
      <c r="C885" s="355"/>
      <c r="D885" s="1270"/>
      <c r="E885" s="1270"/>
      <c r="F885" s="1270"/>
      <c r="G885" s="989"/>
      <c r="I885" s="491"/>
    </row>
    <row r="886" spans="1:9" ht="12.75" customHeight="1">
      <c r="A886" s="175"/>
      <c r="B886" s="175"/>
      <c r="C886" s="355"/>
      <c r="D886" s="1270"/>
      <c r="E886" s="1270"/>
      <c r="F886" s="1270"/>
      <c r="G886" s="989"/>
      <c r="I886" s="491"/>
    </row>
    <row r="887" spans="1:9" ht="12.75" customHeight="1">
      <c r="A887" s="175"/>
      <c r="B887" s="175"/>
      <c r="C887" s="355"/>
      <c r="D887" s="1270"/>
      <c r="E887" s="1270"/>
      <c r="F887" s="1270"/>
      <c r="G887" s="989"/>
      <c r="I887" s="491"/>
    </row>
    <row r="888" spans="1:9" ht="12.75" customHeight="1">
      <c r="A888" s="175"/>
      <c r="B888" s="175"/>
      <c r="C888" s="355"/>
      <c r="D888" s="1270"/>
      <c r="E888" s="1270"/>
      <c r="F888" s="1270"/>
      <c r="G888" s="989"/>
      <c r="I888" s="491"/>
    </row>
    <row r="889" spans="1:9" ht="12.75" customHeight="1">
      <c r="A889" s="175"/>
      <c r="B889" s="175"/>
      <c r="C889" s="355"/>
      <c r="D889" s="118"/>
      <c r="E889" s="989"/>
      <c r="F889" s="989"/>
      <c r="G889" s="989"/>
      <c r="I889" s="491"/>
    </row>
    <row r="890" spans="1:9" ht="12.75" customHeight="1">
      <c r="A890" s="175"/>
      <c r="B890" s="486" t="s">
        <v>2731</v>
      </c>
      <c r="C890" s="355"/>
      <c r="D890" s="1311" t="s">
        <v>1767</v>
      </c>
      <c r="E890" s="1311"/>
      <c r="F890" s="1311"/>
      <c r="G890" s="989"/>
      <c r="I890" s="491"/>
    </row>
    <row r="891" spans="1:9" ht="12.75" customHeight="1">
      <c r="A891" s="175"/>
      <c r="B891" s="175"/>
      <c r="C891" s="355"/>
      <c r="D891" s="1311" t="s">
        <v>1768</v>
      </c>
      <c r="E891" s="1311"/>
      <c r="F891" s="1311"/>
      <c r="G891" s="989"/>
      <c r="I891" s="491"/>
    </row>
    <row r="892" spans="1:9" ht="12.75" customHeight="1">
      <c r="A892" s="175"/>
      <c r="B892" s="175"/>
      <c r="C892" s="355"/>
      <c r="D892" s="2" t="s">
        <v>1269</v>
      </c>
      <c r="E892" s="1037" t="s">
        <v>1897</v>
      </c>
      <c r="F892" s="1041"/>
      <c r="G892" s="989"/>
      <c r="I892" s="491"/>
    </row>
    <row r="893" spans="1:9" ht="12.75" customHeight="1">
      <c r="A893" s="175"/>
      <c r="B893" s="175"/>
      <c r="C893" s="355"/>
      <c r="D893" s="118"/>
      <c r="E893" s="989"/>
      <c r="F893" s="989"/>
      <c r="G893" s="989"/>
      <c r="I893" s="491"/>
    </row>
    <row r="894" spans="1:9" ht="12.75" customHeight="1">
      <c r="A894" s="175"/>
      <c r="B894" s="486" t="s">
        <v>2731</v>
      </c>
      <c r="C894" s="355"/>
      <c r="D894" s="1270" t="s">
        <v>1769</v>
      </c>
      <c r="E894" s="1270"/>
      <c r="F894" s="1270"/>
      <c r="G894" s="989"/>
      <c r="I894" s="491"/>
    </row>
    <row r="895" spans="1:9" ht="12.75" customHeight="1">
      <c r="A895" s="175"/>
      <c r="B895" s="175"/>
      <c r="C895" s="355"/>
      <c r="D895" s="1270"/>
      <c r="E895" s="1270"/>
      <c r="F895" s="1270"/>
      <c r="G895" s="989"/>
      <c r="I895" s="491"/>
    </row>
    <row r="896" spans="1:9" ht="12.75" customHeight="1">
      <c r="A896" s="175"/>
      <c r="B896" s="175"/>
      <c r="C896" s="355"/>
      <c r="D896" s="1270"/>
      <c r="E896" s="1270"/>
      <c r="F896" s="1270"/>
      <c r="G896" s="989"/>
      <c r="I896" s="491"/>
    </row>
    <row r="897" spans="1:9" ht="12.75" customHeight="1">
      <c r="A897" s="175"/>
      <c r="B897" s="175"/>
      <c r="C897" s="355"/>
      <c r="D897" s="1270"/>
      <c r="E897" s="1270"/>
      <c r="F897" s="1270"/>
      <c r="G897" s="989"/>
      <c r="I897" s="491"/>
    </row>
    <row r="898" spans="1:9" ht="12.75" customHeight="1">
      <c r="A898" s="118"/>
      <c r="B898" s="118"/>
      <c r="C898" s="990"/>
      <c r="D898" s="989"/>
      <c r="E898" s="989"/>
      <c r="F898" s="989"/>
      <c r="G898" s="989"/>
      <c r="I898" s="491"/>
    </row>
    <row r="899" spans="1:9" ht="12.75" customHeight="1">
      <c r="A899" s="1319" t="s">
        <v>1804</v>
      </c>
      <c r="B899" s="1319"/>
      <c r="C899" s="1319"/>
      <c r="D899" s="1319"/>
      <c r="E899" s="1319"/>
      <c r="F899" s="1319"/>
      <c r="G899" s="1319"/>
      <c r="H899" s="1029"/>
      <c r="I899" s="1155"/>
    </row>
    <row r="900" spans="1:9" ht="12.75" customHeight="1">
      <c r="A900" s="57"/>
      <c r="B900" s="57"/>
      <c r="C900" s="57"/>
      <c r="D900" s="57"/>
      <c r="E900" s="57"/>
      <c r="F900" s="57"/>
      <c r="G900" s="57"/>
      <c r="I900" s="491"/>
    </row>
    <row r="901" spans="1:9" ht="12.75" customHeight="1">
      <c r="A901" s="57"/>
      <c r="B901" s="57"/>
      <c r="C901" s="57"/>
      <c r="D901" s="1335" t="s">
        <v>1810</v>
      </c>
      <c r="E901" s="1335"/>
      <c r="F901" s="1335"/>
      <c r="G901" s="57"/>
      <c r="I901" s="491"/>
    </row>
    <row r="902" spans="1:9" ht="12.75" customHeight="1">
      <c r="A902" s="57"/>
      <c r="B902" s="57"/>
      <c r="C902" s="57"/>
      <c r="D902" s="982"/>
      <c r="E902" s="982"/>
      <c r="F902" s="982"/>
      <c r="G902" s="57"/>
      <c r="I902" s="491"/>
    </row>
    <row r="903" spans="1:9" ht="12.75" customHeight="1">
      <c r="A903" s="57"/>
      <c r="B903" s="486" t="s">
        <v>2731</v>
      </c>
      <c r="C903" s="57"/>
      <c r="D903" s="985" t="s">
        <v>1811</v>
      </c>
      <c r="E903" s="982"/>
      <c r="F903" s="982"/>
      <c r="G903" s="57"/>
      <c r="I903" s="491"/>
    </row>
    <row r="904" spans="1:9" ht="12.75" customHeight="1">
      <c r="A904" s="57"/>
      <c r="B904" s="57"/>
      <c r="C904" s="57"/>
      <c r="D904" s="982"/>
      <c r="E904" s="982"/>
      <c r="F904" s="982"/>
      <c r="G904" s="57"/>
      <c r="I904" s="491"/>
    </row>
    <row r="905" spans="1:9" ht="12.75" customHeight="1">
      <c r="A905" s="355"/>
      <c r="B905" s="355"/>
      <c r="C905" s="990"/>
      <c r="D905" s="1335" t="s">
        <v>1805</v>
      </c>
      <c r="E905" s="1335"/>
      <c r="F905" s="1335"/>
      <c r="G905" s="989"/>
      <c r="I905" s="491"/>
    </row>
    <row r="906" spans="1:9" ht="12.75" customHeight="1">
      <c r="A906" s="172"/>
      <c r="B906" s="172"/>
      <c r="C906" s="172"/>
      <c r="D906" s="1310" t="s">
        <v>1775</v>
      </c>
      <c r="E906" s="1310"/>
      <c r="F906" s="1310"/>
      <c r="G906" s="989"/>
      <c r="I906" s="491"/>
    </row>
    <row r="907" spans="1:9" ht="12.75" customHeight="1">
      <c r="A907" s="990"/>
      <c r="B907" s="990"/>
      <c r="C907" s="990"/>
      <c r="D907" s="2"/>
      <c r="E907" s="989"/>
      <c r="F907" s="989"/>
      <c r="G907" s="989"/>
      <c r="I907" s="491"/>
    </row>
    <row r="908" spans="1:9" ht="12.75" customHeight="1">
      <c r="A908" s="175"/>
      <c r="B908" s="486" t="s">
        <v>2732</v>
      </c>
      <c r="C908" s="355"/>
      <c r="D908" s="1270" t="s">
        <v>1779</v>
      </c>
      <c r="E908" s="1270"/>
      <c r="F908" s="1270"/>
      <c r="G908" s="3"/>
      <c r="I908" s="491"/>
    </row>
    <row r="909" spans="1:9" ht="12.75" customHeight="1">
      <c r="A909" s="355"/>
      <c r="B909" s="355"/>
      <c r="C909" s="355"/>
      <c r="D909" s="1270"/>
      <c r="E909" s="1270"/>
      <c r="F909" s="1270"/>
      <c r="G909" s="3"/>
      <c r="I909" s="491"/>
    </row>
    <row r="910" spans="1:9" ht="12.75" customHeight="1">
      <c r="A910" s="172"/>
      <c r="B910" s="172"/>
      <c r="C910" s="172"/>
      <c r="D910" s="1270" t="s">
        <v>1778</v>
      </c>
      <c r="E910" s="1270"/>
      <c r="F910" s="1270"/>
      <c r="G910" s="989"/>
      <c r="I910" s="491"/>
    </row>
    <row r="911" spans="1:9" ht="12.75" customHeight="1">
      <c r="A911" s="172"/>
      <c r="B911" s="172"/>
      <c r="C911" s="172"/>
      <c r="D911" s="1270"/>
      <c r="E911" s="1270"/>
      <c r="F911" s="1270"/>
      <c r="G911" s="989"/>
      <c r="I911" s="491"/>
    </row>
    <row r="912" spans="1:9" ht="12.75" customHeight="1">
      <c r="A912" s="172"/>
      <c r="B912" s="172"/>
      <c r="C912" s="172"/>
      <c r="D912" s="3"/>
      <c r="E912" s="3"/>
      <c r="F912" s="989"/>
      <c r="G912" s="989"/>
      <c r="I912" s="491"/>
    </row>
    <row r="913" spans="1:9" ht="12.75" customHeight="1">
      <c r="A913" s="175"/>
      <c r="B913" s="486" t="s">
        <v>2732</v>
      </c>
      <c r="C913" s="174"/>
      <c r="D913" s="1274" t="s">
        <v>1776</v>
      </c>
      <c r="E913" s="1274"/>
      <c r="F913" s="1274"/>
      <c r="G913" s="989"/>
      <c r="I913" s="491"/>
    </row>
    <row r="914" spans="1:9" ht="12.75" customHeight="1">
      <c r="A914" s="175"/>
      <c r="B914" s="175"/>
      <c r="C914" s="174"/>
      <c r="D914" s="1274"/>
      <c r="E914" s="1274"/>
      <c r="F914" s="1274"/>
      <c r="G914" s="989"/>
      <c r="I914" s="491"/>
    </row>
    <row r="915" spans="1:9" ht="12.75" customHeight="1">
      <c r="A915" s="175"/>
      <c r="B915" s="175"/>
      <c r="C915" s="174"/>
      <c r="D915" s="1274"/>
      <c r="E915" s="1274"/>
      <c r="F915" s="1274"/>
      <c r="G915" s="989"/>
      <c r="I915" s="491"/>
    </row>
    <row r="916" spans="1:9" ht="12.75" customHeight="1">
      <c r="A916" s="175"/>
      <c r="B916" s="175"/>
      <c r="C916" s="174"/>
      <c r="D916" s="1274"/>
      <c r="E916" s="1274"/>
      <c r="F916" s="1274"/>
      <c r="G916" s="989"/>
      <c r="I916" s="491"/>
    </row>
    <row r="917" spans="1:9" ht="12.75" customHeight="1">
      <c r="A917" s="175"/>
      <c r="B917" s="175"/>
      <c r="C917" s="174"/>
      <c r="D917" s="1274"/>
      <c r="E917" s="1274"/>
      <c r="F917" s="1274"/>
      <c r="G917" s="989"/>
      <c r="I917" s="491"/>
    </row>
    <row r="918" spans="1:9" ht="12.75" customHeight="1">
      <c r="A918" s="174"/>
      <c r="B918" s="174"/>
      <c r="C918" s="174"/>
      <c r="D918" s="1274"/>
      <c r="E918" s="1274"/>
      <c r="F918" s="1274"/>
      <c r="G918" s="989"/>
      <c r="I918" s="491"/>
    </row>
    <row r="919" spans="1:9" ht="12.75" customHeight="1">
      <c r="A919" s="174"/>
      <c r="B919" s="174"/>
      <c r="C919" s="174"/>
      <c r="D919" s="1274"/>
      <c r="E919" s="1274"/>
      <c r="F919" s="1274"/>
      <c r="G919" s="989"/>
      <c r="I919" s="491"/>
    </row>
    <row r="920" spans="1:9" ht="12.75" customHeight="1">
      <c r="A920" s="174"/>
      <c r="B920" s="174"/>
      <c r="C920" s="174"/>
      <c r="D920" s="1274"/>
      <c r="E920" s="1274"/>
      <c r="F920" s="1274"/>
      <c r="G920" s="989"/>
      <c r="I920" s="491"/>
    </row>
    <row r="921" spans="1:9" ht="12.75" customHeight="1">
      <c r="A921" s="174"/>
      <c r="B921" s="174"/>
      <c r="C921" s="174"/>
      <c r="D921" s="336"/>
      <c r="E921" s="336"/>
      <c r="F921" s="336"/>
      <c r="G921" s="989"/>
      <c r="I921" s="491"/>
    </row>
    <row r="922" spans="1:9" ht="12.75" customHeight="1">
      <c r="A922" s="990"/>
      <c r="B922" s="486" t="s">
        <v>2731</v>
      </c>
      <c r="C922" s="990"/>
      <c r="D922" s="1270" t="s">
        <v>1780</v>
      </c>
      <c r="E922" s="1270"/>
      <c r="F922" s="1270"/>
      <c r="G922" s="989"/>
      <c r="I922" s="491"/>
    </row>
    <row r="923" spans="1:9" ht="12.75" customHeight="1">
      <c r="A923" s="990"/>
      <c r="B923" s="990"/>
      <c r="C923" s="990"/>
      <c r="D923" s="1270"/>
      <c r="E923" s="1270"/>
      <c r="F923" s="1270"/>
      <c r="G923" s="989"/>
      <c r="I923" s="491"/>
    </row>
    <row r="924" spans="1:9" ht="12.75" customHeight="1">
      <c r="A924" s="990"/>
      <c r="B924" s="990"/>
      <c r="C924" s="990"/>
      <c r="D924" s="989"/>
      <c r="E924" s="989"/>
      <c r="F924" s="989"/>
      <c r="G924" s="989"/>
      <c r="I924" s="491"/>
    </row>
    <row r="925" spans="1:9" ht="12.75" customHeight="1">
      <c r="A925" s="990"/>
      <c r="B925" s="486" t="s">
        <v>2731</v>
      </c>
      <c r="C925" s="990"/>
      <c r="D925" s="1298" t="s">
        <v>1781</v>
      </c>
      <c r="E925" s="1298"/>
      <c r="F925" s="1298"/>
      <c r="G925" s="989"/>
      <c r="I925" s="491"/>
    </row>
    <row r="926" spans="1:9" ht="12.75" customHeight="1">
      <c r="A926" s="990"/>
      <c r="B926" s="990"/>
      <c r="C926" s="990"/>
      <c r="D926" s="1298"/>
      <c r="E926" s="1298"/>
      <c r="F926" s="1298"/>
      <c r="G926" s="989"/>
      <c r="I926" s="491"/>
    </row>
    <row r="927" spans="1:9" ht="12.75" customHeight="1">
      <c r="A927" s="990"/>
      <c r="B927" s="990"/>
      <c r="C927" s="990"/>
      <c r="D927" s="1298"/>
      <c r="E927" s="1298"/>
      <c r="F927" s="1298"/>
      <c r="G927" s="989"/>
      <c r="I927" s="491"/>
    </row>
    <row r="928" spans="1:9" ht="12.75" customHeight="1">
      <c r="A928" s="990"/>
      <c r="B928" s="990"/>
      <c r="C928" s="990"/>
      <c r="D928" s="1298"/>
      <c r="E928" s="1298"/>
      <c r="F928" s="1298"/>
      <c r="G928" s="989"/>
      <c r="I928" s="491"/>
    </row>
    <row r="929" spans="1:9" ht="12.75" customHeight="1">
      <c r="A929" s="990"/>
      <c r="B929" s="990"/>
      <c r="C929" s="990"/>
      <c r="D929" s="118"/>
      <c r="E929" s="989"/>
      <c r="F929" s="989"/>
      <c r="G929" s="989"/>
      <c r="I929" s="491"/>
    </row>
    <row r="930" spans="1:9" ht="12.75" customHeight="1">
      <c r="A930" s="990"/>
      <c r="B930" s="486" t="s">
        <v>2731</v>
      </c>
      <c r="C930" s="990"/>
      <c r="D930" s="1310" t="s">
        <v>2070</v>
      </c>
      <c r="E930" s="1310"/>
      <c r="F930" s="1310"/>
      <c r="G930" s="989"/>
      <c r="I930" s="491"/>
    </row>
    <row r="931" spans="1:9" ht="12.75" customHeight="1">
      <c r="A931" s="990"/>
      <c r="B931" s="990"/>
      <c r="C931" s="990"/>
      <c r="D931" s="118"/>
      <c r="E931" s="989"/>
      <c r="F931" s="989"/>
      <c r="G931" s="989"/>
      <c r="I931" s="491"/>
    </row>
    <row r="932" spans="1:9" ht="12.75" customHeight="1">
      <c r="A932" s="990"/>
      <c r="B932" s="486" t="s">
        <v>2731</v>
      </c>
      <c r="C932" s="990"/>
      <c r="D932" s="1310" t="s">
        <v>2071</v>
      </c>
      <c r="E932" s="1310"/>
      <c r="F932" s="1310"/>
      <c r="G932" s="989"/>
      <c r="I932" s="491"/>
    </row>
    <row r="933" spans="1:9" ht="12.75" customHeight="1">
      <c r="A933" s="174"/>
      <c r="B933" s="174"/>
      <c r="C933" s="174"/>
      <c r="D933" s="2"/>
      <c r="E933" s="3"/>
      <c r="F933" s="989"/>
      <c r="G933" s="989"/>
      <c r="I933" s="491"/>
    </row>
    <row r="934" spans="1:9" ht="12.75" customHeight="1">
      <c r="A934" s="998"/>
      <c r="B934" s="486" t="s">
        <v>2731</v>
      </c>
      <c r="C934" s="999"/>
      <c r="D934" s="1274" t="s">
        <v>1777</v>
      </c>
      <c r="E934" s="1274"/>
      <c r="F934" s="1274"/>
      <c r="G934" s="1000"/>
      <c r="I934" s="491"/>
    </row>
    <row r="935" spans="1:9" ht="12.75" customHeight="1">
      <c r="A935" s="998"/>
      <c r="B935" s="998"/>
      <c r="C935" s="999"/>
      <c r="D935" s="1274"/>
      <c r="E935" s="1274"/>
      <c r="F935" s="1274"/>
      <c r="G935" s="1000"/>
      <c r="I935" s="491"/>
    </row>
    <row r="936" spans="1:9" ht="12.75" customHeight="1">
      <c r="A936" s="998"/>
      <c r="B936" s="998"/>
      <c r="C936" s="999"/>
      <c r="D936" s="1274"/>
      <c r="E936" s="1274"/>
      <c r="F936" s="1274"/>
      <c r="G936" s="1000"/>
      <c r="I936" s="491"/>
    </row>
    <row r="937" spans="1:9" ht="12.75" customHeight="1">
      <c r="A937" s="998"/>
      <c r="B937" s="998"/>
      <c r="C937" s="999"/>
      <c r="D937" s="1274"/>
      <c r="E937" s="1274"/>
      <c r="F937" s="1274"/>
      <c r="G937" s="1000"/>
      <c r="I937" s="491"/>
    </row>
    <row r="938" spans="1:9" ht="12.75" customHeight="1">
      <c r="A938" s="998"/>
      <c r="B938" s="998"/>
      <c r="C938" s="999"/>
      <c r="D938" s="1274"/>
      <c r="E938" s="1274"/>
      <c r="F938" s="1274"/>
      <c r="G938" s="1000"/>
      <c r="I938" s="491"/>
    </row>
    <row r="939" spans="1:9" ht="12.75" customHeight="1">
      <c r="A939" s="998"/>
      <c r="B939" s="998"/>
      <c r="C939" s="999"/>
      <c r="D939" s="1274"/>
      <c r="E939" s="1274"/>
      <c r="F939" s="1274"/>
      <c r="G939" s="1000"/>
      <c r="I939" s="491"/>
    </row>
    <row r="940" spans="1:9" ht="12.75" customHeight="1">
      <c r="A940" s="998"/>
      <c r="B940" s="998"/>
      <c r="C940" s="999"/>
      <c r="D940" s="1274"/>
      <c r="E940" s="1274"/>
      <c r="F940" s="1274"/>
      <c r="G940" s="1000"/>
      <c r="I940" s="491"/>
    </row>
    <row r="941" spans="1:9" ht="12.75" customHeight="1">
      <c r="A941" s="998"/>
      <c r="B941" s="998"/>
      <c r="C941" s="999"/>
      <c r="D941" s="1274"/>
      <c r="E941" s="1274"/>
      <c r="F941" s="1274"/>
      <c r="G941" s="1000"/>
      <c r="I941" s="491"/>
    </row>
    <row r="942" spans="1:9" ht="12.75" customHeight="1">
      <c r="A942" s="998"/>
      <c r="B942" s="998"/>
      <c r="C942" s="999"/>
      <c r="D942" s="1274"/>
      <c r="E942" s="1274"/>
      <c r="F942" s="1274"/>
      <c r="G942" s="1000"/>
      <c r="I942" s="491"/>
    </row>
    <row r="943" spans="1:9" ht="12.75" customHeight="1">
      <c r="A943" s="174"/>
      <c r="B943" s="174"/>
      <c r="C943" s="174"/>
      <c r="D943" s="2"/>
      <c r="E943" s="3"/>
      <c r="F943" s="989"/>
      <c r="G943" s="989"/>
      <c r="I943" s="491"/>
    </row>
    <row r="944" spans="1:9" ht="12.75" customHeight="1">
      <c r="A944" s="175"/>
      <c r="B944" s="486" t="s">
        <v>2732</v>
      </c>
      <c r="C944" s="174"/>
      <c r="D944" s="1329" t="s">
        <v>1886</v>
      </c>
      <c r="E944" s="1329"/>
      <c r="F944" s="1329"/>
      <c r="G944" s="989"/>
      <c r="I944" s="491"/>
    </row>
    <row r="945" spans="1:9" ht="12.75" customHeight="1">
      <c r="A945" s="175"/>
      <c r="B945" s="175"/>
      <c r="C945" s="174"/>
      <c r="D945" s="1329"/>
      <c r="E945" s="1329"/>
      <c r="F945" s="1329"/>
      <c r="G945" s="989"/>
      <c r="I945" s="491"/>
    </row>
    <row r="946" spans="1:9" ht="12.75" customHeight="1">
      <c r="A946" s="175"/>
      <c r="B946" s="175"/>
      <c r="C946" s="174"/>
      <c r="D946" s="1329"/>
      <c r="E946" s="1329"/>
      <c r="F946" s="1329"/>
      <c r="G946" s="989"/>
      <c r="I946" s="491"/>
    </row>
    <row r="947" spans="1:9" ht="12.75" customHeight="1">
      <c r="A947" s="175"/>
      <c r="B947" s="175"/>
      <c r="C947" s="174"/>
      <c r="D947" s="1329"/>
      <c r="E947" s="1329"/>
      <c r="F947" s="1329"/>
      <c r="G947" s="989"/>
      <c r="I947" s="491"/>
    </row>
    <row r="948" spans="1:9" ht="12.75" customHeight="1">
      <c r="A948" s="175"/>
      <c r="B948" s="175"/>
      <c r="C948" s="174"/>
      <c r="D948" s="1329"/>
      <c r="E948" s="1329"/>
      <c r="F948" s="1329"/>
      <c r="G948" s="989"/>
      <c r="I948" s="491"/>
    </row>
    <row r="949" spans="1:9" ht="12.75" customHeight="1">
      <c r="A949" s="175"/>
      <c r="B949" s="175"/>
      <c r="C949" s="174"/>
      <c r="D949" s="1329"/>
      <c r="E949" s="1329"/>
      <c r="F949" s="1329"/>
      <c r="G949" s="989"/>
      <c r="I949" s="491"/>
    </row>
    <row r="950" spans="1:9" ht="12.75" customHeight="1">
      <c r="A950" s="175"/>
      <c r="B950" s="175"/>
      <c r="C950" s="174"/>
      <c r="D950" s="1329"/>
      <c r="E950" s="1329"/>
      <c r="F950" s="1329"/>
      <c r="G950" s="989"/>
      <c r="I950" s="491"/>
    </row>
    <row r="951" spans="1:9" ht="12.75" customHeight="1">
      <c r="A951" s="175"/>
      <c r="B951" s="175"/>
      <c r="C951" s="174"/>
      <c r="D951" s="1027"/>
      <c r="E951" s="1027"/>
      <c r="F951" s="1027"/>
      <c r="G951" s="989"/>
      <c r="I951" s="491"/>
    </row>
    <row r="952" spans="1:9" ht="12.75" customHeight="1">
      <c r="A952" s="175"/>
      <c r="B952" s="486" t="s">
        <v>2732</v>
      </c>
      <c r="C952" s="174"/>
      <c r="D952" s="1273" t="s">
        <v>2138</v>
      </c>
      <c r="E952" s="1273"/>
      <c r="F952" s="1273"/>
      <c r="G952" s="989"/>
      <c r="I952" s="491"/>
    </row>
    <row r="953" spans="1:9" ht="12.75" customHeight="1">
      <c r="A953" s="175"/>
      <c r="B953" s="175"/>
      <c r="C953" s="174"/>
      <c r="D953" s="1273"/>
      <c r="E953" s="1273"/>
      <c r="F953" s="1273"/>
      <c r="G953" s="989"/>
      <c r="I953" s="491"/>
    </row>
    <row r="954" spans="1:9" ht="12.75" customHeight="1">
      <c r="A954" s="175"/>
      <c r="B954" s="175"/>
      <c r="C954" s="174"/>
      <c r="D954" s="1273"/>
      <c r="E954" s="1273"/>
      <c r="F954" s="1273"/>
      <c r="G954" s="989"/>
      <c r="I954" s="491"/>
    </row>
    <row r="955" spans="1:9" ht="12.75" customHeight="1">
      <c r="A955" s="175"/>
      <c r="B955" s="175"/>
      <c r="C955" s="174"/>
      <c r="D955" s="1273"/>
      <c r="E955" s="1273"/>
      <c r="F955" s="1273"/>
      <c r="G955" s="989"/>
      <c r="I955" s="491"/>
    </row>
    <row r="956" spans="1:9" ht="12.75" customHeight="1">
      <c r="A956" s="175"/>
      <c r="B956" s="175"/>
      <c r="C956" s="174"/>
      <c r="D956" s="1273"/>
      <c r="E956" s="1273"/>
      <c r="F956" s="1273"/>
      <c r="G956" s="989"/>
      <c r="I956" s="491"/>
    </row>
    <row r="957" spans="1:9" ht="12.75" customHeight="1">
      <c r="A957" s="175"/>
      <c r="B957" s="175"/>
      <c r="C957" s="174"/>
      <c r="D957" s="1273"/>
      <c r="E957" s="1273"/>
      <c r="F957" s="1273"/>
      <c r="G957" s="989"/>
      <c r="I957" s="491"/>
    </row>
    <row r="958" spans="1:9" ht="12.75" customHeight="1">
      <c r="A958" s="175"/>
      <c r="B958" s="175"/>
      <c r="C958" s="174"/>
      <c r="D958" s="1027"/>
      <c r="E958" s="1027"/>
      <c r="F958" s="1027"/>
      <c r="G958" s="989"/>
      <c r="I958" s="491"/>
    </row>
    <row r="959" spans="1:9" ht="12.75" customHeight="1">
      <c r="A959" s="990"/>
      <c r="B959" s="486" t="s">
        <v>2731</v>
      </c>
      <c r="C959" s="990"/>
      <c r="D959" s="1298" t="s">
        <v>1782</v>
      </c>
      <c r="E959" s="1298"/>
      <c r="F959" s="1298"/>
      <c r="G959" s="989"/>
      <c r="I959" s="491"/>
    </row>
    <row r="960" spans="1:9" ht="12.75" customHeight="1">
      <c r="A960" s="990"/>
      <c r="B960" s="990"/>
      <c r="C960" s="990"/>
      <c r="D960" s="1298"/>
      <c r="E960" s="1298"/>
      <c r="F960" s="1298"/>
      <c r="G960" s="989"/>
      <c r="I960" s="491"/>
    </row>
    <row r="961" spans="1:9" ht="12.75" customHeight="1">
      <c r="A961" s="990"/>
      <c r="B961" s="990"/>
      <c r="C961" s="990"/>
      <c r="D961" s="1298"/>
      <c r="E961" s="1298"/>
      <c r="F961" s="1298"/>
      <c r="G961" s="989"/>
      <c r="I961" s="491"/>
    </row>
    <row r="962" spans="1:9" ht="12.75" customHeight="1">
      <c r="A962" s="175"/>
      <c r="B962" s="175"/>
      <c r="C962" s="174"/>
      <c r="D962" s="1027"/>
      <c r="E962" s="1027"/>
      <c r="F962" s="1027"/>
      <c r="G962" s="989"/>
      <c r="I962" s="491"/>
    </row>
    <row r="963" spans="1:9" ht="12.75" customHeight="1">
      <c r="A963" s="175"/>
      <c r="B963" s="175"/>
      <c r="C963" s="174"/>
      <c r="D963" s="845"/>
      <c r="E963" s="3"/>
      <c r="F963" s="989"/>
      <c r="G963" s="989"/>
      <c r="I963" s="491"/>
    </row>
    <row r="964" spans="1:9" ht="12.75" customHeight="1">
      <c r="A964" s="175"/>
      <c r="B964" s="486" t="s">
        <v>2732</v>
      </c>
      <c r="C964" s="174"/>
      <c r="D964" s="1274" t="s">
        <v>1885</v>
      </c>
      <c r="E964" s="1274"/>
      <c r="F964" s="1274"/>
      <c r="G964" s="989"/>
      <c r="I964" s="491"/>
    </row>
    <row r="965" spans="1:9" ht="12.75" customHeight="1">
      <c r="A965" s="175"/>
      <c r="B965" s="175"/>
      <c r="C965" s="174"/>
      <c r="D965" s="1274"/>
      <c r="E965" s="1274"/>
      <c r="F965" s="1274"/>
      <c r="G965" s="989"/>
      <c r="I965" s="491"/>
    </row>
    <row r="966" spans="1:9" ht="12.75" customHeight="1">
      <c r="A966" s="175"/>
      <c r="B966" s="175"/>
      <c r="C966" s="174"/>
      <c r="D966" s="1274"/>
      <c r="E966" s="1274"/>
      <c r="F966" s="1274"/>
      <c r="G966" s="989"/>
      <c r="I966" s="491"/>
    </row>
    <row r="967" spans="1:9" ht="12.75" customHeight="1">
      <c r="A967" s="175"/>
      <c r="B967" s="175"/>
      <c r="C967" s="174"/>
      <c r="D967" s="1274"/>
      <c r="E967" s="1274"/>
      <c r="F967" s="1274"/>
      <c r="G967" s="989"/>
      <c r="I967" s="491"/>
    </row>
    <row r="968" spans="1:9" ht="12.75" customHeight="1">
      <c r="A968" s="990"/>
      <c r="B968" s="990"/>
      <c r="C968" s="990"/>
      <c r="D968" s="981"/>
      <c r="E968" s="981"/>
      <c r="F968" s="981"/>
      <c r="G968" s="981"/>
      <c r="I968" s="491"/>
    </row>
    <row r="969" spans="1:9" ht="12.75" customHeight="1">
      <c r="A969" s="355"/>
      <c r="B969" s="355"/>
      <c r="C969" s="355"/>
      <c r="D969" s="1332" t="s">
        <v>1783</v>
      </c>
      <c r="E969" s="1332"/>
      <c r="F969" s="1332"/>
      <c r="G969" s="3"/>
      <c r="I969" s="491"/>
    </row>
    <row r="970" spans="1:9" ht="12.75" customHeight="1">
      <c r="A970" s="175"/>
      <c r="B970" s="486" t="s">
        <v>2731</v>
      </c>
      <c r="C970" s="355"/>
      <c r="D970" s="1310" t="s">
        <v>1806</v>
      </c>
      <c r="E970" s="1310"/>
      <c r="F970" s="1310"/>
      <c r="G970" s="3"/>
      <c r="I970" s="491"/>
    </row>
    <row r="971" spans="1:9" ht="12.75" customHeight="1">
      <c r="A971" s="355"/>
      <c r="B971" s="355"/>
      <c r="C971" s="355"/>
      <c r="D971" s="3"/>
      <c r="E971" s="3"/>
      <c r="F971" s="3"/>
      <c r="G971" s="3"/>
      <c r="I971" s="491"/>
    </row>
    <row r="972" spans="1:9" ht="12.75" customHeight="1">
      <c r="A972" s="355"/>
      <c r="B972" s="355"/>
      <c r="C972" s="355"/>
      <c r="D972" s="1332" t="s">
        <v>1784</v>
      </c>
      <c r="E972" s="1332"/>
      <c r="F972" s="1332"/>
      <c r="G972"/>
      <c r="I972" s="491"/>
    </row>
    <row r="973" spans="1:9" ht="12.75" customHeight="1">
      <c r="A973" s="175"/>
      <c r="B973" s="486" t="s">
        <v>2731</v>
      </c>
      <c r="C973" s="355"/>
      <c r="D973" s="1270" t="s">
        <v>2072</v>
      </c>
      <c r="E973" s="1270"/>
      <c r="F973" s="1270"/>
      <c r="G973"/>
      <c r="I973" s="491"/>
    </row>
    <row r="974" spans="1:9" ht="12.75" customHeight="1">
      <c r="A974" s="175"/>
      <c r="B974" s="175"/>
      <c r="C974" s="355"/>
      <c r="D974" s="1270"/>
      <c r="E974" s="1270"/>
      <c r="F974" s="1270"/>
      <c r="G974"/>
      <c r="I974" s="491"/>
    </row>
    <row r="975" spans="1:9" ht="12.75" customHeight="1">
      <c r="A975" s="175"/>
      <c r="B975" s="175"/>
      <c r="C975" s="355"/>
      <c r="D975" s="1270"/>
      <c r="E975" s="1270"/>
      <c r="F975" s="1270"/>
      <c r="G975"/>
      <c r="I975" s="491"/>
    </row>
    <row r="976" spans="1:9" ht="12.75" customHeight="1">
      <c r="A976" s="175"/>
      <c r="B976" s="175"/>
      <c r="C976" s="355"/>
      <c r="D976" s="1270"/>
      <c r="E976" s="1270"/>
      <c r="F976" s="1270"/>
      <c r="G976"/>
      <c r="I976" s="491"/>
    </row>
    <row r="977" spans="1:9" ht="12.75" customHeight="1">
      <c r="A977" s="175"/>
      <c r="B977" s="175"/>
      <c r="C977" s="355"/>
      <c r="D977" s="1270"/>
      <c r="E977" s="1270"/>
      <c r="F977" s="1270"/>
      <c r="G977"/>
      <c r="I977" s="491"/>
    </row>
    <row r="978" spans="1:9" ht="12.75" customHeight="1">
      <c r="A978" s="175"/>
      <c r="B978" s="175"/>
      <c r="C978" s="355"/>
      <c r="D978" s="1270"/>
      <c r="E978" s="1270"/>
      <c r="F978" s="1270"/>
      <c r="G978"/>
      <c r="I978" s="491"/>
    </row>
    <row r="979" spans="1:9" ht="12.75" customHeight="1">
      <c r="A979" s="175"/>
      <c r="B979" s="175"/>
      <c r="C979" s="355"/>
      <c r="D979" s="1270"/>
      <c r="E979" s="1270"/>
      <c r="F979" s="1270"/>
      <c r="G979"/>
      <c r="I979" s="491"/>
    </row>
    <row r="980" spans="1:9" ht="12.75" customHeight="1">
      <c r="A980" s="175"/>
      <c r="B980" s="175"/>
      <c r="C980" s="355"/>
      <c r="D980" s="1270"/>
      <c r="E980" s="1270"/>
      <c r="F980" s="1270"/>
      <c r="G980"/>
      <c r="I980" s="491"/>
    </row>
    <row r="981" spans="1:9" ht="12.75" customHeight="1">
      <c r="A981" s="175"/>
      <c r="B981" s="175"/>
      <c r="C981" s="355"/>
      <c r="D981" s="1270"/>
      <c r="E981" s="1270"/>
      <c r="F981" s="1270"/>
      <c r="G981"/>
      <c r="I981" s="491"/>
    </row>
    <row r="982" spans="1:9" ht="12.75" customHeight="1">
      <c r="A982" s="175"/>
      <c r="B982" s="175"/>
      <c r="C982" s="355"/>
      <c r="D982" s="1270"/>
      <c r="E982" s="1270"/>
      <c r="F982" s="1270"/>
      <c r="G982"/>
      <c r="I982" s="491"/>
    </row>
    <row r="983" spans="1:9" ht="12.75" customHeight="1">
      <c r="A983" s="175"/>
      <c r="B983" s="175"/>
      <c r="C983" s="355"/>
      <c r="D983" s="1270"/>
      <c r="E983" s="1270"/>
      <c r="F983" s="1270"/>
      <c r="G983"/>
      <c r="I983" s="491"/>
    </row>
    <row r="984" spans="1:9" ht="12.75" customHeight="1">
      <c r="A984" s="175"/>
      <c r="B984" s="175"/>
      <c r="C984" s="355"/>
      <c r="D984" s="1270"/>
      <c r="E984" s="1270"/>
      <c r="F984" s="1270"/>
      <c r="G984"/>
      <c r="I984" s="491"/>
    </row>
    <row r="985" spans="1:9" ht="12.75" customHeight="1">
      <c r="A985" s="175"/>
      <c r="B985" s="175"/>
      <c r="C985" s="355"/>
      <c r="D985" s="1270"/>
      <c r="E985" s="1270"/>
      <c r="F985" s="1270"/>
      <c r="G985"/>
      <c r="I985" s="491"/>
    </row>
    <row r="986" spans="1:9" ht="12.75" customHeight="1">
      <c r="A986" s="175"/>
      <c r="B986" s="175"/>
      <c r="C986" s="355"/>
      <c r="D986" s="1270"/>
      <c r="E986" s="1270"/>
      <c r="F986" s="1270"/>
      <c r="G986"/>
      <c r="I986" s="491"/>
    </row>
    <row r="987" spans="1:9" ht="12.75" customHeight="1">
      <c r="A987" s="175"/>
      <c r="B987" s="175"/>
      <c r="C987" s="355"/>
      <c r="D987" s="1270"/>
      <c r="E987" s="1270"/>
      <c r="F987" s="1270"/>
      <c r="G987" s="3"/>
      <c r="I987" s="491"/>
    </row>
    <row r="988" spans="1:9" ht="12.75" customHeight="1">
      <c r="A988" s="355"/>
      <c r="B988" s="355"/>
      <c r="C988" s="355"/>
      <c r="D988" s="3"/>
      <c r="E988" s="3"/>
      <c r="F988" s="3"/>
      <c r="G988" s="3"/>
      <c r="I988" s="491"/>
    </row>
    <row r="989" spans="1:9" ht="12.75" customHeight="1">
      <c r="A989" s="1319" t="s">
        <v>1785</v>
      </c>
      <c r="B989" s="1319"/>
      <c r="C989" s="1319"/>
      <c r="D989" s="1319"/>
      <c r="E989" s="1319"/>
      <c r="F989" s="1319"/>
      <c r="G989" s="1319"/>
      <c r="H989" s="1029"/>
      <c r="I989" s="1155"/>
    </row>
    <row r="990" spans="1:9" ht="12.75" customHeight="1">
      <c r="A990" s="118"/>
      <c r="B990" s="118"/>
      <c r="C990" s="355"/>
      <c r="D990" s="3"/>
      <c r="E990" s="3"/>
      <c r="F990" s="3"/>
      <c r="G990" s="3"/>
      <c r="I990" s="491"/>
    </row>
    <row r="991" spans="1:9" ht="12.75" customHeight="1">
      <c r="A991" s="355"/>
      <c r="B991" s="355"/>
      <c r="C991" s="990"/>
      <c r="D991" s="1332" t="s">
        <v>1807</v>
      </c>
      <c r="E991" s="1332"/>
      <c r="F991" s="1332"/>
      <c r="G991" s="3"/>
      <c r="I991" s="491"/>
    </row>
    <row r="992" spans="1:9" ht="12.75" customHeight="1">
      <c r="A992" s="172"/>
      <c r="B992" s="172"/>
      <c r="C992" s="172"/>
      <c r="D992" s="1310" t="s">
        <v>1786</v>
      </c>
      <c r="E992" s="1310"/>
      <c r="F992" s="1310"/>
      <c r="G992" s="3"/>
      <c r="I992" s="491"/>
    </row>
    <row r="993" spans="1:9" ht="12.75" customHeight="1">
      <c r="A993" s="172"/>
      <c r="B993" s="172"/>
      <c r="C993" s="172"/>
      <c r="D993" s="3"/>
      <c r="E993" s="3"/>
      <c r="F993" s="989"/>
      <c r="G993"/>
      <c r="I993" s="491"/>
    </row>
    <row r="994" spans="1:9" ht="12.75" customHeight="1">
      <c r="A994" s="355"/>
      <c r="B994" s="486" t="s">
        <v>2732</v>
      </c>
      <c r="C994" s="355"/>
      <c r="D994" s="1334" t="s">
        <v>1915</v>
      </c>
      <c r="E994" s="1334"/>
      <c r="F994" s="1334"/>
      <c r="G994"/>
      <c r="I994" s="491"/>
    </row>
    <row r="995" spans="1:9" ht="12.75" customHeight="1">
      <c r="A995" s="355"/>
      <c r="B995" s="355"/>
      <c r="C995" s="355"/>
      <c r="D995" s="1334"/>
      <c r="E995" s="1334"/>
      <c r="F995" s="1334"/>
      <c r="G995"/>
      <c r="I995" s="491"/>
    </row>
    <row r="996" spans="1:9" ht="12.75" customHeight="1">
      <c r="A996" s="355"/>
      <c r="B996" s="355"/>
      <c r="C996" s="355"/>
      <c r="D996" s="1039"/>
      <c r="E996" s="1037" t="s">
        <v>1916</v>
      </c>
      <c r="F996" s="1039"/>
      <c r="G996"/>
      <c r="I996" s="491"/>
    </row>
    <row r="997" spans="1:9" ht="12.75" customHeight="1">
      <c r="A997" s="355"/>
      <c r="B997" s="355"/>
      <c r="C997" s="355"/>
      <c r="D997" s="1276" t="s">
        <v>1914</v>
      </c>
      <c r="E997" s="1276"/>
      <c r="F997" s="1276"/>
      <c r="G997"/>
      <c r="I997" s="491"/>
    </row>
    <row r="998" spans="1:9" ht="12.75" customHeight="1">
      <c r="A998" s="355"/>
      <c r="B998" s="355"/>
      <c r="C998" s="355"/>
      <c r="D998" s="1276"/>
      <c r="E998" s="1276"/>
      <c r="F998" s="1276"/>
      <c r="G998"/>
      <c r="I998" s="491"/>
    </row>
    <row r="999" spans="1:9" ht="12.75" customHeight="1">
      <c r="A999" s="174"/>
      <c r="B999" s="174"/>
      <c r="C999" s="174"/>
      <c r="D999" s="1276"/>
      <c r="E999" s="1276"/>
      <c r="F999" s="1276"/>
      <c r="G999"/>
      <c r="I999" s="491"/>
    </row>
    <row r="1000" spans="1:9" ht="12.75" customHeight="1">
      <c r="A1000" s="174"/>
      <c r="B1000" s="174"/>
      <c r="C1000" s="174"/>
      <c r="D1000" s="1276"/>
      <c r="E1000" s="1276"/>
      <c r="F1000" s="1276"/>
      <c r="G1000"/>
      <c r="I1000" s="491"/>
    </row>
    <row r="1001" spans="1:9" ht="12.75" customHeight="1">
      <c r="A1001" s="174"/>
      <c r="B1001" s="174"/>
      <c r="C1001" s="174"/>
      <c r="D1001" s="336"/>
      <c r="E1001" s="336"/>
      <c r="F1001" s="336"/>
      <c r="G1001"/>
      <c r="I1001" s="491"/>
    </row>
    <row r="1002" spans="1:9" ht="12.75" customHeight="1">
      <c r="A1002" s="174"/>
      <c r="B1002" s="486" t="s">
        <v>2731</v>
      </c>
      <c r="C1002" s="174"/>
      <c r="D1002" s="1270" t="s">
        <v>1787</v>
      </c>
      <c r="E1002" s="1270"/>
      <c r="F1002" s="1270"/>
      <c r="G1002"/>
      <c r="I1002" s="491"/>
    </row>
    <row r="1003" spans="1:9" ht="12.75" customHeight="1">
      <c r="A1003" s="174"/>
      <c r="B1003" s="174"/>
      <c r="C1003" s="174"/>
      <c r="D1003" s="1270"/>
      <c r="E1003" s="1270"/>
      <c r="F1003" s="1270"/>
      <c r="G1003"/>
      <c r="I1003" s="491"/>
    </row>
    <row r="1004" spans="1:9" ht="12.75" customHeight="1">
      <c r="A1004" s="174"/>
      <c r="B1004" s="174"/>
      <c r="C1004" s="174"/>
      <c r="D1004" s="1270"/>
      <c r="E1004" s="1270"/>
      <c r="F1004" s="1270"/>
      <c r="G1004"/>
      <c r="I1004" s="491"/>
    </row>
    <row r="1005" spans="1:9" ht="12.75" customHeight="1">
      <c r="A1005" s="174"/>
      <c r="B1005" s="174"/>
      <c r="C1005" s="174"/>
      <c r="D1005" s="1270"/>
      <c r="E1005" s="1270"/>
      <c r="F1005" s="1270"/>
      <c r="G1005"/>
      <c r="I1005" s="491"/>
    </row>
    <row r="1006" spans="1:9" ht="12.75" customHeight="1">
      <c r="A1006" s="174"/>
      <c r="B1006" s="174"/>
      <c r="C1006" s="174"/>
      <c r="D1006" s="442"/>
      <c r="E1006" s="442"/>
      <c r="F1006" s="442"/>
      <c r="G1006"/>
      <c r="I1006" s="491"/>
    </row>
    <row r="1007" spans="1:9" ht="12.75" customHeight="1">
      <c r="A1007" s="174"/>
      <c r="B1007" s="486" t="s">
        <v>2731</v>
      </c>
      <c r="C1007" s="174"/>
      <c r="D1007" s="1270" t="s">
        <v>2232</v>
      </c>
      <c r="E1007" s="1270"/>
      <c r="F1007" s="1270"/>
      <c r="G1007"/>
      <c r="I1007" s="491"/>
    </row>
    <row r="1008" spans="1:9" ht="12.75" customHeight="1">
      <c r="A1008" s="174"/>
      <c r="B1008" s="174"/>
      <c r="C1008" s="174"/>
      <c r="D1008" s="1270"/>
      <c r="E1008" s="1270"/>
      <c r="F1008" s="1270"/>
      <c r="G1008"/>
      <c r="I1008" s="491"/>
    </row>
    <row r="1009" spans="1:9" ht="12.75" customHeight="1">
      <c r="A1009" s="174"/>
      <c r="B1009" s="174"/>
      <c r="C1009" s="174"/>
      <c r="D1009" s="442"/>
      <c r="E1009" s="442"/>
      <c r="F1009" s="442"/>
      <c r="G1009"/>
      <c r="I1009" s="491"/>
    </row>
    <row r="1010" spans="1:9" ht="12.75" customHeight="1">
      <c r="A1010" s="175"/>
      <c r="B1010" s="486" t="s">
        <v>2732</v>
      </c>
      <c r="C1010" s="355"/>
      <c r="D1010" s="1310" t="s">
        <v>1788</v>
      </c>
      <c r="E1010" s="1310"/>
      <c r="F1010" s="1310"/>
      <c r="G1010"/>
      <c r="I1010" s="491"/>
    </row>
    <row r="1011" spans="1:9" ht="12.75" customHeight="1">
      <c r="A1011" s="355"/>
      <c r="B1011" s="355"/>
      <c r="C1011" s="355"/>
      <c r="D1011" s="3"/>
      <c r="E1011" s="3"/>
      <c r="F1011" s="3"/>
      <c r="G1011"/>
      <c r="I1011" s="491"/>
    </row>
    <row r="1012" spans="1:9" ht="12.75" customHeight="1">
      <c r="A1012" s="175"/>
      <c r="B1012" s="486" t="s">
        <v>2731</v>
      </c>
      <c r="C1012" s="355"/>
      <c r="D1012" s="1310" t="s">
        <v>1789</v>
      </c>
      <c r="E1012" s="1310"/>
      <c r="F1012" s="1310"/>
      <c r="G1012"/>
      <c r="I1012" s="491"/>
    </row>
    <row r="1013" spans="1:9" ht="12.75" customHeight="1">
      <c r="A1013" s="355"/>
      <c r="B1013" s="355"/>
      <c r="C1013" s="355"/>
      <c r="D1013" s="118"/>
      <c r="E1013" s="3"/>
      <c r="F1013" s="3"/>
      <c r="G1013"/>
      <c r="I1013" s="491"/>
    </row>
    <row r="1014" spans="1:9" ht="12.75" customHeight="1">
      <c r="A1014" s="175"/>
      <c r="B1014" s="486" t="s">
        <v>2732</v>
      </c>
      <c r="C1014" s="355"/>
      <c r="D1014" s="1310" t="s">
        <v>1790</v>
      </c>
      <c r="E1014" s="1310"/>
      <c r="F1014" s="1310"/>
      <c r="G1014"/>
      <c r="I1014" s="491"/>
    </row>
    <row r="1015" spans="1:9" ht="12.75" customHeight="1">
      <c r="A1015" s="355"/>
      <c r="B1015" s="355"/>
      <c r="C1015" s="355"/>
      <c r="D1015" s="118"/>
      <c r="E1015" s="3"/>
      <c r="F1015" s="3"/>
      <c r="G1015"/>
      <c r="I1015" s="491"/>
    </row>
    <row r="1016" spans="1:9" ht="12.75" customHeight="1">
      <c r="A1016" s="175"/>
      <c r="B1016" s="486" t="s">
        <v>2731</v>
      </c>
      <c r="C1016" s="355"/>
      <c r="D1016" s="1270" t="s">
        <v>1791</v>
      </c>
      <c r="E1016" s="1270"/>
      <c r="F1016" s="1270"/>
      <c r="G1016"/>
      <c r="I1016" s="491"/>
    </row>
    <row r="1017" spans="1:9" ht="12.75" customHeight="1">
      <c r="A1017" s="175"/>
      <c r="B1017" s="175"/>
      <c r="C1017" s="355"/>
      <c r="D1017" s="1270"/>
      <c r="E1017" s="1270"/>
      <c r="F1017" s="1270"/>
      <c r="G1017"/>
      <c r="I1017" s="491"/>
    </row>
    <row r="1018" spans="1:9" ht="12.75" customHeight="1">
      <c r="A1018" s="175"/>
      <c r="B1018" s="175"/>
      <c r="C1018" s="355"/>
      <c r="D1018" s="118"/>
      <c r="E1018" s="3"/>
      <c r="F1018" s="3"/>
      <c r="G1018" s="3"/>
      <c r="I1018" s="491"/>
    </row>
    <row r="1019" spans="1:9" ht="12.75" customHeight="1">
      <c r="A1019" s="255"/>
      <c r="B1019" s="486" t="s">
        <v>2731</v>
      </c>
      <c r="C1019" s="1001"/>
      <c r="D1019" s="1326" t="s">
        <v>1792</v>
      </c>
      <c r="E1019" s="1326"/>
      <c r="F1019" s="1326"/>
      <c r="G1019" s="1002"/>
      <c r="I1019" s="491"/>
    </row>
    <row r="1020" spans="1:9" ht="12.75" customHeight="1">
      <c r="A1020" s="1001"/>
      <c r="B1020" s="1001"/>
      <c r="C1020" s="1001"/>
      <c r="D1020" s="1326"/>
      <c r="E1020" s="1326"/>
      <c r="F1020" s="1326"/>
      <c r="G1020" s="1002"/>
      <c r="I1020" s="491"/>
    </row>
    <row r="1021" spans="1:9" ht="12.75" customHeight="1">
      <c r="A1021" s="1001"/>
      <c r="B1021" s="1001"/>
      <c r="C1021" s="1001"/>
      <c r="D1021" s="985"/>
      <c r="E1021" s="1002"/>
      <c r="F1021" s="1002"/>
      <c r="G1021" s="1002"/>
      <c r="I1021" s="491"/>
    </row>
    <row r="1022" spans="1:9" ht="12.75" customHeight="1">
      <c r="A1022" s="255"/>
      <c r="B1022" s="486" t="s">
        <v>2731</v>
      </c>
      <c r="C1022" s="1001"/>
      <c r="D1022" s="1333" t="s">
        <v>1793</v>
      </c>
      <c r="E1022" s="1333"/>
      <c r="F1022" s="1333"/>
      <c r="G1022" s="1002"/>
      <c r="I1022" s="491"/>
    </row>
    <row r="1023" spans="1:9" ht="12.75" customHeight="1">
      <c r="A1023" s="1001"/>
      <c r="B1023" s="1001"/>
      <c r="C1023" s="1001"/>
      <c r="D1023" s="985"/>
      <c r="E1023" s="1002"/>
      <c r="F1023" s="1002"/>
      <c r="G1023" s="1002"/>
      <c r="I1023" s="491"/>
    </row>
    <row r="1024" spans="1:9" ht="12.75" customHeight="1">
      <c r="A1024" s="175"/>
      <c r="B1024" s="486" t="s">
        <v>2731</v>
      </c>
      <c r="C1024" s="355"/>
      <c r="D1024" s="1310" t="s">
        <v>1794</v>
      </c>
      <c r="E1024" s="1310"/>
      <c r="F1024" s="1310"/>
      <c r="G1024" s="3"/>
      <c r="I1024" s="491"/>
    </row>
    <row r="1025" spans="1:9" ht="12.75" customHeight="1">
      <c r="A1025" s="175"/>
      <c r="B1025" s="175"/>
      <c r="C1025" s="355"/>
      <c r="D1025" s="118"/>
      <c r="E1025" s="3"/>
      <c r="F1025" s="3"/>
      <c r="G1025" s="3"/>
      <c r="I1025" s="491"/>
    </row>
    <row r="1026" spans="1:9" ht="12.75" customHeight="1">
      <c r="A1026" s="175"/>
      <c r="B1026" s="486" t="s">
        <v>2731</v>
      </c>
      <c r="C1026" s="355"/>
      <c r="D1026" s="1270" t="s">
        <v>1795</v>
      </c>
      <c r="E1026" s="1270"/>
      <c r="F1026" s="1270"/>
      <c r="G1026" s="3"/>
      <c r="I1026" s="491"/>
    </row>
    <row r="1027" spans="1:9" ht="12.75" customHeight="1">
      <c r="A1027" s="175"/>
      <c r="B1027" s="175"/>
      <c r="C1027" s="355"/>
      <c r="D1027" s="1270"/>
      <c r="E1027" s="1270"/>
      <c r="F1027" s="1270"/>
      <c r="G1027" s="3"/>
      <c r="I1027" s="491"/>
    </row>
    <row r="1028" spans="1:9" ht="12.75" customHeight="1">
      <c r="A1028" s="355"/>
      <c r="B1028" s="355"/>
      <c r="C1028" s="355"/>
      <c r="D1028" s="3"/>
      <c r="E1028" s="3"/>
      <c r="F1028" s="3"/>
      <c r="G1028" s="3"/>
      <c r="I1028" s="491"/>
    </row>
    <row r="1029" spans="1:9" ht="12.75" customHeight="1">
      <c r="A1029" s="1319" t="s">
        <v>1796</v>
      </c>
      <c r="B1029" s="1319"/>
      <c r="C1029" s="1319"/>
      <c r="D1029" s="1319"/>
      <c r="E1029" s="1319"/>
      <c r="F1029" s="1319"/>
      <c r="G1029" s="1319"/>
      <c r="H1029" s="1029"/>
      <c r="I1029" s="1155"/>
    </row>
    <row r="1030" spans="1:9" ht="12.75" customHeight="1">
      <c r="A1030" s="355"/>
      <c r="B1030" s="355"/>
      <c r="C1030" s="355"/>
      <c r="D1030" s="3"/>
      <c r="E1030" s="3"/>
      <c r="F1030" s="3"/>
      <c r="G1030" s="3"/>
      <c r="I1030" s="491"/>
    </row>
    <row r="1031" spans="1:9" ht="12.75" customHeight="1">
      <c r="A1031" s="355"/>
      <c r="B1031" s="355"/>
      <c r="C1031" s="355"/>
      <c r="D1031" s="1335" t="s">
        <v>1797</v>
      </c>
      <c r="E1031" s="1335"/>
      <c r="F1031" s="1335"/>
      <c r="G1031" s="3"/>
      <c r="I1031" s="491"/>
    </row>
    <row r="1032" spans="1:9" ht="12.75" customHeight="1">
      <c r="A1032" s="355"/>
      <c r="B1032" s="355"/>
      <c r="C1032" s="355"/>
      <c r="D1032" s="1333" t="s">
        <v>1798</v>
      </c>
      <c r="E1032" s="1333"/>
      <c r="F1032" s="1333"/>
      <c r="G1032" s="3"/>
      <c r="I1032" s="491"/>
    </row>
    <row r="1033" spans="1:9" ht="12.75" customHeight="1">
      <c r="A1033" s="172"/>
      <c r="B1033" s="172"/>
      <c r="C1033" s="172"/>
      <c r="D1033" s="3"/>
      <c r="E1033" s="3"/>
      <c r="F1033" s="3"/>
      <c r="G1033" s="3"/>
      <c r="I1033" s="491"/>
    </row>
    <row r="1034" spans="1:9" ht="12.75" customHeight="1">
      <c r="A1034" s="175"/>
      <c r="B1034" s="175"/>
      <c r="C1034" s="174"/>
      <c r="D1034" s="1335" t="s">
        <v>1812</v>
      </c>
      <c r="E1034" s="1335"/>
      <c r="F1034" s="1335"/>
      <c r="G1034" s="3"/>
      <c r="I1034" s="491"/>
    </row>
    <row r="1035" spans="1:9" ht="12.75" customHeight="1">
      <c r="A1035" s="355"/>
      <c r="B1035" s="486" t="s">
        <v>2731</v>
      </c>
      <c r="C1035" s="355"/>
      <c r="D1035" s="1333" t="s">
        <v>1270</v>
      </c>
      <c r="E1035" s="1333"/>
      <c r="F1035" s="1333"/>
      <c r="G1035" s="3"/>
      <c r="I1035" s="491"/>
    </row>
    <row r="1036" spans="1:9" ht="12.75" customHeight="1">
      <c r="A1036" s="355"/>
      <c r="B1036" s="175"/>
      <c r="C1036" s="355"/>
      <c r="D1036" s="1333" t="s">
        <v>1799</v>
      </c>
      <c r="E1036" s="1333"/>
      <c r="F1036" s="1333"/>
      <c r="G1036" s="3"/>
      <c r="I1036" s="491"/>
    </row>
    <row r="1037" spans="1:9" ht="12.75" customHeight="1">
      <c r="A1037" s="355"/>
      <c r="B1037" s="355"/>
      <c r="C1037" s="355"/>
      <c r="D1037" s="1333"/>
      <c r="E1037" s="1333"/>
      <c r="F1037" s="1333"/>
      <c r="G1037" s="3"/>
      <c r="I1037" s="491"/>
    </row>
    <row r="1038" spans="1:9" ht="12.75" customHeight="1">
      <c r="A1038" s="1319" t="s">
        <v>1808</v>
      </c>
      <c r="B1038" s="1319"/>
      <c r="C1038" s="1319"/>
      <c r="D1038" s="1319"/>
      <c r="E1038" s="1319"/>
      <c r="F1038" s="1319"/>
      <c r="G1038" s="1319"/>
      <c r="H1038" s="1029"/>
      <c r="I1038" s="1155"/>
    </row>
    <row r="1039" spans="1:9" ht="12.75" customHeight="1">
      <c r="A1039" s="118"/>
      <c r="B1039" s="118"/>
      <c r="C1039" s="355"/>
      <c r="D1039" s="3"/>
      <c r="E1039" s="3"/>
      <c r="F1039" s="3"/>
      <c r="G1039" s="3"/>
      <c r="I1039" s="491"/>
    </row>
    <row r="1040" spans="1:9" ht="12.75" hidden="1" customHeight="1">
      <c r="A1040" s="118"/>
      <c r="B1040" s="403"/>
      <c r="D1040" s="1340" t="s">
        <v>1271</v>
      </c>
      <c r="E1040" s="1340"/>
      <c r="F1040" s="1340"/>
      <c r="G1040" s="3"/>
      <c r="I1040" s="491"/>
    </row>
    <row r="1041" spans="1:9" ht="12.75" hidden="1" customHeight="1">
      <c r="A1041" s="118"/>
      <c r="B1041" s="486" t="s">
        <v>306</v>
      </c>
      <c r="D1041" s="1302" t="s">
        <v>1270</v>
      </c>
      <c r="E1041" s="1302"/>
      <c r="F1041" s="1302"/>
      <c r="G1041" s="3"/>
      <c r="I1041" s="491"/>
    </row>
    <row r="1042" spans="1:9" ht="12.75" hidden="1" customHeight="1">
      <c r="A1042" s="118"/>
      <c r="B1042" s="403"/>
      <c r="D1042" s="1302" t="s">
        <v>1809</v>
      </c>
      <c r="E1042" s="1302"/>
      <c r="F1042" s="1302"/>
      <c r="G1042" s="3"/>
      <c r="I1042" s="491"/>
    </row>
    <row r="1043" spans="1:9" ht="12.75" hidden="1" customHeight="1">
      <c r="A1043" s="118"/>
      <c r="B1043" s="403"/>
      <c r="D1043" s="445"/>
      <c r="E1043" s="445"/>
      <c r="F1043" s="445"/>
      <c r="G1043" s="3"/>
      <c r="I1043" s="491"/>
    </row>
    <row r="1044" spans="1:9" ht="12.75" customHeight="1">
      <c r="A1044" s="118"/>
      <c r="B1044" s="118"/>
      <c r="C1044" s="355"/>
      <c r="D1044" s="1341" t="s">
        <v>1065</v>
      </c>
      <c r="E1044" s="1341"/>
      <c r="F1044" s="1341"/>
      <c r="G1044" s="3"/>
      <c r="I1044" s="491"/>
    </row>
    <row r="1045" spans="1:9" ht="12.75" customHeight="1">
      <c r="A1045" s="320"/>
      <c r="B1045" s="320"/>
      <c r="C1045" s="320"/>
      <c r="D1045" s="1311" t="s">
        <v>2250</v>
      </c>
      <c r="E1045" s="1311"/>
      <c r="F1045" s="1311"/>
      <c r="G1045" s="98"/>
      <c r="I1045" s="491"/>
    </row>
    <row r="1046" spans="1:9" ht="12.75" customHeight="1">
      <c r="A1046" s="175"/>
      <c r="B1046" s="486" t="s">
        <v>2731</v>
      </c>
      <c r="C1046" s="355"/>
      <c r="D1046" s="1311" t="s">
        <v>984</v>
      </c>
      <c r="E1046" s="1311"/>
      <c r="F1046" s="1311"/>
      <c r="G1046" s="3"/>
      <c r="I1046" s="491"/>
    </row>
    <row r="1047" spans="1:9" ht="12.75" customHeight="1">
      <c r="A1047" s="355"/>
      <c r="B1047" s="355"/>
      <c r="C1047" s="355"/>
      <c r="D1047" s="1037" t="s">
        <v>1917</v>
      </c>
      <c r="E1047" s="96"/>
      <c r="F1047" s="96"/>
      <c r="G1047" s="3"/>
      <c r="I1047" s="491"/>
    </row>
    <row r="1048" spans="1:9">
      <c r="A1048" s="403"/>
      <c r="B1048" s="403"/>
      <c r="C1048" s="403"/>
      <c r="I1048" s="491"/>
    </row>
    <row r="1049" spans="1:9">
      <c r="A1049" s="1319" t="s">
        <v>1829</v>
      </c>
      <c r="B1049" s="1319"/>
      <c r="C1049" s="1319"/>
      <c r="D1049" s="1319"/>
      <c r="E1049" s="1319"/>
      <c r="F1049" s="1319"/>
      <c r="G1049" s="1319"/>
      <c r="H1049" s="1029"/>
      <c r="I1049" s="1155"/>
    </row>
    <row r="1050" spans="1:9">
      <c r="A1050" s="403"/>
      <c r="B1050" s="403"/>
      <c r="C1050" s="403"/>
      <c r="I1050" s="491"/>
    </row>
    <row r="1051" spans="1:9">
      <c r="A1051" s="403"/>
      <c r="B1051" s="403"/>
      <c r="C1051" s="403"/>
      <c r="D1051" s="405" t="s">
        <v>1815</v>
      </c>
      <c r="I1051" s="491"/>
    </row>
    <row r="1052" spans="1:9">
      <c r="A1052" s="403"/>
      <c r="B1052" s="403"/>
      <c r="C1052" s="403"/>
      <c r="D1052" s="403" t="s">
        <v>1814</v>
      </c>
      <c r="I1052" s="491"/>
    </row>
    <row r="1053" spans="1:9">
      <c r="A1053" s="403"/>
      <c r="B1053" s="403"/>
      <c r="C1053" s="403"/>
      <c r="D1053" s="405"/>
      <c r="I1053" s="491"/>
    </row>
    <row r="1054" spans="1:9">
      <c r="A1054" s="403"/>
      <c r="B1054" s="486" t="s">
        <v>2732</v>
      </c>
      <c r="C1054" s="403"/>
      <c r="D1054" s="1337" t="s">
        <v>1813</v>
      </c>
      <c r="E1054" s="1337"/>
      <c r="F1054" s="1337"/>
      <c r="I1054" s="491"/>
    </row>
    <row r="1055" spans="1:9">
      <c r="A1055" s="403"/>
      <c r="B1055" s="403"/>
      <c r="C1055" s="403"/>
      <c r="D1055" s="1337"/>
      <c r="E1055" s="1337"/>
      <c r="F1055" s="1337"/>
      <c r="I1055" s="491"/>
    </row>
    <row r="1056" spans="1:9">
      <c r="A1056" s="403"/>
      <c r="B1056" s="403"/>
      <c r="C1056" s="403"/>
      <c r="D1056" s="1337"/>
      <c r="E1056" s="1337"/>
      <c r="F1056" s="1337"/>
      <c r="I1056" s="491"/>
    </row>
    <row r="1057" spans="1:9">
      <c r="A1057" s="403"/>
      <c r="B1057" s="403"/>
      <c r="C1057" s="403"/>
      <c r="D1057" s="1337"/>
      <c r="E1057" s="1337"/>
      <c r="F1057" s="1337"/>
      <c r="I1057" s="491"/>
    </row>
    <row r="1058" spans="1:9">
      <c r="A1058" s="403"/>
      <c r="B1058" s="403"/>
      <c r="C1058" s="403"/>
      <c r="I1058" s="491"/>
    </row>
    <row r="1059" spans="1:9">
      <c r="A1059" s="403"/>
      <c r="B1059" s="403"/>
      <c r="C1059" s="403"/>
      <c r="D1059" s="405" t="s">
        <v>1312</v>
      </c>
      <c r="I1059" s="491"/>
    </row>
    <row r="1060" spans="1:9">
      <c r="A1060" s="403"/>
      <c r="B1060" s="403"/>
      <c r="C1060" s="403"/>
      <c r="D1060" s="403" t="s">
        <v>1816</v>
      </c>
      <c r="I1060" s="491"/>
    </row>
    <row r="1061" spans="1:9">
      <c r="A1061" s="403"/>
      <c r="B1061" s="403"/>
      <c r="C1061" s="403"/>
      <c r="I1061" s="491"/>
    </row>
    <row r="1062" spans="1:9">
      <c r="A1062" s="403"/>
      <c r="B1062" s="486" t="s">
        <v>2731</v>
      </c>
      <c r="C1062" s="403"/>
      <c r="D1062" s="403" t="s">
        <v>1811</v>
      </c>
      <c r="I1062" s="491"/>
    </row>
    <row r="1063" spans="1:9">
      <c r="A1063" s="403"/>
      <c r="B1063" s="403"/>
      <c r="C1063" s="403"/>
      <c r="I1063" s="491"/>
    </row>
    <row r="1064" spans="1:9">
      <c r="A1064" s="403"/>
      <c r="B1064" s="486" t="s">
        <v>2731</v>
      </c>
      <c r="C1064" s="403"/>
      <c r="D1064" s="1337" t="s">
        <v>1817</v>
      </c>
      <c r="E1064" s="1337"/>
      <c r="F1064" s="1337"/>
      <c r="I1064" s="491"/>
    </row>
    <row r="1065" spans="1:9">
      <c r="A1065" s="403"/>
      <c r="B1065" s="403"/>
      <c r="C1065" s="403"/>
      <c r="D1065" s="1337"/>
      <c r="E1065" s="1337"/>
      <c r="F1065" s="1337"/>
      <c r="I1065" s="491"/>
    </row>
    <row r="1066" spans="1:9">
      <c r="A1066" s="403"/>
      <c r="B1066" s="403"/>
      <c r="C1066" s="403"/>
      <c r="D1066" s="1337"/>
      <c r="E1066" s="1337"/>
      <c r="F1066" s="1337"/>
      <c r="I1066" s="491"/>
    </row>
    <row r="1067" spans="1:9">
      <c r="A1067" s="403"/>
      <c r="B1067" s="403"/>
      <c r="C1067" s="403"/>
      <c r="D1067" s="1337"/>
      <c r="E1067" s="1337"/>
      <c r="F1067" s="1337"/>
      <c r="I1067" s="491"/>
    </row>
    <row r="1068" spans="1:9">
      <c r="A1068" s="403"/>
      <c r="B1068" s="403"/>
      <c r="C1068" s="403"/>
      <c r="D1068" s="1337"/>
      <c r="E1068" s="1337"/>
      <c r="F1068" s="1337"/>
      <c r="I1068" s="491"/>
    </row>
    <row r="1069" spans="1:9">
      <c r="A1069" s="403"/>
      <c r="B1069" s="403"/>
      <c r="C1069" s="403"/>
      <c r="I1069" s="491"/>
    </row>
    <row r="1070" spans="1:9">
      <c r="A1070" s="1319" t="s">
        <v>1818</v>
      </c>
      <c r="B1070" s="1319"/>
      <c r="C1070" s="1319"/>
      <c r="D1070" s="1319"/>
      <c r="E1070" s="1319"/>
      <c r="F1070" s="1319"/>
      <c r="G1070" s="1319"/>
      <c r="H1070" s="1029"/>
      <c r="I1070" s="1155"/>
    </row>
    <row r="1071" spans="1:9">
      <c r="A1071" s="403"/>
      <c r="B1071" s="403"/>
      <c r="C1071" s="403"/>
      <c r="I1071" s="491"/>
    </row>
    <row r="1072" spans="1:9">
      <c r="A1072" s="403"/>
      <c r="B1072" s="403"/>
      <c r="C1072" s="403"/>
      <c r="I1072" s="491"/>
    </row>
    <row r="1073" spans="1:9">
      <c r="A1073" s="403"/>
      <c r="B1073" s="486" t="s">
        <v>2732</v>
      </c>
      <c r="C1073" s="403"/>
      <c r="D1073" s="528" t="s">
        <v>1821</v>
      </c>
      <c r="I1073" s="491"/>
    </row>
    <row r="1074" spans="1:9">
      <c r="A1074" s="403"/>
      <c r="B1074" s="403"/>
      <c r="C1074" s="403"/>
      <c r="D1074" s="528" t="s">
        <v>1823</v>
      </c>
      <c r="I1074" s="491"/>
    </row>
    <row r="1075" spans="1:9">
      <c r="A1075" s="403"/>
      <c r="B1075" s="403"/>
      <c r="C1075" s="403"/>
      <c r="D1075" s="528"/>
      <c r="I1075" s="491"/>
    </row>
    <row r="1076" spans="1:9">
      <c r="A1076" s="403"/>
      <c r="B1076" s="486" t="s">
        <v>2731</v>
      </c>
      <c r="C1076" s="403"/>
      <c r="D1076" s="528" t="s">
        <v>1824</v>
      </c>
      <c r="I1076" s="491"/>
    </row>
    <row r="1077" spans="1:9">
      <c r="A1077" s="403"/>
      <c r="B1077" s="403"/>
      <c r="C1077" s="403"/>
      <c r="D1077" s="528" t="s">
        <v>1822</v>
      </c>
      <c r="I1077" s="491"/>
    </row>
    <row r="1078" spans="1:9">
      <c r="A1078" s="403"/>
      <c r="B1078" s="403"/>
      <c r="C1078" s="403"/>
      <c r="D1078" s="528"/>
      <c r="I1078" s="491"/>
    </row>
    <row r="1079" spans="1:9">
      <c r="A1079" s="403"/>
      <c r="B1079" s="486" t="s">
        <v>2731</v>
      </c>
      <c r="C1079" s="403"/>
      <c r="D1079" s="119" t="s">
        <v>1827</v>
      </c>
      <c r="I1079" s="491"/>
    </row>
    <row r="1080" spans="1:9">
      <c r="A1080" s="403"/>
      <c r="B1080" s="403"/>
      <c r="C1080" s="403"/>
      <c r="D1080" s="1270" t="s">
        <v>1828</v>
      </c>
      <c r="E1080" s="1270"/>
      <c r="F1080" s="1270"/>
      <c r="I1080" s="491"/>
    </row>
    <row r="1081" spans="1:9">
      <c r="A1081" s="403"/>
      <c r="B1081" s="403"/>
      <c r="C1081" s="403"/>
      <c r="D1081" s="1270"/>
      <c r="E1081" s="1270"/>
      <c r="F1081" s="1270"/>
      <c r="I1081" s="491"/>
    </row>
    <row r="1082" spans="1:9">
      <c r="A1082" s="403"/>
      <c r="B1082" s="403"/>
      <c r="C1082" s="403"/>
      <c r="D1082" s="1270"/>
      <c r="E1082" s="1270"/>
      <c r="F1082" s="1270"/>
      <c r="I1082" s="491"/>
    </row>
    <row r="1083" spans="1:9">
      <c r="A1083" s="403"/>
      <c r="B1083" s="403"/>
      <c r="C1083" s="403"/>
      <c r="D1083" s="1270"/>
      <c r="E1083" s="1270"/>
      <c r="F1083" s="1270"/>
      <c r="I1083" s="491"/>
    </row>
    <row r="1084" spans="1:9">
      <c r="A1084" s="403"/>
      <c r="B1084" s="403"/>
      <c r="C1084" s="403"/>
      <c r="D1084" s="119" t="s">
        <v>1826</v>
      </c>
      <c r="I1084" s="491"/>
    </row>
    <row r="1085" spans="1:9">
      <c r="A1085" s="403"/>
      <c r="B1085" s="403"/>
      <c r="C1085" s="403"/>
      <c r="D1085" s="119"/>
      <c r="I1085" s="491"/>
    </row>
    <row r="1086" spans="1:9">
      <c r="A1086" s="403"/>
      <c r="B1086" s="403"/>
      <c r="C1086" s="403"/>
      <c r="D1086" s="528" t="s">
        <v>1819</v>
      </c>
      <c r="I1086" s="491"/>
    </row>
    <row r="1087" spans="1:9">
      <c r="A1087" s="403"/>
      <c r="B1087" s="486" t="s">
        <v>2731</v>
      </c>
      <c r="C1087" s="403"/>
      <c r="D1087" s="1336" t="s">
        <v>1820</v>
      </c>
      <c r="E1087" s="1336"/>
      <c r="F1087" s="1336"/>
      <c r="I1087" s="491"/>
    </row>
    <row r="1088" spans="1:9">
      <c r="A1088" s="403"/>
      <c r="B1088" s="403"/>
      <c r="C1088" s="403"/>
      <c r="D1088" s="1336"/>
      <c r="E1088" s="1336"/>
      <c r="F1088" s="1336"/>
      <c r="I1088" s="491"/>
    </row>
    <row r="1089" spans="1:9">
      <c r="A1089" s="403"/>
      <c r="B1089" s="403"/>
      <c r="C1089" s="403"/>
      <c r="D1089" s="1336"/>
      <c r="E1089" s="1336"/>
      <c r="F1089" s="1336"/>
      <c r="I1089" s="491"/>
    </row>
    <row r="1090" spans="1:9">
      <c r="A1090" s="403"/>
      <c r="B1090" s="403"/>
      <c r="C1090" s="403"/>
      <c r="D1090" s="1336"/>
      <c r="E1090" s="1336"/>
      <c r="F1090" s="1336"/>
      <c r="I1090" s="491"/>
    </row>
    <row r="1091" spans="1:9">
      <c r="A1091" s="403"/>
      <c r="B1091" s="403"/>
      <c r="C1091" s="403"/>
      <c r="D1091" s="1336"/>
      <c r="E1091" s="1336"/>
      <c r="F1091" s="1336"/>
      <c r="I1091" s="491"/>
    </row>
    <row r="1092" spans="1:9">
      <c r="A1092" s="403"/>
      <c r="B1092" s="403"/>
      <c r="C1092" s="403"/>
      <c r="D1092" s="528" t="s">
        <v>1825</v>
      </c>
      <c r="I1092" s="491"/>
    </row>
    <row r="1093" spans="1:9">
      <c r="A1093" s="403"/>
      <c r="B1093" s="403"/>
      <c r="C1093" s="403"/>
      <c r="I1093" s="491"/>
    </row>
    <row r="1094" spans="1:9">
      <c r="A1094" s="403"/>
      <c r="B1094" s="486" t="s">
        <v>2731</v>
      </c>
      <c r="C1094" s="403"/>
      <c r="D1094" s="1286" t="s">
        <v>2283</v>
      </c>
      <c r="E1094" s="1286"/>
      <c r="F1094" s="1286"/>
      <c r="I1094" s="491"/>
    </row>
    <row r="1095" spans="1:9">
      <c r="A1095" s="403"/>
      <c r="B1095" s="403"/>
      <c r="C1095" s="403"/>
      <c r="D1095" s="1286"/>
      <c r="E1095" s="1286"/>
      <c r="F1095" s="1286"/>
      <c r="I1095" s="491"/>
    </row>
    <row r="1096" spans="1:9">
      <c r="A1096" s="403"/>
      <c r="B1096" s="403"/>
      <c r="C1096" s="403"/>
      <c r="D1096" s="1286"/>
      <c r="E1096" s="1286"/>
      <c r="F1096" s="1286"/>
      <c r="I1096" s="491"/>
    </row>
    <row r="1097" spans="1:9">
      <c r="A1097" s="403"/>
      <c r="B1097" s="403"/>
      <c r="C1097" s="403"/>
      <c r="I1097" s="491"/>
    </row>
    <row r="1098" spans="1:9">
      <c r="A1098" s="1319" t="s">
        <v>1830</v>
      </c>
      <c r="B1098" s="1319"/>
      <c r="C1098" s="1319"/>
      <c r="D1098" s="1319"/>
      <c r="E1098" s="1319"/>
      <c r="F1098" s="1319"/>
      <c r="G1098" s="1319"/>
      <c r="H1098" s="1029"/>
      <c r="I1098" s="1155"/>
    </row>
    <row r="1099" spans="1:9">
      <c r="A1099" s="403"/>
      <c r="B1099" s="403"/>
      <c r="C1099" s="403"/>
      <c r="I1099" s="491"/>
    </row>
    <row r="1100" spans="1:9">
      <c r="A1100" s="403"/>
      <c r="B1100" s="403"/>
      <c r="C1100" s="403"/>
      <c r="I1100" s="491"/>
    </row>
    <row r="1101" spans="1:9" ht="12.75" customHeight="1">
      <c r="A1101" s="403"/>
      <c r="B1101" s="486" t="s">
        <v>2731</v>
      </c>
      <c r="C1101" s="403"/>
      <c r="D1101" s="1338" t="s">
        <v>1929</v>
      </c>
      <c r="E1101" s="1338"/>
      <c r="F1101" s="1338"/>
      <c r="I1101" s="491"/>
    </row>
    <row r="1102" spans="1:9">
      <c r="A1102" s="403"/>
      <c r="B1102" s="403"/>
      <c r="C1102" s="403"/>
      <c r="D1102" s="1338"/>
      <c r="E1102" s="1338"/>
      <c r="F1102" s="1338"/>
      <c r="I1102" s="491"/>
    </row>
    <row r="1103" spans="1:9">
      <c r="A1103" s="403"/>
      <c r="B1103" s="403"/>
      <c r="C1103" s="403"/>
      <c r="D1103" s="1339" t="s">
        <v>2144</v>
      </c>
      <c r="E1103" s="1270"/>
      <c r="F1103" s="1270"/>
      <c r="I1103" s="491"/>
    </row>
    <row r="1104" spans="1:9">
      <c r="A1104" s="403"/>
      <c r="B1104" s="403"/>
      <c r="C1104" s="403"/>
      <c r="D1104" s="528"/>
      <c r="I1104" s="491"/>
    </row>
    <row r="1105" spans="1:9">
      <c r="A1105" s="403"/>
      <c r="B1105" s="486" t="s">
        <v>2732</v>
      </c>
      <c r="C1105" s="403"/>
      <c r="D1105" s="1336" t="s">
        <v>1831</v>
      </c>
      <c r="E1105" s="1336"/>
      <c r="F1105" s="1336"/>
      <c r="I1105" s="491"/>
    </row>
    <row r="1106" spans="1:9">
      <c r="A1106" s="403"/>
      <c r="B1106" s="403"/>
      <c r="C1106" s="403"/>
      <c r="D1106" s="1336"/>
      <c r="E1106" s="1336"/>
      <c r="F1106" s="1336"/>
      <c r="I1106" s="491"/>
    </row>
    <row r="1107" spans="1:9">
      <c r="A1107" s="403"/>
      <c r="B1107" s="403"/>
      <c r="C1107" s="403"/>
      <c r="D1107" s="528"/>
      <c r="I1107" s="491"/>
    </row>
    <row r="1108" spans="1:9">
      <c r="A1108" s="403"/>
      <c r="B1108" s="486" t="s">
        <v>2731</v>
      </c>
      <c r="C1108" s="403"/>
      <c r="D1108" s="1336" t="s">
        <v>1887</v>
      </c>
      <c r="E1108" s="1336"/>
      <c r="F1108" s="1336"/>
      <c r="I1108" s="491"/>
    </row>
    <row r="1109" spans="1:9">
      <c r="A1109" s="403"/>
      <c r="B1109" s="403"/>
      <c r="C1109" s="403"/>
      <c r="D1109" s="1336"/>
      <c r="E1109" s="1336"/>
      <c r="F1109" s="1336"/>
      <c r="I1109" s="491"/>
    </row>
    <row r="1110" spans="1:9">
      <c r="A1110" s="403"/>
      <c r="B1110" s="403"/>
      <c r="C1110" s="403"/>
      <c r="D1110" s="1336"/>
      <c r="E1110" s="1336"/>
      <c r="F1110" s="1336"/>
      <c r="I1110" s="491"/>
    </row>
    <row r="1111" spans="1:9">
      <c r="A1111" s="403"/>
      <c r="B1111" s="403"/>
      <c r="C1111" s="403"/>
      <c r="D1111" s="1336"/>
      <c r="E1111" s="1336"/>
      <c r="F1111" s="1336"/>
      <c r="I1111" s="491"/>
    </row>
    <row r="1112" spans="1:9">
      <c r="A1112" s="403"/>
      <c r="B1112" s="403"/>
      <c r="C1112" s="403"/>
      <c r="D1112" s="1336"/>
      <c r="E1112" s="1336"/>
      <c r="F1112" s="1336"/>
      <c r="I1112" s="491"/>
    </row>
    <row r="1113" spans="1:9">
      <c r="A1113" s="403"/>
      <c r="B1113" s="403"/>
      <c r="C1113" s="403"/>
      <c r="D1113" s="1336"/>
      <c r="E1113" s="1336"/>
      <c r="F1113" s="1336"/>
      <c r="I1113" s="491"/>
    </row>
    <row r="1114" spans="1:9" ht="12.5">
      <c r="A1114" s="403"/>
      <c r="B1114" s="403"/>
      <c r="C1114" s="403"/>
      <c r="D1114" s="528"/>
      <c r="I1114" s="481"/>
    </row>
    <row r="1115" spans="1:9">
      <c r="A1115" s="403"/>
      <c r="B1115" s="486" t="s">
        <v>2731</v>
      </c>
      <c r="C1115" s="403"/>
      <c r="D1115" s="1336" t="s">
        <v>1832</v>
      </c>
      <c r="E1115" s="1336"/>
      <c r="F1115" s="1336"/>
      <c r="I1115" s="491"/>
    </row>
    <row r="1116" spans="1:9">
      <c r="A1116" s="403"/>
      <c r="B1116" s="403"/>
      <c r="C1116" s="403"/>
      <c r="D1116" s="1336"/>
      <c r="E1116" s="1336"/>
      <c r="F1116" s="1336"/>
      <c r="I1116" s="491"/>
    </row>
    <row r="1117" spans="1:9">
      <c r="A1117" s="403"/>
      <c r="B1117" s="403"/>
      <c r="C1117" s="403"/>
      <c r="D1117" s="1336"/>
      <c r="E1117" s="1336"/>
      <c r="F1117" s="1336"/>
      <c r="I1117" s="491"/>
    </row>
    <row r="1118" spans="1:9">
      <c r="A1118" s="403"/>
      <c r="B1118" s="403"/>
      <c r="C1118" s="403"/>
      <c r="D1118" s="528"/>
      <c r="I1118" s="491"/>
    </row>
    <row r="1119" spans="1:9">
      <c r="A1119" s="403"/>
      <c r="B1119" s="486" t="s">
        <v>2731</v>
      </c>
      <c r="C1119" s="403"/>
      <c r="D1119" s="1276" t="s">
        <v>1888</v>
      </c>
      <c r="E1119" s="1276"/>
      <c r="F1119" s="1276"/>
      <c r="I1119" s="491"/>
    </row>
    <row r="1120" spans="1:9">
      <c r="A1120" s="403"/>
      <c r="B1120" s="403"/>
      <c r="C1120" s="403"/>
      <c r="D1120" s="1276"/>
      <c r="E1120" s="1276"/>
      <c r="F1120" s="1276"/>
      <c r="I1120" s="491"/>
    </row>
    <row r="1121" spans="1:9">
      <c r="A1121" s="403"/>
      <c r="B1121" s="403"/>
      <c r="C1121" s="403"/>
      <c r="D1121" s="1276"/>
      <c r="E1121" s="1276"/>
      <c r="F1121" s="1276"/>
      <c r="I1121" s="491"/>
    </row>
    <row r="1122" spans="1:9">
      <c r="A1122" s="403"/>
      <c r="B1122" s="403"/>
      <c r="C1122" s="403"/>
      <c r="D1122" s="981"/>
      <c r="E1122" s="981"/>
      <c r="F1122" s="981"/>
      <c r="I1122" s="491"/>
    </row>
    <row r="1123" spans="1:9" ht="15.75" customHeight="1">
      <c r="A1123" s="403"/>
      <c r="B1123" s="486" t="s">
        <v>2731</v>
      </c>
      <c r="C1123" s="403"/>
      <c r="D1123" s="1270" t="s">
        <v>1889</v>
      </c>
      <c r="E1123" s="1270"/>
      <c r="F1123" s="1270"/>
      <c r="I1123" s="491"/>
    </row>
    <row r="1124" spans="1:9">
      <c r="A1124" s="403"/>
      <c r="B1124" s="403"/>
      <c r="C1124" s="403"/>
      <c r="D1124" s="1270"/>
      <c r="E1124" s="1270"/>
      <c r="F1124" s="1270"/>
      <c r="I1124" s="491"/>
    </row>
    <row r="1125" spans="1:9">
      <c r="A1125" s="403"/>
      <c r="B1125" s="403"/>
      <c r="C1125" s="403"/>
      <c r="D1125" s="1270"/>
      <c r="E1125" s="1270"/>
      <c r="F1125" s="1270"/>
      <c r="I1125" s="491"/>
    </row>
    <row r="1126" spans="1:9">
      <c r="A1126" s="403"/>
      <c r="B1126" s="403"/>
      <c r="C1126" s="403"/>
      <c r="D1126" s="1270"/>
      <c r="E1126" s="1270"/>
      <c r="F1126" s="1270"/>
      <c r="I1126" s="491"/>
    </row>
    <row r="1127" spans="1:9">
      <c r="A1127" s="403"/>
      <c r="B1127" s="403"/>
      <c r="C1127" s="403"/>
      <c r="D1127" s="981"/>
      <c r="E1127" s="981"/>
      <c r="F1127" s="981"/>
      <c r="I1127" s="491"/>
    </row>
    <row r="1128" spans="1:9" ht="12.5">
      <c r="A1128" s="403"/>
      <c r="B1128" s="403"/>
      <c r="C1128" s="403"/>
      <c r="I1128" s="1161"/>
    </row>
    <row r="1129" spans="1:9">
      <c r="A1129" s="403"/>
      <c r="B1129" s="403"/>
      <c r="C1129" s="403"/>
      <c r="I1129" s="491"/>
    </row>
    <row r="1130" spans="1:9">
      <c r="A1130" s="403"/>
      <c r="B1130" s="403"/>
      <c r="C1130" s="403"/>
      <c r="I1130" s="491"/>
    </row>
    <row r="1131" spans="1:9">
      <c r="A1131" s="403"/>
      <c r="B1131" s="403"/>
      <c r="C1131" s="403"/>
    </row>
    <row r="1132" spans="1:9">
      <c r="A1132" s="403"/>
      <c r="B1132" s="403"/>
      <c r="C1132" s="403"/>
    </row>
    <row r="1133" spans="1:9">
      <c r="A1133" s="403"/>
      <c r="B1133" s="403"/>
      <c r="C1133" s="403"/>
    </row>
    <row r="1134" spans="1:9">
      <c r="A1134" s="403"/>
      <c r="B1134" s="403"/>
      <c r="C1134" s="403"/>
    </row>
    <row r="1135" spans="1:9">
      <c r="A1135" s="403"/>
      <c r="B1135" s="403"/>
      <c r="C1135" s="403"/>
    </row>
    <row r="1136" spans="1:9">
      <c r="A1136" s="403"/>
      <c r="B1136" s="403"/>
      <c r="C1136" s="403"/>
    </row>
    <row r="1137" spans="1:3">
      <c r="A1137" s="403"/>
      <c r="B1137" s="403"/>
      <c r="C1137" s="403"/>
    </row>
    <row r="1138" spans="1:3">
      <c r="A1138" s="403"/>
      <c r="B1138" s="403"/>
      <c r="C1138" s="403"/>
    </row>
    <row r="1139" spans="1:3">
      <c r="A1139" s="403"/>
      <c r="B1139" s="403"/>
      <c r="C1139" s="403"/>
    </row>
    <row r="1140" spans="1:3">
      <c r="A1140" s="403"/>
      <c r="B1140" s="403"/>
      <c r="C1140" s="403"/>
    </row>
    <row r="1141" spans="1:3">
      <c r="A1141" s="403"/>
      <c r="B1141" s="403"/>
      <c r="C1141" s="403"/>
    </row>
    <row r="1142" spans="1:3">
      <c r="A1142" s="403"/>
      <c r="B1142" s="403"/>
      <c r="C1142" s="403"/>
    </row>
    <row r="1143" spans="1:3">
      <c r="A1143" s="403"/>
      <c r="B1143" s="403"/>
      <c r="C1143" s="403"/>
    </row>
    <row r="1144" spans="1:3">
      <c r="A1144" s="403"/>
      <c r="B1144" s="403"/>
      <c r="C1144" s="403"/>
    </row>
    <row r="1145" spans="1:3">
      <c r="A1145" s="403"/>
      <c r="B1145" s="403"/>
      <c r="C1145" s="403"/>
    </row>
    <row r="1146" spans="1:3"/>
    <row r="1147" spans="1:3"/>
    <row r="1148" spans="1:3"/>
    <row r="1149" spans="1:3"/>
    <row r="1150" spans="1:3"/>
    <row r="1151" spans="1:3"/>
    <row r="1152" spans="1:3"/>
    <row r="1153" spans="1:3">
      <c r="A1153" s="403"/>
      <c r="B1153" s="403"/>
      <c r="C1153" s="403"/>
    </row>
    <row r="1154" spans="1:3">
      <c r="A1154" s="403"/>
      <c r="B1154" s="403"/>
      <c r="C1154" s="403"/>
    </row>
    <row r="1155" spans="1:3">
      <c r="A1155" s="403"/>
      <c r="B1155" s="403"/>
      <c r="C1155" s="403"/>
    </row>
    <row r="1156" spans="1:3">
      <c r="A1156" s="403"/>
      <c r="B1156" s="403"/>
      <c r="C1156" s="403"/>
    </row>
    <row r="1157" spans="1:3">
      <c r="A1157" s="403"/>
      <c r="B1157" s="403"/>
      <c r="C1157" s="403"/>
    </row>
    <row r="1158" spans="1:3">
      <c r="A1158" s="403"/>
      <c r="B1158" s="403"/>
      <c r="C1158" s="403"/>
    </row>
    <row r="1159" spans="1:3">
      <c r="A1159" s="403"/>
      <c r="B1159" s="403"/>
      <c r="C1159" s="403"/>
    </row>
    <row r="1160" spans="1:3">
      <c r="A1160" s="403"/>
      <c r="B1160" s="403"/>
      <c r="C1160" s="403"/>
    </row>
    <row r="1161" spans="1:3">
      <c r="A1161" s="403"/>
      <c r="B1161" s="403"/>
      <c r="C1161" s="403"/>
    </row>
    <row r="1162" spans="1:3">
      <c r="A1162" s="403"/>
      <c r="B1162" s="403"/>
      <c r="C1162" s="403"/>
    </row>
    <row r="1163" spans="1:3">
      <c r="A1163" s="403"/>
      <c r="B1163" s="403"/>
      <c r="C1163" s="403"/>
    </row>
    <row r="1164" spans="1:3">
      <c r="A1164" s="403"/>
      <c r="B1164" s="403"/>
      <c r="C1164" s="403"/>
    </row>
    <row r="1165" spans="1:3">
      <c r="A1165" s="403"/>
      <c r="B1165" s="403"/>
      <c r="C1165" s="403"/>
    </row>
    <row r="1166" spans="1:3">
      <c r="A1166" s="403"/>
      <c r="B1166" s="403"/>
      <c r="C1166" s="403"/>
    </row>
    <row r="1167" spans="1:3">
      <c r="A1167" s="403"/>
      <c r="B1167" s="403"/>
      <c r="C1167" s="403"/>
    </row>
    <row r="1168" spans="1:3">
      <c r="A1168" s="403"/>
      <c r="B1168" s="403"/>
      <c r="C1168" s="403"/>
    </row>
    <row r="1169" spans="1:3">
      <c r="A1169" s="403"/>
      <c r="B1169" s="403"/>
      <c r="C1169" s="403"/>
    </row>
    <row r="1170" spans="1:3">
      <c r="A1170" s="403"/>
      <c r="B1170" s="403"/>
      <c r="C1170" s="403"/>
    </row>
    <row r="1171" spans="1:3">
      <c r="A1171" s="403"/>
      <c r="B1171" s="403"/>
      <c r="C1171" s="403"/>
    </row>
    <row r="1172" spans="1:3">
      <c r="A1172" s="403"/>
      <c r="B1172" s="403"/>
      <c r="C1172" s="403"/>
    </row>
    <row r="1173" spans="1:3">
      <c r="A1173" s="403"/>
      <c r="B1173" s="403"/>
      <c r="C1173" s="403"/>
    </row>
    <row r="1174" spans="1:3">
      <c r="A1174" s="403"/>
      <c r="B1174" s="403"/>
      <c r="C1174" s="403"/>
    </row>
    <row r="1175" spans="1:3">
      <c r="A1175" s="403"/>
      <c r="B1175" s="403"/>
      <c r="C1175" s="403"/>
    </row>
    <row r="1176" spans="1:3">
      <c r="A1176" s="403"/>
      <c r="B1176" s="403"/>
      <c r="C1176" s="403"/>
    </row>
    <row r="1177" spans="1:3">
      <c r="A1177" s="403"/>
      <c r="B1177" s="403"/>
      <c r="C1177" s="403"/>
    </row>
    <row r="1178" spans="1:3">
      <c r="A1178" s="403"/>
      <c r="B1178" s="403"/>
      <c r="C1178" s="403"/>
    </row>
    <row r="1179" spans="1:3">
      <c r="A1179" s="403"/>
      <c r="B1179" s="403"/>
      <c r="C1179" s="403"/>
    </row>
    <row r="1180" spans="1:3">
      <c r="A1180" s="403"/>
      <c r="B1180" s="403"/>
      <c r="C1180" s="403"/>
    </row>
    <row r="1181" spans="1:3">
      <c r="A1181" s="403"/>
      <c r="B1181" s="403"/>
      <c r="C1181" s="403"/>
    </row>
    <row r="1182" spans="1:3">
      <c r="A1182" s="403"/>
      <c r="B1182" s="403"/>
      <c r="C1182" s="403"/>
    </row>
    <row r="1183" spans="1:3">
      <c r="A1183" s="403"/>
      <c r="B1183" s="403"/>
      <c r="C1183" s="403"/>
    </row>
    <row r="1184" spans="1:3">
      <c r="A1184" s="403"/>
      <c r="B1184" s="403"/>
      <c r="C1184" s="403"/>
    </row>
    <row r="1185" spans="1:3">
      <c r="A1185" s="403"/>
      <c r="B1185" s="403"/>
      <c r="C1185" s="403"/>
    </row>
    <row r="1186" spans="1:3">
      <c r="A1186" s="403"/>
      <c r="B1186" s="403"/>
      <c r="C1186" s="403"/>
    </row>
    <row r="1187" spans="1:3">
      <c r="A1187" s="403"/>
      <c r="B1187" s="403"/>
      <c r="C1187" s="403"/>
    </row>
    <row r="1188" spans="1:3">
      <c r="A1188" s="403"/>
      <c r="B1188" s="403"/>
      <c r="C1188" s="403"/>
    </row>
    <row r="1189" spans="1:3">
      <c r="A1189" s="403"/>
      <c r="B1189" s="403"/>
      <c r="C1189" s="403"/>
    </row>
    <row r="1190" spans="1:3">
      <c r="A1190" s="403"/>
      <c r="B1190" s="403"/>
      <c r="C1190" s="403"/>
    </row>
    <row r="1191" spans="1:3">
      <c r="A1191" s="403"/>
      <c r="B1191" s="403"/>
      <c r="C1191" s="403"/>
    </row>
    <row r="1192" spans="1:3">
      <c r="A1192" s="403"/>
      <c r="B1192" s="403"/>
      <c r="C1192" s="403"/>
    </row>
    <row r="1193" spans="1:3">
      <c r="A1193" s="403"/>
      <c r="B1193" s="403"/>
      <c r="C1193" s="403"/>
    </row>
    <row r="1194" spans="1:3">
      <c r="A1194" s="403"/>
      <c r="B1194" s="403"/>
      <c r="C1194" s="403"/>
    </row>
    <row r="1195" spans="1:3">
      <c r="A1195" s="403"/>
      <c r="B1195" s="403"/>
      <c r="C1195" s="403"/>
    </row>
    <row r="1196" spans="1:3">
      <c r="A1196" s="403"/>
      <c r="B1196" s="403"/>
      <c r="C1196" s="403"/>
    </row>
    <row r="1197" spans="1:3">
      <c r="A1197" s="403"/>
      <c r="B1197" s="403"/>
      <c r="C1197" s="403"/>
    </row>
    <row r="1198" spans="1:3">
      <c r="A1198" s="403"/>
      <c r="B1198" s="403"/>
      <c r="C1198" s="403"/>
    </row>
    <row r="1199" spans="1:3">
      <c r="A1199" s="403"/>
      <c r="B1199" s="403"/>
      <c r="C1199" s="403"/>
    </row>
    <row r="1200" spans="1:3">
      <c r="A1200" s="403"/>
      <c r="B1200" s="403"/>
      <c r="C1200" s="403"/>
    </row>
    <row r="1201" spans="1:3">
      <c r="A1201" s="403"/>
      <c r="B1201" s="403"/>
      <c r="C1201" s="403"/>
    </row>
    <row r="1202" spans="1:3">
      <c r="A1202" s="403"/>
      <c r="B1202" s="403"/>
      <c r="C1202" s="403"/>
    </row>
    <row r="1203" spans="1:3">
      <c r="A1203" s="403"/>
      <c r="B1203" s="403"/>
      <c r="C1203" s="403"/>
    </row>
    <row r="1204" spans="1:3">
      <c r="A1204" s="403"/>
      <c r="B1204" s="403"/>
      <c r="C1204" s="403"/>
    </row>
    <row r="1205" spans="1:3">
      <c r="A1205" s="403"/>
      <c r="B1205" s="403"/>
      <c r="C1205" s="403"/>
    </row>
    <row r="1206" spans="1:3">
      <c r="A1206" s="403"/>
      <c r="B1206" s="403"/>
      <c r="C1206" s="403"/>
    </row>
    <row r="1207" spans="1:3">
      <c r="A1207" s="403"/>
      <c r="B1207" s="403"/>
      <c r="C1207" s="403"/>
    </row>
    <row r="1208" spans="1:3">
      <c r="A1208" s="403"/>
      <c r="B1208" s="403"/>
      <c r="C1208" s="403"/>
    </row>
    <row r="1209" spans="1:3">
      <c r="A1209" s="403"/>
      <c r="B1209" s="403"/>
      <c r="C1209" s="403"/>
    </row>
    <row r="1210" spans="1:3">
      <c r="A1210" s="403"/>
      <c r="B1210" s="403"/>
      <c r="C1210" s="403"/>
    </row>
    <row r="1211" spans="1:3">
      <c r="A1211" s="403"/>
      <c r="B1211" s="403"/>
      <c r="C1211" s="403"/>
    </row>
    <row r="1212" spans="1:3">
      <c r="A1212" s="403"/>
      <c r="B1212" s="403"/>
      <c r="C1212" s="403"/>
    </row>
    <row r="1213" spans="1:3">
      <c r="A1213" s="403"/>
      <c r="B1213" s="403"/>
      <c r="C1213" s="403"/>
    </row>
    <row r="1214" spans="1:3">
      <c r="A1214" s="403"/>
      <c r="B1214" s="403"/>
      <c r="C1214" s="403"/>
    </row>
    <row r="1215" spans="1:3">
      <c r="A1215" s="403"/>
      <c r="B1215" s="403"/>
      <c r="C1215" s="403"/>
    </row>
    <row r="1216" spans="1:3">
      <c r="A1216" s="403"/>
      <c r="B1216" s="403"/>
      <c r="C1216" s="403"/>
    </row>
    <row r="1217" spans="1:3">
      <c r="A1217" s="403"/>
      <c r="B1217" s="403"/>
      <c r="C1217" s="403"/>
    </row>
    <row r="1218" spans="1:3">
      <c r="A1218" s="403"/>
      <c r="B1218" s="403"/>
      <c r="C1218" s="403"/>
    </row>
    <row r="1219" spans="1:3">
      <c r="A1219" s="403"/>
      <c r="B1219" s="403"/>
      <c r="C1219" s="403"/>
    </row>
    <row r="1220" spans="1:3">
      <c r="A1220" s="403"/>
      <c r="B1220" s="403"/>
      <c r="C1220" s="403"/>
    </row>
    <row r="1221" spans="1:3">
      <c r="A1221" s="403"/>
      <c r="B1221" s="403"/>
      <c r="C1221" s="403"/>
    </row>
    <row r="1222" spans="1:3">
      <c r="A1222" s="403"/>
      <c r="B1222" s="403"/>
      <c r="C1222" s="403"/>
    </row>
    <row r="1223" spans="1:3">
      <c r="A1223" s="403"/>
      <c r="B1223" s="403"/>
      <c r="C1223" s="403"/>
    </row>
    <row r="1224" spans="1:3">
      <c r="A1224" s="403"/>
      <c r="B1224" s="403"/>
      <c r="C1224" s="403"/>
    </row>
    <row r="1225" spans="1:3">
      <c r="A1225" s="403"/>
      <c r="B1225" s="403"/>
      <c r="C1225" s="403"/>
    </row>
    <row r="1226" spans="1:3">
      <c r="A1226" s="403"/>
      <c r="B1226" s="403"/>
      <c r="C1226" s="403"/>
    </row>
    <row r="1227" spans="1:3">
      <c r="A1227" s="403"/>
      <c r="B1227" s="403"/>
      <c r="C1227" s="403"/>
    </row>
    <row r="1228" spans="1:3">
      <c r="A1228" s="403"/>
      <c r="B1228" s="403"/>
      <c r="C1228" s="403"/>
    </row>
    <row r="1229" spans="1:3">
      <c r="A1229" s="403"/>
      <c r="B1229" s="403"/>
      <c r="C1229" s="403"/>
    </row>
    <row r="1230" spans="1:3">
      <c r="A1230" s="403"/>
      <c r="B1230" s="403"/>
      <c r="C1230" s="403"/>
    </row>
    <row r="1231" spans="1:3">
      <c r="A1231" s="403"/>
      <c r="B1231" s="403"/>
      <c r="C1231" s="403"/>
    </row>
    <row r="1232" spans="1:3">
      <c r="A1232" s="403"/>
      <c r="B1232" s="403"/>
      <c r="C1232" s="403"/>
    </row>
    <row r="1233" spans="1:3">
      <c r="A1233" s="403"/>
      <c r="B1233" s="403"/>
      <c r="C1233" s="403"/>
    </row>
    <row r="1234" spans="1:3">
      <c r="A1234" s="403"/>
      <c r="B1234" s="403"/>
      <c r="C1234" s="403"/>
    </row>
    <row r="1235" spans="1:3">
      <c r="A1235" s="403"/>
      <c r="B1235" s="403"/>
      <c r="C1235" s="403"/>
    </row>
    <row r="1236" spans="1:3">
      <c r="A1236" s="403"/>
      <c r="B1236" s="403"/>
      <c r="C1236" s="403"/>
    </row>
    <row r="1237" spans="1:3">
      <c r="A1237" s="403"/>
      <c r="B1237" s="403"/>
      <c r="C1237" s="403"/>
    </row>
    <row r="1238" spans="1:3">
      <c r="A1238" s="403"/>
      <c r="B1238" s="403"/>
      <c r="C1238" s="403"/>
    </row>
    <row r="1239" spans="1:3">
      <c r="A1239" s="403"/>
      <c r="B1239" s="403"/>
      <c r="C1239" s="403"/>
    </row>
    <row r="1240" spans="1:3">
      <c r="A1240" s="403"/>
      <c r="B1240" s="403"/>
      <c r="C1240" s="403"/>
    </row>
    <row r="1241" spans="1:3">
      <c r="A1241" s="403"/>
      <c r="B1241" s="403"/>
      <c r="C1241" s="403"/>
    </row>
    <row r="1242" spans="1:3">
      <c r="A1242" s="403"/>
      <c r="B1242" s="403"/>
      <c r="C1242" s="403"/>
    </row>
    <row r="1243" spans="1:3">
      <c r="A1243" s="403"/>
      <c r="B1243" s="403"/>
      <c r="C1243" s="403"/>
    </row>
    <row r="1244" spans="1:3">
      <c r="A1244" s="403"/>
      <c r="B1244" s="403"/>
      <c r="C1244" s="403"/>
    </row>
    <row r="1245" spans="1:3">
      <c r="A1245" s="403"/>
      <c r="B1245" s="403"/>
      <c r="C1245" s="403"/>
    </row>
    <row r="1246" spans="1:3">
      <c r="A1246" s="403"/>
      <c r="B1246" s="403"/>
      <c r="C1246" s="403"/>
    </row>
    <row r="1247" spans="1:3">
      <c r="A1247" s="403"/>
      <c r="B1247" s="403"/>
      <c r="C1247" s="403"/>
    </row>
    <row r="1248" spans="1:3">
      <c r="A1248" s="403"/>
      <c r="B1248" s="403"/>
      <c r="C1248" s="403"/>
    </row>
    <row r="1249" spans="1:3">
      <c r="A1249" s="403"/>
      <c r="B1249" s="403"/>
      <c r="C1249" s="403"/>
    </row>
    <row r="1250" spans="1:3">
      <c r="A1250" s="403"/>
      <c r="B1250" s="403"/>
      <c r="C1250" s="403"/>
    </row>
    <row r="1251" spans="1:3">
      <c r="A1251" s="403"/>
      <c r="B1251" s="403"/>
      <c r="C1251" s="403"/>
    </row>
    <row r="1252" spans="1:3">
      <c r="A1252" s="403"/>
      <c r="B1252" s="403"/>
      <c r="C1252" s="403"/>
    </row>
    <row r="1253" spans="1:3">
      <c r="A1253" s="403"/>
      <c r="B1253" s="403"/>
      <c r="C1253" s="403"/>
    </row>
    <row r="1254" spans="1:3">
      <c r="A1254" s="403"/>
      <c r="B1254" s="403"/>
      <c r="C1254" s="403"/>
    </row>
    <row r="1255" spans="1:3">
      <c r="A1255" s="403"/>
      <c r="B1255" s="403"/>
      <c r="C1255" s="403"/>
    </row>
    <row r="1256" spans="1:3">
      <c r="A1256" s="403"/>
      <c r="B1256" s="403"/>
      <c r="C1256" s="403"/>
    </row>
    <row r="1257" spans="1:3">
      <c r="A1257" s="403"/>
      <c r="B1257" s="403"/>
      <c r="C1257" s="403"/>
    </row>
    <row r="1258" spans="1:3">
      <c r="A1258" s="403"/>
      <c r="B1258" s="403"/>
      <c r="C1258" s="403"/>
    </row>
    <row r="1259" spans="1:3">
      <c r="A1259" s="403"/>
      <c r="B1259" s="403"/>
      <c r="C1259" s="403"/>
    </row>
    <row r="1260" spans="1:3">
      <c r="A1260" s="403"/>
      <c r="B1260" s="403"/>
      <c r="C1260" s="403"/>
    </row>
    <row r="1261" spans="1:3">
      <c r="A1261" s="403"/>
      <c r="B1261" s="403"/>
      <c r="C1261" s="403"/>
    </row>
    <row r="1262" spans="1:3">
      <c r="A1262" s="403"/>
      <c r="B1262" s="403"/>
      <c r="C1262" s="403"/>
    </row>
    <row r="1263" spans="1:3">
      <c r="A1263" s="403"/>
      <c r="B1263" s="403"/>
      <c r="C1263" s="403"/>
    </row>
    <row r="1264" spans="1:3">
      <c r="A1264" s="403"/>
      <c r="B1264" s="403"/>
      <c r="C1264" s="403"/>
    </row>
    <row r="1265" spans="1:3">
      <c r="A1265" s="403"/>
      <c r="B1265" s="403"/>
      <c r="C1265" s="403"/>
    </row>
    <row r="1266" spans="1:3">
      <c r="A1266" s="403"/>
      <c r="B1266" s="403"/>
      <c r="C1266" s="403"/>
    </row>
    <row r="1267" spans="1:3">
      <c r="A1267" s="403"/>
      <c r="B1267" s="403"/>
      <c r="C1267" s="403"/>
    </row>
    <row r="1268" spans="1:3">
      <c r="A1268" s="403"/>
      <c r="B1268" s="403"/>
      <c r="C1268" s="403"/>
    </row>
    <row r="1269" spans="1:3">
      <c r="A1269" s="403"/>
      <c r="B1269" s="403"/>
      <c r="C1269" s="403"/>
    </row>
    <row r="1270" spans="1:3">
      <c r="A1270" s="403"/>
      <c r="B1270" s="403"/>
      <c r="C1270" s="403"/>
    </row>
    <row r="1271" spans="1:3">
      <c r="A1271" s="403"/>
      <c r="B1271" s="403"/>
      <c r="C1271" s="403"/>
    </row>
    <row r="1272" spans="1:3">
      <c r="A1272" s="403"/>
      <c r="B1272" s="403"/>
      <c r="C1272" s="403"/>
    </row>
    <row r="1273" spans="1:3">
      <c r="A1273" s="403"/>
      <c r="B1273" s="403"/>
      <c r="C1273" s="403"/>
    </row>
    <row r="1274" spans="1:3">
      <c r="A1274" s="403"/>
      <c r="B1274" s="403"/>
      <c r="C1274" s="403"/>
    </row>
    <row r="1275" spans="1:3">
      <c r="A1275" s="403"/>
      <c r="B1275" s="403"/>
      <c r="C1275" s="403"/>
    </row>
    <row r="1276" spans="1:3">
      <c r="A1276" s="403"/>
      <c r="B1276" s="403"/>
      <c r="C1276" s="403"/>
    </row>
    <row r="1277" spans="1:3">
      <c r="A1277" s="403"/>
      <c r="B1277" s="403"/>
      <c r="C1277" s="403"/>
    </row>
    <row r="1278" spans="1:3">
      <c r="A1278" s="403"/>
      <c r="B1278" s="403"/>
      <c r="C1278" s="403"/>
    </row>
    <row r="1279" spans="1:3">
      <c r="A1279" s="403"/>
      <c r="B1279" s="403"/>
      <c r="C1279" s="403"/>
    </row>
    <row r="1280" spans="1:3">
      <c r="A1280" s="403"/>
      <c r="B1280" s="403"/>
      <c r="C1280" s="403"/>
    </row>
    <row r="1281" spans="1:3">
      <c r="A1281" s="403"/>
      <c r="B1281" s="403"/>
      <c r="C1281" s="403"/>
    </row>
    <row r="1282" spans="1:3">
      <c r="A1282" s="403"/>
      <c r="B1282" s="403"/>
      <c r="C1282" s="403"/>
    </row>
    <row r="1283" spans="1:3">
      <c r="A1283" s="403"/>
      <c r="B1283" s="403"/>
      <c r="C1283" s="403"/>
    </row>
    <row r="1284" spans="1:3">
      <c r="A1284" s="403"/>
      <c r="B1284" s="403"/>
      <c r="C1284" s="403"/>
    </row>
    <row r="1285" spans="1:3">
      <c r="A1285" s="403"/>
      <c r="B1285" s="403"/>
      <c r="C1285" s="403"/>
    </row>
    <row r="1286" spans="1:3">
      <c r="A1286" s="403"/>
      <c r="B1286" s="403"/>
      <c r="C1286" s="403"/>
    </row>
    <row r="1287" spans="1:3">
      <c r="A1287" s="403"/>
      <c r="B1287" s="403"/>
      <c r="C1287" s="403"/>
    </row>
    <row r="1288" spans="1:3">
      <c r="A1288" s="403"/>
      <c r="B1288" s="403"/>
      <c r="C1288" s="403"/>
    </row>
    <row r="1289" spans="1:3">
      <c r="A1289" s="403"/>
      <c r="B1289" s="403"/>
      <c r="C1289" s="403"/>
    </row>
    <row r="1290" spans="1:3">
      <c r="A1290" s="403"/>
      <c r="B1290" s="403"/>
      <c r="C1290" s="403"/>
    </row>
    <row r="1291" spans="1:3">
      <c r="A1291" s="403"/>
      <c r="B1291" s="403"/>
      <c r="C1291" s="403"/>
    </row>
    <row r="1292" spans="1:3">
      <c r="A1292" s="403"/>
      <c r="B1292" s="403"/>
      <c r="C1292" s="403"/>
    </row>
    <row r="1293" spans="1:3">
      <c r="A1293" s="403"/>
      <c r="B1293" s="403"/>
      <c r="C1293" s="403"/>
    </row>
    <row r="1294" spans="1:3">
      <c r="A1294" s="403"/>
      <c r="B1294" s="403"/>
      <c r="C1294" s="403"/>
    </row>
    <row r="1295" spans="1:3">
      <c r="A1295" s="403"/>
      <c r="B1295" s="403"/>
      <c r="C1295" s="403"/>
    </row>
    <row r="1296" spans="1:3">
      <c r="A1296" s="403"/>
      <c r="B1296" s="403"/>
      <c r="C1296" s="403"/>
    </row>
    <row r="1297" spans="1:3">
      <c r="A1297" s="403"/>
      <c r="B1297" s="403"/>
      <c r="C1297" s="403"/>
    </row>
    <row r="1298" spans="1:3">
      <c r="A1298" s="403"/>
      <c r="B1298" s="403"/>
      <c r="C1298" s="403"/>
    </row>
    <row r="1299" spans="1:3">
      <c r="A1299" s="403"/>
      <c r="B1299" s="403"/>
      <c r="C1299" s="403"/>
    </row>
    <row r="1300" spans="1:3">
      <c r="A1300" s="403"/>
      <c r="B1300" s="403"/>
      <c r="C1300" s="403"/>
    </row>
    <row r="1301" spans="1:3">
      <c r="A1301" s="403"/>
      <c r="B1301" s="403"/>
      <c r="C1301" s="403"/>
    </row>
    <row r="1302" spans="1:3">
      <c r="A1302" s="403"/>
      <c r="B1302" s="403"/>
      <c r="C1302" s="403"/>
    </row>
    <row r="1303" spans="1:3">
      <c r="A1303" s="403"/>
      <c r="B1303" s="403"/>
      <c r="C1303" s="403"/>
    </row>
    <row r="1304" spans="1:3">
      <c r="A1304" s="403"/>
      <c r="B1304" s="403"/>
      <c r="C1304" s="403"/>
    </row>
    <row r="1305" spans="1:3">
      <c r="A1305" s="403"/>
      <c r="B1305" s="403"/>
      <c r="C1305" s="403"/>
    </row>
    <row r="1306" spans="1:3">
      <c r="A1306" s="403"/>
      <c r="B1306" s="403"/>
      <c r="C1306" s="403"/>
    </row>
    <row r="1307" spans="1:3">
      <c r="A1307" s="403"/>
      <c r="B1307" s="403"/>
      <c r="C1307" s="403"/>
    </row>
    <row r="1308" spans="1:3">
      <c r="A1308" s="403"/>
      <c r="B1308" s="403"/>
      <c r="C1308" s="403"/>
    </row>
    <row r="1309" spans="1:3">
      <c r="A1309" s="403"/>
      <c r="B1309" s="403"/>
      <c r="C1309" s="403"/>
    </row>
    <row r="1310" spans="1:3">
      <c r="A1310" s="403"/>
      <c r="B1310" s="403"/>
      <c r="C1310" s="403"/>
    </row>
    <row r="1311" spans="1:3">
      <c r="A1311" s="403"/>
      <c r="B1311" s="403"/>
      <c r="C1311" s="403"/>
    </row>
    <row r="1312" spans="1:3">
      <c r="A1312" s="403"/>
      <c r="B1312" s="403"/>
      <c r="C1312" s="403"/>
    </row>
    <row r="1313" spans="1:3">
      <c r="A1313" s="403"/>
      <c r="B1313" s="403"/>
      <c r="C1313" s="403"/>
    </row>
    <row r="1314" spans="1:3">
      <c r="A1314" s="403"/>
      <c r="B1314" s="403"/>
      <c r="C1314" s="403"/>
    </row>
    <row r="1315" spans="1:3">
      <c r="A1315" s="403"/>
      <c r="B1315" s="403"/>
      <c r="C1315" s="403"/>
    </row>
    <row r="1316" spans="1:3">
      <c r="A1316" s="403"/>
      <c r="B1316" s="403"/>
      <c r="C1316" s="403"/>
    </row>
    <row r="1317" spans="1:3">
      <c r="A1317" s="403"/>
      <c r="B1317" s="403"/>
      <c r="C1317" s="403"/>
    </row>
    <row r="1318" spans="1:3">
      <c r="A1318" s="403"/>
      <c r="B1318" s="403"/>
      <c r="C1318" s="403"/>
    </row>
    <row r="1319" spans="1:3">
      <c r="A1319" s="403"/>
      <c r="B1319" s="403"/>
      <c r="C1319" s="403"/>
    </row>
    <row r="1320" spans="1:3">
      <c r="A1320" s="403"/>
      <c r="B1320" s="403"/>
      <c r="C1320" s="403"/>
    </row>
    <row r="1321" spans="1:3">
      <c r="A1321" s="403"/>
      <c r="B1321" s="403"/>
      <c r="C1321" s="403"/>
    </row>
    <row r="1322" spans="1:3">
      <c r="A1322" s="403"/>
      <c r="B1322" s="403"/>
      <c r="C1322" s="403"/>
    </row>
    <row r="1323" spans="1:3">
      <c r="A1323" s="403"/>
      <c r="B1323" s="403"/>
      <c r="C1323" s="403"/>
    </row>
    <row r="1324" spans="1:3">
      <c r="A1324" s="403"/>
      <c r="B1324" s="403"/>
      <c r="C1324" s="403"/>
    </row>
    <row r="1325" spans="1:3">
      <c r="A1325" s="403"/>
      <c r="B1325" s="403"/>
      <c r="C1325" s="403"/>
    </row>
    <row r="1326" spans="1:3">
      <c r="A1326" s="403"/>
      <c r="B1326" s="403"/>
      <c r="C1326" s="403"/>
    </row>
    <row r="1327" spans="1:3">
      <c r="A1327" s="403"/>
      <c r="B1327" s="403"/>
      <c r="C1327" s="403"/>
    </row>
    <row r="1328" spans="1:3">
      <c r="A1328" s="403"/>
      <c r="B1328" s="403"/>
      <c r="C1328" s="403"/>
    </row>
    <row r="1329" spans="1:3">
      <c r="A1329" s="403"/>
      <c r="B1329" s="403"/>
      <c r="C1329" s="403"/>
    </row>
    <row r="1330" spans="1:3">
      <c r="A1330" s="403"/>
      <c r="B1330" s="403"/>
      <c r="C1330" s="403"/>
    </row>
    <row r="1331" spans="1:3">
      <c r="A1331" s="403"/>
      <c r="B1331" s="403"/>
      <c r="C1331" s="403"/>
    </row>
    <row r="1332" spans="1:3">
      <c r="A1332" s="403"/>
      <c r="B1332" s="403"/>
      <c r="C1332" s="403"/>
    </row>
    <row r="1333" spans="1:3">
      <c r="A1333" s="403"/>
      <c r="B1333" s="403"/>
      <c r="C1333" s="403"/>
    </row>
    <row r="1334" spans="1:3">
      <c r="A1334" s="403"/>
      <c r="B1334" s="403"/>
      <c r="C1334" s="403"/>
    </row>
    <row r="1335" spans="1:3">
      <c r="A1335" s="403"/>
      <c r="B1335" s="403"/>
      <c r="C1335" s="403"/>
    </row>
    <row r="1336" spans="1:3">
      <c r="A1336" s="403"/>
      <c r="B1336" s="403"/>
      <c r="C1336" s="403"/>
    </row>
    <row r="1337" spans="1:3">
      <c r="A1337" s="403"/>
      <c r="B1337" s="403"/>
      <c r="C1337" s="403"/>
    </row>
    <row r="1338" spans="1:3">
      <c r="A1338" s="403"/>
      <c r="B1338" s="403"/>
      <c r="C1338" s="403"/>
    </row>
    <row r="1339" spans="1:3">
      <c r="A1339" s="403"/>
      <c r="B1339" s="403"/>
      <c r="C1339" s="403"/>
    </row>
    <row r="1340" spans="1:3">
      <c r="A1340" s="403"/>
      <c r="B1340" s="403"/>
      <c r="C1340" s="403"/>
    </row>
    <row r="1341" spans="1:3">
      <c r="A1341" s="403"/>
      <c r="B1341" s="403"/>
      <c r="C1341" s="403"/>
    </row>
    <row r="1342" spans="1:3">
      <c r="A1342" s="403"/>
      <c r="B1342" s="403"/>
      <c r="C1342" s="403"/>
    </row>
    <row r="1343" spans="1:3">
      <c r="A1343" s="403"/>
      <c r="B1343" s="403"/>
      <c r="C1343" s="403"/>
    </row>
    <row r="1344" spans="1:3">
      <c r="A1344" s="403"/>
      <c r="B1344" s="403"/>
      <c r="C1344" s="403"/>
    </row>
    <row r="1345" spans="1:3">
      <c r="A1345" s="403"/>
      <c r="B1345" s="403"/>
      <c r="C1345" s="403"/>
    </row>
    <row r="1346" spans="1:3">
      <c r="A1346" s="403"/>
      <c r="B1346" s="403"/>
      <c r="C1346" s="403"/>
    </row>
    <row r="1347" spans="1:3">
      <c r="A1347" s="403"/>
      <c r="B1347" s="403"/>
      <c r="C1347" s="403"/>
    </row>
    <row r="1348" spans="1:3">
      <c r="A1348" s="403"/>
      <c r="B1348" s="403"/>
      <c r="C1348" s="403"/>
    </row>
    <row r="1349" spans="1:3">
      <c r="A1349" s="403"/>
      <c r="B1349" s="403"/>
      <c r="C1349" s="403"/>
    </row>
    <row r="1350" spans="1:3">
      <c r="A1350" s="403"/>
      <c r="B1350" s="403"/>
      <c r="C1350" s="403"/>
    </row>
    <row r="1351" spans="1:3">
      <c r="A1351" s="403"/>
      <c r="B1351" s="403"/>
      <c r="C1351" s="403"/>
    </row>
    <row r="1352" spans="1:3">
      <c r="A1352" s="403"/>
      <c r="B1352" s="403"/>
      <c r="C1352" s="403"/>
    </row>
    <row r="1353" spans="1:3">
      <c r="A1353" s="403"/>
      <c r="B1353" s="403"/>
      <c r="C1353" s="403"/>
    </row>
    <row r="1354" spans="1:3">
      <c r="A1354" s="403"/>
      <c r="B1354" s="403"/>
      <c r="C1354" s="403"/>
    </row>
    <row r="1355" spans="1:3">
      <c r="A1355" s="403"/>
      <c r="B1355" s="403"/>
      <c r="C1355" s="403"/>
    </row>
    <row r="1356" spans="1:3">
      <c r="A1356" s="403"/>
      <c r="B1356" s="403"/>
      <c r="C1356" s="403"/>
    </row>
    <row r="1357" spans="1:3">
      <c r="A1357" s="403"/>
      <c r="B1357" s="403"/>
      <c r="C1357" s="403"/>
    </row>
    <row r="1358" spans="1:3">
      <c r="A1358" s="403"/>
      <c r="B1358" s="403"/>
      <c r="C1358" s="403"/>
    </row>
    <row r="1359" spans="1:3">
      <c r="A1359" s="403"/>
      <c r="B1359" s="403"/>
      <c r="C1359" s="403"/>
    </row>
    <row r="1360" spans="1:3">
      <c r="A1360" s="403"/>
      <c r="B1360" s="403"/>
      <c r="C1360" s="403"/>
    </row>
    <row r="1361" spans="1:3">
      <c r="A1361" s="403"/>
      <c r="B1361" s="403"/>
      <c r="C1361" s="403"/>
    </row>
    <row r="1362" spans="1:3">
      <c r="A1362" s="403"/>
      <c r="B1362" s="403"/>
      <c r="C1362" s="403"/>
    </row>
    <row r="1363" spans="1:3">
      <c r="A1363" s="403"/>
      <c r="B1363" s="403"/>
      <c r="C1363" s="403"/>
    </row>
    <row r="1364" spans="1:3">
      <c r="A1364" s="403"/>
      <c r="B1364" s="403"/>
      <c r="C1364" s="403"/>
    </row>
    <row r="1365" spans="1:3">
      <c r="A1365" s="403"/>
      <c r="B1365" s="403"/>
      <c r="C1365" s="403"/>
    </row>
    <row r="1366" spans="1:3">
      <c r="A1366" s="403"/>
      <c r="B1366" s="403"/>
      <c r="C1366" s="403"/>
    </row>
    <row r="1367" spans="1:3">
      <c r="A1367" s="403"/>
      <c r="B1367" s="403"/>
      <c r="C1367" s="403"/>
    </row>
    <row r="1368" spans="1:3">
      <c r="A1368" s="403"/>
      <c r="B1368" s="403"/>
      <c r="C1368" s="403"/>
    </row>
    <row r="1369" spans="1:3">
      <c r="A1369" s="403"/>
      <c r="B1369" s="403"/>
      <c r="C1369" s="403"/>
    </row>
    <row r="1370" spans="1:3">
      <c r="A1370" s="403"/>
      <c r="B1370" s="403"/>
      <c r="C1370" s="403"/>
    </row>
    <row r="1371" spans="1:3">
      <c r="A1371" s="403"/>
      <c r="B1371" s="403"/>
      <c r="C1371" s="403"/>
    </row>
    <row r="1372" spans="1:3">
      <c r="A1372" s="403"/>
      <c r="B1372" s="403"/>
      <c r="C1372" s="403"/>
    </row>
    <row r="1373" spans="1:3">
      <c r="A1373" s="403"/>
      <c r="B1373" s="403"/>
      <c r="C1373" s="403"/>
    </row>
    <row r="1374" spans="1:3">
      <c r="A1374" s="403"/>
      <c r="B1374" s="403"/>
      <c r="C1374" s="403"/>
    </row>
    <row r="1375" spans="1:3">
      <c r="A1375" s="403"/>
      <c r="B1375" s="403"/>
      <c r="C1375" s="403"/>
    </row>
    <row r="1376" spans="1:3">
      <c r="A1376" s="403"/>
      <c r="B1376" s="403"/>
      <c r="C1376" s="403"/>
    </row>
    <row r="1377" spans="1:3">
      <c r="A1377" s="403"/>
      <c r="B1377" s="403"/>
      <c r="C1377" s="403"/>
    </row>
    <row r="1378" spans="1:3">
      <c r="A1378" s="403"/>
      <c r="B1378" s="403"/>
      <c r="C1378" s="403"/>
    </row>
    <row r="1379" spans="1:3">
      <c r="A1379" s="403"/>
      <c r="B1379" s="403"/>
      <c r="C1379" s="403"/>
    </row>
    <row r="1380" spans="1:3">
      <c r="A1380" s="403"/>
      <c r="B1380" s="403"/>
      <c r="C1380" s="403"/>
    </row>
    <row r="1381" spans="1:3">
      <c r="A1381" s="403"/>
      <c r="B1381" s="403"/>
      <c r="C1381" s="403"/>
    </row>
    <row r="1382" spans="1:3">
      <c r="A1382" s="403"/>
      <c r="B1382" s="403"/>
      <c r="C1382" s="403"/>
    </row>
    <row r="1383" spans="1:3">
      <c r="A1383" s="403"/>
      <c r="B1383" s="403"/>
      <c r="C1383" s="403"/>
    </row>
    <row r="1384" spans="1:3">
      <c r="A1384" s="403"/>
      <c r="B1384" s="403"/>
      <c r="C1384" s="403"/>
    </row>
    <row r="1385" spans="1:3">
      <c r="A1385" s="403"/>
      <c r="B1385" s="403"/>
      <c r="C1385" s="403"/>
    </row>
    <row r="1386" spans="1:3">
      <c r="A1386" s="403"/>
      <c r="B1386" s="403"/>
      <c r="C1386" s="403"/>
    </row>
    <row r="1387" spans="1:3">
      <c r="A1387" s="403"/>
      <c r="B1387" s="403"/>
      <c r="C1387" s="403"/>
    </row>
    <row r="1388" spans="1:3">
      <c r="A1388" s="403"/>
      <c r="B1388" s="403"/>
      <c r="C1388" s="403"/>
    </row>
    <row r="1389" spans="1:3">
      <c r="A1389" s="403"/>
      <c r="B1389" s="403"/>
      <c r="C1389" s="403"/>
    </row>
    <row r="1390" spans="1:3">
      <c r="A1390" s="403"/>
      <c r="B1390" s="403"/>
      <c r="C1390" s="403"/>
    </row>
    <row r="1391" spans="1:3">
      <c r="A1391" s="403"/>
      <c r="B1391" s="403"/>
      <c r="C1391" s="403"/>
    </row>
    <row r="1392" spans="1:3">
      <c r="A1392" s="403"/>
      <c r="B1392" s="403"/>
      <c r="C1392" s="403"/>
    </row>
    <row r="1393" spans="1:3"/>
    <row r="1394" spans="1:3"/>
    <row r="1395" spans="1:3">
      <c r="A1395" s="403"/>
      <c r="B1395" s="403"/>
      <c r="C1395" s="403"/>
    </row>
    <row r="1396" spans="1:3">
      <c r="A1396" s="403"/>
      <c r="B1396" s="403"/>
      <c r="C1396" s="403"/>
    </row>
    <row r="1397" spans="1:3">
      <c r="A1397" s="403"/>
      <c r="B1397" s="403"/>
      <c r="C1397" s="403"/>
    </row>
    <row r="1398" spans="1:3">
      <c r="A1398" s="403"/>
      <c r="B1398" s="403"/>
      <c r="C1398" s="403"/>
    </row>
    <row r="1399" spans="1:3">
      <c r="A1399" s="403"/>
      <c r="B1399" s="403"/>
      <c r="C1399" s="403"/>
    </row>
    <row r="1400" spans="1:3">
      <c r="A1400" s="403"/>
      <c r="B1400" s="403"/>
      <c r="C1400" s="403"/>
    </row>
    <row r="1401" spans="1:3">
      <c r="A1401" s="403"/>
      <c r="B1401" s="403"/>
      <c r="C1401" s="403"/>
    </row>
    <row r="1402" spans="1:3">
      <c r="A1402" s="403"/>
      <c r="B1402" s="403"/>
      <c r="C1402" s="403"/>
    </row>
    <row r="1403" spans="1:3">
      <c r="A1403" s="403"/>
      <c r="B1403" s="403"/>
      <c r="C1403" s="403"/>
    </row>
    <row r="1404" spans="1:3">
      <c r="A1404" s="403"/>
      <c r="B1404" s="403"/>
      <c r="C1404" s="403"/>
    </row>
    <row r="1405" spans="1:3">
      <c r="A1405" s="403"/>
      <c r="B1405" s="403"/>
      <c r="C1405" s="403"/>
    </row>
    <row r="1406" spans="1:3">
      <c r="A1406" s="403"/>
      <c r="B1406" s="403"/>
      <c r="C1406" s="403"/>
    </row>
    <row r="1407" spans="1:3">
      <c r="A1407" s="403"/>
      <c r="B1407" s="403"/>
      <c r="C1407" s="403"/>
    </row>
    <row r="1408" spans="1:3">
      <c r="A1408" s="403"/>
      <c r="B1408" s="403"/>
      <c r="C1408" s="403"/>
    </row>
    <row r="1409" spans="1:3">
      <c r="A1409" s="403"/>
      <c r="B1409" s="403"/>
      <c r="C1409" s="403"/>
    </row>
    <row r="1410" spans="1:3">
      <c r="A1410" s="403"/>
      <c r="B1410" s="403"/>
      <c r="C1410" s="403"/>
    </row>
    <row r="1411" spans="1:3">
      <c r="A1411" s="403"/>
      <c r="B1411" s="403"/>
      <c r="C1411" s="403"/>
    </row>
    <row r="1412" spans="1:3">
      <c r="A1412" s="403"/>
      <c r="B1412" s="403"/>
      <c r="C1412" s="403"/>
    </row>
    <row r="1413" spans="1:3">
      <c r="A1413" s="403"/>
      <c r="B1413" s="403"/>
      <c r="C1413" s="403"/>
    </row>
    <row r="1414" spans="1:3">
      <c r="A1414" s="403"/>
      <c r="B1414" s="403"/>
      <c r="C1414" s="403"/>
    </row>
    <row r="1415" spans="1:3">
      <c r="A1415" s="403"/>
      <c r="B1415" s="403"/>
      <c r="C1415" s="403"/>
    </row>
    <row r="1416" spans="1:3">
      <c r="A1416" s="403"/>
      <c r="B1416" s="403"/>
      <c r="C1416" s="403"/>
    </row>
    <row r="1417" spans="1:3">
      <c r="A1417" s="403"/>
      <c r="B1417" s="403"/>
      <c r="C1417" s="403"/>
    </row>
    <row r="1418" spans="1:3">
      <c r="A1418" s="403"/>
      <c r="B1418" s="403"/>
      <c r="C1418" s="403"/>
    </row>
    <row r="1419" spans="1:3">
      <c r="A1419" s="403"/>
      <c r="B1419" s="403"/>
      <c r="C1419" s="403"/>
    </row>
    <row r="1420" spans="1:3">
      <c r="A1420" s="403"/>
      <c r="B1420" s="403"/>
      <c r="C1420" s="403"/>
    </row>
    <row r="1421" spans="1:3">
      <c r="A1421" s="403"/>
      <c r="B1421" s="403"/>
      <c r="C1421" s="403"/>
    </row>
    <row r="1422" spans="1:3">
      <c r="A1422" s="403"/>
      <c r="B1422" s="403"/>
      <c r="C1422" s="403"/>
    </row>
    <row r="1423" spans="1:3">
      <c r="A1423" s="403"/>
      <c r="B1423" s="403"/>
      <c r="C1423" s="403"/>
    </row>
    <row r="1424" spans="1:3">
      <c r="A1424" s="403"/>
      <c r="B1424" s="403"/>
      <c r="C1424" s="403"/>
    </row>
    <row r="1425" spans="1:3">
      <c r="A1425" s="403"/>
      <c r="B1425" s="403"/>
      <c r="C1425" s="403"/>
    </row>
    <row r="1426" spans="1:3">
      <c r="A1426" s="403"/>
      <c r="B1426" s="403"/>
      <c r="C1426" s="403"/>
    </row>
    <row r="1427" spans="1:3">
      <c r="A1427" s="403"/>
      <c r="B1427" s="403"/>
      <c r="C1427" s="403"/>
    </row>
    <row r="1428" spans="1:3">
      <c r="A1428" s="403"/>
      <c r="B1428" s="403"/>
      <c r="C1428" s="403"/>
    </row>
    <row r="1429" spans="1:3">
      <c r="A1429" s="403"/>
      <c r="B1429" s="403"/>
      <c r="C1429" s="403"/>
    </row>
    <row r="1430" spans="1:3">
      <c r="A1430" s="403"/>
      <c r="B1430" s="403"/>
      <c r="C1430" s="403"/>
    </row>
    <row r="1431" spans="1:3">
      <c r="A1431" s="403"/>
      <c r="B1431" s="403"/>
      <c r="C1431" s="403"/>
    </row>
    <row r="1432" spans="1:3">
      <c r="A1432" s="403"/>
      <c r="B1432" s="403"/>
      <c r="C1432" s="403"/>
    </row>
    <row r="1433" spans="1:3">
      <c r="A1433" s="403"/>
      <c r="B1433" s="403"/>
      <c r="C1433" s="403"/>
    </row>
    <row r="1434" spans="1:3">
      <c r="A1434" s="403"/>
      <c r="B1434" s="403"/>
      <c r="C1434" s="403"/>
    </row>
    <row r="1435" spans="1:3">
      <c r="A1435" s="403"/>
      <c r="B1435" s="403"/>
      <c r="C1435" s="403"/>
    </row>
    <row r="1436" spans="1:3">
      <c r="A1436" s="403"/>
      <c r="B1436" s="403"/>
      <c r="C1436" s="403"/>
    </row>
    <row r="1437" spans="1:3">
      <c r="A1437" s="403"/>
      <c r="B1437" s="403"/>
      <c r="C1437" s="403"/>
    </row>
    <row r="1438" spans="1:3">
      <c r="A1438" s="403"/>
      <c r="B1438" s="403"/>
      <c r="C1438" s="403"/>
    </row>
    <row r="1439" spans="1:3">
      <c r="A1439" s="403"/>
      <c r="B1439" s="403"/>
      <c r="C1439" s="403"/>
    </row>
    <row r="1440" spans="1:3">
      <c r="A1440" s="403"/>
      <c r="B1440" s="403"/>
      <c r="C1440" s="403"/>
    </row>
    <row r="1441" spans="1:3">
      <c r="A1441" s="403"/>
      <c r="B1441" s="403"/>
      <c r="C1441" s="403"/>
    </row>
    <row r="1442" spans="1:3">
      <c r="A1442" s="403"/>
      <c r="B1442" s="403"/>
      <c r="C1442" s="403"/>
    </row>
    <row r="1443" spans="1:3">
      <c r="A1443" s="403"/>
      <c r="B1443" s="403"/>
      <c r="C1443" s="403"/>
    </row>
    <row r="1444" spans="1:3">
      <c r="A1444" s="403"/>
      <c r="B1444" s="403"/>
      <c r="C1444" s="403"/>
    </row>
    <row r="1445" spans="1:3">
      <c r="A1445" s="403"/>
      <c r="B1445" s="403"/>
      <c r="C1445" s="403"/>
    </row>
    <row r="1446" spans="1:3">
      <c r="A1446" s="403"/>
      <c r="B1446" s="403"/>
      <c r="C1446" s="403"/>
    </row>
    <row r="1447" spans="1:3">
      <c r="A1447" s="403"/>
      <c r="B1447" s="403"/>
      <c r="C1447" s="403"/>
    </row>
    <row r="1448" spans="1:3">
      <c r="A1448" s="403"/>
      <c r="B1448" s="403"/>
      <c r="C1448" s="403"/>
    </row>
    <row r="1449" spans="1:3">
      <c r="A1449" s="403"/>
      <c r="B1449" s="403"/>
      <c r="C1449" s="403"/>
    </row>
    <row r="1450" spans="1:3">
      <c r="A1450" s="403"/>
      <c r="B1450" s="403"/>
      <c r="C1450" s="403"/>
    </row>
    <row r="1451" spans="1:3">
      <c r="A1451" s="403"/>
      <c r="B1451" s="403"/>
      <c r="C1451" s="403"/>
    </row>
    <row r="1452" spans="1:3">
      <c r="A1452" s="403"/>
      <c r="B1452" s="403"/>
      <c r="C1452" s="403"/>
    </row>
    <row r="1453" spans="1:3">
      <c r="A1453" s="403"/>
      <c r="B1453" s="403"/>
      <c r="C1453" s="403"/>
    </row>
    <row r="1454" spans="1:3">
      <c r="A1454" s="403"/>
      <c r="B1454" s="403"/>
      <c r="C1454" s="403"/>
    </row>
    <row r="1455" spans="1:3">
      <c r="A1455" s="403"/>
      <c r="B1455" s="403"/>
      <c r="C1455" s="403"/>
    </row>
    <row r="1456" spans="1:3">
      <c r="A1456" s="403"/>
      <c r="B1456" s="403"/>
      <c r="C1456" s="403"/>
    </row>
    <row r="1457" spans="1:3">
      <c r="A1457" s="403"/>
      <c r="B1457" s="403"/>
      <c r="C1457" s="403"/>
    </row>
    <row r="1458" spans="1:3">
      <c r="A1458" s="403"/>
      <c r="B1458" s="403"/>
      <c r="C1458" s="403"/>
    </row>
    <row r="1459" spans="1:3">
      <c r="A1459" s="403"/>
      <c r="B1459" s="403"/>
      <c r="C1459" s="403"/>
    </row>
    <row r="1460" spans="1:3">
      <c r="A1460" s="403"/>
      <c r="B1460" s="403"/>
      <c r="C1460" s="403"/>
    </row>
    <row r="1461" spans="1:3">
      <c r="A1461" s="403"/>
      <c r="B1461" s="403"/>
      <c r="C1461" s="403"/>
    </row>
    <row r="1462" spans="1:3">
      <c r="A1462" s="403"/>
      <c r="B1462" s="403"/>
      <c r="C1462" s="403"/>
    </row>
    <row r="1463" spans="1:3">
      <c r="A1463" s="403"/>
      <c r="B1463" s="403"/>
      <c r="C1463" s="403"/>
    </row>
    <row r="1464" spans="1:3">
      <c r="A1464" s="403"/>
      <c r="B1464" s="403"/>
      <c r="C1464" s="403"/>
    </row>
    <row r="1465" spans="1:3">
      <c r="A1465" s="403"/>
      <c r="B1465" s="403"/>
      <c r="C1465" s="403"/>
    </row>
    <row r="1466" spans="1:3">
      <c r="A1466" s="403"/>
      <c r="B1466" s="403"/>
      <c r="C1466" s="403"/>
    </row>
    <row r="1467" spans="1:3">
      <c r="A1467" s="403"/>
      <c r="B1467" s="403"/>
      <c r="C1467" s="403"/>
    </row>
    <row r="1468" spans="1:3">
      <c r="A1468" s="403"/>
      <c r="B1468" s="403"/>
      <c r="C1468" s="403"/>
    </row>
    <row r="1469" spans="1:3">
      <c r="A1469" s="403"/>
      <c r="B1469" s="403"/>
      <c r="C1469" s="403"/>
    </row>
    <row r="1470" spans="1:3">
      <c r="A1470" s="403"/>
      <c r="B1470" s="403"/>
      <c r="C1470" s="403"/>
    </row>
    <row r="1471" spans="1:3">
      <c r="A1471" s="403"/>
      <c r="B1471" s="403"/>
      <c r="C1471" s="403"/>
    </row>
    <row r="1472" spans="1:3">
      <c r="A1472" s="403"/>
      <c r="B1472" s="403"/>
      <c r="C1472" s="403"/>
    </row>
    <row r="1473" spans="1:3">
      <c r="A1473" s="403"/>
      <c r="B1473" s="403"/>
      <c r="C1473" s="403"/>
    </row>
    <row r="1474" spans="1:3">
      <c r="A1474" s="403"/>
      <c r="B1474" s="403"/>
      <c r="C1474" s="403"/>
    </row>
    <row r="1475" spans="1:3">
      <c r="A1475" s="403"/>
      <c r="B1475" s="403"/>
      <c r="C1475" s="403"/>
    </row>
    <row r="1476" spans="1:3">
      <c r="A1476" s="403"/>
      <c r="B1476" s="403"/>
      <c r="C1476" s="403"/>
    </row>
    <row r="1477" spans="1:3">
      <c r="A1477" s="403"/>
      <c r="B1477" s="403"/>
      <c r="C1477" s="403"/>
    </row>
    <row r="1478" spans="1:3">
      <c r="A1478" s="403"/>
      <c r="B1478" s="403"/>
      <c r="C1478" s="403"/>
    </row>
    <row r="1479" spans="1:3">
      <c r="A1479" s="403"/>
      <c r="B1479" s="403"/>
      <c r="C1479" s="403"/>
    </row>
    <row r="1480" spans="1:3">
      <c r="A1480" s="403"/>
      <c r="B1480" s="403"/>
      <c r="C1480" s="403"/>
    </row>
    <row r="1481" spans="1:3">
      <c r="A1481" s="403"/>
      <c r="B1481" s="403"/>
      <c r="C1481" s="403"/>
    </row>
    <row r="1482" spans="1:3">
      <c r="A1482" s="403"/>
      <c r="B1482" s="403"/>
      <c r="C1482" s="403"/>
    </row>
    <row r="1483" spans="1:3">
      <c r="A1483" s="403"/>
      <c r="B1483" s="403"/>
      <c r="C1483" s="403"/>
    </row>
    <row r="1484" spans="1:3">
      <c r="A1484" s="403"/>
      <c r="B1484" s="403"/>
      <c r="C1484" s="403"/>
    </row>
    <row r="1485" spans="1:3">
      <c r="A1485" s="403"/>
      <c r="B1485" s="403"/>
      <c r="C1485" s="403"/>
    </row>
    <row r="1486" spans="1:3">
      <c r="A1486" s="403"/>
      <c r="B1486" s="403"/>
      <c r="C1486" s="403"/>
    </row>
    <row r="1487" spans="1:3">
      <c r="A1487" s="403"/>
      <c r="B1487" s="403"/>
      <c r="C1487" s="403"/>
    </row>
    <row r="1488" spans="1:3">
      <c r="A1488" s="403"/>
      <c r="B1488" s="403"/>
      <c r="C1488" s="403"/>
    </row>
    <row r="1489" spans="1:3">
      <c r="A1489" s="403"/>
      <c r="B1489" s="403"/>
      <c r="C1489" s="403"/>
    </row>
    <row r="1490" spans="1:3">
      <c r="A1490" s="403"/>
      <c r="B1490" s="403"/>
      <c r="C1490" s="403"/>
    </row>
    <row r="1491" spans="1:3">
      <c r="A1491" s="403"/>
      <c r="B1491" s="403"/>
      <c r="C1491" s="403"/>
    </row>
    <row r="1492" spans="1:3">
      <c r="A1492" s="403"/>
      <c r="B1492" s="403"/>
      <c r="C1492" s="403"/>
    </row>
    <row r="1493" spans="1:3">
      <c r="A1493" s="403"/>
      <c r="B1493" s="403"/>
      <c r="C1493" s="403"/>
    </row>
    <row r="1494" spans="1:3">
      <c r="A1494" s="403"/>
      <c r="B1494" s="403"/>
      <c r="C1494" s="403"/>
    </row>
    <row r="1495" spans="1:3">
      <c r="A1495" s="403"/>
      <c r="B1495" s="403"/>
      <c r="C1495" s="403"/>
    </row>
    <row r="1496" spans="1:3">
      <c r="A1496" s="403"/>
      <c r="B1496" s="403"/>
      <c r="C1496" s="403"/>
    </row>
    <row r="1497" spans="1:3">
      <c r="A1497" s="403"/>
      <c r="B1497" s="403"/>
      <c r="C1497" s="403"/>
    </row>
    <row r="1498" spans="1:3">
      <c r="A1498" s="403"/>
      <c r="B1498" s="403"/>
      <c r="C1498" s="403"/>
    </row>
    <row r="1499" spans="1:3">
      <c r="A1499" s="403"/>
      <c r="B1499" s="403"/>
      <c r="C1499" s="403"/>
    </row>
    <row r="1500" spans="1:3">
      <c r="A1500" s="403"/>
      <c r="B1500" s="403"/>
      <c r="C1500" s="403"/>
    </row>
    <row r="1501" spans="1:3">
      <c r="A1501" s="403"/>
      <c r="B1501" s="403"/>
      <c r="C1501" s="403"/>
    </row>
    <row r="1502" spans="1:3">
      <c r="A1502" s="403"/>
      <c r="B1502" s="403"/>
      <c r="C1502" s="403"/>
    </row>
    <row r="1503" spans="1:3">
      <c r="A1503" s="403"/>
      <c r="B1503" s="403"/>
      <c r="C1503" s="403"/>
    </row>
    <row r="1504" spans="1:3">
      <c r="A1504" s="403"/>
      <c r="B1504" s="403"/>
      <c r="C1504" s="403"/>
    </row>
    <row r="1505" spans="1:3">
      <c r="A1505" s="403"/>
      <c r="B1505" s="403"/>
      <c r="C1505" s="403"/>
    </row>
    <row r="1506" spans="1:3">
      <c r="A1506" s="403"/>
      <c r="B1506" s="403"/>
      <c r="C1506" s="403"/>
    </row>
    <row r="1507" spans="1:3">
      <c r="A1507" s="403"/>
      <c r="B1507" s="403"/>
      <c r="C1507" s="403"/>
    </row>
    <row r="1508" spans="1:3">
      <c r="A1508" s="403"/>
      <c r="B1508" s="403"/>
      <c r="C1508" s="403"/>
    </row>
    <row r="1509" spans="1:3">
      <c r="A1509" s="403"/>
      <c r="B1509" s="403"/>
      <c r="C1509" s="403"/>
    </row>
    <row r="1510" spans="1:3">
      <c r="A1510" s="403"/>
      <c r="B1510" s="403"/>
      <c r="C1510" s="403"/>
    </row>
    <row r="1511" spans="1:3">
      <c r="A1511" s="403"/>
      <c r="B1511" s="403"/>
      <c r="C1511" s="403"/>
    </row>
    <row r="1512" spans="1:3">
      <c r="A1512" s="403"/>
      <c r="B1512" s="403"/>
      <c r="C1512" s="403"/>
    </row>
    <row r="1513" spans="1:3">
      <c r="A1513" s="403"/>
      <c r="B1513" s="403"/>
      <c r="C1513" s="403"/>
    </row>
    <row r="1514" spans="1:3">
      <c r="A1514" s="403"/>
      <c r="B1514" s="403"/>
      <c r="C1514" s="403"/>
    </row>
    <row r="1515" spans="1:3">
      <c r="A1515" s="403"/>
      <c r="B1515" s="403"/>
      <c r="C1515" s="403"/>
    </row>
    <row r="1516" spans="1:3">
      <c r="A1516" s="403"/>
      <c r="B1516" s="403"/>
      <c r="C1516" s="403"/>
    </row>
    <row r="1517" spans="1:3">
      <c r="A1517" s="403"/>
      <c r="B1517" s="403"/>
      <c r="C1517" s="403"/>
    </row>
    <row r="1518" spans="1:3">
      <c r="A1518" s="403"/>
      <c r="B1518" s="403"/>
      <c r="C1518" s="403"/>
    </row>
    <row r="1519" spans="1:3">
      <c r="A1519" s="403"/>
      <c r="B1519" s="403"/>
      <c r="C1519" s="403"/>
    </row>
    <row r="1520" spans="1:3">
      <c r="A1520" s="403"/>
      <c r="B1520" s="403"/>
      <c r="C1520" s="403"/>
    </row>
    <row r="1521" spans="1:3">
      <c r="A1521" s="403"/>
      <c r="B1521" s="403"/>
      <c r="C1521" s="403"/>
    </row>
    <row r="1522" spans="1:3">
      <c r="A1522" s="403"/>
      <c r="B1522" s="403"/>
      <c r="C1522" s="403"/>
    </row>
    <row r="1523" spans="1:3">
      <c r="A1523" s="403"/>
      <c r="B1523" s="403"/>
      <c r="C1523" s="403"/>
    </row>
    <row r="1524" spans="1:3">
      <c r="A1524" s="403"/>
      <c r="B1524" s="403"/>
      <c r="C1524" s="403"/>
    </row>
    <row r="1525" spans="1:3">
      <c r="A1525" s="403"/>
      <c r="B1525" s="403"/>
      <c r="C1525" s="403"/>
    </row>
    <row r="1526" spans="1:3">
      <c r="A1526" s="403"/>
      <c r="B1526" s="403"/>
      <c r="C1526" s="403"/>
    </row>
    <row r="1527" spans="1:3">
      <c r="A1527" s="403"/>
      <c r="B1527" s="403"/>
      <c r="C1527" s="403"/>
    </row>
    <row r="1528" spans="1:3">
      <c r="A1528" s="403"/>
      <c r="B1528" s="403"/>
      <c r="C1528" s="403"/>
    </row>
    <row r="1529" spans="1:3">
      <c r="A1529" s="403"/>
      <c r="B1529" s="403"/>
      <c r="C1529" s="403"/>
    </row>
    <row r="1530" spans="1:3">
      <c r="A1530" s="403"/>
      <c r="B1530" s="403"/>
      <c r="C1530" s="403"/>
    </row>
    <row r="1531" spans="1:3">
      <c r="A1531" s="403"/>
      <c r="B1531" s="403"/>
      <c r="C1531" s="403"/>
    </row>
    <row r="1532" spans="1:3">
      <c r="A1532" s="403"/>
      <c r="B1532" s="403"/>
      <c r="C1532" s="403"/>
    </row>
    <row r="1533" spans="1:3">
      <c r="A1533" s="403"/>
      <c r="B1533" s="403"/>
      <c r="C1533" s="403"/>
    </row>
    <row r="1534" spans="1:3">
      <c r="A1534" s="403"/>
      <c r="B1534" s="403"/>
      <c r="C1534" s="403"/>
    </row>
    <row r="1535" spans="1:3">
      <c r="A1535" s="403"/>
      <c r="B1535" s="403"/>
      <c r="C1535" s="403"/>
    </row>
    <row r="1536" spans="1:3">
      <c r="A1536" s="403"/>
      <c r="B1536" s="403"/>
      <c r="C1536" s="403"/>
    </row>
    <row r="1537" spans="1:9">
      <c r="A1537" s="403"/>
      <c r="B1537" s="403"/>
      <c r="C1537" s="403"/>
    </row>
    <row r="1538" spans="1:9"/>
    <row r="1539" spans="1:9"/>
    <row r="1540" spans="1:9"/>
    <row r="1541" spans="1:9">
      <c r="G1541" s="1301"/>
      <c r="H1541" s="1301"/>
      <c r="I1541" s="1301"/>
    </row>
    <row r="1542" spans="1:9"/>
    <row r="1543" spans="1:9"/>
    <row r="1544" spans="1:9"/>
    <row r="1545" spans="1:9"/>
    <row r="1546" spans="1:9"/>
    <row r="1547" spans="1:9"/>
    <row r="1548" spans="1:9"/>
    <row r="1549" spans="1:9"/>
    <row r="1550" spans="1:9"/>
    <row r="1551" spans="1:9"/>
    <row r="1552" spans="1:9"/>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sheetData>
  <sheetProtection algorithmName="SHA-512" hashValue="3H8u2xY2I2kc69exrIsVcmUwRBNvxm8gx1DYxTYMcPPWqaWV1sM3CphMKDF4OvmmdowrsVhuZ12M3dAd9jlooA==" saltValue="0RUvtT9fNdiBffAHkDGG5g==" spinCount="100000" sheet="1" objects="1" scenarios="1"/>
  <mergeCells count="301">
    <mergeCell ref="D1041:F1041"/>
    <mergeCell ref="D1042:F1042"/>
    <mergeCell ref="D1040:F1040"/>
    <mergeCell ref="D901:F901"/>
    <mergeCell ref="D1036:F1036"/>
    <mergeCell ref="A1038:G1038"/>
    <mergeCell ref="D1044:F1044"/>
    <mergeCell ref="D1045:F1045"/>
    <mergeCell ref="A1029:G1029"/>
    <mergeCell ref="D1031:F1031"/>
    <mergeCell ref="D1032:F1032"/>
    <mergeCell ref="D1034:F1034"/>
    <mergeCell ref="D1035:F1035"/>
    <mergeCell ref="D1037:F1037"/>
    <mergeCell ref="D1026:F1027"/>
    <mergeCell ref="D1002:F1005"/>
    <mergeCell ref="D1007:F1008"/>
    <mergeCell ref="D1010:F1010"/>
    <mergeCell ref="D1012:F1012"/>
    <mergeCell ref="D964:F967"/>
    <mergeCell ref="D910:F911"/>
    <mergeCell ref="D959:F961"/>
    <mergeCell ref="D1014:F1014"/>
    <mergeCell ref="D1016:F1017"/>
    <mergeCell ref="D1105:F1106"/>
    <mergeCell ref="D1108:F1113"/>
    <mergeCell ref="D1115:F1117"/>
    <mergeCell ref="D1119:F1121"/>
    <mergeCell ref="D1046:F1046"/>
    <mergeCell ref="D1054:F1057"/>
    <mergeCell ref="D1064:F1068"/>
    <mergeCell ref="A1070:G1070"/>
    <mergeCell ref="D1080:F1083"/>
    <mergeCell ref="A1049:G1049"/>
    <mergeCell ref="D1087:F1091"/>
    <mergeCell ref="A1098:G1098"/>
    <mergeCell ref="D1101:F1102"/>
    <mergeCell ref="D1103:F1103"/>
    <mergeCell ref="D1094:F1096"/>
    <mergeCell ref="D883:F888"/>
    <mergeCell ref="D890:F890"/>
    <mergeCell ref="D891:F891"/>
    <mergeCell ref="D1019:F1020"/>
    <mergeCell ref="D1022:F1022"/>
    <mergeCell ref="D1024:F1024"/>
    <mergeCell ref="D969:F969"/>
    <mergeCell ref="D970:F970"/>
    <mergeCell ref="D972:F972"/>
    <mergeCell ref="D973:F987"/>
    <mergeCell ref="A989:G989"/>
    <mergeCell ref="D991:F991"/>
    <mergeCell ref="D992:F992"/>
    <mergeCell ref="D997:F1000"/>
    <mergeCell ref="D994:F995"/>
    <mergeCell ref="D894:F897"/>
    <mergeCell ref="D952:F957"/>
    <mergeCell ref="D908:F909"/>
    <mergeCell ref="D922:F923"/>
    <mergeCell ref="D925:F928"/>
    <mergeCell ref="D930:F930"/>
    <mergeCell ref="D932:F932"/>
    <mergeCell ref="A899:G899"/>
    <mergeCell ref="D905:F905"/>
    <mergeCell ref="D906:F906"/>
    <mergeCell ref="D913:F920"/>
    <mergeCell ref="D934:F942"/>
    <mergeCell ref="D944:F950"/>
    <mergeCell ref="D616:F617"/>
    <mergeCell ref="D815:F820"/>
    <mergeCell ref="D686:F686"/>
    <mergeCell ref="A753:G753"/>
    <mergeCell ref="D733:F736"/>
    <mergeCell ref="D751:F751"/>
    <mergeCell ref="D709:F710"/>
    <mergeCell ref="D756:F756"/>
    <mergeCell ref="D758:F763"/>
    <mergeCell ref="D765:F768"/>
    <mergeCell ref="D786:F788"/>
    <mergeCell ref="D790:F792"/>
    <mergeCell ref="D794:F796"/>
    <mergeCell ref="D798:F803"/>
    <mergeCell ref="D618:F618"/>
    <mergeCell ref="D854:F859"/>
    <mergeCell ref="D861:F861"/>
    <mergeCell ref="D862:F862"/>
    <mergeCell ref="D865:F868"/>
    <mergeCell ref="D872:F872"/>
    <mergeCell ref="D873:F873"/>
    <mergeCell ref="D875:F875"/>
    <mergeCell ref="D831:F831"/>
    <mergeCell ref="D832:F832"/>
    <mergeCell ref="D834:F834"/>
    <mergeCell ref="D837:F846"/>
    <mergeCell ref="D848:F850"/>
    <mergeCell ref="D620:F621"/>
    <mergeCell ref="D623:F624"/>
    <mergeCell ref="D729:F731"/>
    <mergeCell ref="A629:G629"/>
    <mergeCell ref="A648:G648"/>
    <mergeCell ref="D694:F694"/>
    <mergeCell ref="D695:F695"/>
    <mergeCell ref="A679:G679"/>
    <mergeCell ref="D650:F650"/>
    <mergeCell ref="D651:F651"/>
    <mergeCell ref="D738:F742"/>
    <mergeCell ref="D664:F667"/>
    <mergeCell ref="D698:F698"/>
    <mergeCell ref="D699:F699"/>
    <mergeCell ref="D658:F662"/>
    <mergeCell ref="D653:F656"/>
    <mergeCell ref="D267:F268"/>
    <mergeCell ref="D501:F502"/>
    <mergeCell ref="D266:F266"/>
    <mergeCell ref="D278:F280"/>
    <mergeCell ref="D302:F302"/>
    <mergeCell ref="D313:F314"/>
    <mergeCell ref="D316:F316"/>
    <mergeCell ref="D878:F879"/>
    <mergeCell ref="D881:F882"/>
    <mergeCell ref="D599:F600"/>
    <mergeCell ref="D602:F603"/>
    <mergeCell ref="A605:G605"/>
    <mergeCell ref="D610:F611"/>
    <mergeCell ref="D633:F634"/>
    <mergeCell ref="D636:F638"/>
    <mergeCell ref="D852:F853"/>
    <mergeCell ref="D783:F783"/>
    <mergeCell ref="D774:F775"/>
    <mergeCell ref="D777:F779"/>
    <mergeCell ref="A781:G781"/>
    <mergeCell ref="D770:F772"/>
    <mergeCell ref="D755:F755"/>
    <mergeCell ref="D808:F813"/>
    <mergeCell ref="D804:F806"/>
    <mergeCell ref="D47:F50"/>
    <mergeCell ref="A75:G75"/>
    <mergeCell ref="G1541:I1541"/>
    <mergeCell ref="D744:F750"/>
    <mergeCell ref="D725:F727"/>
    <mergeCell ref="D626:F627"/>
    <mergeCell ref="D631:F631"/>
    <mergeCell ref="D640:F641"/>
    <mergeCell ref="D643:F645"/>
    <mergeCell ref="D646:F646"/>
    <mergeCell ref="D682:F682"/>
    <mergeCell ref="D702:F707"/>
    <mergeCell ref="D712:F724"/>
    <mergeCell ref="D681:F681"/>
    <mergeCell ref="D683:F683"/>
    <mergeCell ref="D685:F685"/>
    <mergeCell ref="A829:G829"/>
    <mergeCell ref="D225:F225"/>
    <mergeCell ref="D578:F581"/>
    <mergeCell ref="D784:F784"/>
    <mergeCell ref="A583:G583"/>
    <mergeCell ref="D574:F576"/>
    <mergeCell ref="D690:F692"/>
    <mergeCell ref="D182:F184"/>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227:F227"/>
    <mergeCell ref="D287:F287"/>
    <mergeCell ref="D288:F288"/>
    <mergeCell ref="D290:F291"/>
    <mergeCell ref="D293:F295"/>
    <mergeCell ref="D228:F231"/>
    <mergeCell ref="D545:F545"/>
    <mergeCell ref="D546:F546"/>
    <mergeCell ref="D556:F557"/>
    <mergeCell ref="D548:F548"/>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307:F311"/>
    <mergeCell ref="D352:F352"/>
    <mergeCell ref="D471:F472"/>
    <mergeCell ref="D511:F512"/>
    <mergeCell ref="D360:F360"/>
    <mergeCell ref="D362:F373"/>
    <mergeCell ref="D514:F514"/>
    <mergeCell ref="D474:F487"/>
    <mergeCell ref="A539:G539"/>
    <mergeCell ref="D344:F347"/>
    <mergeCell ref="D392:F400"/>
    <mergeCell ref="D401:F418"/>
    <mergeCell ref="D334:F342"/>
    <mergeCell ref="D420:F421"/>
    <mergeCell ref="D351:F351"/>
    <mergeCell ref="D536:F537"/>
    <mergeCell ref="D429:F432"/>
    <mergeCell ref="D433:F433"/>
    <mergeCell ref="D573:F573"/>
    <mergeCell ref="D553:F554"/>
    <mergeCell ref="D550:F551"/>
    <mergeCell ref="D318:F332"/>
    <mergeCell ref="A614:G614"/>
    <mergeCell ref="B541:F541"/>
    <mergeCell ref="A543:G543"/>
    <mergeCell ref="D590:F593"/>
    <mergeCell ref="D594:F597"/>
    <mergeCell ref="D585:F585"/>
    <mergeCell ref="D586:F586"/>
    <mergeCell ref="D588:F588"/>
    <mergeCell ref="D559:F561"/>
    <mergeCell ref="D563:F564"/>
    <mergeCell ref="D569:F569"/>
    <mergeCell ref="D570:F570"/>
    <mergeCell ref="D566:F567"/>
    <mergeCell ref="D607:F607"/>
    <mergeCell ref="D608:F608"/>
    <mergeCell ref="D1123:F1126"/>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2:F827"/>
    <mergeCell ref="D516:F518"/>
    <mergeCell ref="D669:F677"/>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3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536 B548 B550 B553 B556 B559 B563 B566 B569 B573 B578 B588 B590 B594 B599 B602 B610 B620 B623 B626 B633 B640 B643 B646 B653 B658 B664 B669 B685 B690 B694 B702 B709 B712 B1094 B729 B733 B738 B744 B758 B765 B770 B774 B777 B245 B20 B100 B96 B92 B205 B201 B197 B213 B233 B786 B790 B794 B798 B808 B815 B822 B834 B837 B848 B852 B861 B865 B875 B878 B881 B890 B894 B913 B934 B944 B964 B908 B922 B925 B930 B932 B959 B970 B973 B994 B1002 B1007 B1010 B1012 B1014 B1016 B1019 B1022 B1024 B1026 B903 B1041 B1046 B1035 B1054 B1062 B1064 B1073 B1076 B1079 B1087 B1115 B1105 B1119 B1108 B1101 B380 B952 B514 B516 B725 B698"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103"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8" max="8" man="1"/>
    <brk id="542" max="8" man="1"/>
    <brk id="582" max="8" man="1"/>
    <brk id="604" max="8" man="1"/>
    <brk id="613" max="8" man="1"/>
    <brk id="628" max="8" man="1"/>
    <brk id="647" max="8" man="1"/>
    <brk id="678" max="8" man="1"/>
    <brk id="780" max="8" man="1"/>
    <brk id="828" max="8" man="1"/>
    <brk id="869" max="8" man="1"/>
    <brk id="898" max="8" man="1"/>
    <brk id="962" max="8" man="1"/>
    <brk id="988" max="8" man="1"/>
    <brk id="1028" max="8" man="1"/>
    <brk id="1037" max="8" man="1"/>
    <brk id="1048" max="8" man="1"/>
    <brk id="1069" max="8" man="1"/>
    <brk id="1097"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17"/>
  <sheetViews>
    <sheetView showGridLines="0" topLeftCell="G1" zoomScale="77" zoomScaleNormal="77" workbookViewId="0">
      <selection activeCell="AU1" sqref="AU1:XFD1048576"/>
    </sheetView>
  </sheetViews>
  <sheetFormatPr defaultColWidth="0" defaultRowHeight="0" customHeight="1" zeroHeight="1"/>
  <cols>
    <col min="1" max="46" width="2.7265625" customWidth="1"/>
    <col min="47" max="47" width="2.7265625" hidden="1"/>
    <col min="48" max="50" width="3.7265625" hidden="1"/>
    <col min="51" max="51" width="4.7265625" hidden="1"/>
    <col min="52" max="52" width="8.453125" hidden="1"/>
    <col min="53" max="53" width="7.453125" hidden="1"/>
    <col min="54" max="55" width="3.7265625" hidden="1"/>
    <col min="56" max="56" width="8.26953125" hidden="1"/>
    <col min="57" max="57" width="8.453125" hidden="1"/>
    <col min="58" max="58" width="8.1796875" hidden="1"/>
    <col min="59" max="59" width="11.1796875" hidden="1"/>
    <col min="60" max="60" width="3.7265625" hidden="1"/>
    <col min="61" max="61" width="8.26953125" hidden="1"/>
    <col min="62" max="16384" width="3.7265625" hidden="1"/>
  </cols>
  <sheetData>
    <row r="1" spans="1:58" ht="13" customHeight="1">
      <c r="J1" s="100"/>
      <c r="AS1" s="1032">
        <v>4</v>
      </c>
      <c r="BD1" s="3" t="s">
        <v>2499</v>
      </c>
      <c r="BE1" s="3"/>
      <c r="BF1" s="3"/>
    </row>
    <row r="2" spans="1:58" ht="13" customHeight="1">
      <c r="BD2" s="3" t="s">
        <v>2500</v>
      </c>
      <c r="BE2" s="3" t="s">
        <v>2501</v>
      </c>
      <c r="BF2" s="3" t="s">
        <v>2502</v>
      </c>
    </row>
    <row r="3" spans="1:58" ht="13" customHeight="1">
      <c r="BD3" s="3" t="s">
        <v>2597</v>
      </c>
      <c r="BE3" t="str">
        <f>AC220</f>
        <v>City of Los Angeles</v>
      </c>
    </row>
    <row r="4" spans="1:58" ht="13" customHeight="1">
      <c r="BD4" s="3" t="s">
        <v>2509</v>
      </c>
      <c r="BE4" s="1250"/>
    </row>
    <row r="5" spans="1:58" ht="13" customHeight="1">
      <c r="BD5" s="3" t="s">
        <v>2510</v>
      </c>
      <c r="BE5">
        <f>SUMIF($AC$718:$AC$752,"&lt;=20%",$G$718:G$752)</f>
        <v>0</v>
      </c>
      <c r="BF5" s="3" t="s">
        <v>2515</v>
      </c>
    </row>
    <row r="6" spans="1:58" ht="13" customHeight="1">
      <c r="BD6" s="3" t="s">
        <v>2511</v>
      </c>
      <c r="BE6" s="1253">
        <f>SUMIF($AC$718:$AC$752,"&lt;=25%",$G$718:G$752)-SUM($BE$5:BE5)</f>
        <v>0</v>
      </c>
    </row>
    <row r="7" spans="1:58" ht="13" customHeight="1">
      <c r="BD7" s="1251" t="s">
        <v>2503</v>
      </c>
      <c r="BE7" s="1253">
        <f>SUMIF($AC$718:$AC$752,"&lt;=30%",$G$718:G$752)-SUM($BE$5:BE6)</f>
        <v>30</v>
      </c>
    </row>
    <row r="8" spans="1:58" ht="26.25" customHeight="1">
      <c r="A8" s="1837" t="s">
        <v>100</v>
      </c>
      <c r="B8" s="1837"/>
      <c r="C8" s="1837"/>
      <c r="D8" s="1837"/>
      <c r="E8" s="1837"/>
      <c r="F8" s="1837"/>
      <c r="G8" s="1837"/>
      <c r="H8" s="1837"/>
      <c r="I8" s="1837"/>
      <c r="J8" s="1837"/>
      <c r="K8" s="1837"/>
      <c r="L8" s="1837"/>
      <c r="M8" s="1837"/>
      <c r="N8" s="1837"/>
      <c r="O8" s="1837"/>
      <c r="P8" s="1837"/>
      <c r="Q8" s="1837"/>
      <c r="R8" s="1837"/>
      <c r="S8" s="1837"/>
      <c r="T8" s="1837"/>
      <c r="U8" s="1837"/>
      <c r="V8" s="1837"/>
      <c r="W8" s="1837"/>
      <c r="X8" s="1837"/>
      <c r="Y8" s="1837"/>
      <c r="Z8" s="1837"/>
      <c r="AA8" s="1837"/>
      <c r="AB8" s="1837"/>
      <c r="AC8" s="1837"/>
      <c r="AD8" s="1837"/>
      <c r="AE8" s="1837"/>
      <c r="AF8" s="1837"/>
      <c r="AG8" s="1837"/>
      <c r="AH8" s="1837"/>
      <c r="AI8" s="1837"/>
      <c r="AJ8" s="1837"/>
      <c r="AK8" s="1837"/>
      <c r="AL8" s="1837"/>
      <c r="AM8" s="1837"/>
      <c r="AN8" s="1837"/>
      <c r="AO8" s="1837"/>
      <c r="AP8" s="1837"/>
      <c r="AQ8" s="1837"/>
      <c r="AR8" s="1837"/>
      <c r="AS8" s="1837"/>
      <c r="AT8" s="1837"/>
      <c r="AU8" s="899"/>
      <c r="AV8" s="899"/>
      <c r="AW8" s="899"/>
      <c r="AX8" s="899"/>
      <c r="AY8" s="899"/>
      <c r="BD8" s="3" t="s">
        <v>2512</v>
      </c>
      <c r="BE8" s="1253">
        <f>SUMIF($AC$718:$AC$752,"&lt;=35%",$G$718:G$752)-SUM($BE$5:BE7)</f>
        <v>0</v>
      </c>
    </row>
    <row r="9" spans="1:58" ht="13" customHeight="1">
      <c r="A9" s="1838" t="s">
        <v>2077</v>
      </c>
      <c r="B9" s="1838"/>
      <c r="C9" s="1838"/>
      <c r="D9" s="1838"/>
      <c r="E9" s="1838"/>
      <c r="F9" s="1838"/>
      <c r="G9" s="1838"/>
      <c r="H9" s="1838"/>
      <c r="I9" s="1838"/>
      <c r="J9" s="1838"/>
      <c r="K9" s="1838"/>
      <c r="L9" s="1838"/>
      <c r="M9" s="1838"/>
      <c r="N9" s="1838"/>
      <c r="O9" s="1838"/>
      <c r="P9" s="1838"/>
      <c r="Q9" s="1838"/>
      <c r="R9" s="1838"/>
      <c r="S9" s="1838"/>
      <c r="T9" s="1838"/>
      <c r="U9" s="1838"/>
      <c r="V9" s="1838"/>
      <c r="W9" s="1838"/>
      <c r="X9" s="1838"/>
      <c r="Y9" s="1838"/>
      <c r="Z9" s="1838"/>
      <c r="AA9" s="1838"/>
      <c r="AB9" s="1838"/>
      <c r="AC9" s="1838"/>
      <c r="AD9" s="1838"/>
      <c r="AE9" s="1838"/>
      <c r="AF9" s="1838"/>
      <c r="AG9" s="1838"/>
      <c r="AH9" s="1838"/>
      <c r="AI9" s="1838"/>
      <c r="AJ9" s="1838"/>
      <c r="AK9" s="1838"/>
      <c r="AL9" s="1838"/>
      <c r="AM9" s="1838"/>
      <c r="AN9" s="1838"/>
      <c r="AO9" s="1838"/>
      <c r="AP9" s="1838"/>
      <c r="AQ9" s="1838"/>
      <c r="AR9" s="1838"/>
      <c r="AS9" s="1838"/>
      <c r="AT9" s="1838"/>
      <c r="AU9" s="13"/>
      <c r="AV9" s="13"/>
      <c r="AW9" s="13"/>
      <c r="AX9" s="13"/>
      <c r="AY9" s="13"/>
      <c r="BD9" s="1252" t="s">
        <v>2504</v>
      </c>
      <c r="BE9" s="1253">
        <f>SUMIF($AC$718:$AC$752,"&lt;=40%",$G$718:G$752)-SUM($BE$5:BE8)</f>
        <v>0</v>
      </c>
    </row>
    <row r="10" spans="1:58" ht="13" customHeight="1">
      <c r="A10" s="1838" t="s">
        <v>2461</v>
      </c>
      <c r="B10" s="1838"/>
      <c r="C10" s="1838"/>
      <c r="D10" s="1838"/>
      <c r="E10" s="1838"/>
      <c r="F10" s="1838"/>
      <c r="G10" s="1838"/>
      <c r="H10" s="1838"/>
      <c r="I10" s="1838"/>
      <c r="J10" s="1838"/>
      <c r="K10" s="1838"/>
      <c r="L10" s="1838"/>
      <c r="M10" s="1838"/>
      <c r="N10" s="1838"/>
      <c r="O10" s="1838"/>
      <c r="P10" s="1838"/>
      <c r="Q10" s="1838"/>
      <c r="R10" s="1838"/>
      <c r="S10" s="1838"/>
      <c r="T10" s="1838"/>
      <c r="U10" s="1838"/>
      <c r="V10" s="1838"/>
      <c r="W10" s="1838"/>
      <c r="X10" s="1838"/>
      <c r="Y10" s="1838"/>
      <c r="Z10" s="1838"/>
      <c r="AA10" s="1838"/>
      <c r="AB10" s="1838"/>
      <c r="AC10" s="1838"/>
      <c r="AD10" s="1838"/>
      <c r="AE10" s="1838"/>
      <c r="AF10" s="1838"/>
      <c r="AG10" s="1838"/>
      <c r="AH10" s="1838"/>
      <c r="AI10" s="1838"/>
      <c r="AJ10" s="1838"/>
      <c r="AK10" s="1838"/>
      <c r="AL10" s="1838"/>
      <c r="AM10" s="1838"/>
      <c r="AN10" s="1838"/>
      <c r="AO10" s="1838"/>
      <c r="AP10" s="1838"/>
      <c r="AQ10" s="1838"/>
      <c r="AR10" s="1838"/>
      <c r="AS10" s="1838"/>
      <c r="AT10" s="1838"/>
      <c r="AU10" s="13"/>
      <c r="AV10" s="13"/>
      <c r="AW10" s="13"/>
      <c r="AX10" s="13"/>
      <c r="AY10" s="13"/>
      <c r="BD10" s="3" t="s">
        <v>2513</v>
      </c>
      <c r="BE10" s="1253">
        <f>SUMIF($AC$718:$AC$752,"&lt;=45%",$G$718:G$752)-SUM($BE$5:BE9)</f>
        <v>0</v>
      </c>
    </row>
    <row r="11" spans="1:58" ht="13" customHeight="1">
      <c r="A11" s="1838" t="s">
        <v>2607</v>
      </c>
      <c r="B11" s="1838"/>
      <c r="C11" s="1838"/>
      <c r="D11" s="1838"/>
      <c r="E11" s="1838"/>
      <c r="F11" s="1838"/>
      <c r="G11" s="1838"/>
      <c r="H11" s="1838"/>
      <c r="I11" s="1838"/>
      <c r="J11" s="1838"/>
      <c r="K11" s="1838"/>
      <c r="L11" s="1838"/>
      <c r="M11" s="1838"/>
      <c r="N11" s="1838"/>
      <c r="O11" s="1838"/>
      <c r="P11" s="1838"/>
      <c r="Q11" s="1838"/>
      <c r="R11" s="1838"/>
      <c r="S11" s="1838"/>
      <c r="T11" s="1838"/>
      <c r="U11" s="1838"/>
      <c r="V11" s="1838"/>
      <c r="W11" s="1838"/>
      <c r="X11" s="1838"/>
      <c r="Y11" s="1838"/>
      <c r="Z11" s="1838"/>
      <c r="AA11" s="1838"/>
      <c r="AB11" s="1838"/>
      <c r="AC11" s="1838"/>
      <c r="AD11" s="1838"/>
      <c r="AE11" s="1838"/>
      <c r="AF11" s="1838"/>
      <c r="AG11" s="1838"/>
      <c r="AH11" s="1838"/>
      <c r="AI11" s="1838"/>
      <c r="AJ11" s="1838"/>
      <c r="AK11" s="1838"/>
      <c r="AL11" s="1838"/>
      <c r="AM11" s="1838"/>
      <c r="AN11" s="1838"/>
      <c r="AO11" s="1838"/>
      <c r="AP11" s="1838"/>
      <c r="AQ11" s="1838"/>
      <c r="AR11" s="1838"/>
      <c r="AS11" s="1838"/>
      <c r="AT11" s="1838"/>
      <c r="AU11" s="13"/>
      <c r="AV11" s="13"/>
      <c r="AW11" s="13"/>
      <c r="AX11" s="13"/>
      <c r="AY11" s="13"/>
      <c r="BD11" s="1251" t="s">
        <v>2505</v>
      </c>
      <c r="BE11" s="1253">
        <f>SUMIF($AC$718:$AC$752,"&lt;=50%",$G$718:G$752)-SUM($BE$5:BE10)</f>
        <v>30</v>
      </c>
    </row>
    <row r="12" spans="1:58" ht="13" customHeight="1">
      <c r="A12" s="1839" t="s">
        <v>2608</v>
      </c>
      <c r="B12" s="1839"/>
      <c r="C12" s="1839"/>
      <c r="D12" s="1839"/>
      <c r="E12" s="1839"/>
      <c r="F12" s="1839"/>
      <c r="G12" s="1839"/>
      <c r="H12" s="1839"/>
      <c r="I12" s="1839"/>
      <c r="J12" s="1839"/>
      <c r="K12" s="1839"/>
      <c r="L12" s="1839"/>
      <c r="M12" s="1839"/>
      <c r="N12" s="1839"/>
      <c r="O12" s="1839"/>
      <c r="P12" s="1839"/>
      <c r="Q12" s="1839"/>
      <c r="R12" s="1839"/>
      <c r="S12" s="1839"/>
      <c r="T12" s="1839"/>
      <c r="U12" s="1839"/>
      <c r="V12" s="1839"/>
      <c r="W12" s="1839"/>
      <c r="X12" s="1839"/>
      <c r="Y12" s="1839"/>
      <c r="Z12" s="1839"/>
      <c r="AA12" s="1839"/>
      <c r="AB12" s="1839"/>
      <c r="AC12" s="1839"/>
      <c r="AD12" s="1839"/>
      <c r="AE12" s="1839"/>
      <c r="AF12" s="1839"/>
      <c r="AG12" s="1839"/>
      <c r="AH12" s="1839"/>
      <c r="AI12" s="1839"/>
      <c r="AJ12" s="1839"/>
      <c r="AK12" s="1839"/>
      <c r="AL12" s="1839"/>
      <c r="AM12" s="1839"/>
      <c r="AN12" s="1839"/>
      <c r="AO12" s="1839"/>
      <c r="AP12" s="1839"/>
      <c r="AQ12" s="1839"/>
      <c r="AR12" s="1839"/>
      <c r="AS12" s="1839"/>
      <c r="AT12" s="1839"/>
      <c r="AU12" s="6"/>
      <c r="AV12" s="6"/>
      <c r="AW12" s="6"/>
      <c r="AX12" s="6"/>
      <c r="AY12" s="6"/>
      <c r="BD12" s="3" t="s">
        <v>2514</v>
      </c>
      <c r="BE12" s="1253">
        <f>SUMIF($AC$718:$AC$752,"&lt;=55%",$G$718:G$752)-SUM($BE$5:BE11)</f>
        <v>0</v>
      </c>
    </row>
    <row r="13" spans="1:58" ht="13" customHeight="1">
      <c r="A13" s="1280" t="s">
        <v>2078</v>
      </c>
      <c r="B13" s="1280"/>
      <c r="C13" s="1280"/>
      <c r="D13" s="1280"/>
      <c r="E13" s="1280"/>
      <c r="F13" s="1280"/>
      <c r="G13" s="1280"/>
      <c r="H13" s="1280"/>
      <c r="I13" s="1280"/>
      <c r="J13" s="1280"/>
      <c r="K13" s="1280"/>
      <c r="L13" s="1280"/>
      <c r="M13" s="1280"/>
      <c r="N13" s="1280"/>
      <c r="O13" s="1280"/>
      <c r="P13" s="1280"/>
      <c r="Q13" s="1280"/>
      <c r="R13" s="1280"/>
      <c r="S13" s="1280"/>
      <c r="T13" s="1280"/>
      <c r="U13" s="1280"/>
      <c r="V13" s="1280"/>
      <c r="W13" s="1280"/>
      <c r="X13" s="1280"/>
      <c r="Y13" s="1280"/>
      <c r="Z13" s="1280"/>
      <c r="AA13" s="1280"/>
      <c r="AB13" s="1280"/>
      <c r="AC13" s="1280"/>
      <c r="AD13" s="1280"/>
      <c r="AE13" s="1280"/>
      <c r="AF13" s="1280"/>
      <c r="AG13" s="1280"/>
      <c r="AH13" s="1280"/>
      <c r="AI13" s="1280"/>
      <c r="AJ13" s="1280"/>
      <c r="AK13" s="1280"/>
      <c r="AL13" s="1280"/>
      <c r="AM13" s="1280"/>
      <c r="AN13" s="1280"/>
      <c r="AO13" s="1280"/>
      <c r="AP13" s="1280"/>
      <c r="AQ13" s="1280"/>
      <c r="AR13" s="1280"/>
      <c r="AS13" s="1280"/>
      <c r="AT13" s="1280"/>
      <c r="AU13" s="900"/>
      <c r="AV13" s="900"/>
      <c r="AW13" s="900"/>
      <c r="AX13" s="900"/>
      <c r="AY13" s="900"/>
      <c r="BD13" s="1252" t="s">
        <v>2506</v>
      </c>
      <c r="BE13" s="1253">
        <f>SUMIF($AC$718:$AC$752,"&lt;=60%",$G$718:G$752)-SUM($BE$5:BE12)</f>
        <v>0</v>
      </c>
    </row>
    <row r="14" spans="1:58" ht="13" customHeight="1">
      <c r="A14" s="1280"/>
      <c r="B14" s="1280"/>
      <c r="C14" s="1280"/>
      <c r="D14" s="1280"/>
      <c r="E14" s="1280"/>
      <c r="F14" s="1280"/>
      <c r="G14" s="1280"/>
      <c r="H14" s="1280"/>
      <c r="I14" s="1280"/>
      <c r="J14" s="1280"/>
      <c r="K14" s="1280"/>
      <c r="L14" s="1280"/>
      <c r="M14" s="1280"/>
      <c r="N14" s="1280"/>
      <c r="O14" s="1280"/>
      <c r="P14" s="1280"/>
      <c r="Q14" s="1280"/>
      <c r="R14" s="1280"/>
      <c r="S14" s="1280"/>
      <c r="T14" s="1280"/>
      <c r="U14" s="1280"/>
      <c r="V14" s="1280"/>
      <c r="W14" s="1280"/>
      <c r="X14" s="1280"/>
      <c r="Y14" s="1280"/>
      <c r="Z14" s="1280"/>
      <c r="AA14" s="1280"/>
      <c r="AB14" s="1280"/>
      <c r="AC14" s="1280"/>
      <c r="AD14" s="1280"/>
      <c r="AE14" s="1280"/>
      <c r="AF14" s="1280"/>
      <c r="AG14" s="1280"/>
      <c r="AH14" s="1280"/>
      <c r="AI14" s="1280"/>
      <c r="AJ14" s="1280"/>
      <c r="AK14" s="1280"/>
      <c r="AL14" s="1280"/>
      <c r="AM14" s="1280"/>
      <c r="AN14" s="1280"/>
      <c r="AO14" s="1280"/>
      <c r="AP14" s="1280"/>
      <c r="AQ14" s="1280"/>
      <c r="AR14" s="1280"/>
      <c r="AS14" s="1280"/>
      <c r="AT14" s="1280"/>
      <c r="AU14" s="900"/>
      <c r="AV14" s="900"/>
      <c r="AW14" s="900"/>
      <c r="AX14" s="900"/>
      <c r="AY14" s="900"/>
      <c r="BD14" s="1251" t="s">
        <v>2507</v>
      </c>
      <c r="BE14" s="1253">
        <f>SUMIF($AC$718:$AC$752,"&lt;=70%",$G$718:G$752)-SUM($BE$5:BE13)</f>
        <v>0</v>
      </c>
    </row>
    <row r="15" spans="1:58" ht="13"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252" t="s">
        <v>2508</v>
      </c>
      <c r="BE15" s="1253">
        <f>SUMIF($AC$718:$AC$752,"&lt;=80%",$G$718:G$752)-SUM($BE$5:BE14)</f>
        <v>0</v>
      </c>
    </row>
    <row r="16" spans="1:58" ht="13" customHeight="1">
      <c r="A16" s="57" t="s">
        <v>2079</v>
      </c>
      <c r="C16" s="4"/>
      <c r="D16" s="4"/>
      <c r="E16" s="4"/>
      <c r="F16" s="4"/>
      <c r="G16" s="4"/>
      <c r="H16" s="1564" t="s">
        <v>2609</v>
      </c>
      <c r="I16" s="1529"/>
      <c r="J16" s="1529"/>
      <c r="K16" s="1529"/>
      <c r="L16" s="1529"/>
      <c r="M16" s="1529"/>
      <c r="N16" s="1529"/>
      <c r="O16" s="1529"/>
      <c r="P16" s="1529"/>
      <c r="Q16" s="1529"/>
      <c r="R16" s="1529"/>
      <c r="S16" s="1529"/>
      <c r="T16" s="1529"/>
      <c r="U16" s="1529"/>
      <c r="V16" s="1529"/>
      <c r="W16" s="1529"/>
      <c r="X16" s="1529"/>
      <c r="Y16" s="1529"/>
      <c r="Z16" s="1529"/>
      <c r="AA16" s="1529"/>
      <c r="AB16" s="1529"/>
      <c r="AC16" s="1529"/>
      <c r="AD16" s="1529"/>
      <c r="AE16" s="1529"/>
      <c r="AF16" s="1529"/>
      <c r="AG16" s="1529"/>
      <c r="AH16" s="1529"/>
      <c r="AI16" s="1529"/>
      <c r="AJ16" s="1529"/>
      <c r="BD16" s="1252" t="s">
        <v>655</v>
      </c>
      <c r="BE16" s="1253" t="str">
        <f>Application!H18</f>
        <v>George McDonald Court</v>
      </c>
    </row>
    <row r="17" spans="1:58" ht="13" customHeight="1">
      <c r="BD17" s="1251" t="s">
        <v>2521</v>
      </c>
      <c r="BE17" s="1253">
        <f>Application!AA934</f>
        <v>0</v>
      </c>
    </row>
    <row r="18" spans="1:58" ht="13" customHeight="1">
      <c r="A18" s="57" t="s">
        <v>101</v>
      </c>
      <c r="C18" s="4"/>
      <c r="D18" s="4"/>
      <c r="E18" s="4"/>
      <c r="F18" s="4"/>
      <c r="G18" s="4"/>
      <c r="H18" s="1491" t="s">
        <v>2610</v>
      </c>
      <c r="I18" s="1447"/>
      <c r="J18" s="1447"/>
      <c r="K18" s="1447"/>
      <c r="L18" s="1447"/>
      <c r="M18" s="1447"/>
      <c r="N18" s="1447"/>
      <c r="O18" s="1447"/>
      <c r="P18" s="1447"/>
      <c r="Q18" s="1447"/>
      <c r="R18" s="1447"/>
      <c r="S18" s="1447"/>
      <c r="T18" s="1447"/>
      <c r="U18" s="1447"/>
      <c r="V18" s="1447"/>
      <c r="W18" s="1447"/>
      <c r="X18" s="1447"/>
      <c r="Y18" s="1447"/>
      <c r="Z18" s="1447"/>
      <c r="AA18" s="1447"/>
      <c r="AB18" s="1447"/>
      <c r="AC18" s="1447"/>
      <c r="AD18" s="1447"/>
      <c r="AE18" s="1447"/>
      <c r="AF18" s="1447"/>
      <c r="AG18" s="1447"/>
      <c r="AH18" s="1447"/>
      <c r="AI18" s="1447"/>
      <c r="AJ18" s="1447"/>
      <c r="BD18" s="1252" t="s">
        <v>2522</v>
      </c>
      <c r="BE18" s="1253">
        <f>'CalHFA Addendum'!N11</f>
        <v>0</v>
      </c>
    </row>
    <row r="19" spans="1:58" ht="13" customHeight="1">
      <c r="BD19" s="1251" t="s">
        <v>2523</v>
      </c>
      <c r="BE19" s="1253">
        <f>Application!M26</f>
        <v>1283252</v>
      </c>
    </row>
    <row r="20" spans="1:58" ht="13" customHeight="1">
      <c r="A20" s="1840" t="s">
        <v>872</v>
      </c>
      <c r="B20" s="1840"/>
      <c r="C20" s="1840"/>
      <c r="D20" s="1840"/>
      <c r="E20" s="1840"/>
      <c r="F20" s="1840"/>
      <c r="G20" s="1840"/>
      <c r="H20" s="1840"/>
      <c r="I20" s="1840"/>
      <c r="J20" s="1840"/>
      <c r="K20" s="1840"/>
      <c r="L20" s="1840"/>
      <c r="M20" s="1840"/>
      <c r="N20" s="1840"/>
      <c r="O20" s="1840"/>
      <c r="P20" s="1840"/>
      <c r="Q20" s="1840"/>
      <c r="R20" s="1840"/>
      <c r="S20" s="1840"/>
      <c r="T20" s="1840"/>
      <c r="U20" s="1840"/>
      <c r="V20" s="1840"/>
      <c r="W20" s="1840"/>
      <c r="X20" s="1840"/>
      <c r="Y20" s="1840"/>
      <c r="Z20" s="1840"/>
      <c r="AA20" s="1840"/>
      <c r="AB20" s="1840"/>
      <c r="AC20" s="1840"/>
      <c r="AD20" s="1840"/>
      <c r="AE20" s="1840"/>
      <c r="AF20" s="1840"/>
      <c r="AG20" s="1840"/>
      <c r="AH20" s="1840"/>
      <c r="AI20" s="1840"/>
      <c r="AJ20" s="1840"/>
      <c r="AK20" s="1840"/>
      <c r="AL20" s="1840"/>
      <c r="AM20" s="1840"/>
      <c r="AN20" s="1840"/>
      <c r="AO20" s="1840"/>
      <c r="AP20" s="1840"/>
      <c r="AQ20" s="1840"/>
      <c r="AR20" s="1840"/>
      <c r="AS20" s="1840"/>
      <c r="AT20" s="1840"/>
      <c r="AU20" s="901"/>
      <c r="AV20" s="901"/>
      <c r="AW20" s="901"/>
      <c r="AX20" s="901"/>
      <c r="AY20" s="901"/>
      <c r="BD20" s="1252" t="s">
        <v>2524</v>
      </c>
      <c r="BE20" s="1253">
        <f>Application!M27</f>
        <v>0</v>
      </c>
    </row>
    <row r="21" spans="1:58" ht="13" customHeight="1">
      <c r="A21" s="1843" t="s">
        <v>1008</v>
      </c>
      <c r="B21" s="1843"/>
      <c r="C21" s="1843"/>
      <c r="D21" s="1843"/>
      <c r="E21" s="1843"/>
      <c r="F21" s="1843"/>
      <c r="G21" s="1843"/>
      <c r="H21" s="1843"/>
      <c r="I21" s="1843"/>
      <c r="J21" s="1843"/>
      <c r="K21" s="1843"/>
      <c r="L21" s="1843"/>
      <c r="M21" s="1843"/>
      <c r="N21" s="1843"/>
      <c r="O21" s="1843"/>
      <c r="P21" s="1843"/>
      <c r="Q21" s="1843"/>
      <c r="R21" s="1843"/>
      <c r="S21" s="1843"/>
      <c r="T21" s="1843"/>
      <c r="U21" s="1843"/>
      <c r="V21" s="1843"/>
      <c r="W21" s="1843"/>
      <c r="X21" s="1843"/>
      <c r="Y21" s="1843"/>
      <c r="Z21" s="1843"/>
      <c r="AA21" s="1843"/>
      <c r="AB21" s="1843"/>
      <c r="AC21" s="1843"/>
      <c r="AD21" s="1843"/>
      <c r="AE21" s="1843"/>
      <c r="AF21" s="1843"/>
      <c r="AG21" s="1843"/>
      <c r="AH21" s="1843"/>
      <c r="AI21" s="1843"/>
      <c r="AJ21" s="1843"/>
      <c r="AK21" s="1843"/>
      <c r="AL21" s="1843"/>
      <c r="AM21" s="902"/>
      <c r="AN21" s="902"/>
      <c r="AO21" s="902"/>
      <c r="AP21" s="902"/>
      <c r="AQ21" s="902"/>
      <c r="AR21" s="902"/>
      <c r="AS21" s="902"/>
      <c r="AT21" s="902"/>
      <c r="AU21" s="902"/>
      <c r="AV21" s="902"/>
      <c r="AW21" s="902"/>
      <c r="AX21" s="902"/>
      <c r="AY21" s="902"/>
      <c r="BD21" s="1251" t="s">
        <v>2525</v>
      </c>
      <c r="BE21" s="1253">
        <f>Application!AM554</f>
        <v>16812000</v>
      </c>
    </row>
    <row r="22" spans="1:58" ht="13"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252" t="s">
        <v>282</v>
      </c>
      <c r="BE22" s="1253">
        <f>'Sources and Uses Budget'!B105</f>
        <v>35051792</v>
      </c>
      <c r="BF22" s="3" t="s">
        <v>2598</v>
      </c>
    </row>
    <row r="23" spans="1:58" ht="13" customHeight="1">
      <c r="A23" s="1338" t="s">
        <v>2147</v>
      </c>
      <c r="B23" s="1338"/>
      <c r="C23" s="1338"/>
      <c r="D23" s="1338"/>
      <c r="E23" s="1338"/>
      <c r="F23" s="1338"/>
      <c r="G23" s="1338"/>
      <c r="H23" s="1338"/>
      <c r="I23" s="1338"/>
      <c r="J23" s="1338"/>
      <c r="K23" s="1338"/>
      <c r="L23" s="1338"/>
      <c r="M23" s="1338"/>
      <c r="N23" s="1338"/>
      <c r="O23" s="1338"/>
      <c r="P23" s="1338"/>
      <c r="Q23" s="1338"/>
      <c r="R23" s="1338"/>
      <c r="S23" s="1338"/>
      <c r="T23" s="1338"/>
      <c r="U23" s="1338"/>
      <c r="V23" s="1338"/>
      <c r="W23" s="1338"/>
      <c r="X23" s="1338"/>
      <c r="Y23" s="1338"/>
      <c r="Z23" s="1338"/>
      <c r="AA23" s="1338"/>
      <c r="AB23" s="1338"/>
      <c r="AC23" s="1338"/>
      <c r="AD23" s="1338"/>
      <c r="AE23" s="1338"/>
      <c r="AF23" s="1338"/>
      <c r="AG23" s="1338"/>
      <c r="AH23" s="1338"/>
      <c r="AI23" s="1338"/>
      <c r="AJ23" s="1338"/>
      <c r="AK23" s="1338"/>
      <c r="AL23" s="1338"/>
      <c r="AM23" s="1338"/>
      <c r="AN23" s="1338"/>
      <c r="AO23" s="1338"/>
      <c r="AP23" s="1338"/>
      <c r="AQ23" s="1338"/>
      <c r="AR23" s="1338"/>
      <c r="AS23" s="1338"/>
      <c r="AT23" s="1338"/>
      <c r="AU23" s="18"/>
      <c r="AV23" s="18"/>
      <c r="AW23" s="18"/>
      <c r="AX23" s="18"/>
      <c r="AY23" s="18"/>
      <c r="AZ23" s="18"/>
      <c r="BD23" s="1251" t="s">
        <v>2526</v>
      </c>
      <c r="BE23" s="1253">
        <f>'Sources and Uses Budget'!B4</f>
        <v>4600000</v>
      </c>
    </row>
    <row r="24" spans="1:58" ht="13" customHeight="1">
      <c r="A24" s="1338"/>
      <c r="B24" s="1338"/>
      <c r="C24" s="1338"/>
      <c r="D24" s="1338"/>
      <c r="E24" s="1338"/>
      <c r="F24" s="1338"/>
      <c r="G24" s="1338"/>
      <c r="H24" s="1338"/>
      <c r="I24" s="1338"/>
      <c r="J24" s="1338"/>
      <c r="K24" s="1338"/>
      <c r="L24" s="1338"/>
      <c r="M24" s="1338"/>
      <c r="N24" s="1338"/>
      <c r="O24" s="1338"/>
      <c r="P24" s="1338"/>
      <c r="Q24" s="1338"/>
      <c r="R24" s="1338"/>
      <c r="S24" s="1338"/>
      <c r="T24" s="1338"/>
      <c r="U24" s="1338"/>
      <c r="V24" s="1338"/>
      <c r="W24" s="1338"/>
      <c r="X24" s="1338"/>
      <c r="Y24" s="1338"/>
      <c r="Z24" s="1338"/>
      <c r="AA24" s="1338"/>
      <c r="AB24" s="1338"/>
      <c r="AC24" s="1338"/>
      <c r="AD24" s="1338"/>
      <c r="AE24" s="1338"/>
      <c r="AF24" s="1338"/>
      <c r="AG24" s="1338"/>
      <c r="AH24" s="1338"/>
      <c r="AI24" s="1338"/>
      <c r="AJ24" s="1338"/>
      <c r="AK24" s="1338"/>
      <c r="AL24" s="1338"/>
      <c r="AM24" s="1338"/>
      <c r="AN24" s="1338"/>
      <c r="AO24" s="1338"/>
      <c r="AP24" s="1338"/>
      <c r="AQ24" s="1338"/>
      <c r="AR24" s="1338"/>
      <c r="AS24" s="1338"/>
      <c r="AT24" s="1338"/>
      <c r="AU24" s="18"/>
      <c r="AV24" s="18"/>
      <c r="AW24" s="18"/>
      <c r="AX24" s="18"/>
      <c r="AY24" s="18"/>
      <c r="AZ24" s="18"/>
      <c r="BD24" s="1252" t="s">
        <v>2527</v>
      </c>
      <c r="BE24" s="1253">
        <f>Application!AG450</f>
        <v>54492</v>
      </c>
    </row>
    <row r="25" spans="1:58" ht="13"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251" t="s">
        <v>2528</v>
      </c>
      <c r="BE25" s="1253" t="str">
        <f>Application!D208</f>
        <v>40%/60%</v>
      </c>
    </row>
    <row r="26" spans="1:58" ht="13" customHeight="1">
      <c r="A26" s="4"/>
      <c r="C26" s="4"/>
      <c r="D26" s="4"/>
      <c r="E26" s="4"/>
      <c r="F26" s="4"/>
      <c r="G26" s="4"/>
      <c r="H26" s="4"/>
      <c r="I26" s="4"/>
      <c r="J26" s="4"/>
      <c r="K26" s="4"/>
      <c r="L26" s="4"/>
      <c r="M26" s="1842">
        <f>'Basis &amp; Credits'!AB56</f>
        <v>1283252</v>
      </c>
      <c r="N26" s="1842"/>
      <c r="O26" s="1842"/>
      <c r="P26" s="1842"/>
      <c r="Q26" s="1842"/>
      <c r="R26" s="4" t="s">
        <v>758</v>
      </c>
      <c r="S26" s="4"/>
      <c r="T26" s="4"/>
      <c r="U26" s="4"/>
      <c r="V26" s="4"/>
      <c r="W26" s="4"/>
      <c r="X26" s="4"/>
      <c r="Y26" s="4"/>
      <c r="Z26" s="4"/>
      <c r="AF26" s="4"/>
      <c r="AG26" s="4"/>
      <c r="AH26" s="4"/>
      <c r="AI26" s="4"/>
      <c r="AJ26" s="4"/>
      <c r="AK26" s="4"/>
      <c r="BD26" s="1252" t="s">
        <v>1638</v>
      </c>
      <c r="BE26" s="1253" t="b">
        <f>Application!M356="Yes"</f>
        <v>0</v>
      </c>
    </row>
    <row r="27" spans="1:58" ht="13" customHeight="1">
      <c r="A27" s="4"/>
      <c r="C27" s="4"/>
      <c r="D27" s="4"/>
      <c r="E27" s="4"/>
      <c r="F27" s="4"/>
      <c r="G27" s="4"/>
      <c r="H27" s="4"/>
      <c r="I27" s="4"/>
      <c r="J27" s="4"/>
      <c r="K27" s="4"/>
      <c r="L27" s="4"/>
      <c r="M27" s="1403">
        <f>'Basis &amp; Credits'!AB78</f>
        <v>0</v>
      </c>
      <c r="N27" s="1403"/>
      <c r="O27" s="1403"/>
      <c r="P27" s="1403"/>
      <c r="Q27" s="1403"/>
      <c r="R27" s="3" t="s">
        <v>1266</v>
      </c>
      <c r="S27" s="4"/>
      <c r="T27" s="4"/>
      <c r="U27" s="4"/>
      <c r="V27" s="4"/>
      <c r="W27" s="4"/>
      <c r="X27" s="4"/>
      <c r="Y27" s="4"/>
      <c r="Z27" s="4"/>
      <c r="AF27" s="4"/>
      <c r="AG27" s="4"/>
      <c r="AH27" s="4"/>
      <c r="AI27" s="4"/>
      <c r="AJ27" s="4"/>
      <c r="AK27" s="4"/>
      <c r="BD27" s="1251" t="s">
        <v>2099</v>
      </c>
      <c r="BE27" s="1253" t="b">
        <f>Application!M355="Yes"</f>
        <v>0</v>
      </c>
    </row>
    <row r="28" spans="1:58" ht="13"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252" t="s">
        <v>2529</v>
      </c>
      <c r="BE28" s="1253" t="b">
        <f>Application!M357="Yes"</f>
        <v>0</v>
      </c>
    </row>
    <row r="29" spans="1:58" ht="13" customHeight="1">
      <c r="A29" s="1553" t="s">
        <v>2148</v>
      </c>
      <c r="B29" s="1553"/>
      <c r="C29" s="1553"/>
      <c r="D29" s="1553"/>
      <c r="E29" s="1553"/>
      <c r="F29" s="1553"/>
      <c r="G29" s="1553"/>
      <c r="H29" s="1553"/>
      <c r="I29" s="1553"/>
      <c r="J29" s="1553"/>
      <c r="K29" s="1553"/>
      <c r="L29" s="1553"/>
      <c r="M29" s="1553"/>
      <c r="N29" s="1553"/>
      <c r="O29" s="1553"/>
      <c r="P29" s="1553"/>
      <c r="Q29" s="1553"/>
      <c r="R29" s="1553"/>
      <c r="S29" s="1553"/>
      <c r="T29" s="1553"/>
      <c r="U29" s="1553"/>
      <c r="V29" s="1553"/>
      <c r="W29" s="1553"/>
      <c r="X29" s="1553"/>
      <c r="Y29" s="1553"/>
      <c r="Z29" s="1553"/>
      <c r="AA29" s="1553"/>
      <c r="AB29" s="1553"/>
      <c r="AC29" s="1553"/>
      <c r="AD29" s="1553"/>
      <c r="AE29" s="1553"/>
      <c r="AF29" s="1553"/>
      <c r="AG29" s="1553"/>
      <c r="AH29" s="1553"/>
      <c r="AI29" s="1553"/>
      <c r="AJ29" s="1553"/>
      <c r="AK29" s="1553"/>
      <c r="AL29" s="1553"/>
      <c r="AM29" s="1553"/>
      <c r="AN29" s="1553"/>
      <c r="AO29" s="1553"/>
      <c r="AP29" s="1553"/>
      <c r="AQ29" s="1553"/>
      <c r="AR29" s="1553"/>
      <c r="AS29" s="1553"/>
      <c r="AT29" s="1553"/>
      <c r="BD29" s="1251" t="s">
        <v>2530</v>
      </c>
      <c r="BE29" s="1253" t="b">
        <f>Application!M358="Yes"</f>
        <v>1</v>
      </c>
    </row>
    <row r="30" spans="1:58" ht="13" customHeight="1">
      <c r="A30" s="1553"/>
      <c r="B30" s="1553"/>
      <c r="C30" s="1553"/>
      <c r="D30" s="1553"/>
      <c r="E30" s="1553"/>
      <c r="F30" s="1553"/>
      <c r="G30" s="1553"/>
      <c r="H30" s="1553"/>
      <c r="I30" s="1553"/>
      <c r="J30" s="1553"/>
      <c r="K30" s="1553"/>
      <c r="L30" s="1553"/>
      <c r="M30" s="1553"/>
      <c r="N30" s="1553"/>
      <c r="O30" s="1553"/>
      <c r="P30" s="1553"/>
      <c r="Q30" s="1553"/>
      <c r="R30" s="1553"/>
      <c r="S30" s="1553"/>
      <c r="T30" s="1553"/>
      <c r="U30" s="1553"/>
      <c r="V30" s="1553"/>
      <c r="W30" s="1553"/>
      <c r="X30" s="1553"/>
      <c r="Y30" s="1553"/>
      <c r="Z30" s="1553"/>
      <c r="AA30" s="1553"/>
      <c r="AB30" s="1553"/>
      <c r="AC30" s="1553"/>
      <c r="AD30" s="1553"/>
      <c r="AE30" s="1553"/>
      <c r="AF30" s="1553"/>
      <c r="AG30" s="1553"/>
      <c r="AH30" s="1553"/>
      <c r="AI30" s="1553"/>
      <c r="AJ30" s="1553"/>
      <c r="AK30" s="1553"/>
      <c r="AL30" s="1553"/>
      <c r="AM30" s="1553"/>
      <c r="AN30" s="1553"/>
      <c r="AO30" s="1553"/>
      <c r="AP30" s="1553"/>
      <c r="AQ30" s="1553"/>
      <c r="AR30" s="1553"/>
      <c r="AS30" s="1553"/>
      <c r="AT30" s="1553"/>
      <c r="AZ30" s="20"/>
      <c r="BD30" s="1252" t="s">
        <v>28</v>
      </c>
      <c r="BE30" s="1253" t="b">
        <f>Application!AJ355="Yes"</f>
        <v>0</v>
      </c>
    </row>
    <row r="31" spans="1:58" ht="13" customHeight="1">
      <c r="A31" s="1553"/>
      <c r="B31" s="1553"/>
      <c r="C31" s="1553"/>
      <c r="D31" s="1553"/>
      <c r="E31" s="1553"/>
      <c r="F31" s="1553"/>
      <c r="G31" s="1553"/>
      <c r="H31" s="1553"/>
      <c r="I31" s="1553"/>
      <c r="J31" s="1553"/>
      <c r="K31" s="1553"/>
      <c r="L31" s="1553"/>
      <c r="M31" s="1553"/>
      <c r="N31" s="1553"/>
      <c r="O31" s="1553"/>
      <c r="P31" s="1553"/>
      <c r="Q31" s="1553"/>
      <c r="R31" s="1553"/>
      <c r="S31" s="1553"/>
      <c r="T31" s="1553"/>
      <c r="U31" s="1553"/>
      <c r="V31" s="1553"/>
      <c r="W31" s="1553"/>
      <c r="X31" s="1553"/>
      <c r="Y31" s="1553"/>
      <c r="Z31" s="1553"/>
      <c r="AA31" s="1553"/>
      <c r="AB31" s="1553"/>
      <c r="AC31" s="1553"/>
      <c r="AD31" s="1553"/>
      <c r="AE31" s="1553"/>
      <c r="AF31" s="1553"/>
      <c r="AG31" s="1553"/>
      <c r="AH31" s="1553"/>
      <c r="AI31" s="1553"/>
      <c r="AJ31" s="1553"/>
      <c r="AK31" s="1553"/>
      <c r="AL31" s="1553"/>
      <c r="AM31" s="1553"/>
      <c r="AN31" s="1553"/>
      <c r="AO31" s="1553"/>
      <c r="AP31" s="1553"/>
      <c r="AQ31" s="1553"/>
      <c r="AR31" s="1553"/>
      <c r="AS31" s="1553"/>
      <c r="AT31" s="1553"/>
      <c r="AU31" s="20"/>
      <c r="AV31" s="20"/>
      <c r="AW31" s="20"/>
      <c r="AX31" s="20"/>
      <c r="AY31" s="20"/>
      <c r="AZ31" s="20"/>
      <c r="BD31" s="1251" t="s">
        <v>2531</v>
      </c>
      <c r="BE31" s="1253" t="str">
        <f>Application!D211</f>
        <v>Non-Targeted</v>
      </c>
    </row>
    <row r="32" spans="1:58" ht="13"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252" t="s">
        <v>2532</v>
      </c>
      <c r="BE32" s="1253">
        <f>IF(ISNUMBER(Application!W465),W465,0)</f>
        <v>0</v>
      </c>
    </row>
    <row r="33" spans="1:57" ht="13" customHeight="1">
      <c r="A33" s="520" t="s">
        <v>1277</v>
      </c>
      <c r="C33" s="520"/>
      <c r="D33" s="520"/>
      <c r="E33" s="520"/>
      <c r="F33" s="520"/>
      <c r="G33" s="520"/>
      <c r="H33" s="520"/>
      <c r="I33" s="520"/>
      <c r="J33" s="520"/>
      <c r="K33" s="520"/>
      <c r="L33" s="520"/>
      <c r="M33" s="520"/>
      <c r="N33" s="520"/>
      <c r="O33" s="1446" t="s">
        <v>668</v>
      </c>
      <c r="P33" s="1446"/>
      <c r="Q33" s="1841" t="s">
        <v>2149</v>
      </c>
      <c r="R33" s="1841"/>
      <c r="S33" s="1841"/>
      <c r="T33" s="1841"/>
      <c r="U33" s="1841"/>
      <c r="V33" s="1841"/>
      <c r="W33" s="1841"/>
      <c r="X33" s="1841"/>
      <c r="Y33" s="1841"/>
      <c r="Z33" s="1841"/>
      <c r="AA33" s="1841"/>
      <c r="AB33" s="1841"/>
      <c r="AC33" s="1841"/>
      <c r="AD33" s="1841"/>
      <c r="AE33" s="1841"/>
      <c r="AF33" s="1841"/>
      <c r="AG33" s="1841"/>
      <c r="AH33" s="1841"/>
      <c r="AI33" s="1841"/>
      <c r="AJ33" s="1841"/>
      <c r="AK33" s="1841"/>
      <c r="AL33" s="1841"/>
      <c r="AM33" s="1841"/>
      <c r="AN33" s="1841"/>
      <c r="AO33" s="1841"/>
      <c r="AP33" s="1841"/>
      <c r="AQ33" s="1841"/>
      <c r="AR33" s="1841"/>
      <c r="AS33" s="1841"/>
      <c r="AT33" s="1841"/>
      <c r="AU33" s="20"/>
      <c r="AV33" s="20"/>
      <c r="AW33" s="20"/>
      <c r="AX33" s="20"/>
      <c r="AY33" s="20"/>
      <c r="BD33" s="1251" t="s">
        <v>2599</v>
      </c>
      <c r="BE33" s="1253" t="str">
        <f>Application!D220</f>
        <v>City of Los Angeles</v>
      </c>
    </row>
    <row r="34" spans="1:57" ht="13" customHeight="1">
      <c r="A34" s="1553" t="s">
        <v>2150</v>
      </c>
      <c r="B34" s="1553"/>
      <c r="C34" s="1553"/>
      <c r="D34" s="1553"/>
      <c r="E34" s="1553"/>
      <c r="F34" s="1553"/>
      <c r="G34" s="1553"/>
      <c r="H34" s="1553"/>
      <c r="I34" s="1553"/>
      <c r="J34" s="1553"/>
      <c r="K34" s="1553"/>
      <c r="L34" s="1553"/>
      <c r="M34" s="1553"/>
      <c r="N34" s="1553"/>
      <c r="O34" s="1553"/>
      <c r="P34" s="1553"/>
      <c r="Q34" s="1553"/>
      <c r="R34" s="1553"/>
      <c r="S34" s="1553"/>
      <c r="T34" s="1553"/>
      <c r="U34" s="1553"/>
      <c r="V34" s="1553"/>
      <c r="W34" s="1553"/>
      <c r="X34" s="1553"/>
      <c r="Y34" s="1553"/>
      <c r="Z34" s="1553"/>
      <c r="AA34" s="1553"/>
      <c r="AB34" s="1553"/>
      <c r="AC34" s="1553"/>
      <c r="AD34" s="1553"/>
      <c r="AE34" s="1553"/>
      <c r="AF34" s="1553"/>
      <c r="AG34" s="1553"/>
      <c r="AH34" s="1553"/>
      <c r="AI34" s="1553"/>
      <c r="AJ34" s="1553"/>
      <c r="AK34" s="1553"/>
      <c r="AL34" s="1553"/>
      <c r="AM34" s="1553"/>
      <c r="AN34" s="1553"/>
      <c r="AO34" s="1553"/>
      <c r="AP34" s="1553"/>
      <c r="AQ34" s="1553"/>
      <c r="AR34" s="1553"/>
      <c r="AS34" s="1553"/>
      <c r="AT34" s="1553"/>
      <c r="AU34" s="20"/>
      <c r="AV34" s="20"/>
      <c r="AW34" s="20"/>
      <c r="AX34" s="20"/>
      <c r="AY34" s="20"/>
      <c r="AZ34" s="20"/>
      <c r="BD34" s="1252" t="s">
        <v>2533</v>
      </c>
      <c r="BE34" s="1253" t="str">
        <f>Application!I185</f>
        <v>1800 E 92nd Street</v>
      </c>
    </row>
    <row r="35" spans="1:57" ht="13" customHeight="1">
      <c r="A35" s="1553"/>
      <c r="B35" s="1553"/>
      <c r="C35" s="1553"/>
      <c r="D35" s="1553"/>
      <c r="E35" s="1553"/>
      <c r="F35" s="1553"/>
      <c r="G35" s="1553"/>
      <c r="H35" s="1553"/>
      <c r="I35" s="1553"/>
      <c r="J35" s="1553"/>
      <c r="K35" s="1553"/>
      <c r="L35" s="1553"/>
      <c r="M35" s="1553"/>
      <c r="N35" s="1553"/>
      <c r="O35" s="1553"/>
      <c r="P35" s="1553"/>
      <c r="Q35" s="1553"/>
      <c r="R35" s="1553"/>
      <c r="S35" s="1553"/>
      <c r="T35" s="1553"/>
      <c r="U35" s="1553"/>
      <c r="V35" s="1553"/>
      <c r="W35" s="1553"/>
      <c r="X35" s="1553"/>
      <c r="Y35" s="1553"/>
      <c r="Z35" s="1553"/>
      <c r="AA35" s="1553"/>
      <c r="AB35" s="1553"/>
      <c r="AC35" s="1553"/>
      <c r="AD35" s="1553"/>
      <c r="AE35" s="1553"/>
      <c r="AF35" s="1553"/>
      <c r="AG35" s="1553"/>
      <c r="AH35" s="1553"/>
      <c r="AI35" s="1553"/>
      <c r="AJ35" s="1553"/>
      <c r="AK35" s="1553"/>
      <c r="AL35" s="1553"/>
      <c r="AM35" s="1553"/>
      <c r="AN35" s="1553"/>
      <c r="AO35" s="1553"/>
      <c r="AP35" s="1553"/>
      <c r="AQ35" s="1553"/>
      <c r="AR35" s="1553"/>
      <c r="AS35" s="1553"/>
      <c r="AT35" s="1553"/>
      <c r="AU35" s="20"/>
      <c r="AV35" s="20"/>
      <c r="AW35" s="20"/>
      <c r="AX35" s="20"/>
      <c r="AY35" s="20"/>
      <c r="AZ35" s="20"/>
      <c r="BD35" s="1251" t="s">
        <v>2534</v>
      </c>
      <c r="BE35" s="1253" t="str">
        <f>IF(Application!E187="","",Application!E187)</f>
        <v/>
      </c>
    </row>
    <row r="36" spans="1:57" ht="13" customHeight="1">
      <c r="A36" s="1553"/>
      <c r="B36" s="1553"/>
      <c r="C36" s="1553"/>
      <c r="D36" s="1553"/>
      <c r="E36" s="1553"/>
      <c r="F36" s="1553"/>
      <c r="G36" s="1553"/>
      <c r="H36" s="1553"/>
      <c r="I36" s="1553"/>
      <c r="J36" s="1553"/>
      <c r="K36" s="1553"/>
      <c r="L36" s="1553"/>
      <c r="M36" s="1553"/>
      <c r="N36" s="1553"/>
      <c r="O36" s="1553"/>
      <c r="P36" s="1553"/>
      <c r="Q36" s="1553"/>
      <c r="R36" s="1553"/>
      <c r="S36" s="1553"/>
      <c r="T36" s="1553"/>
      <c r="U36" s="1553"/>
      <c r="V36" s="1553"/>
      <c r="W36" s="1553"/>
      <c r="X36" s="1553"/>
      <c r="Y36" s="1553"/>
      <c r="Z36" s="1553"/>
      <c r="AA36" s="1553"/>
      <c r="AB36" s="1553"/>
      <c r="AC36" s="1553"/>
      <c r="AD36" s="1553"/>
      <c r="AE36" s="1553"/>
      <c r="AF36" s="1553"/>
      <c r="AG36" s="1553"/>
      <c r="AH36" s="1553"/>
      <c r="AI36" s="1553"/>
      <c r="AJ36" s="1553"/>
      <c r="AK36" s="1553"/>
      <c r="AL36" s="1553"/>
      <c r="AM36" s="1553"/>
      <c r="AN36" s="1553"/>
      <c r="AO36" s="1553"/>
      <c r="AP36" s="1553"/>
      <c r="AQ36" s="1553"/>
      <c r="AR36" s="1553"/>
      <c r="AS36" s="1553"/>
      <c r="AT36" s="1553"/>
      <c r="AU36" s="20"/>
      <c r="AV36" s="20"/>
      <c r="AW36" s="20"/>
      <c r="AX36" s="20"/>
      <c r="AY36" s="20"/>
      <c r="AZ36" s="20"/>
      <c r="BD36" s="1252" t="s">
        <v>2535</v>
      </c>
      <c r="BE36" s="1253" t="str">
        <f>Application!I189</f>
        <v>Los Angeles</v>
      </c>
    </row>
    <row r="37" spans="1:57" ht="13" customHeight="1">
      <c r="A37" s="1553"/>
      <c r="B37" s="1553"/>
      <c r="C37" s="1553"/>
      <c r="D37" s="1553"/>
      <c r="E37" s="1553"/>
      <c r="F37" s="1553"/>
      <c r="G37" s="1553"/>
      <c r="H37" s="1553"/>
      <c r="I37" s="1553"/>
      <c r="J37" s="1553"/>
      <c r="K37" s="1553"/>
      <c r="L37" s="1553"/>
      <c r="M37" s="1553"/>
      <c r="N37" s="1553"/>
      <c r="O37" s="1553"/>
      <c r="P37" s="1553"/>
      <c r="Q37" s="1553"/>
      <c r="R37" s="1553"/>
      <c r="S37" s="1553"/>
      <c r="T37" s="1553"/>
      <c r="U37" s="1553"/>
      <c r="V37" s="1553"/>
      <c r="W37" s="1553"/>
      <c r="X37" s="1553"/>
      <c r="Y37" s="1553"/>
      <c r="Z37" s="1553"/>
      <c r="AA37" s="1553"/>
      <c r="AB37" s="1553"/>
      <c r="AC37" s="1553"/>
      <c r="AD37" s="1553"/>
      <c r="AE37" s="1553"/>
      <c r="AF37" s="1553"/>
      <c r="AG37" s="1553"/>
      <c r="AH37" s="1553"/>
      <c r="AI37" s="1553"/>
      <c r="AJ37" s="1553"/>
      <c r="AK37" s="1553"/>
      <c r="AL37" s="1553"/>
      <c r="AM37" s="1553"/>
      <c r="AN37" s="1553"/>
      <c r="AO37" s="1553"/>
      <c r="AP37" s="1553"/>
      <c r="AQ37" s="1553"/>
      <c r="AR37" s="1553"/>
      <c r="AS37" s="1553"/>
      <c r="AT37" s="1553"/>
      <c r="AZ37" s="20"/>
      <c r="BD37" s="1251" t="s">
        <v>2536</v>
      </c>
      <c r="BE37" s="1253" t="str">
        <f>Application!T189</f>
        <v>Los Angeles</v>
      </c>
    </row>
    <row r="38" spans="1:57" ht="13" customHeight="1">
      <c r="A38" s="3"/>
      <c r="AZ38" s="20"/>
      <c r="BD38" s="1252" t="s">
        <v>2537</v>
      </c>
      <c r="BE38" s="1253">
        <f>Application!I190</f>
        <v>90002</v>
      </c>
    </row>
    <row r="39" spans="1:57" ht="13" customHeight="1">
      <c r="A39" s="1270" t="s">
        <v>2151</v>
      </c>
      <c r="B39" s="1270"/>
      <c r="C39" s="1270"/>
      <c r="D39" s="1270"/>
      <c r="E39" s="1270"/>
      <c r="F39" s="1270"/>
      <c r="G39" s="1270"/>
      <c r="H39" s="1270"/>
      <c r="I39" s="1270"/>
      <c r="J39" s="1270"/>
      <c r="K39" s="1270"/>
      <c r="L39" s="1270"/>
      <c r="M39" s="1270"/>
      <c r="N39" s="1270"/>
      <c r="O39" s="1270"/>
      <c r="P39" s="1270"/>
      <c r="Q39" s="1270"/>
      <c r="R39" s="1270"/>
      <c r="S39" s="1270"/>
      <c r="T39" s="1270"/>
      <c r="U39" s="1270"/>
      <c r="V39" s="1270"/>
      <c r="W39" s="1270"/>
      <c r="X39" s="1270"/>
      <c r="Y39" s="1270"/>
      <c r="Z39" s="1270"/>
      <c r="AA39" s="1270"/>
      <c r="AB39" s="1270"/>
      <c r="AC39" s="1270"/>
      <c r="AD39" s="1270"/>
      <c r="AE39" s="1270"/>
      <c r="AF39" s="1270"/>
      <c r="AG39" s="1270"/>
      <c r="AH39" s="1270"/>
      <c r="AI39" s="1270"/>
      <c r="AJ39" s="1270"/>
      <c r="AK39" s="1270"/>
      <c r="AL39" s="1270"/>
      <c r="AM39" s="1270"/>
      <c r="AN39" s="1270"/>
      <c r="AO39" s="1270"/>
      <c r="AP39" s="1270"/>
      <c r="AQ39" s="1270"/>
      <c r="AR39" s="1270"/>
      <c r="AS39" s="1270"/>
      <c r="AT39" s="1270"/>
      <c r="AZ39" s="20"/>
      <c r="BD39" s="1251" t="s">
        <v>2538</v>
      </c>
      <c r="BE39" s="1253">
        <f>Application!AG437</f>
        <v>61</v>
      </c>
    </row>
    <row r="40" spans="1:57" ht="13" customHeight="1">
      <c r="A40" s="1270"/>
      <c r="B40" s="1270"/>
      <c r="C40" s="1270"/>
      <c r="D40" s="1270"/>
      <c r="E40" s="1270"/>
      <c r="F40" s="1270"/>
      <c r="G40" s="1270"/>
      <c r="H40" s="1270"/>
      <c r="I40" s="1270"/>
      <c r="J40" s="1270"/>
      <c r="K40" s="1270"/>
      <c r="L40" s="1270"/>
      <c r="M40" s="1270"/>
      <c r="N40" s="1270"/>
      <c r="O40" s="1270"/>
      <c r="P40" s="1270"/>
      <c r="Q40" s="1270"/>
      <c r="R40" s="1270"/>
      <c r="S40" s="1270"/>
      <c r="T40" s="1270"/>
      <c r="U40" s="1270"/>
      <c r="V40" s="1270"/>
      <c r="W40" s="1270"/>
      <c r="X40" s="1270"/>
      <c r="Y40" s="1270"/>
      <c r="Z40" s="1270"/>
      <c r="AA40" s="1270"/>
      <c r="AB40" s="1270"/>
      <c r="AC40" s="1270"/>
      <c r="AD40" s="1270"/>
      <c r="AE40" s="1270"/>
      <c r="AF40" s="1270"/>
      <c r="AG40" s="1270"/>
      <c r="AH40" s="1270"/>
      <c r="AI40" s="1270"/>
      <c r="AJ40" s="1270"/>
      <c r="AK40" s="1270"/>
      <c r="AL40" s="1270"/>
      <c r="AM40" s="1270"/>
      <c r="AN40" s="1270"/>
      <c r="AO40" s="1270"/>
      <c r="AP40" s="1270"/>
      <c r="AQ40" s="1270"/>
      <c r="AR40" s="1270"/>
      <c r="AS40" s="1270"/>
      <c r="AT40" s="1270"/>
      <c r="AU40" s="20"/>
      <c r="AV40" s="20"/>
      <c r="AW40" s="20"/>
      <c r="AX40" s="20"/>
      <c r="AY40" s="20"/>
      <c r="AZ40" s="20"/>
      <c r="BD40" s="1252" t="s">
        <v>383</v>
      </c>
      <c r="BE40" s="1253">
        <f>Application!AG440</f>
        <v>60</v>
      </c>
    </row>
    <row r="41" spans="1:57" ht="13" customHeight="1">
      <c r="A41" s="1270"/>
      <c r="B41" s="1270"/>
      <c r="C41" s="1270"/>
      <c r="D41" s="1270"/>
      <c r="E41" s="1270"/>
      <c r="F41" s="1270"/>
      <c r="G41" s="1270"/>
      <c r="H41" s="1270"/>
      <c r="I41" s="1270"/>
      <c r="J41" s="1270"/>
      <c r="K41" s="1270"/>
      <c r="L41" s="1270"/>
      <c r="M41" s="1270"/>
      <c r="N41" s="1270"/>
      <c r="O41" s="1270"/>
      <c r="P41" s="1270"/>
      <c r="Q41" s="1270"/>
      <c r="R41" s="1270"/>
      <c r="S41" s="1270"/>
      <c r="T41" s="1270"/>
      <c r="U41" s="1270"/>
      <c r="V41" s="1270"/>
      <c r="W41" s="1270"/>
      <c r="X41" s="1270"/>
      <c r="Y41" s="1270"/>
      <c r="Z41" s="1270"/>
      <c r="AA41" s="1270"/>
      <c r="AB41" s="1270"/>
      <c r="AC41" s="1270"/>
      <c r="AD41" s="1270"/>
      <c r="AE41" s="1270"/>
      <c r="AF41" s="1270"/>
      <c r="AG41" s="1270"/>
      <c r="AH41" s="1270"/>
      <c r="AI41" s="1270"/>
      <c r="AJ41" s="1270"/>
      <c r="AK41" s="1270"/>
      <c r="AL41" s="1270"/>
      <c r="AM41" s="1270"/>
      <c r="AN41" s="1270"/>
      <c r="AO41" s="1270"/>
      <c r="AP41" s="1270"/>
      <c r="AQ41" s="1270"/>
      <c r="AR41" s="1270"/>
      <c r="AS41" s="1270"/>
      <c r="AT41" s="1270"/>
      <c r="AU41" s="20"/>
      <c r="AV41" s="20"/>
      <c r="AW41" s="20"/>
      <c r="AX41" s="20"/>
      <c r="AY41" s="20"/>
      <c r="AZ41" s="20"/>
      <c r="BD41" s="1251" t="s">
        <v>286</v>
      </c>
      <c r="BE41" s="1253">
        <f>Application!AG438</f>
        <v>0</v>
      </c>
    </row>
    <row r="42" spans="1:57" ht="13" customHeight="1">
      <c r="A42" s="1270"/>
      <c r="B42" s="1270"/>
      <c r="C42" s="1270"/>
      <c r="D42" s="1270"/>
      <c r="E42" s="1270"/>
      <c r="F42" s="1270"/>
      <c r="G42" s="1270"/>
      <c r="H42" s="1270"/>
      <c r="I42" s="1270"/>
      <c r="J42" s="1270"/>
      <c r="K42" s="1270"/>
      <c r="L42" s="1270"/>
      <c r="M42" s="1270"/>
      <c r="N42" s="1270"/>
      <c r="O42" s="1270"/>
      <c r="P42" s="1270"/>
      <c r="Q42" s="1270"/>
      <c r="R42" s="1270"/>
      <c r="S42" s="1270"/>
      <c r="T42" s="1270"/>
      <c r="U42" s="1270"/>
      <c r="V42" s="1270"/>
      <c r="W42" s="1270"/>
      <c r="X42" s="1270"/>
      <c r="Y42" s="1270"/>
      <c r="Z42" s="1270"/>
      <c r="AA42" s="1270"/>
      <c r="AB42" s="1270"/>
      <c r="AC42" s="1270"/>
      <c r="AD42" s="1270"/>
      <c r="AE42" s="1270"/>
      <c r="AF42" s="1270"/>
      <c r="AG42" s="1270"/>
      <c r="AH42" s="1270"/>
      <c r="AI42" s="1270"/>
      <c r="AJ42" s="1270"/>
      <c r="AK42" s="1270"/>
      <c r="AL42" s="1270"/>
      <c r="AM42" s="1270"/>
      <c r="AN42" s="1270"/>
      <c r="AO42" s="1270"/>
      <c r="AP42" s="1270"/>
      <c r="AQ42" s="1270"/>
      <c r="AR42" s="1270"/>
      <c r="AS42" s="1270"/>
      <c r="AT42" s="1270"/>
      <c r="AZ42" s="20"/>
      <c r="BD42" s="1252" t="s">
        <v>2539</v>
      </c>
      <c r="BE42" s="1255">
        <f>Application!AC753</f>
        <v>0.4</v>
      </c>
    </row>
    <row r="43" spans="1:57" ht="13" customHeight="1">
      <c r="A43" s="1270"/>
      <c r="B43" s="1270"/>
      <c r="C43" s="1270"/>
      <c r="D43" s="1270"/>
      <c r="E43" s="1270"/>
      <c r="F43" s="1270"/>
      <c r="G43" s="1270"/>
      <c r="H43" s="1270"/>
      <c r="I43" s="1270"/>
      <c r="J43" s="1270"/>
      <c r="K43" s="1270"/>
      <c r="L43" s="1270"/>
      <c r="M43" s="1270"/>
      <c r="N43" s="1270"/>
      <c r="O43" s="1270"/>
      <c r="P43" s="1270"/>
      <c r="Q43" s="1270"/>
      <c r="R43" s="1270"/>
      <c r="S43" s="1270"/>
      <c r="T43" s="1270"/>
      <c r="U43" s="1270"/>
      <c r="V43" s="1270"/>
      <c r="W43" s="1270"/>
      <c r="X43" s="1270"/>
      <c r="Y43" s="1270"/>
      <c r="Z43" s="1270"/>
      <c r="AA43" s="1270"/>
      <c r="AB43" s="1270"/>
      <c r="AC43" s="1270"/>
      <c r="AD43" s="1270"/>
      <c r="AE43" s="1270"/>
      <c r="AF43" s="1270"/>
      <c r="AG43" s="1270"/>
      <c r="AH43" s="1270"/>
      <c r="AI43" s="1270"/>
      <c r="AJ43" s="1270"/>
      <c r="AK43" s="1270"/>
      <c r="AL43" s="1270"/>
      <c r="AM43" s="1270"/>
      <c r="AN43" s="1270"/>
      <c r="AO43" s="1270"/>
      <c r="AP43" s="1270"/>
      <c r="AQ43" s="1270"/>
      <c r="AR43" s="1270"/>
      <c r="AS43" s="1270"/>
      <c r="AT43" s="1270"/>
      <c r="AU43" s="20"/>
      <c r="AV43" s="20"/>
      <c r="AW43" s="20"/>
      <c r="AX43" s="20"/>
      <c r="AY43" s="20"/>
      <c r="AZ43" s="20"/>
      <c r="BD43" s="1251" t="s">
        <v>2540</v>
      </c>
      <c r="BE43" s="1255">
        <f>Application!AH753</f>
        <v>0.4</v>
      </c>
    </row>
    <row r="44" spans="1:57" ht="13" customHeight="1">
      <c r="A44" s="1270"/>
      <c r="B44" s="1270"/>
      <c r="C44" s="1270"/>
      <c r="D44" s="1270"/>
      <c r="E44" s="1270"/>
      <c r="F44" s="1270"/>
      <c r="G44" s="1270"/>
      <c r="H44" s="1270"/>
      <c r="I44" s="1270"/>
      <c r="J44" s="1270"/>
      <c r="K44" s="1270"/>
      <c r="L44" s="1270"/>
      <c r="M44" s="1270"/>
      <c r="N44" s="1270"/>
      <c r="O44" s="1270"/>
      <c r="P44" s="1270"/>
      <c r="Q44" s="1270"/>
      <c r="R44" s="1270"/>
      <c r="S44" s="1270"/>
      <c r="T44" s="1270"/>
      <c r="U44" s="1270"/>
      <c r="V44" s="1270"/>
      <c r="W44" s="1270"/>
      <c r="X44" s="1270"/>
      <c r="Y44" s="1270"/>
      <c r="Z44" s="1270"/>
      <c r="AA44" s="1270"/>
      <c r="AB44" s="1270"/>
      <c r="AC44" s="1270"/>
      <c r="AD44" s="1270"/>
      <c r="AE44" s="1270"/>
      <c r="AF44" s="1270"/>
      <c r="AG44" s="1270"/>
      <c r="AH44" s="1270"/>
      <c r="AI44" s="1270"/>
      <c r="AJ44" s="1270"/>
      <c r="AK44" s="1270"/>
      <c r="AL44" s="1270"/>
      <c r="AM44" s="1270"/>
      <c r="AN44" s="1270"/>
      <c r="AO44" s="1270"/>
      <c r="AP44" s="1270"/>
      <c r="AQ44" s="1270"/>
      <c r="AR44" s="1270"/>
      <c r="AS44" s="1270"/>
      <c r="AT44" s="1270"/>
      <c r="AU44" s="20"/>
      <c r="AV44" s="20"/>
      <c r="AW44" s="20"/>
      <c r="AX44" s="20"/>
      <c r="AY44" s="20"/>
      <c r="AZ44" s="20"/>
      <c r="BD44" s="1252" t="s">
        <v>2541</v>
      </c>
      <c r="BE44" s="1253">
        <f>Application!AC454</f>
        <v>574619.5409836066</v>
      </c>
    </row>
    <row r="45" spans="1:57" ht="13" customHeight="1">
      <c r="A45" s="520"/>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251" t="s">
        <v>2542</v>
      </c>
      <c r="BE45" s="1253">
        <f>Application!AE424</f>
        <v>1</v>
      </c>
    </row>
    <row r="46" spans="1:57" ht="13" customHeight="1">
      <c r="A46" s="1338" t="s">
        <v>2152</v>
      </c>
      <c r="B46" s="1338"/>
      <c r="C46" s="1338"/>
      <c r="D46" s="1338"/>
      <c r="E46" s="1338"/>
      <c r="F46" s="1338"/>
      <c r="G46" s="1338"/>
      <c r="H46" s="1338"/>
      <c r="I46" s="1338"/>
      <c r="J46" s="1338"/>
      <c r="K46" s="1338"/>
      <c r="L46" s="1338"/>
      <c r="M46" s="1338"/>
      <c r="N46" s="1338"/>
      <c r="O46" s="1338"/>
      <c r="P46" s="1338"/>
      <c r="Q46" s="1338"/>
      <c r="R46" s="1338"/>
      <c r="S46" s="1338"/>
      <c r="T46" s="1338"/>
      <c r="U46" s="1338"/>
      <c r="V46" s="1338"/>
      <c r="W46" s="1338"/>
      <c r="X46" s="1338"/>
      <c r="Y46" s="1338"/>
      <c r="Z46" s="1338"/>
      <c r="AA46" s="1338"/>
      <c r="AB46" s="1338"/>
      <c r="AC46" s="1338"/>
      <c r="AD46" s="1338"/>
      <c r="AE46" s="1338"/>
      <c r="AF46" s="1338"/>
      <c r="AG46" s="1338"/>
      <c r="AH46" s="1338"/>
      <c r="AI46" s="1338"/>
      <c r="AJ46" s="1338"/>
      <c r="AK46" s="1338"/>
      <c r="AL46" s="1338"/>
      <c r="AM46" s="1338"/>
      <c r="AN46" s="1338"/>
      <c r="AO46" s="1338"/>
      <c r="AP46" s="1338"/>
      <c r="AQ46" s="1338"/>
      <c r="AR46" s="1338"/>
      <c r="AS46" s="1338"/>
      <c r="AT46" s="1338"/>
      <c r="AU46" s="20"/>
      <c r="AV46" s="20"/>
      <c r="AW46" s="20"/>
      <c r="AX46" s="20"/>
      <c r="AY46" s="20"/>
      <c r="AZ46" s="20"/>
      <c r="BD46" s="1252" t="s">
        <v>2543</v>
      </c>
      <c r="BE46" s="1253" t="b">
        <f>Application!T195="Yes"</f>
        <v>0</v>
      </c>
    </row>
    <row r="47" spans="1:57" ht="13" customHeight="1">
      <c r="A47" s="1338"/>
      <c r="B47" s="1338"/>
      <c r="C47" s="1338"/>
      <c r="D47" s="1338"/>
      <c r="E47" s="1338"/>
      <c r="F47" s="1338"/>
      <c r="G47" s="1338"/>
      <c r="H47" s="1338"/>
      <c r="I47" s="1338"/>
      <c r="J47" s="1338"/>
      <c r="K47" s="1338"/>
      <c r="L47" s="1338"/>
      <c r="M47" s="1338"/>
      <c r="N47" s="1338"/>
      <c r="O47" s="1338"/>
      <c r="P47" s="1338"/>
      <c r="Q47" s="1338"/>
      <c r="R47" s="1338"/>
      <c r="S47" s="1338"/>
      <c r="T47" s="1338"/>
      <c r="U47" s="1338"/>
      <c r="V47" s="1338"/>
      <c r="W47" s="1338"/>
      <c r="X47" s="1338"/>
      <c r="Y47" s="1338"/>
      <c r="Z47" s="1338"/>
      <c r="AA47" s="1338"/>
      <c r="AB47" s="1338"/>
      <c r="AC47" s="1338"/>
      <c r="AD47" s="1338"/>
      <c r="AE47" s="1338"/>
      <c r="AF47" s="1338"/>
      <c r="AG47" s="1338"/>
      <c r="AH47" s="1338"/>
      <c r="AI47" s="1338"/>
      <c r="AJ47" s="1338"/>
      <c r="AK47" s="1338"/>
      <c r="AL47" s="1338"/>
      <c r="AM47" s="1338"/>
      <c r="AN47" s="1338"/>
      <c r="AO47" s="1338"/>
      <c r="AP47" s="1338"/>
      <c r="AQ47" s="1338"/>
      <c r="AR47" s="1338"/>
      <c r="AS47" s="1338"/>
      <c r="AT47" s="1338"/>
      <c r="AU47" s="20"/>
      <c r="AV47" s="20"/>
      <c r="AW47" s="20"/>
      <c r="AX47" s="20"/>
      <c r="AY47" s="20"/>
      <c r="AZ47" s="20"/>
      <c r="BD47" s="1251" t="s">
        <v>2544</v>
      </c>
      <c r="BE47" s="1253" t="b">
        <f>Application!T196="Yes"</f>
        <v>1</v>
      </c>
    </row>
    <row r="48" spans="1:57" ht="13" customHeight="1">
      <c r="A48" s="1338"/>
      <c r="B48" s="1338"/>
      <c r="C48" s="1338"/>
      <c r="D48" s="1338"/>
      <c r="E48" s="1338"/>
      <c r="F48" s="1338"/>
      <c r="G48" s="1338"/>
      <c r="H48" s="1338"/>
      <c r="I48" s="1338"/>
      <c r="J48" s="1338"/>
      <c r="K48" s="1338"/>
      <c r="L48" s="1338"/>
      <c r="M48" s="1338"/>
      <c r="N48" s="1338"/>
      <c r="O48" s="1338"/>
      <c r="P48" s="1338"/>
      <c r="Q48" s="1338"/>
      <c r="R48" s="1338"/>
      <c r="S48" s="1338"/>
      <c r="T48" s="1338"/>
      <c r="U48" s="1338"/>
      <c r="V48" s="1338"/>
      <c r="W48" s="1338"/>
      <c r="X48" s="1338"/>
      <c r="Y48" s="1338"/>
      <c r="Z48" s="1338"/>
      <c r="AA48" s="1338"/>
      <c r="AB48" s="1338"/>
      <c r="AC48" s="1338"/>
      <c r="AD48" s="1338"/>
      <c r="AE48" s="1338"/>
      <c r="AF48" s="1338"/>
      <c r="AG48" s="1338"/>
      <c r="AH48" s="1338"/>
      <c r="AI48" s="1338"/>
      <c r="AJ48" s="1338"/>
      <c r="AK48" s="1338"/>
      <c r="AL48" s="1338"/>
      <c r="AM48" s="1338"/>
      <c r="AN48" s="1338"/>
      <c r="AO48" s="1338"/>
      <c r="AP48" s="1338"/>
      <c r="AQ48" s="1338"/>
      <c r="AR48" s="1338"/>
      <c r="AS48" s="1338"/>
      <c r="AT48" s="1338"/>
      <c r="AU48" s="20"/>
      <c r="AV48" s="20"/>
      <c r="AW48" s="20"/>
      <c r="AX48" s="20"/>
      <c r="AY48" s="20"/>
      <c r="AZ48" s="20"/>
      <c r="BD48" s="1252" t="s">
        <v>2545</v>
      </c>
      <c r="BE48" s="1253" t="str">
        <f>Application!M243</f>
        <v>Castle Argyle, a California Non-profit public benefit corporation</v>
      </c>
    </row>
    <row r="49" spans="1:57" ht="13" customHeight="1">
      <c r="A49" s="1338"/>
      <c r="B49" s="1338"/>
      <c r="C49" s="1338"/>
      <c r="D49" s="1338"/>
      <c r="E49" s="1338"/>
      <c r="F49" s="1338"/>
      <c r="G49" s="1338"/>
      <c r="H49" s="1338"/>
      <c r="I49" s="1338"/>
      <c r="J49" s="1338"/>
      <c r="K49" s="1338"/>
      <c r="L49" s="1338"/>
      <c r="M49" s="1338"/>
      <c r="N49" s="1338"/>
      <c r="O49" s="1338"/>
      <c r="P49" s="1338"/>
      <c r="Q49" s="1338"/>
      <c r="R49" s="1338"/>
      <c r="S49" s="1338"/>
      <c r="T49" s="1338"/>
      <c r="U49" s="1338"/>
      <c r="V49" s="1338"/>
      <c r="W49" s="1338"/>
      <c r="X49" s="1338"/>
      <c r="Y49" s="1338"/>
      <c r="Z49" s="1338"/>
      <c r="AA49" s="1338"/>
      <c r="AB49" s="1338"/>
      <c r="AC49" s="1338"/>
      <c r="AD49" s="1338"/>
      <c r="AE49" s="1338"/>
      <c r="AF49" s="1338"/>
      <c r="AG49" s="1338"/>
      <c r="AH49" s="1338"/>
      <c r="AI49" s="1338"/>
      <c r="AJ49" s="1338"/>
      <c r="AK49" s="1338"/>
      <c r="AL49" s="1338"/>
      <c r="AM49" s="1338"/>
      <c r="AN49" s="1338"/>
      <c r="AO49" s="1338"/>
      <c r="AP49" s="1338"/>
      <c r="AQ49" s="1338"/>
      <c r="AR49" s="1338"/>
      <c r="AS49" s="1338"/>
      <c r="AT49" s="1338"/>
      <c r="AU49" s="20"/>
      <c r="AV49" s="20"/>
      <c r="AW49" s="20"/>
      <c r="AX49" s="20"/>
      <c r="AY49" s="20"/>
      <c r="AZ49" s="20"/>
      <c r="BD49" s="1251" t="s">
        <v>2546</v>
      </c>
      <c r="BE49" s="1253" t="str">
        <f>Application!M246</f>
        <v>Mary Grace Crisostomo</v>
      </c>
    </row>
    <row r="50" spans="1:57" ht="13" customHeight="1">
      <c r="A50" s="456"/>
      <c r="B50" s="456"/>
      <c r="C50" s="456"/>
      <c r="D50" s="456"/>
      <c r="E50" s="456"/>
      <c r="F50" s="456"/>
      <c r="G50" s="456"/>
      <c r="H50" s="456"/>
      <c r="I50" s="456"/>
      <c r="J50" s="456"/>
      <c r="K50" s="456"/>
      <c r="L50" s="456"/>
      <c r="M50" s="456"/>
      <c r="N50" s="456"/>
      <c r="O50" s="456"/>
      <c r="P50" s="456"/>
      <c r="Q50" s="456"/>
      <c r="R50" s="456"/>
      <c r="S50" s="456"/>
      <c r="T50" s="456"/>
      <c r="U50" s="456"/>
      <c r="V50" s="456"/>
      <c r="W50" s="456"/>
      <c r="X50" s="456"/>
      <c r="Y50" s="456"/>
      <c r="Z50" s="456"/>
      <c r="AA50" s="456"/>
      <c r="AB50" s="456"/>
      <c r="AC50" s="456"/>
      <c r="AD50" s="456"/>
      <c r="AE50" s="456"/>
      <c r="AF50" s="456"/>
      <c r="AG50" s="456"/>
      <c r="AH50" s="456"/>
      <c r="AI50" s="456"/>
      <c r="AJ50" s="456"/>
      <c r="AK50" s="456"/>
      <c r="AL50" s="456"/>
      <c r="AM50" s="456"/>
      <c r="AN50" s="456"/>
      <c r="AO50" s="456"/>
      <c r="AP50" s="456"/>
      <c r="AQ50" s="456"/>
      <c r="AR50" s="456"/>
      <c r="AS50" s="456"/>
      <c r="AT50" s="456"/>
      <c r="AU50" s="20"/>
      <c r="AV50" s="20"/>
      <c r="AW50" s="20"/>
      <c r="AX50" s="20"/>
      <c r="AY50" s="20"/>
      <c r="AZ50" s="20"/>
      <c r="BD50" s="1252" t="s">
        <v>2547</v>
      </c>
      <c r="BE50" s="1253" t="str">
        <f>Application!AA249</f>
        <v>HumanGood Affordable Housing</v>
      </c>
    </row>
    <row r="51" spans="1:57" ht="13" customHeight="1">
      <c r="A51" s="1270" t="s">
        <v>2153</v>
      </c>
      <c r="B51" s="1270"/>
      <c r="C51" s="1270"/>
      <c r="D51" s="1270"/>
      <c r="E51" s="1270"/>
      <c r="F51" s="1270"/>
      <c r="G51" s="1270"/>
      <c r="H51" s="1270"/>
      <c r="I51" s="1270"/>
      <c r="J51" s="1270"/>
      <c r="K51" s="1270"/>
      <c r="L51" s="1270"/>
      <c r="M51" s="1270"/>
      <c r="N51" s="1270"/>
      <c r="O51" s="1270"/>
      <c r="P51" s="1270"/>
      <c r="Q51" s="1270"/>
      <c r="R51" s="1270"/>
      <c r="S51" s="1270"/>
      <c r="T51" s="1270"/>
      <c r="U51" s="1270"/>
      <c r="V51" s="1270"/>
      <c r="W51" s="1270"/>
      <c r="X51" s="1270"/>
      <c r="Y51" s="1270"/>
      <c r="Z51" s="1270"/>
      <c r="AA51" s="1270"/>
      <c r="AB51" s="1270"/>
      <c r="AC51" s="1270"/>
      <c r="AD51" s="1270"/>
      <c r="AE51" s="1270"/>
      <c r="AF51" s="1270"/>
      <c r="AG51" s="1270"/>
      <c r="AH51" s="1270"/>
      <c r="AI51" s="1270"/>
      <c r="AJ51" s="1270"/>
      <c r="AK51" s="1270"/>
      <c r="AL51" s="1270"/>
      <c r="AM51" s="1270"/>
      <c r="AN51" s="1270"/>
      <c r="AO51" s="1270"/>
      <c r="AP51" s="1270"/>
      <c r="AQ51" s="1270"/>
      <c r="AR51" s="1270"/>
      <c r="AS51" s="1270"/>
      <c r="AT51" s="1270"/>
      <c r="AU51" s="20"/>
      <c r="AV51" s="20"/>
      <c r="AW51" s="20"/>
      <c r="AX51" s="20"/>
      <c r="AY51" s="20"/>
      <c r="AZ51" s="20"/>
      <c r="BD51" s="1251" t="s">
        <v>2548</v>
      </c>
      <c r="BE51" s="1253">
        <f>Application!M251</f>
        <v>0</v>
      </c>
    </row>
    <row r="52" spans="1:57" ht="13" customHeight="1">
      <c r="A52" s="1270"/>
      <c r="B52" s="1270"/>
      <c r="C52" s="1270"/>
      <c r="D52" s="1270"/>
      <c r="E52" s="1270"/>
      <c r="F52" s="1270"/>
      <c r="G52" s="1270"/>
      <c r="H52" s="1270"/>
      <c r="I52" s="1270"/>
      <c r="J52" s="1270"/>
      <c r="K52" s="1270"/>
      <c r="L52" s="1270"/>
      <c r="M52" s="1270"/>
      <c r="N52" s="1270"/>
      <c r="O52" s="1270"/>
      <c r="P52" s="1270"/>
      <c r="Q52" s="1270"/>
      <c r="R52" s="1270"/>
      <c r="S52" s="1270"/>
      <c r="T52" s="1270"/>
      <c r="U52" s="1270"/>
      <c r="V52" s="1270"/>
      <c r="W52" s="1270"/>
      <c r="X52" s="1270"/>
      <c r="Y52" s="1270"/>
      <c r="Z52" s="1270"/>
      <c r="AA52" s="1270"/>
      <c r="AB52" s="1270"/>
      <c r="AC52" s="1270"/>
      <c r="AD52" s="1270"/>
      <c r="AE52" s="1270"/>
      <c r="AF52" s="1270"/>
      <c r="AG52" s="1270"/>
      <c r="AH52" s="1270"/>
      <c r="AI52" s="1270"/>
      <c r="AJ52" s="1270"/>
      <c r="AK52" s="1270"/>
      <c r="AL52" s="1270"/>
      <c r="AM52" s="1270"/>
      <c r="AN52" s="1270"/>
      <c r="AO52" s="1270"/>
      <c r="AP52" s="1270"/>
      <c r="AQ52" s="1270"/>
      <c r="AR52" s="1270"/>
      <c r="AS52" s="1270"/>
      <c r="AT52" s="1270"/>
      <c r="AU52" s="20"/>
      <c r="AV52" s="20"/>
      <c r="AW52" s="20"/>
      <c r="AX52" s="20"/>
      <c r="AY52" s="20"/>
      <c r="AZ52" s="20"/>
      <c r="BD52" s="1252" t="s">
        <v>2549</v>
      </c>
      <c r="BE52" s="1253">
        <f>Application!M254</f>
        <v>0</v>
      </c>
    </row>
    <row r="53" spans="1:57" ht="13"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251" t="s">
        <v>2550</v>
      </c>
      <c r="BE53" s="1253">
        <f>Application!AA257</f>
        <v>0</v>
      </c>
    </row>
    <row r="54" spans="1:57" ht="13" customHeight="1">
      <c r="A54" s="1270" t="s">
        <v>2154</v>
      </c>
      <c r="B54" s="1270"/>
      <c r="C54" s="1270"/>
      <c r="D54" s="1270"/>
      <c r="E54" s="1270"/>
      <c r="F54" s="1270"/>
      <c r="G54" s="1270"/>
      <c r="H54" s="1270"/>
      <c r="I54" s="1270"/>
      <c r="J54" s="1270"/>
      <c r="K54" s="1270"/>
      <c r="L54" s="1270"/>
      <c r="M54" s="1270"/>
      <c r="N54" s="1270"/>
      <c r="O54" s="1270"/>
      <c r="P54" s="1270"/>
      <c r="Q54" s="1270"/>
      <c r="R54" s="1270"/>
      <c r="S54" s="1270"/>
      <c r="T54" s="1270"/>
      <c r="U54" s="1270"/>
      <c r="V54" s="1270"/>
      <c r="W54" s="1270"/>
      <c r="X54" s="1270"/>
      <c r="Y54" s="1270"/>
      <c r="Z54" s="1270"/>
      <c r="AA54" s="1270"/>
      <c r="AB54" s="1270"/>
      <c r="AC54" s="1270"/>
      <c r="AD54" s="1270"/>
      <c r="AE54" s="1270"/>
      <c r="AF54" s="1270"/>
      <c r="AG54" s="1270"/>
      <c r="AH54" s="1270"/>
      <c r="AI54" s="1270"/>
      <c r="AJ54" s="1270"/>
      <c r="AK54" s="1270"/>
      <c r="AL54" s="1270"/>
      <c r="AM54" s="1270"/>
      <c r="AN54" s="1270"/>
      <c r="AO54" s="1270"/>
      <c r="AP54" s="1270"/>
      <c r="AQ54" s="1270"/>
      <c r="AR54" s="1270"/>
      <c r="AS54" s="1270"/>
      <c r="AT54" s="1270"/>
      <c r="AU54" s="20"/>
      <c r="AV54" s="20"/>
      <c r="AW54" s="20"/>
      <c r="AX54" s="20"/>
      <c r="AY54" s="20"/>
      <c r="AZ54" s="21"/>
      <c r="BD54" s="1252" t="s">
        <v>2551</v>
      </c>
      <c r="BE54" s="1253">
        <f>Application!M259</f>
        <v>0</v>
      </c>
    </row>
    <row r="55" spans="1:57" ht="13" customHeight="1">
      <c r="A55" s="1270"/>
      <c r="B55" s="1270"/>
      <c r="C55" s="1270"/>
      <c r="D55" s="1270"/>
      <c r="E55" s="1270"/>
      <c r="F55" s="1270"/>
      <c r="G55" s="1270"/>
      <c r="H55" s="1270"/>
      <c r="I55" s="1270"/>
      <c r="J55" s="1270"/>
      <c r="K55" s="1270"/>
      <c r="L55" s="1270"/>
      <c r="M55" s="1270"/>
      <c r="N55" s="1270"/>
      <c r="O55" s="1270"/>
      <c r="P55" s="1270"/>
      <c r="Q55" s="1270"/>
      <c r="R55" s="1270"/>
      <c r="S55" s="1270"/>
      <c r="T55" s="1270"/>
      <c r="U55" s="1270"/>
      <c r="V55" s="1270"/>
      <c r="W55" s="1270"/>
      <c r="X55" s="1270"/>
      <c r="Y55" s="1270"/>
      <c r="Z55" s="1270"/>
      <c r="AA55" s="1270"/>
      <c r="AB55" s="1270"/>
      <c r="AC55" s="1270"/>
      <c r="AD55" s="1270"/>
      <c r="AE55" s="1270"/>
      <c r="AF55" s="1270"/>
      <c r="AG55" s="1270"/>
      <c r="AH55" s="1270"/>
      <c r="AI55" s="1270"/>
      <c r="AJ55" s="1270"/>
      <c r="AK55" s="1270"/>
      <c r="AL55" s="1270"/>
      <c r="AM55" s="1270"/>
      <c r="AN55" s="1270"/>
      <c r="AO55" s="1270"/>
      <c r="AP55" s="1270"/>
      <c r="AQ55" s="1270"/>
      <c r="AR55" s="1270"/>
      <c r="AS55" s="1270"/>
      <c r="AT55" s="1270"/>
      <c r="AZ55" s="21"/>
      <c r="BD55" s="1251" t="s">
        <v>2552</v>
      </c>
      <c r="BE55" s="1253">
        <f>Application!M262</f>
        <v>0</v>
      </c>
    </row>
    <row r="56" spans="1:57" ht="13" customHeight="1">
      <c r="A56" s="1270"/>
      <c r="B56" s="1270"/>
      <c r="C56" s="1270"/>
      <c r="D56" s="1270"/>
      <c r="E56" s="1270"/>
      <c r="F56" s="1270"/>
      <c r="G56" s="1270"/>
      <c r="H56" s="1270"/>
      <c r="I56" s="1270"/>
      <c r="J56" s="1270"/>
      <c r="K56" s="1270"/>
      <c r="L56" s="1270"/>
      <c r="M56" s="1270"/>
      <c r="N56" s="1270"/>
      <c r="O56" s="1270"/>
      <c r="P56" s="1270"/>
      <c r="Q56" s="1270"/>
      <c r="R56" s="1270"/>
      <c r="S56" s="1270"/>
      <c r="T56" s="1270"/>
      <c r="U56" s="1270"/>
      <c r="V56" s="1270"/>
      <c r="W56" s="1270"/>
      <c r="X56" s="1270"/>
      <c r="Y56" s="1270"/>
      <c r="Z56" s="1270"/>
      <c r="AA56" s="1270"/>
      <c r="AB56" s="1270"/>
      <c r="AC56" s="1270"/>
      <c r="AD56" s="1270"/>
      <c r="AE56" s="1270"/>
      <c r="AF56" s="1270"/>
      <c r="AG56" s="1270"/>
      <c r="AH56" s="1270"/>
      <c r="AI56" s="1270"/>
      <c r="AJ56" s="1270"/>
      <c r="AK56" s="1270"/>
      <c r="AL56" s="1270"/>
      <c r="AM56" s="1270"/>
      <c r="AN56" s="1270"/>
      <c r="AO56" s="1270"/>
      <c r="AP56" s="1270"/>
      <c r="AQ56" s="1270"/>
      <c r="AR56" s="1270"/>
      <c r="AS56" s="1270"/>
      <c r="AT56" s="1270"/>
      <c r="BD56" s="1252" t="s">
        <v>2553</v>
      </c>
      <c r="BE56" s="1253">
        <f>Application!AA265</f>
        <v>0</v>
      </c>
    </row>
    <row r="57" spans="1:57" ht="13" customHeight="1">
      <c r="A57" s="1270"/>
      <c r="B57" s="1270"/>
      <c r="C57" s="1270"/>
      <c r="D57" s="1270"/>
      <c r="E57" s="1270"/>
      <c r="F57" s="1270"/>
      <c r="G57" s="1270"/>
      <c r="H57" s="1270"/>
      <c r="I57" s="1270"/>
      <c r="J57" s="1270"/>
      <c r="K57" s="1270"/>
      <c r="L57" s="1270"/>
      <c r="M57" s="1270"/>
      <c r="N57" s="1270"/>
      <c r="O57" s="1270"/>
      <c r="P57" s="1270"/>
      <c r="Q57" s="1270"/>
      <c r="R57" s="1270"/>
      <c r="S57" s="1270"/>
      <c r="T57" s="1270"/>
      <c r="U57" s="1270"/>
      <c r="V57" s="1270"/>
      <c r="W57" s="1270"/>
      <c r="X57" s="1270"/>
      <c r="Y57" s="1270"/>
      <c r="Z57" s="1270"/>
      <c r="AA57" s="1270"/>
      <c r="AB57" s="1270"/>
      <c r="AC57" s="1270"/>
      <c r="AD57" s="1270"/>
      <c r="AE57" s="1270"/>
      <c r="AF57" s="1270"/>
      <c r="AG57" s="1270"/>
      <c r="AH57" s="1270"/>
      <c r="AI57" s="1270"/>
      <c r="AJ57" s="1270"/>
      <c r="AK57" s="1270"/>
      <c r="AL57" s="1270"/>
      <c r="AM57" s="1270"/>
      <c r="AN57" s="1270"/>
      <c r="AO57" s="1270"/>
      <c r="AP57" s="1270"/>
      <c r="AQ57" s="1270"/>
      <c r="AR57" s="1270"/>
      <c r="AS57" s="1270"/>
      <c r="AT57" s="1270"/>
      <c r="BD57" s="1251" t="s">
        <v>2554</v>
      </c>
      <c r="BE57" s="1253" t="str">
        <f>Application!H287</f>
        <v>HumanGood Affordable Housing</v>
      </c>
    </row>
    <row r="58" spans="1:57" ht="13" customHeight="1">
      <c r="A58" s="1270"/>
      <c r="B58" s="1270"/>
      <c r="C58" s="1270"/>
      <c r="D58" s="1270"/>
      <c r="E58" s="1270"/>
      <c r="F58" s="1270"/>
      <c r="G58" s="1270"/>
      <c r="H58" s="1270"/>
      <c r="I58" s="1270"/>
      <c r="J58" s="1270"/>
      <c r="K58" s="1270"/>
      <c r="L58" s="1270"/>
      <c r="M58" s="1270"/>
      <c r="N58" s="1270"/>
      <c r="O58" s="1270"/>
      <c r="P58" s="1270"/>
      <c r="Q58" s="1270"/>
      <c r="R58" s="1270"/>
      <c r="S58" s="1270"/>
      <c r="T58" s="1270"/>
      <c r="U58" s="1270"/>
      <c r="V58" s="1270"/>
      <c r="W58" s="1270"/>
      <c r="X58" s="1270"/>
      <c r="Y58" s="1270"/>
      <c r="Z58" s="1270"/>
      <c r="AA58" s="1270"/>
      <c r="AB58" s="1270"/>
      <c r="AC58" s="1270"/>
      <c r="AD58" s="1270"/>
      <c r="AE58" s="1270"/>
      <c r="AF58" s="1270"/>
      <c r="AG58" s="1270"/>
      <c r="AH58" s="1270"/>
      <c r="AI58" s="1270"/>
      <c r="AJ58" s="1270"/>
      <c r="AK58" s="1270"/>
      <c r="AL58" s="1270"/>
      <c r="AM58" s="1270"/>
      <c r="AN58" s="1270"/>
      <c r="AO58" s="1270"/>
      <c r="AP58" s="1270"/>
      <c r="AQ58" s="1270"/>
      <c r="AR58" s="1270"/>
      <c r="AS58" s="1270"/>
      <c r="AT58" s="1270"/>
      <c r="BD58" s="1252" t="s">
        <v>2555</v>
      </c>
      <c r="BE58" s="1253" t="str">
        <f>Application!H288</f>
        <v>1900 Huntington Drive</v>
      </c>
    </row>
    <row r="59" spans="1:57" ht="13" customHeight="1">
      <c r="A59" s="520"/>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251" t="s">
        <v>2556</v>
      </c>
      <c r="BE59" s="1253" t="str">
        <f>Application!H289</f>
        <v>Duarte, CA 91010</v>
      </c>
    </row>
    <row r="60" spans="1:57" ht="13" customHeight="1">
      <c r="A60" s="1270" t="s">
        <v>2155</v>
      </c>
      <c r="B60" s="1270"/>
      <c r="C60" s="1270"/>
      <c r="D60" s="1270"/>
      <c r="E60" s="1270"/>
      <c r="F60" s="1270"/>
      <c r="G60" s="1270"/>
      <c r="H60" s="1270"/>
      <c r="I60" s="1270"/>
      <c r="J60" s="1270"/>
      <c r="K60" s="1270"/>
      <c r="L60" s="1270"/>
      <c r="M60" s="1270"/>
      <c r="N60" s="1270"/>
      <c r="O60" s="1270"/>
      <c r="P60" s="1270"/>
      <c r="Q60" s="1270"/>
      <c r="R60" s="1270"/>
      <c r="S60" s="1270"/>
      <c r="T60" s="1270"/>
      <c r="U60" s="1270"/>
      <c r="V60" s="1270"/>
      <c r="W60" s="1270"/>
      <c r="X60" s="1270"/>
      <c r="Y60" s="1270"/>
      <c r="Z60" s="1270"/>
      <c r="AA60" s="1270"/>
      <c r="AB60" s="1270"/>
      <c r="AC60" s="1270"/>
      <c r="AD60" s="1270"/>
      <c r="AE60" s="1270"/>
      <c r="AF60" s="1270"/>
      <c r="AG60" s="1270"/>
      <c r="AH60" s="1270"/>
      <c r="AI60" s="1270"/>
      <c r="AJ60" s="1270"/>
      <c r="AK60" s="1270"/>
      <c r="AL60" s="1270"/>
      <c r="AM60" s="1270"/>
      <c r="AN60" s="1270"/>
      <c r="AO60" s="1270"/>
      <c r="AP60" s="1270"/>
      <c r="AQ60" s="1270"/>
      <c r="AR60" s="1270"/>
      <c r="AS60" s="1270"/>
      <c r="AT60" s="1270"/>
      <c r="AU60" s="20"/>
      <c r="AV60" s="20"/>
      <c r="AW60" s="20"/>
      <c r="AX60" s="20"/>
      <c r="AY60" s="20"/>
      <c r="AZ60" s="20"/>
      <c r="BD60" s="1252" t="s">
        <v>2557</v>
      </c>
      <c r="BE60" s="1253" t="str">
        <f>Application!H290</f>
        <v>Orest Dolyniuk</v>
      </c>
    </row>
    <row r="61" spans="1:57" ht="13" customHeight="1">
      <c r="A61" s="1270"/>
      <c r="B61" s="1270"/>
      <c r="C61" s="1270"/>
      <c r="D61" s="1270"/>
      <c r="E61" s="1270"/>
      <c r="F61" s="1270"/>
      <c r="G61" s="1270"/>
      <c r="H61" s="1270"/>
      <c r="I61" s="1270"/>
      <c r="J61" s="1270"/>
      <c r="K61" s="1270"/>
      <c r="L61" s="1270"/>
      <c r="M61" s="1270"/>
      <c r="N61" s="1270"/>
      <c r="O61" s="1270"/>
      <c r="P61" s="1270"/>
      <c r="Q61" s="1270"/>
      <c r="R61" s="1270"/>
      <c r="S61" s="1270"/>
      <c r="T61" s="1270"/>
      <c r="U61" s="1270"/>
      <c r="V61" s="1270"/>
      <c r="W61" s="1270"/>
      <c r="X61" s="1270"/>
      <c r="Y61" s="1270"/>
      <c r="Z61" s="1270"/>
      <c r="AA61" s="1270"/>
      <c r="AB61" s="1270"/>
      <c r="AC61" s="1270"/>
      <c r="AD61" s="1270"/>
      <c r="AE61" s="1270"/>
      <c r="AF61" s="1270"/>
      <c r="AG61" s="1270"/>
      <c r="AH61" s="1270"/>
      <c r="AI61" s="1270"/>
      <c r="AJ61" s="1270"/>
      <c r="AK61" s="1270"/>
      <c r="AL61" s="1270"/>
      <c r="AM61" s="1270"/>
      <c r="AN61" s="1270"/>
      <c r="AO61" s="1270"/>
      <c r="AP61" s="1270"/>
      <c r="AQ61" s="1270"/>
      <c r="AR61" s="1270"/>
      <c r="AS61" s="1270"/>
      <c r="AT61" s="1270"/>
      <c r="AU61" s="20"/>
      <c r="AV61" s="20"/>
      <c r="AW61" s="20"/>
      <c r="AX61" s="20"/>
      <c r="AY61" s="20"/>
      <c r="AZ61" s="20"/>
      <c r="BD61" s="1251" t="s">
        <v>2558</v>
      </c>
      <c r="BE61" s="1253" t="str">
        <f>Application!H293</f>
        <v>OrestD@beacondevgroup.com</v>
      </c>
    </row>
    <row r="62" spans="1:57" ht="13" customHeight="1">
      <c r="A62" s="520"/>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252" t="s">
        <v>2559</v>
      </c>
      <c r="BE62" s="1256">
        <f>'Basis &amp; Credits'!AB50</f>
        <v>0.87588408200415824</v>
      </c>
    </row>
    <row r="63" spans="1:57" ht="13" customHeight="1">
      <c r="A63" s="91" t="s">
        <v>2156</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251" t="s">
        <v>1249</v>
      </c>
      <c r="BE63" s="1256">
        <f>'Basis &amp; Credits'!AB72</f>
        <v>0</v>
      </c>
    </row>
    <row r="64" spans="1:57" ht="13"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252" t="s">
        <v>2560</v>
      </c>
      <c r="BE64" s="1253" t="str">
        <f>Application!X180</f>
        <v>No</v>
      </c>
    </row>
    <row r="65" spans="1:57" ht="13" customHeight="1">
      <c r="A65" s="1533" t="s">
        <v>2157</v>
      </c>
      <c r="B65" s="1533"/>
      <c r="C65" s="1533"/>
      <c r="D65" s="1533"/>
      <c r="E65" s="1533"/>
      <c r="F65" s="1533"/>
      <c r="G65" s="1533"/>
      <c r="H65" s="1533"/>
      <c r="I65" s="1533"/>
      <c r="J65" s="1533"/>
      <c r="K65" s="1533"/>
      <c r="L65" s="1533"/>
      <c r="M65" s="1533"/>
      <c r="N65" s="1533"/>
      <c r="O65" s="1533"/>
      <c r="P65" s="1533"/>
      <c r="Q65" s="1533"/>
      <c r="R65" s="1533"/>
      <c r="S65" s="1533"/>
      <c r="T65" s="1533"/>
      <c r="U65" s="1533"/>
      <c r="V65" s="1533"/>
      <c r="W65" s="1533"/>
      <c r="X65" s="1533"/>
      <c r="Y65" s="1533"/>
      <c r="Z65" s="1533"/>
      <c r="AA65" s="1533"/>
      <c r="AB65" s="1533"/>
      <c r="AC65" s="1533"/>
      <c r="AD65" s="1533"/>
      <c r="AE65" s="1533"/>
      <c r="AF65" s="1533"/>
      <c r="AG65" s="1533"/>
      <c r="AH65" s="1533"/>
      <c r="AI65" s="1533"/>
      <c r="AJ65" s="1533"/>
      <c r="AK65" s="1533"/>
      <c r="AL65" s="1533"/>
      <c r="AM65" s="1533"/>
      <c r="AN65" s="1533"/>
      <c r="AO65" s="1533"/>
      <c r="AP65" s="1533"/>
      <c r="AQ65" s="1533"/>
      <c r="AR65" s="1533"/>
      <c r="AS65" s="1533"/>
      <c r="AT65" s="1533"/>
      <c r="AU65" s="21"/>
      <c r="AV65" s="21"/>
      <c r="AW65" s="21"/>
      <c r="AX65" s="21"/>
      <c r="AY65" s="21"/>
      <c r="AZ65" s="20"/>
      <c r="BD65" s="1251" t="s">
        <v>2596</v>
      </c>
      <c r="BE65" s="1253" t="str">
        <f>Z205</f>
        <v>(select)</v>
      </c>
    </row>
    <row r="66" spans="1:57" ht="13" customHeight="1">
      <c r="A66" s="1533"/>
      <c r="B66" s="1533"/>
      <c r="C66" s="1533"/>
      <c r="D66" s="1533"/>
      <c r="E66" s="1533"/>
      <c r="F66" s="1533"/>
      <c r="G66" s="1533"/>
      <c r="H66" s="1533"/>
      <c r="I66" s="1533"/>
      <c r="J66" s="1533"/>
      <c r="K66" s="1533"/>
      <c r="L66" s="1533"/>
      <c r="M66" s="1533"/>
      <c r="N66" s="1533"/>
      <c r="O66" s="1533"/>
      <c r="P66" s="1533"/>
      <c r="Q66" s="1533"/>
      <c r="R66" s="1533"/>
      <c r="S66" s="1533"/>
      <c r="T66" s="1533"/>
      <c r="U66" s="1533"/>
      <c r="V66" s="1533"/>
      <c r="W66" s="1533"/>
      <c r="X66" s="1533"/>
      <c r="Y66" s="1533"/>
      <c r="Z66" s="1533"/>
      <c r="AA66" s="1533"/>
      <c r="AB66" s="1533"/>
      <c r="AC66" s="1533"/>
      <c r="AD66" s="1533"/>
      <c r="AE66" s="1533"/>
      <c r="AF66" s="1533"/>
      <c r="AG66" s="1533"/>
      <c r="AH66" s="1533"/>
      <c r="AI66" s="1533"/>
      <c r="AJ66" s="1533"/>
      <c r="AK66" s="1533"/>
      <c r="AL66" s="1533"/>
      <c r="AM66" s="1533"/>
      <c r="AN66" s="1533"/>
      <c r="AO66" s="1533"/>
      <c r="AP66" s="1533"/>
      <c r="AQ66" s="1533"/>
      <c r="AR66" s="1533"/>
      <c r="AS66" s="1533"/>
      <c r="AT66" s="1533"/>
      <c r="AU66" s="21"/>
      <c r="AV66" s="21"/>
      <c r="AW66" s="21"/>
      <c r="AX66" s="21"/>
      <c r="AY66" s="21"/>
      <c r="AZ66" s="20"/>
      <c r="BD66" s="1252" t="s">
        <v>2561</v>
      </c>
      <c r="BE66" s="1253" t="b">
        <f>Application!Z205="State Farmworker Credit"</f>
        <v>0</v>
      </c>
    </row>
    <row r="67" spans="1:57" ht="13" customHeight="1">
      <c r="A67" s="1533"/>
      <c r="B67" s="1533"/>
      <c r="C67" s="1533"/>
      <c r="D67" s="1533"/>
      <c r="E67" s="1533"/>
      <c r="F67" s="1533"/>
      <c r="G67" s="1533"/>
      <c r="H67" s="1533"/>
      <c r="I67" s="1533"/>
      <c r="J67" s="1533"/>
      <c r="K67" s="1533"/>
      <c r="L67" s="1533"/>
      <c r="M67" s="1533"/>
      <c r="N67" s="1533"/>
      <c r="O67" s="1533"/>
      <c r="P67" s="1533"/>
      <c r="Q67" s="1533"/>
      <c r="R67" s="1533"/>
      <c r="S67" s="1533"/>
      <c r="T67" s="1533"/>
      <c r="U67" s="1533"/>
      <c r="V67" s="1533"/>
      <c r="W67" s="1533"/>
      <c r="X67" s="1533"/>
      <c r="Y67" s="1533"/>
      <c r="Z67" s="1533"/>
      <c r="AA67" s="1533"/>
      <c r="AB67" s="1533"/>
      <c r="AC67" s="1533"/>
      <c r="AD67" s="1533"/>
      <c r="AE67" s="1533"/>
      <c r="AF67" s="1533"/>
      <c r="AG67" s="1533"/>
      <c r="AH67" s="1533"/>
      <c r="AI67" s="1533"/>
      <c r="AJ67" s="1533"/>
      <c r="AK67" s="1533"/>
      <c r="AL67" s="1533"/>
      <c r="AM67" s="1533"/>
      <c r="AN67" s="1533"/>
      <c r="AO67" s="1533"/>
      <c r="AP67" s="1533"/>
      <c r="AQ67" s="1533"/>
      <c r="AR67" s="1533"/>
      <c r="AS67" s="1533"/>
      <c r="AT67" s="1533"/>
      <c r="AZ67" s="20"/>
      <c r="BD67" s="1251" t="s">
        <v>2562</v>
      </c>
      <c r="BE67" s="1253" t="b">
        <f>Application!O33="Yes"</f>
        <v>0</v>
      </c>
    </row>
    <row r="68" spans="1:57" ht="13"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252" t="s">
        <v>2563</v>
      </c>
      <c r="BE68" s="1253">
        <f>'Sources and Uses Budget'!D105</f>
        <v>0</v>
      </c>
    </row>
    <row r="69" spans="1:57" ht="13" customHeight="1">
      <c r="A69" s="1533" t="s">
        <v>2158</v>
      </c>
      <c r="B69" s="1533"/>
      <c r="C69" s="1533"/>
      <c r="D69" s="1533"/>
      <c r="E69" s="1533"/>
      <c r="F69" s="1533"/>
      <c r="G69" s="1533"/>
      <c r="H69" s="1533"/>
      <c r="I69" s="1533"/>
      <c r="J69" s="1533"/>
      <c r="K69" s="1533"/>
      <c r="L69" s="1533"/>
      <c r="M69" s="1533"/>
      <c r="N69" s="1533"/>
      <c r="O69" s="1533"/>
      <c r="P69" s="1533"/>
      <c r="Q69" s="1533"/>
      <c r="R69" s="1533"/>
      <c r="S69" s="1533"/>
      <c r="T69" s="1533"/>
      <c r="U69" s="1533"/>
      <c r="V69" s="1533"/>
      <c r="W69" s="1533"/>
      <c r="X69" s="1533"/>
      <c r="Y69" s="1533"/>
      <c r="Z69" s="1533"/>
      <c r="AA69" s="1533"/>
      <c r="AB69" s="1533"/>
      <c r="AC69" s="1533"/>
      <c r="AD69" s="1533"/>
      <c r="AE69" s="1533"/>
      <c r="AF69" s="1533"/>
      <c r="AG69" s="1533"/>
      <c r="AH69" s="1533"/>
      <c r="AI69" s="1533"/>
      <c r="AJ69" s="1533"/>
      <c r="AK69" s="1533"/>
      <c r="AL69" s="1533"/>
      <c r="AM69" s="1533"/>
      <c r="AN69" s="1533"/>
      <c r="AO69" s="1533"/>
      <c r="AP69" s="1533"/>
      <c r="AQ69" s="1533"/>
      <c r="AR69" s="1533"/>
      <c r="AS69" s="1533"/>
      <c r="AT69" s="1533"/>
      <c r="AZ69" s="20"/>
      <c r="BD69" s="1251" t="s">
        <v>2564</v>
      </c>
      <c r="BE69" s="1253" t="str">
        <f>Application!W700</f>
        <v>California Municipal Finance Authority</v>
      </c>
    </row>
    <row r="70" spans="1:57" ht="13" customHeight="1">
      <c r="A70" s="1533"/>
      <c r="B70" s="1533"/>
      <c r="C70" s="1533"/>
      <c r="D70" s="1533"/>
      <c r="E70" s="1533"/>
      <c r="F70" s="1533"/>
      <c r="G70" s="1533"/>
      <c r="H70" s="1533"/>
      <c r="I70" s="1533"/>
      <c r="J70" s="1533"/>
      <c r="K70" s="1533"/>
      <c r="L70" s="1533"/>
      <c r="M70" s="1533"/>
      <c r="N70" s="1533"/>
      <c r="O70" s="1533"/>
      <c r="P70" s="1533"/>
      <c r="Q70" s="1533"/>
      <c r="R70" s="1533"/>
      <c r="S70" s="1533"/>
      <c r="T70" s="1533"/>
      <c r="U70" s="1533"/>
      <c r="V70" s="1533"/>
      <c r="W70" s="1533"/>
      <c r="X70" s="1533"/>
      <c r="Y70" s="1533"/>
      <c r="Z70" s="1533"/>
      <c r="AA70" s="1533"/>
      <c r="AB70" s="1533"/>
      <c r="AC70" s="1533"/>
      <c r="AD70" s="1533"/>
      <c r="AE70" s="1533"/>
      <c r="AF70" s="1533"/>
      <c r="AG70" s="1533"/>
      <c r="AH70" s="1533"/>
      <c r="AI70" s="1533"/>
      <c r="AJ70" s="1533"/>
      <c r="AK70" s="1533"/>
      <c r="AL70" s="1533"/>
      <c r="AM70" s="1533"/>
      <c r="AN70" s="1533"/>
      <c r="AO70" s="1533"/>
      <c r="AP70" s="1533"/>
      <c r="AQ70" s="1533"/>
      <c r="AR70" s="1533"/>
      <c r="AS70" s="1533"/>
      <c r="AT70" s="1533"/>
      <c r="AU70" s="20"/>
      <c r="AV70" s="20"/>
      <c r="AW70" s="20"/>
      <c r="AX70" s="20"/>
      <c r="AY70" s="20"/>
      <c r="AZ70" s="20"/>
      <c r="BD70" s="1252" t="s">
        <v>2565</v>
      </c>
      <c r="BE70" s="1253">
        <f>'Points System'!AF821</f>
        <v>104</v>
      </c>
    </row>
    <row r="71" spans="1:57" ht="13" customHeight="1">
      <c r="A71" s="520"/>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251" t="s">
        <v>2566</v>
      </c>
      <c r="BE71" s="1253">
        <f>'Points System'!AF804</f>
        <v>14</v>
      </c>
    </row>
    <row r="72" spans="1:57" ht="13" customHeight="1">
      <c r="A72" s="1553" t="s">
        <v>2159</v>
      </c>
      <c r="B72" s="1553"/>
      <c r="C72" s="1553"/>
      <c r="D72" s="1553"/>
      <c r="E72" s="1553"/>
      <c r="F72" s="1553"/>
      <c r="G72" s="1553"/>
      <c r="H72" s="1553"/>
      <c r="I72" s="1553"/>
      <c r="J72" s="1553"/>
      <c r="K72" s="1553"/>
      <c r="L72" s="1553"/>
      <c r="M72" s="1553"/>
      <c r="N72" s="1553"/>
      <c r="O72" s="1553"/>
      <c r="P72" s="1553"/>
      <c r="Q72" s="1553"/>
      <c r="R72" s="1553"/>
      <c r="S72" s="1553"/>
      <c r="T72" s="1553"/>
      <c r="U72" s="1553"/>
      <c r="V72" s="1553"/>
      <c r="W72" s="1553"/>
      <c r="X72" s="1553"/>
      <c r="Y72" s="1553"/>
      <c r="Z72" s="1553"/>
      <c r="AA72" s="1553"/>
      <c r="AB72" s="1553"/>
      <c r="AC72" s="1553"/>
      <c r="AD72" s="1553"/>
      <c r="AE72" s="1553"/>
      <c r="AF72" s="1553"/>
      <c r="AG72" s="1553"/>
      <c r="AH72" s="1553"/>
      <c r="AI72" s="1553"/>
      <c r="AJ72" s="1553"/>
      <c r="AK72" s="1553"/>
      <c r="AL72" s="1553"/>
      <c r="AM72" s="1553"/>
      <c r="AN72" s="1553"/>
      <c r="AO72" s="1553"/>
      <c r="AP72" s="1553"/>
      <c r="AQ72" s="1553"/>
      <c r="AR72" s="1553"/>
      <c r="AS72" s="1553"/>
      <c r="AT72" s="1553"/>
      <c r="AU72" s="20"/>
      <c r="AV72" s="20"/>
      <c r="AW72" s="20"/>
      <c r="AX72" s="20"/>
      <c r="AY72" s="20"/>
      <c r="AZ72" s="20"/>
      <c r="BD72" s="1252" t="s">
        <v>2567</v>
      </c>
      <c r="BE72" s="1253">
        <f>'Points System'!AF805</f>
        <v>0</v>
      </c>
    </row>
    <row r="73" spans="1:57" ht="13" customHeight="1">
      <c r="A73" s="1553"/>
      <c r="B73" s="1553"/>
      <c r="C73" s="1553"/>
      <c r="D73" s="1553"/>
      <c r="E73" s="1553"/>
      <c r="F73" s="1553"/>
      <c r="G73" s="1553"/>
      <c r="H73" s="1553"/>
      <c r="I73" s="1553"/>
      <c r="J73" s="1553"/>
      <c r="K73" s="1553"/>
      <c r="L73" s="1553"/>
      <c r="M73" s="1553"/>
      <c r="N73" s="1553"/>
      <c r="O73" s="1553"/>
      <c r="P73" s="1553"/>
      <c r="Q73" s="1553"/>
      <c r="R73" s="1553"/>
      <c r="S73" s="1553"/>
      <c r="T73" s="1553"/>
      <c r="U73" s="1553"/>
      <c r="V73" s="1553"/>
      <c r="W73" s="1553"/>
      <c r="X73" s="1553"/>
      <c r="Y73" s="1553"/>
      <c r="Z73" s="1553"/>
      <c r="AA73" s="1553"/>
      <c r="AB73" s="1553"/>
      <c r="AC73" s="1553"/>
      <c r="AD73" s="1553"/>
      <c r="AE73" s="1553"/>
      <c r="AF73" s="1553"/>
      <c r="AG73" s="1553"/>
      <c r="AH73" s="1553"/>
      <c r="AI73" s="1553"/>
      <c r="AJ73" s="1553"/>
      <c r="AK73" s="1553"/>
      <c r="AL73" s="1553"/>
      <c r="AM73" s="1553"/>
      <c r="AN73" s="1553"/>
      <c r="AO73" s="1553"/>
      <c r="AP73" s="1553"/>
      <c r="AQ73" s="1553"/>
      <c r="AR73" s="1553"/>
      <c r="AS73" s="1553"/>
      <c r="AT73" s="1553"/>
      <c r="AU73" s="20"/>
      <c r="AV73" s="20"/>
      <c r="AW73" s="20"/>
      <c r="AX73" s="20"/>
      <c r="AY73" s="20"/>
      <c r="AZ73" s="20"/>
      <c r="BD73" s="1251" t="s">
        <v>2568</v>
      </c>
      <c r="BE73" s="1253">
        <f>'Points System'!AF806</f>
        <v>20</v>
      </c>
    </row>
    <row r="74" spans="1:57" ht="13"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252" t="s">
        <v>2569</v>
      </c>
      <c r="BE74" s="1253">
        <f>'Points System'!AF807</f>
        <v>10</v>
      </c>
    </row>
    <row r="75" spans="1:57" ht="13" customHeight="1">
      <c r="A75" s="1532" t="s">
        <v>2160</v>
      </c>
      <c r="B75" s="1532"/>
      <c r="C75" s="1532"/>
      <c r="D75" s="1532"/>
      <c r="E75" s="1532"/>
      <c r="F75" s="1532"/>
      <c r="G75" s="1532"/>
      <c r="H75" s="1532"/>
      <c r="I75" s="1532"/>
      <c r="J75" s="1532"/>
      <c r="K75" s="1532"/>
      <c r="L75" s="1532"/>
      <c r="M75" s="1532"/>
      <c r="N75" s="1532"/>
      <c r="O75" s="1532"/>
      <c r="P75" s="1532"/>
      <c r="Q75" s="1532"/>
      <c r="R75" s="1532"/>
      <c r="S75" s="1532"/>
      <c r="T75" s="1532"/>
      <c r="U75" s="1532"/>
      <c r="V75" s="1532"/>
      <c r="W75" s="1532"/>
      <c r="X75" s="1532"/>
      <c r="Y75" s="1532"/>
      <c r="Z75" s="1532"/>
      <c r="AA75" s="1532"/>
      <c r="AB75" s="1532"/>
      <c r="AC75" s="1532"/>
      <c r="AD75" s="1532"/>
      <c r="AE75" s="1532"/>
      <c r="AF75" s="1532"/>
      <c r="AG75" s="1532"/>
      <c r="AH75" s="1532"/>
      <c r="AI75" s="1532"/>
      <c r="AJ75" s="1532"/>
      <c r="AK75" s="1532"/>
      <c r="AL75" s="1532"/>
      <c r="AM75" s="1532"/>
      <c r="AN75" s="1532"/>
      <c r="AO75" s="1532"/>
      <c r="AP75" s="1532"/>
      <c r="AQ75" s="1532"/>
      <c r="AR75" s="1532"/>
      <c r="AS75" s="1532"/>
      <c r="AT75" s="1532"/>
      <c r="AU75" s="20"/>
      <c r="AV75" s="20"/>
      <c r="AW75" s="20"/>
      <c r="AX75" s="20"/>
      <c r="AY75" s="20"/>
      <c r="AZ75" s="20"/>
      <c r="BD75" s="1251" t="s">
        <v>2570</v>
      </c>
      <c r="BE75" s="1253">
        <f>'Points System'!AF808</f>
        <v>10</v>
      </c>
    </row>
    <row r="76" spans="1:57" ht="13" customHeight="1">
      <c r="A76" s="1532"/>
      <c r="B76" s="1532"/>
      <c r="C76" s="1532"/>
      <c r="D76" s="1532"/>
      <c r="E76" s="1532"/>
      <c r="F76" s="1532"/>
      <c r="G76" s="1532"/>
      <c r="H76" s="1532"/>
      <c r="I76" s="1532"/>
      <c r="J76" s="1532"/>
      <c r="K76" s="1532"/>
      <c r="L76" s="1532"/>
      <c r="M76" s="1532"/>
      <c r="N76" s="1532"/>
      <c r="O76" s="1532"/>
      <c r="P76" s="1532"/>
      <c r="Q76" s="1532"/>
      <c r="R76" s="1532"/>
      <c r="S76" s="1532"/>
      <c r="T76" s="1532"/>
      <c r="U76" s="1532"/>
      <c r="V76" s="1532"/>
      <c r="W76" s="1532"/>
      <c r="X76" s="1532"/>
      <c r="Y76" s="1532"/>
      <c r="Z76" s="1532"/>
      <c r="AA76" s="1532"/>
      <c r="AB76" s="1532"/>
      <c r="AC76" s="1532"/>
      <c r="AD76" s="1532"/>
      <c r="AE76" s="1532"/>
      <c r="AF76" s="1532"/>
      <c r="AG76" s="1532"/>
      <c r="AH76" s="1532"/>
      <c r="AI76" s="1532"/>
      <c r="AJ76" s="1532"/>
      <c r="AK76" s="1532"/>
      <c r="AL76" s="1532"/>
      <c r="AM76" s="1532"/>
      <c r="AN76" s="1532"/>
      <c r="AO76" s="1532"/>
      <c r="AP76" s="1532"/>
      <c r="AQ76" s="1532"/>
      <c r="AR76" s="1532"/>
      <c r="AS76" s="1532"/>
      <c r="AT76" s="1532"/>
      <c r="AU76" s="20"/>
      <c r="AV76" s="20"/>
      <c r="AW76" s="20"/>
      <c r="AX76" s="20"/>
      <c r="AY76" s="20"/>
      <c r="AZ76" s="17"/>
      <c r="BD76" s="1252" t="s">
        <v>2571</v>
      </c>
      <c r="BE76" s="1253">
        <f>'Points System'!AF811</f>
        <v>0</v>
      </c>
    </row>
    <row r="77" spans="1:57" ht="13" customHeight="1">
      <c r="A77" s="1532"/>
      <c r="B77" s="1532"/>
      <c r="C77" s="1532"/>
      <c r="D77" s="1532"/>
      <c r="E77" s="1532"/>
      <c r="F77" s="1532"/>
      <c r="G77" s="1532"/>
      <c r="H77" s="1532"/>
      <c r="I77" s="1532"/>
      <c r="J77" s="1532"/>
      <c r="K77" s="1532"/>
      <c r="L77" s="1532"/>
      <c r="M77" s="1532"/>
      <c r="N77" s="1532"/>
      <c r="O77" s="1532"/>
      <c r="P77" s="1532"/>
      <c r="Q77" s="1532"/>
      <c r="R77" s="1532"/>
      <c r="S77" s="1532"/>
      <c r="T77" s="1532"/>
      <c r="U77" s="1532"/>
      <c r="V77" s="1532"/>
      <c r="W77" s="1532"/>
      <c r="X77" s="1532"/>
      <c r="Y77" s="1532"/>
      <c r="Z77" s="1532"/>
      <c r="AA77" s="1532"/>
      <c r="AB77" s="1532"/>
      <c r="AC77" s="1532"/>
      <c r="AD77" s="1532"/>
      <c r="AE77" s="1532"/>
      <c r="AF77" s="1532"/>
      <c r="AG77" s="1532"/>
      <c r="AH77" s="1532"/>
      <c r="AI77" s="1532"/>
      <c r="AJ77" s="1532"/>
      <c r="AK77" s="1532"/>
      <c r="AL77" s="1532"/>
      <c r="AM77" s="1532"/>
      <c r="AN77" s="1532"/>
      <c r="AO77" s="1532"/>
      <c r="AP77" s="1532"/>
      <c r="AQ77" s="1532"/>
      <c r="AR77" s="1532"/>
      <c r="AS77" s="1532"/>
      <c r="AT77" s="1532"/>
      <c r="AU77" s="20"/>
      <c r="AV77" s="20"/>
      <c r="AW77" s="20"/>
      <c r="AX77" s="20"/>
      <c r="AY77" s="20"/>
      <c r="AZ77" s="17"/>
      <c r="BD77" s="1251" t="s">
        <v>2572</v>
      </c>
      <c r="BE77" s="1253">
        <f>'Points System'!AF812</f>
        <v>8</v>
      </c>
    </row>
    <row r="78" spans="1:57" ht="13"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252" t="s">
        <v>2573</v>
      </c>
      <c r="BE78" s="1253">
        <f>'Points System'!AF814</f>
        <v>10</v>
      </c>
    </row>
    <row r="79" spans="1:57" ht="13" customHeight="1">
      <c r="A79" s="1533" t="s">
        <v>2161</v>
      </c>
      <c r="B79" s="1533"/>
      <c r="C79" s="1533"/>
      <c r="D79" s="1533"/>
      <c r="E79" s="1533"/>
      <c r="F79" s="1533"/>
      <c r="G79" s="1533"/>
      <c r="H79" s="1533"/>
      <c r="I79" s="1533"/>
      <c r="J79" s="1533"/>
      <c r="K79" s="1533"/>
      <c r="L79" s="1533"/>
      <c r="M79" s="1533"/>
      <c r="N79" s="1533"/>
      <c r="O79" s="1533"/>
      <c r="P79" s="1533"/>
      <c r="Q79" s="1533"/>
      <c r="R79" s="1533"/>
      <c r="S79" s="1533"/>
      <c r="T79" s="1533"/>
      <c r="U79" s="1533"/>
      <c r="V79" s="1533"/>
      <c r="W79" s="1533"/>
      <c r="X79" s="1533"/>
      <c r="Y79" s="1533"/>
      <c r="Z79" s="1533"/>
      <c r="AA79" s="1533"/>
      <c r="AB79" s="1533"/>
      <c r="AC79" s="1533"/>
      <c r="AD79" s="1533"/>
      <c r="AE79" s="1533"/>
      <c r="AF79" s="1533"/>
      <c r="AG79" s="1533"/>
      <c r="AH79" s="1533"/>
      <c r="AI79" s="1533"/>
      <c r="AJ79" s="1533"/>
      <c r="AK79" s="1533"/>
      <c r="AL79" s="1533"/>
      <c r="AM79" s="1533"/>
      <c r="AN79" s="1533"/>
      <c r="AO79" s="1533"/>
      <c r="AP79" s="1533"/>
      <c r="AQ79" s="1533"/>
      <c r="AR79" s="1533"/>
      <c r="AS79" s="1533"/>
      <c r="AT79" s="1533"/>
      <c r="AU79" s="20"/>
      <c r="AV79" s="20"/>
      <c r="AW79" s="20"/>
      <c r="AX79" s="20"/>
      <c r="AY79" s="20"/>
      <c r="AZ79" s="20"/>
      <c r="BD79" s="1251" t="s">
        <v>2574</v>
      </c>
      <c r="BE79" s="1253">
        <f>'Points System'!AF815</f>
        <v>0</v>
      </c>
    </row>
    <row r="80" spans="1:57" ht="13" customHeight="1">
      <c r="A80" s="1533"/>
      <c r="B80" s="1533"/>
      <c r="C80" s="1533"/>
      <c r="D80" s="1533"/>
      <c r="E80" s="1533"/>
      <c r="F80" s="1533"/>
      <c r="G80" s="1533"/>
      <c r="H80" s="1533"/>
      <c r="I80" s="1533"/>
      <c r="J80" s="1533"/>
      <c r="K80" s="1533"/>
      <c r="L80" s="1533"/>
      <c r="M80" s="1533"/>
      <c r="N80" s="1533"/>
      <c r="O80" s="1533"/>
      <c r="P80" s="1533"/>
      <c r="Q80" s="1533"/>
      <c r="R80" s="1533"/>
      <c r="S80" s="1533"/>
      <c r="T80" s="1533"/>
      <c r="U80" s="1533"/>
      <c r="V80" s="1533"/>
      <c r="W80" s="1533"/>
      <c r="X80" s="1533"/>
      <c r="Y80" s="1533"/>
      <c r="Z80" s="1533"/>
      <c r="AA80" s="1533"/>
      <c r="AB80" s="1533"/>
      <c r="AC80" s="1533"/>
      <c r="AD80" s="1533"/>
      <c r="AE80" s="1533"/>
      <c r="AF80" s="1533"/>
      <c r="AG80" s="1533"/>
      <c r="AH80" s="1533"/>
      <c r="AI80" s="1533"/>
      <c r="AJ80" s="1533"/>
      <c r="AK80" s="1533"/>
      <c r="AL80" s="1533"/>
      <c r="AM80" s="1533"/>
      <c r="AN80" s="1533"/>
      <c r="AO80" s="1533"/>
      <c r="AP80" s="1533"/>
      <c r="AQ80" s="1533"/>
      <c r="AR80" s="1533"/>
      <c r="AS80" s="1533"/>
      <c r="AT80" s="1533"/>
      <c r="AU80" s="20"/>
      <c r="AV80" s="20"/>
      <c r="AW80" s="20"/>
      <c r="AX80" s="20"/>
      <c r="AY80" s="20"/>
      <c r="AZ80" s="20"/>
      <c r="BD80" s="1252" t="s">
        <v>2575</v>
      </c>
      <c r="BE80" s="1253">
        <f>'Points System'!AF817</f>
        <v>10</v>
      </c>
    </row>
    <row r="81" spans="1:57" ht="13" customHeight="1">
      <c r="A81" s="1533"/>
      <c r="B81" s="1533"/>
      <c r="C81" s="1533"/>
      <c r="D81" s="1533"/>
      <c r="E81" s="1533"/>
      <c r="F81" s="1533"/>
      <c r="G81" s="1533"/>
      <c r="H81" s="1533"/>
      <c r="I81" s="1533"/>
      <c r="J81" s="1533"/>
      <c r="K81" s="1533"/>
      <c r="L81" s="1533"/>
      <c r="M81" s="1533"/>
      <c r="N81" s="1533"/>
      <c r="O81" s="1533"/>
      <c r="P81" s="1533"/>
      <c r="Q81" s="1533"/>
      <c r="R81" s="1533"/>
      <c r="S81" s="1533"/>
      <c r="T81" s="1533"/>
      <c r="U81" s="1533"/>
      <c r="V81" s="1533"/>
      <c r="W81" s="1533"/>
      <c r="X81" s="1533"/>
      <c r="Y81" s="1533"/>
      <c r="Z81" s="1533"/>
      <c r="AA81" s="1533"/>
      <c r="AB81" s="1533"/>
      <c r="AC81" s="1533"/>
      <c r="AD81" s="1533"/>
      <c r="AE81" s="1533"/>
      <c r="AF81" s="1533"/>
      <c r="AG81" s="1533"/>
      <c r="AH81" s="1533"/>
      <c r="AI81" s="1533"/>
      <c r="AJ81" s="1533"/>
      <c r="AK81" s="1533"/>
      <c r="AL81" s="1533"/>
      <c r="AM81" s="1533"/>
      <c r="AN81" s="1533"/>
      <c r="AO81" s="1533"/>
      <c r="AP81" s="1533"/>
      <c r="AQ81" s="1533"/>
      <c r="AR81" s="1533"/>
      <c r="AS81" s="1533"/>
      <c r="AT81" s="1533"/>
      <c r="AU81" s="20"/>
      <c r="AV81" s="20"/>
      <c r="AW81" s="20"/>
      <c r="AX81" s="20"/>
      <c r="AY81" s="20"/>
      <c r="AZ81" s="20"/>
      <c r="BD81" s="1251" t="s">
        <v>2576</v>
      </c>
      <c r="BE81" s="1253">
        <f>'Points System'!AF818</f>
        <v>12</v>
      </c>
    </row>
    <row r="82" spans="1:57" ht="13" customHeight="1">
      <c r="A82" s="520"/>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252" t="s">
        <v>2577</v>
      </c>
      <c r="BE82" s="1253">
        <f>'Points System'!AF819</f>
        <v>10</v>
      </c>
    </row>
    <row r="83" spans="1:57" ht="13" customHeight="1">
      <c r="A83" s="1270" t="s">
        <v>2162</v>
      </c>
      <c r="B83" s="1270"/>
      <c r="C83" s="1270"/>
      <c r="D83" s="1270"/>
      <c r="E83" s="1270"/>
      <c r="F83" s="1270"/>
      <c r="G83" s="1270"/>
      <c r="H83" s="1270"/>
      <c r="I83" s="1270"/>
      <c r="J83" s="1270"/>
      <c r="K83" s="1270"/>
      <c r="L83" s="1270"/>
      <c r="M83" s="1270"/>
      <c r="N83" s="1270"/>
      <c r="O83" s="1270"/>
      <c r="P83" s="1270"/>
      <c r="Q83" s="1270"/>
      <c r="R83" s="1270"/>
      <c r="S83" s="1270"/>
      <c r="T83" s="1270"/>
      <c r="U83" s="1270"/>
      <c r="V83" s="1270"/>
      <c r="W83" s="1270"/>
      <c r="X83" s="1270"/>
      <c r="Y83" s="1270"/>
      <c r="Z83" s="1270"/>
      <c r="AA83" s="1270"/>
      <c r="AB83" s="1270"/>
      <c r="AC83" s="1270"/>
      <c r="AD83" s="1270"/>
      <c r="AE83" s="1270"/>
      <c r="AF83" s="1270"/>
      <c r="AG83" s="1270"/>
      <c r="AH83" s="1270"/>
      <c r="AI83" s="1270"/>
      <c r="AJ83" s="1270"/>
      <c r="AK83" s="1270"/>
      <c r="AL83" s="1270"/>
      <c r="AM83" s="1270"/>
      <c r="AN83" s="1270"/>
      <c r="AO83" s="1270"/>
      <c r="AP83" s="1270"/>
      <c r="AQ83" s="1270"/>
      <c r="AR83" s="1270"/>
      <c r="AS83" s="1270"/>
      <c r="AT83" s="1270"/>
      <c r="AU83" s="20"/>
      <c r="AV83" s="20"/>
      <c r="AW83" s="20"/>
      <c r="AX83" s="20"/>
      <c r="AY83" s="20"/>
      <c r="AZ83" s="20"/>
      <c r="BD83" s="1251" t="s">
        <v>2578</v>
      </c>
      <c r="BE83" s="1257">
        <f>'Tie Breaker'!H5</f>
        <v>1.2984459307789533</v>
      </c>
    </row>
    <row r="84" spans="1:57" ht="13" customHeight="1">
      <c r="A84" s="1270"/>
      <c r="B84" s="1270"/>
      <c r="C84" s="1270"/>
      <c r="D84" s="1270"/>
      <c r="E84" s="1270"/>
      <c r="F84" s="1270"/>
      <c r="G84" s="1270"/>
      <c r="H84" s="1270"/>
      <c r="I84" s="1270"/>
      <c r="J84" s="1270"/>
      <c r="K84" s="1270"/>
      <c r="L84" s="1270"/>
      <c r="M84" s="1270"/>
      <c r="N84" s="1270"/>
      <c r="O84" s="1270"/>
      <c r="P84" s="1270"/>
      <c r="Q84" s="1270"/>
      <c r="R84" s="1270"/>
      <c r="S84" s="1270"/>
      <c r="T84" s="1270"/>
      <c r="U84" s="1270"/>
      <c r="V84" s="1270"/>
      <c r="W84" s="1270"/>
      <c r="X84" s="1270"/>
      <c r="Y84" s="1270"/>
      <c r="Z84" s="1270"/>
      <c r="AA84" s="1270"/>
      <c r="AB84" s="1270"/>
      <c r="AC84" s="1270"/>
      <c r="AD84" s="1270"/>
      <c r="AE84" s="1270"/>
      <c r="AF84" s="1270"/>
      <c r="AG84" s="1270"/>
      <c r="AH84" s="1270"/>
      <c r="AI84" s="1270"/>
      <c r="AJ84" s="1270"/>
      <c r="AK84" s="1270"/>
      <c r="AL84" s="1270"/>
      <c r="AM84" s="1270"/>
      <c r="AN84" s="1270"/>
      <c r="AO84" s="1270"/>
      <c r="AP84" s="1270"/>
      <c r="AQ84" s="1270"/>
      <c r="AR84" s="1270"/>
      <c r="AS84" s="1270"/>
      <c r="AT84" s="1270"/>
      <c r="AU84" s="20"/>
      <c r="AV84" s="20"/>
      <c r="AW84" s="20"/>
      <c r="AX84" s="20"/>
      <c r="AY84" s="20"/>
      <c r="AZ84" s="20"/>
      <c r="BD84" s="1252" t="s">
        <v>2579</v>
      </c>
      <c r="BE84" s="1253" t="str">
        <f>Application!O153</f>
        <v>City of Los Angeles</v>
      </c>
    </row>
    <row r="85" spans="1:57" ht="13"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251" t="s">
        <v>2580</v>
      </c>
      <c r="BE85" s="1253" t="str">
        <f>Application!O154</f>
        <v>Timothy Elliott</v>
      </c>
    </row>
    <row r="86" spans="1:57" ht="13" customHeight="1">
      <c r="A86" s="1270" t="s">
        <v>2163</v>
      </c>
      <c r="B86" s="1270"/>
      <c r="C86" s="1270"/>
      <c r="D86" s="1270"/>
      <c r="E86" s="1270"/>
      <c r="F86" s="1270"/>
      <c r="G86" s="1270"/>
      <c r="H86" s="1270"/>
      <c r="I86" s="1270"/>
      <c r="J86" s="1270"/>
      <c r="K86" s="1270"/>
      <c r="L86" s="1270"/>
      <c r="M86" s="1270"/>
      <c r="N86" s="1270"/>
      <c r="O86" s="1270"/>
      <c r="P86" s="1270"/>
      <c r="Q86" s="1270"/>
      <c r="R86" s="1270"/>
      <c r="S86" s="1270"/>
      <c r="T86" s="1270"/>
      <c r="U86" s="1270"/>
      <c r="V86" s="1270"/>
      <c r="W86" s="1270"/>
      <c r="X86" s="1270"/>
      <c r="Y86" s="1270"/>
      <c r="Z86" s="1270"/>
      <c r="AA86" s="1270"/>
      <c r="AB86" s="1270"/>
      <c r="AC86" s="1270"/>
      <c r="AD86" s="1270"/>
      <c r="AE86" s="1270"/>
      <c r="AF86" s="1270"/>
      <c r="AG86" s="1270"/>
      <c r="AH86" s="1270"/>
      <c r="AI86" s="1270"/>
      <c r="AJ86" s="1270"/>
      <c r="AK86" s="1270"/>
      <c r="AL86" s="1270"/>
      <c r="AM86" s="1270"/>
      <c r="AN86" s="1270"/>
      <c r="AO86" s="1270"/>
      <c r="AP86" s="1270"/>
      <c r="AQ86" s="1270"/>
      <c r="AR86" s="1270"/>
      <c r="AS86" s="1270"/>
      <c r="AT86" s="1270"/>
      <c r="AU86" s="20"/>
      <c r="AV86" s="20"/>
      <c r="AW86" s="20"/>
      <c r="AX86" s="20"/>
      <c r="AY86" s="20"/>
      <c r="AZ86" s="20"/>
      <c r="BD86" s="1252" t="s">
        <v>2581</v>
      </c>
      <c r="BE86" s="1253" t="str">
        <f>Application!O155</f>
        <v>Community Housing Program Manager</v>
      </c>
    </row>
    <row r="87" spans="1:57" ht="13" customHeight="1">
      <c r="A87" s="1270"/>
      <c r="B87" s="1270"/>
      <c r="C87" s="1270"/>
      <c r="D87" s="1270"/>
      <c r="E87" s="1270"/>
      <c r="F87" s="1270"/>
      <c r="G87" s="1270"/>
      <c r="H87" s="1270"/>
      <c r="I87" s="1270"/>
      <c r="J87" s="1270"/>
      <c r="K87" s="1270"/>
      <c r="L87" s="1270"/>
      <c r="M87" s="1270"/>
      <c r="N87" s="1270"/>
      <c r="O87" s="1270"/>
      <c r="P87" s="1270"/>
      <c r="Q87" s="1270"/>
      <c r="R87" s="1270"/>
      <c r="S87" s="1270"/>
      <c r="T87" s="1270"/>
      <c r="U87" s="1270"/>
      <c r="V87" s="1270"/>
      <c r="W87" s="1270"/>
      <c r="X87" s="1270"/>
      <c r="Y87" s="1270"/>
      <c r="Z87" s="1270"/>
      <c r="AA87" s="1270"/>
      <c r="AB87" s="1270"/>
      <c r="AC87" s="1270"/>
      <c r="AD87" s="1270"/>
      <c r="AE87" s="1270"/>
      <c r="AF87" s="1270"/>
      <c r="AG87" s="1270"/>
      <c r="AH87" s="1270"/>
      <c r="AI87" s="1270"/>
      <c r="AJ87" s="1270"/>
      <c r="AK87" s="1270"/>
      <c r="AL87" s="1270"/>
      <c r="AM87" s="1270"/>
      <c r="AN87" s="1270"/>
      <c r="AO87" s="1270"/>
      <c r="AP87" s="1270"/>
      <c r="AQ87" s="1270"/>
      <c r="AR87" s="1270"/>
      <c r="AS87" s="1270"/>
      <c r="AT87" s="1270"/>
      <c r="AU87" s="20"/>
      <c r="AV87" s="20"/>
      <c r="AW87" s="20"/>
      <c r="AX87" s="20"/>
      <c r="AY87" s="20"/>
      <c r="AZ87" s="20"/>
      <c r="BD87" s="1251" t="s">
        <v>2582</v>
      </c>
      <c r="BE87" s="1253" t="str">
        <f>Application!O156</f>
        <v>1200 W. 7th Street, 8th Floor</v>
      </c>
    </row>
    <row r="88" spans="1:57" ht="13"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252" t="s">
        <v>2583</v>
      </c>
      <c r="BE88" s="1253" t="str">
        <f>Application!O157</f>
        <v>Los Angeles</v>
      </c>
    </row>
    <row r="89" spans="1:57" ht="13" customHeight="1">
      <c r="A89" s="1543" t="s">
        <v>2164</v>
      </c>
      <c r="B89" s="1543"/>
      <c r="C89" s="1543"/>
      <c r="D89" s="1543"/>
      <c r="E89" s="1543"/>
      <c r="F89" s="1543"/>
      <c r="G89" s="1543"/>
      <c r="H89" s="1543"/>
      <c r="I89" s="1543"/>
      <c r="J89" s="1543"/>
      <c r="K89" s="1543"/>
      <c r="L89" s="1543"/>
      <c r="M89" s="1543"/>
      <c r="N89" s="1543"/>
      <c r="O89" s="1543"/>
      <c r="P89" s="1543"/>
      <c r="Q89" s="1543"/>
      <c r="R89" s="1543"/>
      <c r="S89" s="1543"/>
      <c r="T89" s="1543"/>
      <c r="U89" s="1543"/>
      <c r="V89" s="1543"/>
      <c r="W89" s="1543"/>
      <c r="X89" s="1543"/>
      <c r="Y89" s="1543"/>
      <c r="Z89" s="1543"/>
      <c r="AA89" s="1543"/>
      <c r="AB89" s="1543"/>
      <c r="AC89" s="1543"/>
      <c r="AD89" s="1543"/>
      <c r="AE89" s="1543"/>
      <c r="AF89" s="1543"/>
      <c r="AG89" s="1543"/>
      <c r="AH89" s="1543"/>
      <c r="AI89" s="1543"/>
      <c r="AJ89" s="1543"/>
      <c r="AK89" s="1543"/>
      <c r="AL89" s="1543"/>
      <c r="AM89" s="1543"/>
      <c r="AN89" s="1543"/>
      <c r="AO89" s="1543"/>
      <c r="AP89" s="1543"/>
      <c r="AQ89" s="1543"/>
      <c r="AR89" s="1543"/>
      <c r="AS89" s="1543"/>
      <c r="AT89" s="1543"/>
      <c r="AU89" s="17"/>
      <c r="AV89" s="17"/>
      <c r="AW89" s="17"/>
      <c r="AX89" s="17"/>
      <c r="AY89" s="17"/>
      <c r="AZ89" s="20"/>
      <c r="BD89" s="1251" t="s">
        <v>2584</v>
      </c>
      <c r="BE89" s="1253">
        <f>Application!O158</f>
        <v>90017</v>
      </c>
    </row>
    <row r="90" spans="1:57" ht="13" customHeight="1">
      <c r="A90" s="1543"/>
      <c r="B90" s="1543"/>
      <c r="C90" s="1543"/>
      <c r="D90" s="1543"/>
      <c r="E90" s="1543"/>
      <c r="F90" s="1543"/>
      <c r="G90" s="1543"/>
      <c r="H90" s="1543"/>
      <c r="I90" s="1543"/>
      <c r="J90" s="1543"/>
      <c r="K90" s="1543"/>
      <c r="L90" s="1543"/>
      <c r="M90" s="1543"/>
      <c r="N90" s="1543"/>
      <c r="O90" s="1543"/>
      <c r="P90" s="1543"/>
      <c r="Q90" s="1543"/>
      <c r="R90" s="1543"/>
      <c r="S90" s="1543"/>
      <c r="T90" s="1543"/>
      <c r="U90" s="1543"/>
      <c r="V90" s="1543"/>
      <c r="W90" s="1543"/>
      <c r="X90" s="1543"/>
      <c r="Y90" s="1543"/>
      <c r="Z90" s="1543"/>
      <c r="AA90" s="1543"/>
      <c r="AB90" s="1543"/>
      <c r="AC90" s="1543"/>
      <c r="AD90" s="1543"/>
      <c r="AE90" s="1543"/>
      <c r="AF90" s="1543"/>
      <c r="AG90" s="1543"/>
      <c r="AH90" s="1543"/>
      <c r="AI90" s="1543"/>
      <c r="AJ90" s="1543"/>
      <c r="AK90" s="1543"/>
      <c r="AL90" s="1543"/>
      <c r="AM90" s="1543"/>
      <c r="AN90" s="1543"/>
      <c r="AO90" s="1543"/>
      <c r="AP90" s="1543"/>
      <c r="AQ90" s="1543"/>
      <c r="AR90" s="1543"/>
      <c r="AS90" s="1543"/>
      <c r="AT90" s="1543"/>
      <c r="AU90" s="17"/>
      <c r="AV90" s="17"/>
      <c r="AW90" s="17"/>
      <c r="AX90" s="17"/>
      <c r="AY90" s="17"/>
      <c r="AZ90" s="20"/>
      <c r="BD90" s="1252" t="s">
        <v>2585</v>
      </c>
      <c r="BE90" s="1253" t="str">
        <f>Application!H16</f>
        <v>George McDonald Court LP</v>
      </c>
    </row>
    <row r="91" spans="1:57" ht="13"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251" t="s">
        <v>2586</v>
      </c>
      <c r="BE91" s="1253" t="str">
        <f>Application!M233</f>
        <v>1900 Huntington Drive</v>
      </c>
    </row>
    <row r="92" spans="1:57" ht="13" customHeight="1">
      <c r="A92" s="1532" t="s">
        <v>2165</v>
      </c>
      <c r="B92" s="1532"/>
      <c r="C92" s="1532"/>
      <c r="D92" s="1532"/>
      <c r="E92" s="1532"/>
      <c r="F92" s="1532"/>
      <c r="G92" s="1532"/>
      <c r="H92" s="1532"/>
      <c r="I92" s="1532"/>
      <c r="J92" s="1532"/>
      <c r="K92" s="1532"/>
      <c r="L92" s="1532"/>
      <c r="M92" s="1532"/>
      <c r="N92" s="1532"/>
      <c r="O92" s="1532"/>
      <c r="P92" s="1532"/>
      <c r="Q92" s="1532"/>
      <c r="R92" s="1532"/>
      <c r="S92" s="1532"/>
      <c r="T92" s="1532"/>
      <c r="U92" s="1532"/>
      <c r="V92" s="1532"/>
      <c r="W92" s="1532"/>
      <c r="X92" s="1532"/>
      <c r="Y92" s="1532"/>
      <c r="Z92" s="1532"/>
      <c r="AA92" s="1532"/>
      <c r="AB92" s="1532"/>
      <c r="AC92" s="1532"/>
      <c r="AD92" s="1532"/>
      <c r="AE92" s="1532"/>
      <c r="AF92" s="1532"/>
      <c r="AG92" s="1532"/>
      <c r="AH92" s="1532"/>
      <c r="AI92" s="1532"/>
      <c r="AJ92" s="1532"/>
      <c r="AK92" s="1532"/>
      <c r="AL92" s="1532"/>
      <c r="AM92" s="1532"/>
      <c r="AN92" s="1532"/>
      <c r="AO92" s="1532"/>
      <c r="AP92" s="1532"/>
      <c r="AQ92" s="1532"/>
      <c r="AR92" s="1532"/>
      <c r="AS92" s="1532"/>
      <c r="AT92" s="1532"/>
      <c r="AU92" s="20"/>
      <c r="AV92" s="20"/>
      <c r="AW92" s="20"/>
      <c r="AX92" s="20"/>
      <c r="AY92" s="20"/>
      <c r="AZ92" s="20"/>
      <c r="BD92" s="1252" t="s">
        <v>2587</v>
      </c>
      <c r="BE92" s="1253" t="str">
        <f>Application!M234</f>
        <v>Duarte</v>
      </c>
    </row>
    <row r="93" spans="1:57" ht="13" customHeight="1">
      <c r="A93" s="1532"/>
      <c r="B93" s="1532"/>
      <c r="C93" s="1532"/>
      <c r="D93" s="1532"/>
      <c r="E93" s="1532"/>
      <c r="F93" s="1532"/>
      <c r="G93" s="1532"/>
      <c r="H93" s="1532"/>
      <c r="I93" s="1532"/>
      <c r="J93" s="1532"/>
      <c r="K93" s="1532"/>
      <c r="L93" s="1532"/>
      <c r="M93" s="1532"/>
      <c r="N93" s="1532"/>
      <c r="O93" s="1532"/>
      <c r="P93" s="1532"/>
      <c r="Q93" s="1532"/>
      <c r="R93" s="1532"/>
      <c r="S93" s="1532"/>
      <c r="T93" s="1532"/>
      <c r="U93" s="1532"/>
      <c r="V93" s="1532"/>
      <c r="W93" s="1532"/>
      <c r="X93" s="1532"/>
      <c r="Y93" s="1532"/>
      <c r="Z93" s="1532"/>
      <c r="AA93" s="1532"/>
      <c r="AB93" s="1532"/>
      <c r="AC93" s="1532"/>
      <c r="AD93" s="1532"/>
      <c r="AE93" s="1532"/>
      <c r="AF93" s="1532"/>
      <c r="AG93" s="1532"/>
      <c r="AH93" s="1532"/>
      <c r="AI93" s="1532"/>
      <c r="AJ93" s="1532"/>
      <c r="AK93" s="1532"/>
      <c r="AL93" s="1532"/>
      <c r="AM93" s="1532"/>
      <c r="AN93" s="1532"/>
      <c r="AO93" s="1532"/>
      <c r="AP93" s="1532"/>
      <c r="AQ93" s="1532"/>
      <c r="AR93" s="1532"/>
      <c r="AS93" s="1532"/>
      <c r="AT93" s="1532"/>
      <c r="AU93" s="20"/>
      <c r="AV93" s="20"/>
      <c r="AW93" s="20"/>
      <c r="AX93" s="20"/>
      <c r="AY93" s="20"/>
      <c r="AZ93" s="20"/>
      <c r="BD93" s="1251" t="s">
        <v>2588</v>
      </c>
      <c r="BE93" s="1253" t="str">
        <f>Application!W234</f>
        <v>CA</v>
      </c>
    </row>
    <row r="94" spans="1:57" ht="13" customHeight="1">
      <c r="A94" s="1532"/>
      <c r="B94" s="1532"/>
      <c r="C94" s="1532"/>
      <c r="D94" s="1532"/>
      <c r="E94" s="1532"/>
      <c r="F94" s="1532"/>
      <c r="G94" s="1532"/>
      <c r="H94" s="1532"/>
      <c r="I94" s="1532"/>
      <c r="J94" s="1532"/>
      <c r="K94" s="1532"/>
      <c r="L94" s="1532"/>
      <c r="M94" s="1532"/>
      <c r="N94" s="1532"/>
      <c r="O94" s="1532"/>
      <c r="P94" s="1532"/>
      <c r="Q94" s="1532"/>
      <c r="R94" s="1532"/>
      <c r="S94" s="1532"/>
      <c r="T94" s="1532"/>
      <c r="U94" s="1532"/>
      <c r="V94" s="1532"/>
      <c r="W94" s="1532"/>
      <c r="X94" s="1532"/>
      <c r="Y94" s="1532"/>
      <c r="Z94" s="1532"/>
      <c r="AA94" s="1532"/>
      <c r="AB94" s="1532"/>
      <c r="AC94" s="1532"/>
      <c r="AD94" s="1532"/>
      <c r="AE94" s="1532"/>
      <c r="AF94" s="1532"/>
      <c r="AG94" s="1532"/>
      <c r="AH94" s="1532"/>
      <c r="AI94" s="1532"/>
      <c r="AJ94" s="1532"/>
      <c r="AK94" s="1532"/>
      <c r="AL94" s="1532"/>
      <c r="AM94" s="1532"/>
      <c r="AN94" s="1532"/>
      <c r="AO94" s="1532"/>
      <c r="AP94" s="1532"/>
      <c r="AQ94" s="1532"/>
      <c r="AR94" s="1532"/>
      <c r="AS94" s="1532"/>
      <c r="AT94" s="1532"/>
      <c r="AU94" s="20"/>
      <c r="AV94" s="20"/>
      <c r="AW94" s="20"/>
      <c r="AX94" s="20"/>
      <c r="AY94" s="20"/>
      <c r="AZ94" s="20"/>
      <c r="BD94" s="1252" t="s">
        <v>2589</v>
      </c>
      <c r="BE94" s="1253">
        <f>Application!AC234</f>
        <v>91010</v>
      </c>
    </row>
    <row r="95" spans="1:57" ht="13" customHeight="1">
      <c r="A95" s="1532"/>
      <c r="B95" s="1532"/>
      <c r="C95" s="1532"/>
      <c r="D95" s="1532"/>
      <c r="E95" s="1532"/>
      <c r="F95" s="1532"/>
      <c r="G95" s="1532"/>
      <c r="H95" s="1532"/>
      <c r="I95" s="1532"/>
      <c r="J95" s="1532"/>
      <c r="K95" s="1532"/>
      <c r="L95" s="1532"/>
      <c r="M95" s="1532"/>
      <c r="N95" s="1532"/>
      <c r="O95" s="1532"/>
      <c r="P95" s="1532"/>
      <c r="Q95" s="1532"/>
      <c r="R95" s="1532"/>
      <c r="S95" s="1532"/>
      <c r="T95" s="1532"/>
      <c r="U95" s="1532"/>
      <c r="V95" s="1532"/>
      <c r="W95" s="1532"/>
      <c r="X95" s="1532"/>
      <c r="Y95" s="1532"/>
      <c r="Z95" s="1532"/>
      <c r="AA95" s="1532"/>
      <c r="AB95" s="1532"/>
      <c r="AC95" s="1532"/>
      <c r="AD95" s="1532"/>
      <c r="AE95" s="1532"/>
      <c r="AF95" s="1532"/>
      <c r="AG95" s="1532"/>
      <c r="AH95" s="1532"/>
      <c r="AI95" s="1532"/>
      <c r="AJ95" s="1532"/>
      <c r="AK95" s="1532"/>
      <c r="AL95" s="1532"/>
      <c r="AM95" s="1532"/>
      <c r="AN95" s="1532"/>
      <c r="AO95" s="1532"/>
      <c r="AP95" s="1532"/>
      <c r="AQ95" s="1532"/>
      <c r="AR95" s="1532"/>
      <c r="AS95" s="1532"/>
      <c r="AT95" s="1532"/>
      <c r="AU95" s="20"/>
      <c r="AV95" s="20"/>
      <c r="AW95" s="20"/>
      <c r="AX95" s="20"/>
      <c r="AY95" s="20"/>
      <c r="AZ95" s="20"/>
      <c r="BD95" s="1251" t="s">
        <v>2590</v>
      </c>
      <c r="BE95" s="1253" t="str">
        <f>Application!M235</f>
        <v>Orest Dolyniuk</v>
      </c>
    </row>
    <row r="96" spans="1:57" ht="13" customHeight="1">
      <c r="A96" s="1532"/>
      <c r="B96" s="1532"/>
      <c r="C96" s="1532"/>
      <c r="D96" s="1532"/>
      <c r="E96" s="1532"/>
      <c r="F96" s="1532"/>
      <c r="G96" s="1532"/>
      <c r="H96" s="1532"/>
      <c r="I96" s="1532"/>
      <c r="J96" s="1532"/>
      <c r="K96" s="1532"/>
      <c r="L96" s="1532"/>
      <c r="M96" s="1532"/>
      <c r="N96" s="1532"/>
      <c r="O96" s="1532"/>
      <c r="P96" s="1532"/>
      <c r="Q96" s="1532"/>
      <c r="R96" s="1532"/>
      <c r="S96" s="1532"/>
      <c r="T96" s="1532"/>
      <c r="U96" s="1532"/>
      <c r="V96" s="1532"/>
      <c r="W96" s="1532"/>
      <c r="X96" s="1532"/>
      <c r="Y96" s="1532"/>
      <c r="Z96" s="1532"/>
      <c r="AA96" s="1532"/>
      <c r="AB96" s="1532"/>
      <c r="AC96" s="1532"/>
      <c r="AD96" s="1532"/>
      <c r="AE96" s="1532"/>
      <c r="AF96" s="1532"/>
      <c r="AG96" s="1532"/>
      <c r="AH96" s="1532"/>
      <c r="AI96" s="1532"/>
      <c r="AJ96" s="1532"/>
      <c r="AK96" s="1532"/>
      <c r="AL96" s="1532"/>
      <c r="AM96" s="1532"/>
      <c r="AN96" s="1532"/>
      <c r="AO96" s="1532"/>
      <c r="AP96" s="1532"/>
      <c r="AQ96" s="1532"/>
      <c r="AR96" s="1532"/>
      <c r="AS96" s="1532"/>
      <c r="AT96" s="1532"/>
      <c r="AU96" s="20"/>
      <c r="AV96" s="20"/>
      <c r="AW96" s="20"/>
      <c r="AX96" s="20"/>
      <c r="AY96" s="20"/>
      <c r="AZ96" s="20"/>
      <c r="BD96" s="1252" t="s">
        <v>2591</v>
      </c>
      <c r="BE96" s="1253" t="str">
        <f>Application!M237</f>
        <v>OrestD@beacondevgroup.com</v>
      </c>
    </row>
    <row r="97" spans="1:57" ht="13" customHeight="1">
      <c r="A97" s="1532"/>
      <c r="B97" s="1532"/>
      <c r="C97" s="1532"/>
      <c r="D97" s="1532"/>
      <c r="E97" s="1532"/>
      <c r="F97" s="1532"/>
      <c r="G97" s="1532"/>
      <c r="H97" s="1532"/>
      <c r="I97" s="1532"/>
      <c r="J97" s="1532"/>
      <c r="K97" s="1532"/>
      <c r="L97" s="1532"/>
      <c r="M97" s="1532"/>
      <c r="N97" s="1532"/>
      <c r="O97" s="1532"/>
      <c r="P97" s="1532"/>
      <c r="Q97" s="1532"/>
      <c r="R97" s="1532"/>
      <c r="S97" s="1532"/>
      <c r="T97" s="1532"/>
      <c r="U97" s="1532"/>
      <c r="V97" s="1532"/>
      <c r="W97" s="1532"/>
      <c r="X97" s="1532"/>
      <c r="Y97" s="1532"/>
      <c r="Z97" s="1532"/>
      <c r="AA97" s="1532"/>
      <c r="AB97" s="1532"/>
      <c r="AC97" s="1532"/>
      <c r="AD97" s="1532"/>
      <c r="AE97" s="1532"/>
      <c r="AF97" s="1532"/>
      <c r="AG97" s="1532"/>
      <c r="AH97" s="1532"/>
      <c r="AI97" s="1532"/>
      <c r="AJ97" s="1532"/>
      <c r="AK97" s="1532"/>
      <c r="AL97" s="1532"/>
      <c r="AM97" s="1532"/>
      <c r="AN97" s="1532"/>
      <c r="AO97" s="1532"/>
      <c r="AP97" s="1532"/>
      <c r="AQ97" s="1532"/>
      <c r="AR97" s="1532"/>
      <c r="AS97" s="1532"/>
      <c r="AT97" s="1532"/>
      <c r="AU97" s="20"/>
      <c r="AV97" s="20"/>
      <c r="AW97" s="20"/>
      <c r="AX97" s="20"/>
      <c r="AY97" s="20"/>
      <c r="AZ97" s="20"/>
      <c r="BD97" s="1251" t="s">
        <v>2592</v>
      </c>
      <c r="BE97" s="1253" t="str">
        <f>Application!M248</f>
        <v>MaryGrace.Crisostomo@HumanGood.org</v>
      </c>
    </row>
    <row r="98" spans="1:57" ht="13" customHeight="1">
      <c r="A98" s="1532"/>
      <c r="B98" s="1532"/>
      <c r="C98" s="1532"/>
      <c r="D98" s="1532"/>
      <c r="E98" s="1532"/>
      <c r="F98" s="1532"/>
      <c r="G98" s="1532"/>
      <c r="H98" s="1532"/>
      <c r="I98" s="1532"/>
      <c r="J98" s="1532"/>
      <c r="K98" s="1532"/>
      <c r="L98" s="1532"/>
      <c r="M98" s="1532"/>
      <c r="N98" s="1532"/>
      <c r="O98" s="1532"/>
      <c r="P98" s="1532"/>
      <c r="Q98" s="1532"/>
      <c r="R98" s="1532"/>
      <c r="S98" s="1532"/>
      <c r="T98" s="1532"/>
      <c r="U98" s="1532"/>
      <c r="V98" s="1532"/>
      <c r="W98" s="1532"/>
      <c r="X98" s="1532"/>
      <c r="Y98" s="1532"/>
      <c r="Z98" s="1532"/>
      <c r="AA98" s="1532"/>
      <c r="AB98" s="1532"/>
      <c r="AC98" s="1532"/>
      <c r="AD98" s="1532"/>
      <c r="AE98" s="1532"/>
      <c r="AF98" s="1532"/>
      <c r="AG98" s="1532"/>
      <c r="AH98" s="1532"/>
      <c r="AI98" s="1532"/>
      <c r="AJ98" s="1532"/>
      <c r="AK98" s="1532"/>
      <c r="AL98" s="1532"/>
      <c r="AM98" s="1532"/>
      <c r="AN98" s="1532"/>
      <c r="AO98" s="1532"/>
      <c r="AP98" s="1532"/>
      <c r="AQ98" s="1532"/>
      <c r="AR98" s="1532"/>
      <c r="AS98" s="1532"/>
      <c r="AT98" s="1532"/>
      <c r="AU98" s="20"/>
      <c r="AV98" s="20"/>
      <c r="AW98" s="20"/>
      <c r="AX98" s="20"/>
      <c r="AY98" s="20"/>
      <c r="AZ98" s="20"/>
      <c r="BD98" s="1252" t="s">
        <v>2593</v>
      </c>
      <c r="BE98" s="1253">
        <f>Application!M256</f>
        <v>0</v>
      </c>
    </row>
    <row r="99" spans="1:57" ht="13"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251" t="s">
        <v>2594</v>
      </c>
      <c r="BE99" s="1253">
        <f>Application!M264</f>
        <v>0</v>
      </c>
    </row>
    <row r="100" spans="1:57" ht="13" customHeight="1">
      <c r="A100" s="1544" t="s">
        <v>2166</v>
      </c>
      <c r="B100" s="1544"/>
      <c r="C100" s="1544"/>
      <c r="D100" s="1544"/>
      <c r="E100" s="1544"/>
      <c r="F100" s="1544"/>
      <c r="G100" s="1544"/>
      <c r="H100" s="1544"/>
      <c r="I100" s="1544"/>
      <c r="J100" s="1544"/>
      <c r="K100" s="1544"/>
      <c r="L100" s="1544"/>
      <c r="M100" s="1544"/>
      <c r="N100" s="1544"/>
      <c r="O100" s="1544"/>
      <c r="P100" s="1544"/>
      <c r="Q100" s="1544"/>
      <c r="R100" s="1544"/>
      <c r="S100" s="1544"/>
      <c r="T100" s="1544"/>
      <c r="U100" s="1544"/>
      <c r="V100" s="1544"/>
      <c r="W100" s="1544"/>
      <c r="X100" s="1544"/>
      <c r="Y100" s="1544"/>
      <c r="Z100" s="1544"/>
      <c r="AA100" s="1544"/>
      <c r="AB100" s="1544"/>
      <c r="AC100" s="1544"/>
      <c r="AD100" s="1544"/>
      <c r="AE100" s="1544"/>
      <c r="AF100" s="1544"/>
      <c r="AG100" s="1544"/>
      <c r="AH100" s="1544"/>
      <c r="AI100" s="1544"/>
      <c r="AJ100" s="1544"/>
      <c r="AK100" s="1544"/>
      <c r="AL100" s="1544"/>
      <c r="AM100" s="1544"/>
      <c r="AN100" s="1544"/>
      <c r="AO100" s="1544"/>
      <c r="AP100" s="1544"/>
      <c r="AQ100" s="1544"/>
      <c r="AR100" s="1544"/>
      <c r="AS100" s="1544"/>
      <c r="AT100" s="1544"/>
      <c r="AU100" s="20"/>
      <c r="AV100" s="20"/>
      <c r="AW100" s="20"/>
      <c r="AX100" s="20"/>
      <c r="AY100" s="20"/>
      <c r="AZ100" s="20"/>
      <c r="BD100" s="1252" t="s">
        <v>2595</v>
      </c>
      <c r="BE100" s="1253" t="str">
        <f>Application!L279</f>
        <v>OrestD@beacondevgroup.com</v>
      </c>
    </row>
    <row r="101" spans="1:57" ht="13" customHeight="1">
      <c r="A101" s="1544"/>
      <c r="B101" s="1544"/>
      <c r="C101" s="1544"/>
      <c r="D101" s="1544"/>
      <c r="E101" s="1544"/>
      <c r="F101" s="1544"/>
      <c r="G101" s="1544"/>
      <c r="H101" s="1544"/>
      <c r="I101" s="1544"/>
      <c r="J101" s="1544"/>
      <c r="K101" s="1544"/>
      <c r="L101" s="1544"/>
      <c r="M101" s="1544"/>
      <c r="N101" s="1544"/>
      <c r="O101" s="1544"/>
      <c r="P101" s="1544"/>
      <c r="Q101" s="1544"/>
      <c r="R101" s="1544"/>
      <c r="S101" s="1544"/>
      <c r="T101" s="1544"/>
      <c r="U101" s="1544"/>
      <c r="V101" s="1544"/>
      <c r="W101" s="1544"/>
      <c r="X101" s="1544"/>
      <c r="Y101" s="1544"/>
      <c r="Z101" s="1544"/>
      <c r="AA101" s="1544"/>
      <c r="AB101" s="1544"/>
      <c r="AC101" s="1544"/>
      <c r="AD101" s="1544"/>
      <c r="AE101" s="1544"/>
      <c r="AF101" s="1544"/>
      <c r="AG101" s="1544"/>
      <c r="AH101" s="1544"/>
      <c r="AI101" s="1544"/>
      <c r="AJ101" s="1544"/>
      <c r="AK101" s="1544"/>
      <c r="AL101" s="1544"/>
      <c r="AM101" s="1544"/>
      <c r="AN101" s="1544"/>
      <c r="AO101" s="1544"/>
      <c r="AP101" s="1544"/>
      <c r="AQ101" s="1544"/>
      <c r="AR101" s="1544"/>
      <c r="AS101" s="1544"/>
      <c r="AT101" s="1544"/>
      <c r="AU101" s="20"/>
      <c r="AV101" s="20"/>
      <c r="AW101" s="20"/>
      <c r="AX101" s="20"/>
      <c r="AY101" s="20"/>
      <c r="AZ101" s="20"/>
      <c r="BD101" s="3" t="s">
        <v>2600</v>
      </c>
      <c r="BE101">
        <f>'Sources and Uses Budget'!C105</f>
        <v>35051792</v>
      </c>
    </row>
    <row r="102" spans="1:57" ht="13" customHeight="1">
      <c r="A102" s="1544"/>
      <c r="B102" s="1544"/>
      <c r="C102" s="1544"/>
      <c r="D102" s="1544"/>
      <c r="E102" s="1544"/>
      <c r="F102" s="1544"/>
      <c r="G102" s="1544"/>
      <c r="H102" s="1544"/>
      <c r="I102" s="1544"/>
      <c r="J102" s="1544"/>
      <c r="K102" s="1544"/>
      <c r="L102" s="1544"/>
      <c r="M102" s="1544"/>
      <c r="N102" s="1544"/>
      <c r="O102" s="1544"/>
      <c r="P102" s="1544"/>
      <c r="Q102" s="1544"/>
      <c r="R102" s="1544"/>
      <c r="S102" s="1544"/>
      <c r="T102" s="1544"/>
      <c r="U102" s="1544"/>
      <c r="V102" s="1544"/>
      <c r="W102" s="1544"/>
      <c r="X102" s="1544"/>
      <c r="Y102" s="1544"/>
      <c r="Z102" s="1544"/>
      <c r="AA102" s="1544"/>
      <c r="AB102" s="1544"/>
      <c r="AC102" s="1544"/>
      <c r="AD102" s="1544"/>
      <c r="AE102" s="1544"/>
      <c r="AF102" s="1544"/>
      <c r="AG102" s="1544"/>
      <c r="AH102" s="1544"/>
      <c r="AI102" s="1544"/>
      <c r="AJ102" s="1544"/>
      <c r="AK102" s="1544"/>
      <c r="AL102" s="1544"/>
      <c r="AM102" s="1544"/>
      <c r="AN102" s="1544"/>
      <c r="AO102" s="1544"/>
      <c r="AP102" s="1544"/>
      <c r="AQ102" s="1544"/>
      <c r="AR102" s="1544"/>
      <c r="AS102" s="1544"/>
      <c r="AT102" s="1544"/>
      <c r="AU102" s="20"/>
      <c r="AV102" s="20"/>
      <c r="AW102" s="20"/>
      <c r="AX102" s="20"/>
      <c r="AY102" s="20"/>
      <c r="AZ102" s="20"/>
      <c r="BD102" s="3" t="s">
        <v>2601</v>
      </c>
      <c r="BE102" t="b">
        <f>T197="Yes"</f>
        <v>0</v>
      </c>
    </row>
    <row r="103" spans="1:57" ht="13" customHeight="1">
      <c r="A103" s="1544"/>
      <c r="B103" s="1544"/>
      <c r="C103" s="1544"/>
      <c r="D103" s="1544"/>
      <c r="E103" s="1544"/>
      <c r="F103" s="1544"/>
      <c r="G103" s="1544"/>
      <c r="H103" s="1544"/>
      <c r="I103" s="1544"/>
      <c r="J103" s="1544"/>
      <c r="K103" s="1544"/>
      <c r="L103" s="1544"/>
      <c r="M103" s="1544"/>
      <c r="N103" s="1544"/>
      <c r="O103" s="1544"/>
      <c r="P103" s="1544"/>
      <c r="Q103" s="1544"/>
      <c r="R103" s="1544"/>
      <c r="S103" s="1544"/>
      <c r="T103" s="1544"/>
      <c r="U103" s="1544"/>
      <c r="V103" s="1544"/>
      <c r="W103" s="1544"/>
      <c r="X103" s="1544"/>
      <c r="Y103" s="1544"/>
      <c r="Z103" s="1544"/>
      <c r="AA103" s="1544"/>
      <c r="AB103" s="1544"/>
      <c r="AC103" s="1544"/>
      <c r="AD103" s="1544"/>
      <c r="AE103" s="1544"/>
      <c r="AF103" s="1544"/>
      <c r="AG103" s="1544"/>
      <c r="AH103" s="1544"/>
      <c r="AI103" s="1544"/>
      <c r="AJ103" s="1544"/>
      <c r="AK103" s="1544"/>
      <c r="AL103" s="1544"/>
      <c r="AM103" s="1544"/>
      <c r="AN103" s="1544"/>
      <c r="AO103" s="1544"/>
      <c r="AP103" s="1544"/>
      <c r="AQ103" s="1544"/>
      <c r="AR103" s="1544"/>
      <c r="AS103" s="1544"/>
      <c r="AT103" s="1544"/>
      <c r="AU103" s="20"/>
      <c r="AV103" s="20"/>
      <c r="AW103" s="20"/>
      <c r="AX103" s="20"/>
      <c r="AY103" s="20"/>
    </row>
    <row r="104" spans="1:57" ht="13"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7" ht="13" customHeight="1">
      <c r="A105" s="1544" t="s">
        <v>2167</v>
      </c>
      <c r="B105" s="1544"/>
      <c r="C105" s="1544"/>
      <c r="D105" s="1544"/>
      <c r="E105" s="1544"/>
      <c r="F105" s="1544"/>
      <c r="G105" s="1544"/>
      <c r="H105" s="1544"/>
      <c r="I105" s="1544"/>
      <c r="J105" s="1544"/>
      <c r="K105" s="1544"/>
      <c r="L105" s="1544"/>
      <c r="M105" s="1544"/>
      <c r="N105" s="1544"/>
      <c r="O105" s="1544"/>
      <c r="P105" s="1544"/>
      <c r="Q105" s="1544"/>
      <c r="R105" s="1544"/>
      <c r="S105" s="1544"/>
      <c r="T105" s="1544"/>
      <c r="U105" s="1544"/>
      <c r="V105" s="1544"/>
      <c r="W105" s="1544"/>
      <c r="X105" s="1544"/>
      <c r="Y105" s="1544"/>
      <c r="Z105" s="1544"/>
      <c r="AA105" s="1544"/>
      <c r="AB105" s="1544"/>
      <c r="AC105" s="1544"/>
      <c r="AD105" s="1544"/>
      <c r="AE105" s="1544"/>
      <c r="AF105" s="1544"/>
      <c r="AG105" s="1544"/>
      <c r="AH105" s="1544"/>
      <c r="AI105" s="1544"/>
      <c r="AJ105" s="1544"/>
      <c r="AK105" s="1544"/>
      <c r="AL105" s="1544"/>
      <c r="AM105" s="1544"/>
      <c r="AN105" s="1544"/>
      <c r="AO105" s="1544"/>
      <c r="AP105" s="1544"/>
      <c r="AQ105" s="1544"/>
      <c r="AR105" s="1544"/>
      <c r="AS105" s="1544"/>
      <c r="AT105" s="1544"/>
      <c r="AU105" s="20"/>
      <c r="AV105" s="20"/>
      <c r="AW105" s="20"/>
      <c r="AX105" s="20"/>
      <c r="AY105" s="20"/>
    </row>
    <row r="106" spans="1:57" ht="13" customHeight="1">
      <c r="A106" s="1544"/>
      <c r="B106" s="1544"/>
      <c r="C106" s="1544"/>
      <c r="D106" s="1544"/>
      <c r="E106" s="1544"/>
      <c r="F106" s="1544"/>
      <c r="G106" s="1544"/>
      <c r="H106" s="1544"/>
      <c r="I106" s="1544"/>
      <c r="J106" s="1544"/>
      <c r="K106" s="1544"/>
      <c r="L106" s="1544"/>
      <c r="M106" s="1544"/>
      <c r="N106" s="1544"/>
      <c r="O106" s="1544"/>
      <c r="P106" s="1544"/>
      <c r="Q106" s="1544"/>
      <c r="R106" s="1544"/>
      <c r="S106" s="1544"/>
      <c r="T106" s="1544"/>
      <c r="U106" s="1544"/>
      <c r="V106" s="1544"/>
      <c r="W106" s="1544"/>
      <c r="X106" s="1544"/>
      <c r="Y106" s="1544"/>
      <c r="Z106" s="1544"/>
      <c r="AA106" s="1544"/>
      <c r="AB106" s="1544"/>
      <c r="AC106" s="1544"/>
      <c r="AD106" s="1544"/>
      <c r="AE106" s="1544"/>
      <c r="AF106" s="1544"/>
      <c r="AG106" s="1544"/>
      <c r="AH106" s="1544"/>
      <c r="AI106" s="1544"/>
      <c r="AJ106" s="1544"/>
      <c r="AK106" s="1544"/>
      <c r="AL106" s="1544"/>
      <c r="AM106" s="1544"/>
      <c r="AN106" s="1544"/>
      <c r="AO106" s="1544"/>
      <c r="AP106" s="1544"/>
      <c r="AQ106" s="1544"/>
      <c r="AR106" s="1544"/>
      <c r="AS106" s="1544"/>
      <c r="AT106" s="1544"/>
      <c r="AU106" s="20"/>
      <c r="AV106" s="20"/>
      <c r="AW106" s="20"/>
      <c r="AX106" s="20"/>
      <c r="AY106" s="20"/>
    </row>
    <row r="107" spans="1:57" ht="13" customHeight="1">
      <c r="A107" s="518"/>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7" ht="13" customHeight="1">
      <c r="A108" s="518" t="s">
        <v>2168</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7" ht="13"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7" ht="13" customHeight="1">
      <c r="A110" s="518"/>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7" ht="13" customHeight="1">
      <c r="A111" s="518"/>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3" customHeight="1">
      <c r="A112" s="518"/>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3" customHeight="1">
      <c r="A113" s="290"/>
      <c r="C113" s="3" t="s">
        <v>180</v>
      </c>
      <c r="G113" s="1535"/>
      <c r="H113" s="1535"/>
      <c r="I113" s="3" t="s">
        <v>181</v>
      </c>
      <c r="L113" s="1535"/>
      <c r="M113" s="1535"/>
      <c r="N113" s="1535"/>
      <c r="O113" s="1535"/>
      <c r="P113" s="1554" t="s">
        <v>2242</v>
      </c>
      <c r="Q113" s="1554"/>
      <c r="R113" s="1554"/>
      <c r="S113" s="1554"/>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3"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3" customHeight="1">
      <c r="A115" s="91"/>
      <c r="C115" s="1536"/>
      <c r="D115" s="1536"/>
      <c r="E115" s="1536"/>
      <c r="F115" s="1536"/>
      <c r="G115" s="1536"/>
      <c r="H115" s="1536"/>
      <c r="I115" s="1536"/>
      <c r="J115" s="1536"/>
      <c r="K115" s="1536"/>
      <c r="L115" s="203" t="s">
        <v>626</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3"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3" customHeight="1">
      <c r="A117" s="91"/>
      <c r="B117" s="22"/>
      <c r="C117" s="22"/>
      <c r="X117" s="3" t="s">
        <v>627</v>
      </c>
      <c r="Y117" s="1535"/>
      <c r="Z117" s="1535"/>
      <c r="AA117" s="1535"/>
      <c r="AB117" s="1535"/>
      <c r="AC117" s="1535"/>
      <c r="AD117" s="1535"/>
      <c r="AE117" s="1535"/>
      <c r="AF117" s="1535"/>
      <c r="AG117" s="1535"/>
      <c r="AH117" s="1535"/>
      <c r="AI117" s="1535"/>
      <c r="AJ117" s="1535"/>
      <c r="AK117" s="1535"/>
    </row>
    <row r="118" spans="1:117" ht="13" customHeight="1">
      <c r="X118" s="3"/>
      <c r="Y118" s="3"/>
      <c r="Z118" s="3" t="s">
        <v>628</v>
      </c>
      <c r="AA118" s="3"/>
      <c r="AB118" s="3"/>
      <c r="AC118" s="3"/>
      <c r="AD118" s="3"/>
      <c r="AE118" s="3"/>
      <c r="AF118" s="3"/>
      <c r="AG118" s="3"/>
      <c r="AH118" s="3"/>
      <c r="AI118" s="3"/>
      <c r="AJ118" s="3"/>
      <c r="AK118" s="3"/>
    </row>
    <row r="119" spans="1:117" ht="13"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3" customHeight="1">
      <c r="A120" s="91"/>
      <c r="B120" s="3"/>
      <c r="P120" s="3"/>
      <c r="Q120" s="3"/>
      <c r="R120" s="3"/>
      <c r="S120" s="3"/>
      <c r="T120" s="3"/>
      <c r="U120" s="3"/>
      <c r="V120" s="3"/>
      <c r="W120" s="3"/>
      <c r="X120" s="3"/>
      <c r="Y120" s="1535"/>
      <c r="Z120" s="1535"/>
      <c r="AA120" s="1535"/>
      <c r="AB120" s="1535"/>
      <c r="AC120" s="1535"/>
      <c r="AD120" s="1535"/>
      <c r="AE120" s="1535"/>
      <c r="AF120" s="1535"/>
      <c r="AG120" s="1535"/>
      <c r="AH120" s="1535"/>
      <c r="AI120" s="1535"/>
      <c r="AJ120" s="1535"/>
      <c r="AK120" s="1535"/>
      <c r="AL120" s="3"/>
      <c r="AM120" s="3"/>
      <c r="AN120" s="3"/>
      <c r="AO120" s="3"/>
      <c r="AP120" s="3"/>
      <c r="AQ120" s="3"/>
      <c r="AR120" s="3"/>
      <c r="AS120" s="3"/>
      <c r="AT120" s="3"/>
      <c r="AU120" s="3"/>
      <c r="AV120" s="3"/>
      <c r="AW120" s="3"/>
      <c r="AX120" s="3"/>
      <c r="AY120" s="3"/>
    </row>
    <row r="121" spans="1:117" ht="13" customHeight="1">
      <c r="A121" s="3"/>
      <c r="B121" s="3"/>
      <c r="P121" s="3"/>
      <c r="Q121" s="3"/>
      <c r="R121" s="3"/>
      <c r="S121" s="3"/>
      <c r="T121" s="3"/>
      <c r="U121" s="3"/>
      <c r="V121" s="3"/>
      <c r="W121" s="3"/>
      <c r="X121" s="3"/>
      <c r="Y121" s="3"/>
      <c r="Z121" s="3" t="s">
        <v>629</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3" customHeight="1">
      <c r="A122" s="3"/>
      <c r="B122" s="3"/>
      <c r="T122" s="3"/>
      <c r="U122" s="3"/>
      <c r="V122" s="3"/>
      <c r="W122" s="3"/>
      <c r="AL122" s="3"/>
      <c r="AM122" s="3"/>
      <c r="AN122" s="3"/>
      <c r="AO122" s="3"/>
      <c r="AP122" s="3"/>
      <c r="AQ122" s="3"/>
      <c r="AR122" s="3"/>
      <c r="AS122" s="3"/>
      <c r="AT122" s="3"/>
      <c r="AU122" s="3"/>
      <c r="AV122" s="3"/>
      <c r="AW122" s="3"/>
      <c r="AX122" s="3"/>
      <c r="AY122" s="3"/>
      <c r="CQ122" s="14" t="s">
        <v>631</v>
      </c>
      <c r="CR122" s="14"/>
      <c r="CS122" s="14"/>
      <c r="CT122" s="14"/>
      <c r="CU122" s="1695" t="s">
        <v>468</v>
      </c>
      <c r="CV122" s="1696"/>
      <c r="CW122" s="14"/>
      <c r="CX122" s="14" t="s">
        <v>633</v>
      </c>
      <c r="CY122" s="14"/>
      <c r="CZ122" s="14"/>
      <c r="DA122" s="14"/>
      <c r="DB122" s="14"/>
      <c r="DC122" s="14"/>
      <c r="DD122" s="14"/>
      <c r="DE122" s="14"/>
      <c r="DF122" s="14"/>
      <c r="DG122" s="1692" t="str">
        <f>T189</f>
        <v>Los Angeles</v>
      </c>
      <c r="DH122" s="1693"/>
      <c r="DI122" s="1693"/>
      <c r="DJ122" s="1693"/>
      <c r="DK122" s="1693"/>
      <c r="DL122" s="1693"/>
      <c r="DM122" s="1694"/>
    </row>
    <row r="123" spans="1:117" ht="13" customHeight="1">
      <c r="A123" s="3"/>
      <c r="B123" s="3"/>
      <c r="T123" s="3"/>
      <c r="U123" s="3"/>
      <c r="V123" s="3"/>
      <c r="W123" s="3"/>
      <c r="X123" s="3"/>
      <c r="Y123" s="1535"/>
      <c r="Z123" s="1535"/>
      <c r="AA123" s="1535"/>
      <c r="AB123" s="1535"/>
      <c r="AC123" s="1535"/>
      <c r="AD123" s="1535"/>
      <c r="AE123" s="1535"/>
      <c r="AF123" s="1535"/>
      <c r="AG123" s="1535"/>
      <c r="AH123" s="1535"/>
      <c r="AI123" s="1535"/>
      <c r="AJ123" s="1535"/>
      <c r="AK123" s="1535"/>
      <c r="AL123" s="3"/>
      <c r="AM123" s="3"/>
      <c r="AN123" s="3"/>
      <c r="AO123" s="3"/>
      <c r="AP123" s="3"/>
      <c r="AQ123" s="3"/>
      <c r="AR123" s="3"/>
      <c r="AS123" s="3"/>
      <c r="AT123" s="3"/>
      <c r="AU123" s="3"/>
      <c r="AV123" s="3"/>
      <c r="AW123" s="3"/>
      <c r="AX123" s="3"/>
      <c r="AY123" s="3"/>
      <c r="DJ123" s="3"/>
      <c r="DK123" s="3"/>
      <c r="DL123" s="3"/>
      <c r="DM123" s="3"/>
    </row>
    <row r="124" spans="1:117" ht="13" customHeight="1">
      <c r="A124" s="3"/>
      <c r="B124" s="3"/>
      <c r="T124" s="3"/>
      <c r="U124" s="3"/>
      <c r="V124" s="3"/>
      <c r="W124" s="3"/>
      <c r="X124" s="3"/>
      <c r="Y124" s="3"/>
      <c r="Z124" s="3" t="s">
        <v>630</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468</v>
      </c>
      <c r="CV124" s="14"/>
      <c r="CW124" s="14"/>
      <c r="CX124" s="14"/>
      <c r="CY124" s="14"/>
      <c r="CZ124" s="14"/>
      <c r="DA124" s="14"/>
      <c r="DB124" s="14"/>
      <c r="DE124" s="32"/>
      <c r="DF124" s="32"/>
      <c r="DG124" s="32"/>
      <c r="DH124" s="32"/>
      <c r="DI124" s="32"/>
      <c r="DJ124" s="14"/>
      <c r="DK124" s="14"/>
      <c r="DL124" s="14"/>
      <c r="DM124" s="14"/>
    </row>
    <row r="125" spans="1:117" ht="13"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467</v>
      </c>
      <c r="CV125" s="4"/>
      <c r="CW125" s="14"/>
      <c r="CX125" s="14"/>
      <c r="CY125" s="14"/>
      <c r="CZ125" s="14"/>
      <c r="DA125" s="14"/>
      <c r="DB125" s="14"/>
      <c r="DE125" s="4"/>
      <c r="DF125" s="4"/>
      <c r="DG125" s="4"/>
      <c r="DH125" s="4"/>
      <c r="DI125" s="4"/>
      <c r="DJ125" s="4"/>
      <c r="DK125" s="4"/>
      <c r="DL125" s="4"/>
      <c r="DM125" s="4"/>
    </row>
    <row r="126" spans="1:117" ht="13"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3"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468</v>
      </c>
      <c r="DD127" s="4"/>
      <c r="DE127" s="4"/>
      <c r="DF127" s="4"/>
      <c r="DG127" s="4"/>
      <c r="DH127" s="4"/>
      <c r="DI127" s="4"/>
      <c r="DJ127" s="4"/>
      <c r="DK127" s="4"/>
      <c r="DL127" s="4"/>
      <c r="DM127" s="4"/>
    </row>
    <row r="128" spans="1:117" ht="13" customHeight="1">
      <c r="A128" s="355"/>
      <c r="AL128" s="355"/>
      <c r="AM128" s="355"/>
      <c r="AN128" s="355"/>
      <c r="AO128" s="355"/>
      <c r="AP128" s="355"/>
      <c r="AQ128" s="355"/>
      <c r="AR128" s="355"/>
      <c r="AS128" s="355"/>
      <c r="AT128" s="355"/>
      <c r="AU128" s="355"/>
      <c r="AV128" s="355"/>
      <c r="AW128" s="355"/>
      <c r="AX128" s="355"/>
      <c r="AY128" s="355"/>
    </row>
    <row r="129" spans="1:51" ht="13" customHeight="1">
      <c r="A129" s="355"/>
      <c r="B129" s="4"/>
      <c r="R129" s="6"/>
      <c r="S129" s="6"/>
      <c r="T129" s="6"/>
      <c r="U129" s="6"/>
      <c r="V129" s="6"/>
      <c r="W129" s="6"/>
      <c r="AL129" s="355"/>
      <c r="AM129" s="355"/>
      <c r="AN129" s="355"/>
      <c r="AO129" s="355"/>
      <c r="AP129" s="355"/>
      <c r="AQ129" s="355"/>
      <c r="AR129" s="355"/>
      <c r="AS129" s="355"/>
      <c r="AT129" s="355"/>
      <c r="AU129" s="355"/>
      <c r="AV129" s="355"/>
      <c r="AW129" s="355"/>
      <c r="AX129" s="355"/>
      <c r="AY129" s="355"/>
    </row>
    <row r="130" spans="1:51" ht="13"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3" customHeight="1">
      <c r="A131" s="3"/>
      <c r="AL131" s="3"/>
      <c r="AM131" s="3"/>
      <c r="AN131" s="3"/>
      <c r="AO131" s="3"/>
      <c r="AP131" s="3"/>
      <c r="AQ131" s="3"/>
      <c r="AR131" s="3"/>
      <c r="AS131" s="3"/>
      <c r="AT131" s="3"/>
      <c r="AU131" s="3"/>
      <c r="AV131" s="3"/>
      <c r="AW131" s="3"/>
      <c r="AX131" s="3"/>
      <c r="AY131" s="3"/>
    </row>
    <row r="132" spans="1:51" ht="13" customHeight="1">
      <c r="A132" s="3"/>
      <c r="B132" s="3"/>
      <c r="C132" s="3"/>
      <c r="D132" s="3"/>
      <c r="F132" s="203"/>
      <c r="G132" s="203"/>
      <c r="H132" s="203"/>
      <c r="I132" s="203"/>
      <c r="J132" s="203"/>
      <c r="K132" s="203"/>
      <c r="L132" s="203"/>
      <c r="M132" s="203"/>
      <c r="N132" s="3"/>
      <c r="P132" s="3"/>
      <c r="Q132" s="3"/>
      <c r="U132" s="3"/>
      <c r="V132" s="3"/>
      <c r="W132" s="3"/>
      <c r="AL132" s="3"/>
      <c r="AM132" s="3"/>
      <c r="AN132" s="3"/>
      <c r="AO132" s="3"/>
      <c r="AP132" s="3"/>
      <c r="AQ132" s="3"/>
      <c r="AR132" s="3"/>
      <c r="AS132" s="3"/>
      <c r="AT132" s="3"/>
      <c r="AU132" s="3"/>
      <c r="AV132" s="3"/>
      <c r="AW132" s="3"/>
      <c r="AX132" s="3"/>
      <c r="AY132" s="3"/>
    </row>
    <row r="133" spans="1:51" ht="13" customHeight="1">
      <c r="A133" s="3"/>
      <c r="W133" s="3"/>
      <c r="AL133" s="3"/>
      <c r="AM133" s="3"/>
      <c r="AN133" s="3"/>
      <c r="AO133" s="3"/>
      <c r="AP133" s="3"/>
      <c r="AQ133" s="3"/>
      <c r="AR133" s="3"/>
      <c r="AS133" s="3"/>
      <c r="AT133" s="3"/>
      <c r="AU133" s="3"/>
      <c r="AV133" s="3"/>
      <c r="AW133" s="3"/>
      <c r="AX133" s="3"/>
      <c r="AY133" s="3"/>
    </row>
    <row r="134" spans="1:51" ht="13"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3" customHeight="1">
      <c r="A135" s="3"/>
      <c r="M135" s="3"/>
      <c r="N135" s="3"/>
      <c r="O135" s="3"/>
      <c r="AK135" s="3"/>
      <c r="AL135" s="3"/>
      <c r="AM135" s="3"/>
      <c r="AN135" s="3"/>
      <c r="AO135" s="3"/>
      <c r="AP135" s="3"/>
      <c r="AQ135" s="3"/>
      <c r="AR135" s="3"/>
      <c r="AS135" s="3"/>
      <c r="AT135" s="3"/>
      <c r="AU135" s="3"/>
      <c r="AV135" s="3"/>
      <c r="AW135" s="3"/>
      <c r="AX135" s="3"/>
      <c r="AY135" s="3"/>
    </row>
    <row r="136" spans="1:51" ht="13"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3"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3"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3" customHeight="1">
      <c r="A139" s="3"/>
      <c r="B139" s="3"/>
      <c r="C139" s="3"/>
      <c r="D139" s="3"/>
      <c r="E139" s="3"/>
      <c r="F139" s="3"/>
      <c r="G139" s="3"/>
      <c r="H139" s="3"/>
      <c r="I139" s="3"/>
      <c r="J139" s="3"/>
      <c r="K139" s="3"/>
      <c r="L139" s="3"/>
      <c r="M139" s="3"/>
      <c r="N139" s="3"/>
      <c r="O139" s="3"/>
      <c r="P139" s="3"/>
      <c r="Q139" s="3"/>
      <c r="R139" s="3"/>
      <c r="S139" s="118"/>
      <c r="T139" s="456"/>
      <c r="U139" s="456"/>
      <c r="V139" s="456"/>
      <c r="W139" s="456"/>
      <c r="X139" s="456"/>
      <c r="Y139" s="456"/>
      <c r="Z139" s="456"/>
      <c r="AA139" s="456"/>
      <c r="AB139" s="456"/>
      <c r="AC139" s="456"/>
      <c r="AD139" s="456"/>
      <c r="AE139" s="456"/>
      <c r="AF139" s="456"/>
      <c r="AG139" s="456"/>
      <c r="AH139" s="456"/>
      <c r="AI139" s="456"/>
      <c r="AJ139" s="456"/>
      <c r="AK139" s="3"/>
      <c r="AL139" s="3"/>
      <c r="AM139" s="3"/>
      <c r="AN139" s="3"/>
      <c r="AO139" s="3"/>
      <c r="AP139" s="3"/>
      <c r="AQ139" s="3"/>
      <c r="AR139" s="3"/>
      <c r="AS139" s="3"/>
      <c r="AT139" s="3"/>
      <c r="AU139" s="3"/>
      <c r="AV139" s="3"/>
      <c r="AW139" s="3"/>
      <c r="AX139" s="3"/>
      <c r="AY139" s="3"/>
    </row>
    <row r="140" spans="1:51" ht="13" customHeight="1">
      <c r="A140" s="3"/>
      <c r="B140" s="119"/>
      <c r="C140" s="456"/>
      <c r="D140" s="456"/>
      <c r="E140" s="456"/>
      <c r="F140" s="456"/>
      <c r="G140" s="456"/>
      <c r="H140" s="456"/>
      <c r="I140" s="456"/>
      <c r="J140" s="456"/>
      <c r="K140" s="456"/>
      <c r="L140" s="456"/>
      <c r="M140" s="456"/>
      <c r="N140" s="456"/>
      <c r="O140" s="456"/>
      <c r="P140" s="456"/>
      <c r="Q140" s="456"/>
      <c r="R140" s="456"/>
      <c r="S140" s="456"/>
      <c r="T140" s="456"/>
      <c r="U140" s="456"/>
      <c r="V140" s="456"/>
      <c r="W140" s="456"/>
      <c r="X140" s="456"/>
      <c r="Y140" s="456"/>
      <c r="Z140" s="456"/>
      <c r="AA140" s="456"/>
      <c r="AB140" s="456"/>
      <c r="AC140" s="456"/>
      <c r="AD140" s="456"/>
      <c r="AE140" s="456"/>
      <c r="AF140" s="456"/>
      <c r="AG140" s="456"/>
      <c r="AH140" s="456"/>
      <c r="AI140" s="456"/>
      <c r="AJ140" s="456"/>
      <c r="AK140" s="3"/>
      <c r="AL140" s="3"/>
      <c r="AM140" s="3"/>
      <c r="AN140" s="3"/>
      <c r="AO140" s="3"/>
      <c r="AP140" s="3"/>
      <c r="AQ140" s="3"/>
      <c r="AR140" s="3"/>
      <c r="AS140" s="3"/>
      <c r="AT140" s="3"/>
      <c r="AU140" s="3"/>
      <c r="AV140" s="3"/>
      <c r="AW140" s="3"/>
      <c r="AX140" s="3"/>
      <c r="AY140" s="3"/>
    </row>
    <row r="141" spans="1:51" ht="13" customHeight="1">
      <c r="A141" s="3"/>
      <c r="B141" s="119"/>
      <c r="C141" s="456"/>
      <c r="D141" s="456"/>
      <c r="E141" s="456"/>
      <c r="F141" s="456"/>
      <c r="G141" s="456"/>
      <c r="H141" s="456"/>
      <c r="I141" s="456"/>
      <c r="J141" s="456"/>
      <c r="K141" s="456"/>
      <c r="L141" s="456"/>
      <c r="M141" s="456"/>
      <c r="N141" s="456"/>
      <c r="O141" s="456"/>
      <c r="P141" s="456"/>
      <c r="Q141" s="456"/>
      <c r="R141" s="456"/>
      <c r="S141" s="456"/>
      <c r="T141" s="456"/>
      <c r="U141" s="456"/>
      <c r="V141" s="456"/>
      <c r="W141" s="456"/>
      <c r="X141" s="456"/>
      <c r="Y141" s="456"/>
      <c r="Z141" s="456"/>
      <c r="AA141" s="456"/>
      <c r="AB141" s="456"/>
      <c r="AC141" s="456"/>
      <c r="AD141" s="456"/>
      <c r="AE141" s="456"/>
      <c r="AF141" s="456"/>
      <c r="AG141" s="456"/>
      <c r="AH141" s="456"/>
      <c r="AI141" s="456"/>
      <c r="AJ141" s="456"/>
      <c r="AK141" s="3"/>
      <c r="AL141" s="3"/>
      <c r="AM141" s="3"/>
      <c r="AN141" s="3"/>
      <c r="AO141" s="3"/>
      <c r="AP141" s="3"/>
      <c r="AQ141" s="3"/>
      <c r="AR141" s="3"/>
      <c r="AS141" s="3"/>
      <c r="AT141" s="3"/>
      <c r="AU141" s="3"/>
      <c r="AV141" s="3"/>
      <c r="AW141" s="3"/>
      <c r="AX141" s="3"/>
      <c r="AY141" s="3"/>
    </row>
    <row r="142" spans="1:51" ht="13" customHeight="1">
      <c r="A142" s="3"/>
      <c r="B142" s="119"/>
      <c r="C142" s="442"/>
      <c r="D142" s="442"/>
      <c r="E142" s="442"/>
      <c r="F142" s="442"/>
      <c r="G142" s="442"/>
      <c r="H142" s="442"/>
      <c r="I142" s="442"/>
      <c r="J142" s="442"/>
      <c r="K142" s="442"/>
      <c r="L142" s="442"/>
      <c r="M142" s="442"/>
      <c r="N142" s="442"/>
      <c r="O142" s="442"/>
      <c r="P142" s="442"/>
      <c r="Q142" s="442"/>
      <c r="R142" s="442"/>
      <c r="S142" s="442"/>
      <c r="T142" s="442"/>
      <c r="U142" s="442"/>
      <c r="V142" s="442"/>
      <c r="W142" s="442"/>
      <c r="X142" s="442"/>
      <c r="Y142" s="442"/>
      <c r="Z142" s="442"/>
      <c r="AA142" s="442"/>
      <c r="AB142" s="442"/>
      <c r="AC142" s="442"/>
      <c r="AD142" s="442"/>
      <c r="AE142" s="442"/>
      <c r="AF142" s="442"/>
      <c r="AG142" s="442"/>
      <c r="AH142" s="442"/>
      <c r="AI142" s="442"/>
      <c r="AJ142" s="442"/>
      <c r="AK142" s="3"/>
      <c r="AL142" s="3"/>
      <c r="AM142" s="3"/>
      <c r="AN142" s="3"/>
      <c r="AO142" s="3"/>
      <c r="AP142" s="3"/>
      <c r="AQ142" s="3"/>
      <c r="AR142" s="3"/>
      <c r="AS142" s="3"/>
      <c r="AT142" s="3"/>
      <c r="AU142" s="3"/>
      <c r="AV142" s="3"/>
      <c r="AW142" s="3"/>
      <c r="AX142" s="3"/>
      <c r="AY142" s="3"/>
    </row>
    <row r="143" spans="1:51" ht="13" customHeight="1">
      <c r="A143" s="3"/>
      <c r="D143" s="442"/>
      <c r="E143" s="442"/>
      <c r="F143" s="442"/>
      <c r="G143" s="442"/>
      <c r="H143" s="442"/>
      <c r="I143" s="442"/>
      <c r="J143" s="442"/>
      <c r="K143" s="442"/>
      <c r="L143" s="442"/>
      <c r="M143" s="442"/>
      <c r="N143" s="442"/>
      <c r="O143" s="442"/>
      <c r="P143" s="442"/>
      <c r="Q143" s="442"/>
      <c r="R143" s="442"/>
      <c r="S143" s="442"/>
      <c r="T143" s="442"/>
      <c r="U143" s="442"/>
      <c r="V143" s="442"/>
      <c r="W143" s="442"/>
      <c r="X143" s="442"/>
      <c r="Y143" s="442"/>
      <c r="Z143" s="442"/>
      <c r="AA143" s="442"/>
      <c r="AB143" s="442"/>
      <c r="AC143" s="442"/>
      <c r="AD143" s="442"/>
      <c r="AE143" s="442"/>
      <c r="AF143" s="442"/>
      <c r="AG143" s="442"/>
      <c r="AH143" s="442"/>
      <c r="AI143" s="442"/>
      <c r="AJ143" s="442"/>
      <c r="AK143" s="3"/>
      <c r="AL143" s="3"/>
      <c r="AM143" s="3"/>
      <c r="AN143" s="3"/>
      <c r="AO143" s="3"/>
      <c r="AP143" s="3"/>
      <c r="AQ143" s="3"/>
      <c r="AR143" s="3"/>
      <c r="AS143" s="3"/>
      <c r="AT143" s="3"/>
      <c r="AU143" s="3"/>
      <c r="AV143" s="3"/>
      <c r="AW143" s="3"/>
      <c r="AX143" s="3"/>
      <c r="AY143" s="3"/>
    </row>
    <row r="144" spans="1:51" ht="13" customHeight="1">
      <c r="A144" s="3"/>
      <c r="B144" s="520"/>
      <c r="C144" s="442"/>
      <c r="D144" s="442"/>
      <c r="E144" s="442"/>
      <c r="F144" s="442"/>
      <c r="G144" s="442"/>
      <c r="H144" s="442"/>
      <c r="I144" s="442"/>
      <c r="J144" s="442"/>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2"/>
      <c r="AJ144" s="442"/>
      <c r="AK144" s="3"/>
      <c r="AL144" s="3"/>
      <c r="AM144" s="3"/>
      <c r="AN144" s="3"/>
      <c r="AO144" s="3"/>
      <c r="AP144" s="3"/>
      <c r="AQ144" s="3"/>
      <c r="AR144" s="3"/>
      <c r="AS144" s="3"/>
      <c r="AT144" s="3"/>
      <c r="AU144" s="3"/>
      <c r="AV144" s="3"/>
      <c r="AW144" s="3"/>
      <c r="AX144" s="3"/>
      <c r="AY144" s="3"/>
    </row>
    <row r="145" spans="1:108" ht="13" customHeight="1">
      <c r="A145" s="3"/>
      <c r="B145" s="3"/>
      <c r="C145" s="442"/>
      <c r="D145" s="442"/>
      <c r="E145" s="442"/>
      <c r="F145" s="442"/>
      <c r="G145" s="442"/>
      <c r="H145" s="442"/>
      <c r="I145" s="442"/>
      <c r="J145" s="442"/>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2"/>
      <c r="AJ145" s="442"/>
      <c r="AK145" s="3"/>
      <c r="AL145" s="3"/>
      <c r="AM145" s="3"/>
      <c r="AN145" s="3"/>
      <c r="AO145" s="3"/>
      <c r="AP145" s="3"/>
      <c r="AQ145" s="3"/>
      <c r="AR145" s="3"/>
      <c r="AS145" s="3"/>
      <c r="AT145" s="3"/>
      <c r="AU145" s="3"/>
      <c r="AV145" s="3"/>
      <c r="AW145" s="3"/>
      <c r="AX145" s="3"/>
      <c r="AY145" s="3"/>
    </row>
    <row r="146" spans="1:108" ht="13" customHeight="1">
      <c r="A146" s="3"/>
      <c r="D146" s="442"/>
      <c r="E146" s="442"/>
      <c r="F146" s="442"/>
      <c r="G146" s="442"/>
      <c r="H146" s="442"/>
      <c r="I146" s="442"/>
      <c r="J146" s="442"/>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2"/>
      <c r="AJ146" s="442"/>
      <c r="AK146" s="3"/>
      <c r="AL146" s="3"/>
      <c r="AM146" s="3"/>
      <c r="AN146" s="3"/>
      <c r="AO146" s="3"/>
      <c r="AP146" s="3"/>
      <c r="AQ146" s="3"/>
      <c r="AR146" s="3"/>
      <c r="AS146" s="3"/>
      <c r="AT146" s="3"/>
      <c r="AU146" s="3"/>
      <c r="AV146" s="3"/>
      <c r="AW146" s="3"/>
      <c r="AX146" s="3"/>
      <c r="AY146" s="3"/>
    </row>
    <row r="147" spans="1:108" ht="13" customHeight="1">
      <c r="A147" s="3"/>
      <c r="B147" s="520"/>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c r="BN147" s="3" t="s">
        <v>306</v>
      </c>
    </row>
    <row r="148" spans="1:108" ht="13"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t="s">
        <v>590</v>
      </c>
    </row>
    <row r="149" spans="1:108" ht="13"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874</v>
      </c>
    </row>
    <row r="150" spans="1:108" ht="13" customHeight="1">
      <c r="A150" s="3"/>
      <c r="B150" s="3"/>
      <c r="D150" s="3"/>
      <c r="E150" s="3"/>
      <c r="F150" s="1409"/>
      <c r="G150" s="1409"/>
      <c r="H150" s="1409"/>
      <c r="I150" s="1409"/>
      <c r="J150" s="1409"/>
      <c r="K150" s="1409"/>
      <c r="L150" s="1409"/>
      <c r="M150" s="1409"/>
      <c r="N150" s="1409"/>
      <c r="O150" s="1409"/>
      <c r="P150" s="1409"/>
      <c r="Q150" s="1409"/>
      <c r="R150" s="1409"/>
      <c r="S150" s="1409"/>
      <c r="T150" s="1409"/>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City of Los Angeles</v>
      </c>
    </row>
    <row r="151" spans="1:108" ht="13"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2468</v>
      </c>
    </row>
    <row r="152" spans="1:108" ht="13" customHeight="1">
      <c r="BM152">
        <v>4</v>
      </c>
      <c r="BN152" s="3" t="s">
        <v>2467</v>
      </c>
    </row>
    <row r="153" spans="1:108" ht="13" customHeight="1">
      <c r="D153" t="s">
        <v>644</v>
      </c>
      <c r="O153" s="1491" t="s">
        <v>874</v>
      </c>
      <c r="P153" s="1447"/>
      <c r="Q153" s="1447"/>
      <c r="R153" s="1447"/>
      <c r="S153" s="1447"/>
      <c r="T153" s="1447"/>
      <c r="U153" s="1447"/>
      <c r="V153" s="1447"/>
      <c r="W153" s="1447"/>
      <c r="X153" s="1447"/>
      <c r="Y153" s="1447"/>
      <c r="Z153" s="1447"/>
      <c r="AA153" s="1447"/>
      <c r="AB153" s="1447"/>
      <c r="AC153" s="1447"/>
      <c r="AD153" s="1447"/>
      <c r="AE153" s="1447"/>
      <c r="AF153" s="1447"/>
      <c r="AG153" s="1447"/>
      <c r="AH153" s="1447"/>
      <c r="BM153">
        <v>5</v>
      </c>
      <c r="BN153" s="3" t="s">
        <v>2469</v>
      </c>
      <c r="CR153" s="31" t="s">
        <v>2602</v>
      </c>
      <c r="CS153" s="32"/>
      <c r="CT153" s="32"/>
      <c r="CU153" s="32"/>
      <c r="CV153" s="32"/>
      <c r="CW153" s="32"/>
      <c r="CX153" s="14"/>
      <c r="CY153" s="31" t="s">
        <v>2603</v>
      </c>
      <c r="CZ153" s="14"/>
      <c r="DA153" s="14"/>
      <c r="DB153" s="14"/>
      <c r="DC153" s="14"/>
      <c r="DD153" s="14"/>
    </row>
    <row r="154" spans="1:108" ht="13" customHeight="1">
      <c r="D154" s="304" t="s">
        <v>439</v>
      </c>
      <c r="O154" s="1458" t="s">
        <v>2614</v>
      </c>
      <c r="P154" s="1490"/>
      <c r="Q154" s="1490"/>
      <c r="R154" s="1490"/>
      <c r="S154" s="1490"/>
      <c r="T154" s="1490"/>
      <c r="U154" s="1490"/>
      <c r="V154" s="1490"/>
      <c r="W154" s="1490"/>
      <c r="X154" s="1490"/>
      <c r="Y154" s="1490"/>
      <c r="Z154" s="1490"/>
      <c r="AA154" s="1490"/>
      <c r="AB154" s="1490"/>
      <c r="AC154" s="1490"/>
      <c r="AD154" s="1490"/>
      <c r="AE154" s="1490"/>
      <c r="AF154" s="1490"/>
      <c r="AG154" s="1490"/>
      <c r="AH154" s="1490"/>
      <c r="BM154">
        <v>6</v>
      </c>
      <c r="BN154" s="3" t="s">
        <v>2470</v>
      </c>
      <c r="CR154" s="31"/>
      <c r="CS154" s="32"/>
      <c r="CT154" s="32"/>
      <c r="CU154" s="32"/>
      <c r="CV154" s="32"/>
      <c r="CW154" s="32"/>
      <c r="CX154" s="14"/>
      <c r="CY154" s="31"/>
      <c r="CZ154" s="14"/>
      <c r="DA154" s="14"/>
      <c r="DB154" s="14"/>
      <c r="DC154" s="14"/>
      <c r="DD154" s="14"/>
    </row>
    <row r="155" spans="1:108" ht="13" customHeight="1">
      <c r="D155" s="8" t="s">
        <v>440</v>
      </c>
      <c r="F155" s="8"/>
      <c r="G155" s="8"/>
      <c r="H155" s="8"/>
      <c r="I155" s="8"/>
      <c r="J155" s="8"/>
      <c r="K155" s="8"/>
      <c r="L155" s="8"/>
      <c r="M155" s="8"/>
      <c r="N155" s="8"/>
      <c r="O155" s="1550" t="s">
        <v>2611</v>
      </c>
      <c r="P155" s="1551"/>
      <c r="Q155" s="1551"/>
      <c r="R155" s="1551"/>
      <c r="S155" s="1551"/>
      <c r="T155" s="1551"/>
      <c r="U155" s="1551"/>
      <c r="V155" s="1551"/>
      <c r="W155" s="1551"/>
      <c r="X155" s="1551"/>
      <c r="Y155" s="1551"/>
      <c r="Z155" s="1551"/>
      <c r="AA155" s="1551"/>
      <c r="AB155" s="1551"/>
      <c r="AC155" s="1551"/>
      <c r="AD155" s="1551"/>
      <c r="AE155" s="1551"/>
      <c r="AF155" s="1551"/>
      <c r="AG155" s="1551"/>
      <c r="AH155" s="1551"/>
      <c r="BM155">
        <v>7</v>
      </c>
      <c r="CR155" s="31"/>
      <c r="CS155" s="32"/>
      <c r="CT155" s="32"/>
      <c r="CU155" s="32"/>
      <c r="CV155" s="32"/>
      <c r="CW155" s="32"/>
      <c r="CX155" s="14"/>
      <c r="CY155" s="31"/>
      <c r="CZ155" s="14"/>
      <c r="DA155" s="14"/>
      <c r="DB155" s="14"/>
      <c r="DC155" s="14"/>
      <c r="DD155" s="14"/>
    </row>
    <row r="156" spans="1:108" ht="13" customHeight="1">
      <c r="D156" t="s">
        <v>312</v>
      </c>
      <c r="O156" s="1352" t="s">
        <v>2612</v>
      </c>
      <c r="P156" s="1352"/>
      <c r="Q156" s="1352"/>
      <c r="R156" s="1352"/>
      <c r="S156" s="1352"/>
      <c r="T156" s="1352"/>
      <c r="U156" s="1352"/>
      <c r="V156" s="1352"/>
      <c r="W156" s="1352"/>
      <c r="X156" s="1352"/>
      <c r="Y156" s="1352"/>
      <c r="Z156" s="1352"/>
      <c r="AA156" s="1352"/>
      <c r="AB156" s="1352"/>
      <c r="AC156" s="1352"/>
      <c r="AD156" s="1352"/>
      <c r="AE156" s="1352"/>
      <c r="AF156" s="1352"/>
      <c r="AG156" s="1352"/>
      <c r="AH156" s="1352"/>
      <c r="BT156" t="s">
        <v>306</v>
      </c>
      <c r="CB156" s="195" t="s">
        <v>2225</v>
      </c>
      <c r="CC156" s="196"/>
      <c r="CD156" s="196"/>
      <c r="CE156" s="196"/>
      <c r="CF156" s="196"/>
      <c r="CG156" s="196"/>
      <c r="CH156" s="196"/>
      <c r="CI156" s="3"/>
      <c r="CJ156" s="195" t="s">
        <v>2226</v>
      </c>
      <c r="CK156" s="3"/>
      <c r="CL156" s="3"/>
      <c r="CM156" s="3"/>
      <c r="CN156" s="3"/>
      <c r="CR156" s="31"/>
      <c r="CS156" s="32"/>
      <c r="CT156" s="32"/>
      <c r="CU156" s="32"/>
      <c r="CV156" s="32"/>
      <c r="CW156" s="32"/>
      <c r="CX156" s="14"/>
      <c r="CY156" s="31"/>
      <c r="CZ156" s="14"/>
      <c r="DA156" s="14"/>
      <c r="DB156" s="14"/>
      <c r="DC156" s="14"/>
      <c r="DD156" s="14"/>
    </row>
    <row r="157" spans="1:108" ht="13" customHeight="1">
      <c r="D157" t="s">
        <v>313</v>
      </c>
      <c r="O157" s="1491" t="s">
        <v>493</v>
      </c>
      <c r="P157" s="1447"/>
      <c r="Q157" s="1447"/>
      <c r="R157" s="1447"/>
      <c r="S157" s="1447"/>
      <c r="T157" s="1447"/>
      <c r="U157" s="1447"/>
      <c r="V157" s="1447"/>
      <c r="W157" s="1447"/>
      <c r="X157" s="1447"/>
      <c r="Y157" s="8"/>
      <c r="Z157" s="8"/>
      <c r="AA157" s="8"/>
      <c r="AB157" s="8"/>
      <c r="AC157" s="8"/>
      <c r="AD157" s="8"/>
      <c r="AE157" s="8"/>
      <c r="AF157" s="8"/>
      <c r="BN157" s="23" t="s">
        <v>635</v>
      </c>
      <c r="BS157">
        <v>2</v>
      </c>
      <c r="BT157" t="s">
        <v>475</v>
      </c>
      <c r="CB157" s="287" t="s">
        <v>646</v>
      </c>
      <c r="CC157" s="196"/>
      <c r="CD157" s="196"/>
      <c r="CE157" s="196"/>
      <c r="CF157" s="196"/>
      <c r="CG157" s="196"/>
      <c r="CH157" s="196"/>
      <c r="CI157" s="3"/>
      <c r="CJ157" s="287" t="s">
        <v>1932</v>
      </c>
      <c r="CK157" s="3"/>
      <c r="CL157" s="3"/>
      <c r="CM157" s="3"/>
      <c r="CN157" s="3"/>
      <c r="CR157" s="14"/>
      <c r="CS157" s="32"/>
      <c r="CT157" s="32"/>
      <c r="CU157" s="32"/>
      <c r="CV157" s="32"/>
      <c r="CW157" s="32"/>
      <c r="CX157" s="14"/>
      <c r="CY157" s="14"/>
      <c r="CZ157" s="14"/>
      <c r="DA157" s="14"/>
      <c r="DB157" s="14"/>
      <c r="DC157" s="14"/>
      <c r="DD157" s="14"/>
    </row>
    <row r="158" spans="1:108" ht="13" customHeight="1">
      <c r="D158" t="s">
        <v>314</v>
      </c>
      <c r="O158" s="1547">
        <v>90017</v>
      </c>
      <c r="P158" s="1547"/>
      <c r="Q158" s="1547"/>
      <c r="R158" s="1547"/>
      <c r="S158" s="9"/>
      <c r="T158" s="9"/>
      <c r="U158" s="9"/>
      <c r="V158" s="9"/>
      <c r="W158" s="9"/>
      <c r="X158" s="9"/>
      <c r="Y158" s="9"/>
      <c r="Z158" s="9"/>
      <c r="AA158" s="9"/>
      <c r="AB158" s="9"/>
      <c r="AC158" s="9"/>
      <c r="AD158" s="9"/>
      <c r="AE158" s="9"/>
      <c r="AF158" s="9"/>
      <c r="BN158" s="23" t="s">
        <v>636</v>
      </c>
      <c r="BS158">
        <v>7</v>
      </c>
      <c r="BT158" t="s">
        <v>476</v>
      </c>
      <c r="CB158" s="285"/>
      <c r="CC158" s="197"/>
      <c r="CD158" s="286"/>
      <c r="CE158" s="286"/>
      <c r="CF158" s="286"/>
      <c r="CG158" s="286"/>
      <c r="CH158" s="286"/>
      <c r="CI158" s="3"/>
      <c r="CJ158" s="3"/>
      <c r="CK158" s="3"/>
      <c r="CL158" s="3"/>
      <c r="CM158" s="3"/>
      <c r="CN158" s="3"/>
      <c r="CR158" s="14"/>
      <c r="CS158" s="32"/>
      <c r="CT158" s="32"/>
      <c r="CU158" s="32"/>
      <c r="CV158" s="32"/>
      <c r="CW158" s="32"/>
      <c r="CX158" s="14"/>
      <c r="CY158" s="14"/>
      <c r="CZ158" s="14"/>
      <c r="DA158" s="14"/>
      <c r="DB158" s="14"/>
      <c r="DC158" s="14"/>
      <c r="DD158" s="14"/>
    </row>
    <row r="159" spans="1:108" ht="13" customHeight="1" thickBot="1">
      <c r="D159" t="s">
        <v>315</v>
      </c>
      <c r="O159" s="1561">
        <v>2138088596</v>
      </c>
      <c r="P159" s="1561"/>
      <c r="Q159" s="1561"/>
      <c r="R159" s="1561"/>
      <c r="S159" s="1561"/>
      <c r="T159" s="1561"/>
      <c r="V159" s="97" t="s">
        <v>270</v>
      </c>
      <c r="W159" s="1548"/>
      <c r="X159" s="1548"/>
      <c r="Y159" s="10"/>
      <c r="Z159" s="10"/>
      <c r="AA159" s="10"/>
      <c r="AB159" s="10"/>
      <c r="AC159" s="10"/>
      <c r="AD159" s="10"/>
      <c r="AE159" s="10"/>
      <c r="AF159" s="10"/>
      <c r="BN159" s="23" t="s">
        <v>338</v>
      </c>
      <c r="BS159">
        <v>7</v>
      </c>
      <c r="BT159" t="s">
        <v>477</v>
      </c>
      <c r="CB159" s="348" t="s">
        <v>647</v>
      </c>
      <c r="CC159" s="349" t="s">
        <v>323</v>
      </c>
      <c r="CD159" s="349" t="s">
        <v>324</v>
      </c>
      <c r="CE159" s="349" t="s">
        <v>163</v>
      </c>
      <c r="CF159" s="349" t="s">
        <v>164</v>
      </c>
      <c r="CG159" s="349" t="s">
        <v>165</v>
      </c>
      <c r="CH159" s="349" t="s">
        <v>30</v>
      </c>
      <c r="CI159" s="3"/>
      <c r="CJ159" s="349" t="s">
        <v>323</v>
      </c>
      <c r="CK159" s="349" t="s">
        <v>324</v>
      </c>
      <c r="CL159" s="349" t="s">
        <v>163</v>
      </c>
      <c r="CM159" s="349" t="s">
        <v>164</v>
      </c>
      <c r="CN159" s="349" t="s">
        <v>165</v>
      </c>
      <c r="CR159" s="14"/>
      <c r="CS159" s="71" t="s">
        <v>632</v>
      </c>
      <c r="CT159" s="72" t="s">
        <v>324</v>
      </c>
      <c r="CU159" s="72" t="s">
        <v>163</v>
      </c>
      <c r="CV159" s="72" t="s">
        <v>164</v>
      </c>
      <c r="CW159" s="72" t="s">
        <v>459</v>
      </c>
      <c r="CX159" s="14"/>
      <c r="CY159" s="14"/>
      <c r="CZ159" s="71" t="s">
        <v>632</v>
      </c>
      <c r="DA159" s="72" t="s">
        <v>324</v>
      </c>
      <c r="DB159" s="72" t="s">
        <v>163</v>
      </c>
      <c r="DC159" s="72" t="s">
        <v>164</v>
      </c>
      <c r="DD159" s="72" t="s">
        <v>459</v>
      </c>
    </row>
    <row r="160" spans="1:108" ht="13" customHeight="1">
      <c r="D160" t="s">
        <v>316</v>
      </c>
      <c r="O160" s="1561">
        <v>2138088910</v>
      </c>
      <c r="P160" s="1561"/>
      <c r="Q160" s="1561"/>
      <c r="R160" s="1561"/>
      <c r="S160" s="1561"/>
      <c r="T160" s="1561"/>
      <c r="U160" s="10"/>
      <c r="V160" s="10"/>
      <c r="W160" s="10"/>
      <c r="X160" s="10"/>
      <c r="Y160" s="10"/>
      <c r="Z160" s="10"/>
      <c r="AA160" s="10"/>
      <c r="AB160" s="10"/>
      <c r="AC160" s="10"/>
      <c r="AD160" s="10"/>
      <c r="AE160" s="10"/>
      <c r="AF160" s="10"/>
      <c r="BN160" s="23" t="s">
        <v>659</v>
      </c>
      <c r="BS160">
        <v>6</v>
      </c>
      <c r="BT160" t="s">
        <v>478</v>
      </c>
      <c r="CB160" s="350" t="s">
        <v>475</v>
      </c>
      <c r="CC160" s="458">
        <v>2724</v>
      </c>
      <c r="CD160" s="459">
        <v>2920</v>
      </c>
      <c r="CE160" s="460">
        <v>3504</v>
      </c>
      <c r="CF160" s="459">
        <v>4048</v>
      </c>
      <c r="CG160" s="460">
        <v>4516</v>
      </c>
      <c r="CH160" s="461">
        <v>4982</v>
      </c>
      <c r="CI160" s="3"/>
      <c r="CJ160" s="862">
        <v>1825</v>
      </c>
      <c r="CK160" s="862">
        <v>2131</v>
      </c>
      <c r="CL160" s="862">
        <v>2590</v>
      </c>
      <c r="CM160" s="862">
        <v>3342</v>
      </c>
      <c r="CN160" s="862">
        <v>3954</v>
      </c>
      <c r="CR160" s="23" t="s">
        <v>635</v>
      </c>
      <c r="CS160" s="324">
        <v>473390</v>
      </c>
      <c r="CT160" s="324">
        <v>545814</v>
      </c>
      <c r="CU160" s="324">
        <v>658400</v>
      </c>
      <c r="CV160" s="324">
        <v>842752</v>
      </c>
      <c r="CW160" s="324">
        <v>938878</v>
      </c>
      <c r="CX160" s="14"/>
      <c r="CY160" s="23" t="s">
        <v>635</v>
      </c>
      <c r="CZ160" s="324">
        <v>473390</v>
      </c>
      <c r="DA160" s="324">
        <v>545814</v>
      </c>
      <c r="DB160" s="324">
        <v>658400</v>
      </c>
      <c r="DC160" s="324">
        <v>842752</v>
      </c>
      <c r="DD160" s="324">
        <v>938878</v>
      </c>
    </row>
    <row r="161" spans="1:108" ht="13" customHeight="1">
      <c r="D161" t="s">
        <v>317</v>
      </c>
      <c r="O161" s="1527" t="s">
        <v>2613</v>
      </c>
      <c r="P161" s="1527"/>
      <c r="Q161" s="1527"/>
      <c r="R161" s="1527"/>
      <c r="S161" s="1527"/>
      <c r="T161" s="1527"/>
      <c r="U161" s="1527"/>
      <c r="V161" s="1527"/>
      <c r="W161" s="1527"/>
      <c r="X161" s="1527"/>
      <c r="Y161" s="1527"/>
      <c r="Z161" s="1527"/>
      <c r="AA161" s="1527"/>
      <c r="AB161" s="1527"/>
      <c r="AC161" s="1527"/>
      <c r="AD161" s="1527"/>
      <c r="AE161" s="1527"/>
      <c r="AF161" s="1527"/>
      <c r="AG161" s="1527"/>
      <c r="AH161" s="1527"/>
      <c r="BJ161" t="s">
        <v>668</v>
      </c>
      <c r="BN161" s="23" t="s">
        <v>660</v>
      </c>
      <c r="BS161">
        <v>7</v>
      </c>
      <c r="BT161" t="s">
        <v>479</v>
      </c>
      <c r="CB161" s="351" t="s">
        <v>476</v>
      </c>
      <c r="CC161" s="462">
        <v>1850</v>
      </c>
      <c r="CD161" s="463">
        <v>1980</v>
      </c>
      <c r="CE161" s="462">
        <v>2376</v>
      </c>
      <c r="CF161" s="463">
        <v>2746</v>
      </c>
      <c r="CG161" s="463">
        <v>3064</v>
      </c>
      <c r="CH161" s="464">
        <v>3382</v>
      </c>
      <c r="CI161" s="3"/>
      <c r="CJ161" s="862">
        <v>911</v>
      </c>
      <c r="CK161" s="862">
        <v>1005</v>
      </c>
      <c r="CL161" s="862">
        <v>1321</v>
      </c>
      <c r="CM161" s="862">
        <v>1862</v>
      </c>
      <c r="CN161" s="862">
        <v>2168</v>
      </c>
      <c r="CR161" s="23" t="s">
        <v>636</v>
      </c>
      <c r="CS161" s="322">
        <v>352022</v>
      </c>
      <c r="CT161" s="322">
        <v>405878</v>
      </c>
      <c r="CU161" s="322">
        <v>489600</v>
      </c>
      <c r="CV161" s="322">
        <v>626688</v>
      </c>
      <c r="CW161" s="322">
        <v>698170</v>
      </c>
      <c r="CX161" s="14"/>
      <c r="CY161" s="23" t="s">
        <v>636</v>
      </c>
      <c r="CZ161" s="322">
        <v>352022</v>
      </c>
      <c r="DA161" s="322">
        <v>405878</v>
      </c>
      <c r="DB161" s="322">
        <v>489600</v>
      </c>
      <c r="DC161" s="322">
        <v>626688</v>
      </c>
      <c r="DD161" s="322">
        <v>698170</v>
      </c>
    </row>
    <row r="162" spans="1:108" ht="13"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544</v>
      </c>
      <c r="BN162" s="23" t="s">
        <v>661</v>
      </c>
      <c r="BS162">
        <v>7</v>
      </c>
      <c r="BT162" t="s">
        <v>480</v>
      </c>
      <c r="CB162" s="351" t="s">
        <v>477</v>
      </c>
      <c r="CC162" s="465">
        <v>1764</v>
      </c>
      <c r="CD162" s="466">
        <v>1890</v>
      </c>
      <c r="CE162" s="465">
        <v>2270</v>
      </c>
      <c r="CF162" s="466">
        <v>2620</v>
      </c>
      <c r="CG162" s="466">
        <v>2924</v>
      </c>
      <c r="CH162" s="467">
        <v>3226</v>
      </c>
      <c r="CI162" s="3"/>
      <c r="CJ162" s="862">
        <v>1128</v>
      </c>
      <c r="CK162" s="862">
        <v>1135</v>
      </c>
      <c r="CL162" s="862">
        <v>1347</v>
      </c>
      <c r="CM162" s="862">
        <v>1898</v>
      </c>
      <c r="CN162" s="862">
        <v>2286</v>
      </c>
      <c r="CR162" s="23" t="s">
        <v>338</v>
      </c>
      <c r="CS162" s="324">
        <v>352022</v>
      </c>
      <c r="CT162" s="324">
        <v>405878</v>
      </c>
      <c r="CU162" s="324">
        <v>489600</v>
      </c>
      <c r="CV162" s="324">
        <v>626688</v>
      </c>
      <c r="CW162" s="324">
        <v>698170</v>
      </c>
      <c r="CX162" s="14"/>
      <c r="CY162" s="23" t="s">
        <v>338</v>
      </c>
      <c r="CZ162" s="324">
        <v>352022</v>
      </c>
      <c r="DA162" s="324">
        <v>405878</v>
      </c>
      <c r="DB162" s="324">
        <v>489600</v>
      </c>
      <c r="DC162" s="324">
        <v>626688</v>
      </c>
      <c r="DD162" s="324">
        <v>698170</v>
      </c>
    </row>
    <row r="163" spans="1:108" ht="13" customHeight="1">
      <c r="C163" s="27" t="s">
        <v>82</v>
      </c>
      <c r="D163" s="3" t="s">
        <v>2097</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662</v>
      </c>
      <c r="BS163">
        <v>2</v>
      </c>
      <c r="BT163" t="s">
        <v>481</v>
      </c>
      <c r="CB163" s="351" t="s">
        <v>478</v>
      </c>
      <c r="CC163" s="465">
        <v>1586</v>
      </c>
      <c r="CD163" s="466">
        <v>1700</v>
      </c>
      <c r="CE163" s="465">
        <v>2042</v>
      </c>
      <c r="CF163" s="466">
        <v>2358</v>
      </c>
      <c r="CG163" s="466">
        <v>2630</v>
      </c>
      <c r="CH163" s="467">
        <v>2902</v>
      </c>
      <c r="CI163" s="3"/>
      <c r="CJ163" s="862">
        <v>1049</v>
      </c>
      <c r="CK163" s="862">
        <v>1091</v>
      </c>
      <c r="CL163" s="862">
        <v>1428</v>
      </c>
      <c r="CM163" s="862">
        <v>2012</v>
      </c>
      <c r="CN163" s="862">
        <v>2423</v>
      </c>
      <c r="CR163" s="23" t="s">
        <v>659</v>
      </c>
      <c r="CS163" s="322">
        <v>319236</v>
      </c>
      <c r="CT163" s="322">
        <v>368076</v>
      </c>
      <c r="CU163" s="322">
        <v>444000</v>
      </c>
      <c r="CV163" s="322">
        <v>568320</v>
      </c>
      <c r="CW163" s="322">
        <v>633144</v>
      </c>
      <c r="CX163" s="14"/>
      <c r="CY163" s="23" t="s">
        <v>659</v>
      </c>
      <c r="CZ163" s="322">
        <v>319236</v>
      </c>
      <c r="DA163" s="322">
        <v>368076</v>
      </c>
      <c r="DB163" s="322">
        <v>444000</v>
      </c>
      <c r="DC163" s="322">
        <v>568320</v>
      </c>
      <c r="DD163" s="322">
        <v>633144</v>
      </c>
    </row>
    <row r="164" spans="1:108" ht="13" customHeight="1">
      <c r="C164" s="27"/>
      <c r="D164" s="1537" t="s">
        <v>2217</v>
      </c>
      <c r="E164" s="1537"/>
      <c r="F164" s="1537"/>
      <c r="G164" s="1537"/>
      <c r="H164" s="1537"/>
      <c r="I164" s="1537"/>
      <c r="J164" s="1537"/>
      <c r="K164" s="1537"/>
      <c r="L164" s="1537"/>
      <c r="M164" s="1537"/>
      <c r="N164" s="1537"/>
      <c r="O164" s="1537"/>
      <c r="P164" s="1537"/>
      <c r="Q164" s="1537"/>
      <c r="R164" s="1537"/>
      <c r="S164" s="1537"/>
      <c r="T164" s="1537"/>
      <c r="U164" s="1537"/>
      <c r="V164" s="1537"/>
      <c r="W164" s="1537"/>
      <c r="X164" s="1537"/>
      <c r="Y164" s="1537"/>
      <c r="Z164" s="1537"/>
      <c r="AA164" s="1537"/>
      <c r="AB164" s="1537"/>
      <c r="AC164" s="1537"/>
      <c r="AD164" s="1537"/>
      <c r="AE164" s="1537"/>
      <c r="AF164" s="1537"/>
      <c r="AG164" s="1537"/>
      <c r="AH164" s="1537"/>
      <c r="BN164" s="23" t="s">
        <v>663</v>
      </c>
      <c r="BS164">
        <v>7</v>
      </c>
      <c r="BT164" t="s">
        <v>482</v>
      </c>
      <c r="CB164" s="351" t="s">
        <v>479</v>
      </c>
      <c r="CC164" s="465">
        <v>1656</v>
      </c>
      <c r="CD164" s="466">
        <v>1774</v>
      </c>
      <c r="CE164" s="465">
        <v>2130</v>
      </c>
      <c r="CF164" s="466">
        <v>2460</v>
      </c>
      <c r="CG164" s="466">
        <v>2744</v>
      </c>
      <c r="CH164" s="467">
        <v>3028</v>
      </c>
      <c r="CI164" s="3"/>
      <c r="CJ164" s="862">
        <v>1049</v>
      </c>
      <c r="CK164" s="862">
        <v>1055</v>
      </c>
      <c r="CL164" s="862">
        <v>1309</v>
      </c>
      <c r="CM164" s="862">
        <v>1845</v>
      </c>
      <c r="CN164" s="862">
        <v>2135</v>
      </c>
      <c r="CR164" s="23" t="s">
        <v>660</v>
      </c>
      <c r="CS164" s="324">
        <v>352022</v>
      </c>
      <c r="CT164" s="324">
        <v>405878</v>
      </c>
      <c r="CU164" s="324">
        <v>489600</v>
      </c>
      <c r="CV164" s="324">
        <v>626688</v>
      </c>
      <c r="CW164" s="324">
        <v>698170</v>
      </c>
      <c r="CX164" s="14"/>
      <c r="CY164" s="23" t="s">
        <v>660</v>
      </c>
      <c r="CZ164" s="324">
        <v>352022</v>
      </c>
      <c r="DA164" s="324">
        <v>405878</v>
      </c>
      <c r="DB164" s="324">
        <v>489600</v>
      </c>
      <c r="DC164" s="324">
        <v>626688</v>
      </c>
      <c r="DD164" s="324">
        <v>698170</v>
      </c>
    </row>
    <row r="165" spans="1:108" ht="13"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664</v>
      </c>
      <c r="BS165">
        <v>6</v>
      </c>
      <c r="BT165" t="s">
        <v>483</v>
      </c>
      <c r="CB165" s="351" t="s">
        <v>480</v>
      </c>
      <c r="CC165" s="465">
        <v>1540</v>
      </c>
      <c r="CD165" s="466">
        <v>1650</v>
      </c>
      <c r="CE165" s="465">
        <v>1980</v>
      </c>
      <c r="CF165" s="466">
        <v>2286</v>
      </c>
      <c r="CG165" s="466">
        <v>2550</v>
      </c>
      <c r="CH165" s="467">
        <v>2812</v>
      </c>
      <c r="CI165" s="3"/>
      <c r="CJ165" s="862">
        <v>823</v>
      </c>
      <c r="CK165" s="862">
        <v>829</v>
      </c>
      <c r="CL165" s="862">
        <v>1089</v>
      </c>
      <c r="CM165" s="862">
        <v>1519</v>
      </c>
      <c r="CN165" s="862">
        <v>1525</v>
      </c>
      <c r="CR165" s="23" t="s">
        <v>661</v>
      </c>
      <c r="CS165" s="322">
        <v>352022</v>
      </c>
      <c r="CT165" s="322">
        <v>405878</v>
      </c>
      <c r="CU165" s="322">
        <v>489600</v>
      </c>
      <c r="CV165" s="322">
        <v>626688</v>
      </c>
      <c r="CW165" s="322">
        <v>698170</v>
      </c>
      <c r="CX165" s="14"/>
      <c r="CY165" s="23" t="s">
        <v>661</v>
      </c>
      <c r="CZ165" s="322">
        <v>352022</v>
      </c>
      <c r="DA165" s="322">
        <v>405878</v>
      </c>
      <c r="DB165" s="322">
        <v>489600</v>
      </c>
      <c r="DC165" s="322">
        <v>626688</v>
      </c>
      <c r="DD165" s="322">
        <v>698170</v>
      </c>
    </row>
    <row r="166" spans="1:108" ht="13"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666</v>
      </c>
      <c r="BS166">
        <v>5</v>
      </c>
      <c r="BT166" t="s">
        <v>484</v>
      </c>
      <c r="CB166" s="351" t="s">
        <v>481</v>
      </c>
      <c r="CC166" s="465">
        <v>2724</v>
      </c>
      <c r="CD166" s="466">
        <v>2920</v>
      </c>
      <c r="CE166" s="465">
        <v>3504</v>
      </c>
      <c r="CF166" s="466">
        <v>4048</v>
      </c>
      <c r="CG166" s="466">
        <v>4516</v>
      </c>
      <c r="CH166" s="467">
        <v>4982</v>
      </c>
      <c r="CI166" s="3"/>
      <c r="CJ166" s="862">
        <v>1825</v>
      </c>
      <c r="CK166" s="862">
        <v>2131</v>
      </c>
      <c r="CL166" s="862">
        <v>2590</v>
      </c>
      <c r="CM166" s="862">
        <v>3342</v>
      </c>
      <c r="CN166" s="862">
        <v>3954</v>
      </c>
      <c r="CR166" s="23" t="s">
        <v>662</v>
      </c>
      <c r="CS166" s="324">
        <v>473390</v>
      </c>
      <c r="CT166" s="324">
        <v>545814</v>
      </c>
      <c r="CU166" s="324">
        <v>658400</v>
      </c>
      <c r="CV166" s="324">
        <v>842752</v>
      </c>
      <c r="CW166" s="324">
        <v>938878</v>
      </c>
      <c r="CX166" s="14"/>
      <c r="CY166" s="23" t="s">
        <v>662</v>
      </c>
      <c r="CZ166" s="324">
        <v>473390</v>
      </c>
      <c r="DA166" s="324">
        <v>545814</v>
      </c>
      <c r="DB166" s="324">
        <v>658400</v>
      </c>
      <c r="DC166" s="324">
        <v>842752</v>
      </c>
      <c r="DD166" s="324">
        <v>938878</v>
      </c>
    </row>
    <row r="167" spans="1:108" ht="13"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669</v>
      </c>
      <c r="BS167">
        <v>7</v>
      </c>
      <c r="BT167" t="s">
        <v>485</v>
      </c>
      <c r="CB167" s="351" t="s">
        <v>482</v>
      </c>
      <c r="CC167" s="465">
        <v>1540</v>
      </c>
      <c r="CD167" s="466">
        <v>1650</v>
      </c>
      <c r="CE167" s="465">
        <v>1980</v>
      </c>
      <c r="CF167" s="466">
        <v>2286</v>
      </c>
      <c r="CG167" s="466">
        <v>2550</v>
      </c>
      <c r="CH167" s="467">
        <v>2812</v>
      </c>
      <c r="CI167" s="3"/>
      <c r="CJ167" s="862">
        <v>791</v>
      </c>
      <c r="CK167" s="862">
        <v>970</v>
      </c>
      <c r="CL167" s="862">
        <v>1147</v>
      </c>
      <c r="CM167" s="862">
        <v>1616</v>
      </c>
      <c r="CN167" s="862">
        <v>1946</v>
      </c>
      <c r="CR167" s="23" t="s">
        <v>663</v>
      </c>
      <c r="CS167" s="322">
        <v>352022</v>
      </c>
      <c r="CT167" s="322">
        <v>405878</v>
      </c>
      <c r="CU167" s="322">
        <v>489600</v>
      </c>
      <c r="CV167" s="322">
        <v>626688</v>
      </c>
      <c r="CW167" s="322">
        <v>698170</v>
      </c>
      <c r="CX167" s="14"/>
      <c r="CY167" s="23" t="s">
        <v>663</v>
      </c>
      <c r="CZ167" s="322">
        <v>352022</v>
      </c>
      <c r="DA167" s="322">
        <v>405878</v>
      </c>
      <c r="DB167" s="322">
        <v>489600</v>
      </c>
      <c r="DC167" s="322">
        <v>626688</v>
      </c>
      <c r="DD167" s="322">
        <v>698170</v>
      </c>
    </row>
    <row r="168" spans="1:108" ht="13"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670</v>
      </c>
      <c r="BS168">
        <v>7</v>
      </c>
      <c r="BT168" t="s">
        <v>486</v>
      </c>
      <c r="CB168" s="351" t="s">
        <v>483</v>
      </c>
      <c r="CC168" s="465">
        <v>2064</v>
      </c>
      <c r="CD168" s="466">
        <v>2210</v>
      </c>
      <c r="CE168" s="465">
        <v>2652</v>
      </c>
      <c r="CF168" s="466">
        <v>3064</v>
      </c>
      <c r="CG168" s="466">
        <v>3420</v>
      </c>
      <c r="CH168" s="467">
        <v>3772</v>
      </c>
      <c r="CI168" s="3"/>
      <c r="CJ168" s="862">
        <v>1543</v>
      </c>
      <c r="CK168" s="862">
        <v>1666</v>
      </c>
      <c r="CL168" s="862">
        <v>2072</v>
      </c>
      <c r="CM168" s="862">
        <v>2884</v>
      </c>
      <c r="CN168" s="862">
        <v>3321</v>
      </c>
      <c r="CR168" s="23" t="s">
        <v>664</v>
      </c>
      <c r="CS168" s="324">
        <v>331890</v>
      </c>
      <c r="CT168" s="324">
        <v>382666</v>
      </c>
      <c r="CU168" s="324">
        <v>461600</v>
      </c>
      <c r="CV168" s="324">
        <v>590848</v>
      </c>
      <c r="CW168" s="324">
        <v>658242</v>
      </c>
      <c r="CX168" s="14"/>
      <c r="CY168" s="23" t="s">
        <v>664</v>
      </c>
      <c r="CZ168" s="324">
        <v>331890</v>
      </c>
      <c r="DA168" s="324">
        <v>382666</v>
      </c>
      <c r="DB168" s="324">
        <v>461600</v>
      </c>
      <c r="DC168" s="324">
        <v>590848</v>
      </c>
      <c r="DD168" s="324">
        <v>658242</v>
      </c>
    </row>
    <row r="169" spans="1:108" ht="13" customHeight="1">
      <c r="A169" s="1549" t="s">
        <v>538</v>
      </c>
      <c r="B169" s="1549"/>
      <c r="C169" s="1549"/>
      <c r="D169" s="1549"/>
      <c r="E169" s="1549"/>
      <c r="F169" s="1549"/>
      <c r="G169" s="1549"/>
      <c r="H169" s="1549"/>
      <c r="I169" s="1549"/>
      <c r="J169" s="1549"/>
      <c r="K169" s="1549"/>
      <c r="L169" s="1549"/>
      <c r="M169" s="1549"/>
      <c r="N169" s="1549"/>
      <c r="O169" s="1549"/>
      <c r="P169" s="1549"/>
      <c r="Q169" s="1549"/>
      <c r="R169" s="1549"/>
      <c r="S169" s="1549"/>
      <c r="T169" s="1549"/>
      <c r="U169" s="1549"/>
      <c r="V169" s="1549"/>
      <c r="W169" s="1549"/>
      <c r="X169" s="1549"/>
      <c r="Y169" s="1549"/>
      <c r="Z169" s="1549"/>
      <c r="AA169" s="1549"/>
      <c r="AB169" s="1549"/>
      <c r="AC169" s="1549"/>
      <c r="AD169" s="1549"/>
      <c r="AE169" s="1549"/>
      <c r="AF169" s="1549"/>
      <c r="AG169" s="1549"/>
      <c r="AH169" s="1549"/>
      <c r="AI169" s="1549"/>
      <c r="AJ169" s="1549"/>
      <c r="AK169" s="1549"/>
      <c r="AL169" s="1549"/>
      <c r="AM169" s="1549"/>
      <c r="AN169" s="1549"/>
      <c r="AO169" s="1549"/>
      <c r="AP169" s="1549"/>
      <c r="AQ169" s="1549"/>
      <c r="AR169" s="1549"/>
      <c r="AS169" s="1549"/>
      <c r="AT169" s="1549"/>
      <c r="AU169" s="95"/>
      <c r="AV169" s="95"/>
      <c r="AW169" s="95"/>
      <c r="AX169" s="95"/>
      <c r="AY169" s="95"/>
      <c r="BN169" s="23" t="s">
        <v>672</v>
      </c>
      <c r="BS169">
        <v>5</v>
      </c>
      <c r="BT169" t="s">
        <v>487</v>
      </c>
      <c r="CB169" s="351" t="s">
        <v>484</v>
      </c>
      <c r="CC169" s="465">
        <v>1540</v>
      </c>
      <c r="CD169" s="466">
        <v>1650</v>
      </c>
      <c r="CE169" s="465">
        <v>1980</v>
      </c>
      <c r="CF169" s="466">
        <v>2286</v>
      </c>
      <c r="CG169" s="466">
        <v>2550</v>
      </c>
      <c r="CH169" s="467">
        <v>2812</v>
      </c>
      <c r="CI169" s="3"/>
      <c r="CJ169" s="862">
        <v>1149</v>
      </c>
      <c r="CK169" s="862">
        <v>1157</v>
      </c>
      <c r="CL169" s="862">
        <v>1443</v>
      </c>
      <c r="CM169" s="862">
        <v>2033</v>
      </c>
      <c r="CN169" s="862">
        <v>2330</v>
      </c>
      <c r="CR169" s="23" t="s">
        <v>666</v>
      </c>
      <c r="CS169" s="322">
        <v>307732</v>
      </c>
      <c r="CT169" s="322">
        <v>354812</v>
      </c>
      <c r="CU169" s="322">
        <v>428000</v>
      </c>
      <c r="CV169" s="322">
        <v>547840</v>
      </c>
      <c r="CW169" s="322">
        <v>610328</v>
      </c>
      <c r="CX169" s="14"/>
      <c r="CY169" s="23" t="s">
        <v>666</v>
      </c>
      <c r="CZ169" s="322">
        <v>307732</v>
      </c>
      <c r="DA169" s="322">
        <v>354812</v>
      </c>
      <c r="DB169" s="322">
        <v>428000</v>
      </c>
      <c r="DC169" s="322">
        <v>547840</v>
      </c>
      <c r="DD169" s="322">
        <v>610328</v>
      </c>
    </row>
    <row r="170" spans="1:108" ht="13" customHeight="1">
      <c r="A170" s="1549"/>
      <c r="B170" s="1549"/>
      <c r="C170" s="1549"/>
      <c r="D170" s="1549"/>
      <c r="E170" s="1549"/>
      <c r="F170" s="1549"/>
      <c r="G170" s="1549"/>
      <c r="H170" s="1549"/>
      <c r="I170" s="1549"/>
      <c r="J170" s="1549"/>
      <c r="K170" s="1549"/>
      <c r="L170" s="1549"/>
      <c r="M170" s="1549"/>
      <c r="N170" s="1549"/>
      <c r="O170" s="1549"/>
      <c r="P170" s="1549"/>
      <c r="Q170" s="1549"/>
      <c r="R170" s="1549"/>
      <c r="S170" s="1549"/>
      <c r="T170" s="1549"/>
      <c r="U170" s="1549"/>
      <c r="V170" s="1549"/>
      <c r="W170" s="1549"/>
      <c r="X170" s="1549"/>
      <c r="Y170" s="1549"/>
      <c r="Z170" s="1549"/>
      <c r="AA170" s="1549"/>
      <c r="AB170" s="1549"/>
      <c r="AC170" s="1549"/>
      <c r="AD170" s="1549"/>
      <c r="AE170" s="1549"/>
      <c r="AF170" s="1549"/>
      <c r="AG170" s="1549"/>
      <c r="AH170" s="1549"/>
      <c r="AI170" s="1549"/>
      <c r="AJ170" s="1549"/>
      <c r="AK170" s="1549"/>
      <c r="AL170" s="1549"/>
      <c r="AM170" s="1549"/>
      <c r="AN170" s="1549"/>
      <c r="AO170" s="1549"/>
      <c r="AP170" s="1549"/>
      <c r="AQ170" s="1549"/>
      <c r="AR170" s="1549"/>
      <c r="AS170" s="1549"/>
      <c r="AT170" s="1549"/>
      <c r="AU170" s="95"/>
      <c r="AV170" s="95"/>
      <c r="AW170" s="95"/>
      <c r="AX170" s="95"/>
      <c r="AY170" s="95"/>
      <c r="BN170" s="23" t="s">
        <v>673</v>
      </c>
      <c r="BS170">
        <v>7</v>
      </c>
      <c r="BT170" t="s">
        <v>488</v>
      </c>
      <c r="CB170" s="351" t="s">
        <v>485</v>
      </c>
      <c r="CC170" s="465">
        <v>1540</v>
      </c>
      <c r="CD170" s="466">
        <v>1650</v>
      </c>
      <c r="CE170" s="465">
        <v>1980</v>
      </c>
      <c r="CF170" s="466">
        <v>2286</v>
      </c>
      <c r="CG170" s="466">
        <v>2550</v>
      </c>
      <c r="CH170" s="467">
        <v>2812</v>
      </c>
      <c r="CI170" s="3"/>
      <c r="CJ170" s="862">
        <v>771</v>
      </c>
      <c r="CK170" s="862">
        <v>866</v>
      </c>
      <c r="CL170" s="862">
        <v>1138</v>
      </c>
      <c r="CM170" s="862">
        <v>1484</v>
      </c>
      <c r="CN170" s="862">
        <v>1846</v>
      </c>
      <c r="CR170" s="23" t="s">
        <v>669</v>
      </c>
      <c r="CS170" s="324">
        <v>352022</v>
      </c>
      <c r="CT170" s="324">
        <v>405878</v>
      </c>
      <c r="CU170" s="324">
        <v>489600</v>
      </c>
      <c r="CV170" s="324">
        <v>626688</v>
      </c>
      <c r="CW170" s="324">
        <v>698170</v>
      </c>
      <c r="CX170" s="14"/>
      <c r="CY170" s="23" t="s">
        <v>669</v>
      </c>
      <c r="CZ170" s="324">
        <v>352022</v>
      </c>
      <c r="DA170" s="324">
        <v>405878</v>
      </c>
      <c r="DB170" s="324">
        <v>489600</v>
      </c>
      <c r="DC170" s="324">
        <v>626688</v>
      </c>
      <c r="DD170" s="324">
        <v>698170</v>
      </c>
    </row>
    <row r="171" spans="1:108" ht="13" customHeight="1">
      <c r="BN171" s="23" t="s">
        <v>210</v>
      </c>
      <c r="BS171">
        <v>5</v>
      </c>
      <c r="BT171" t="s">
        <v>489</v>
      </c>
      <c r="CB171" s="351" t="s">
        <v>486</v>
      </c>
      <c r="CC171" s="465">
        <v>1546</v>
      </c>
      <c r="CD171" s="466">
        <v>1656</v>
      </c>
      <c r="CE171" s="465">
        <v>1986</v>
      </c>
      <c r="CF171" s="466">
        <v>2296</v>
      </c>
      <c r="CG171" s="466">
        <v>2562</v>
      </c>
      <c r="CH171" s="467">
        <v>2826</v>
      </c>
      <c r="CI171" s="3"/>
      <c r="CJ171" s="862">
        <v>950</v>
      </c>
      <c r="CK171" s="862">
        <v>1032</v>
      </c>
      <c r="CL171" s="862">
        <v>1352</v>
      </c>
      <c r="CM171" s="862">
        <v>1905</v>
      </c>
      <c r="CN171" s="862">
        <v>2294</v>
      </c>
      <c r="CR171" s="23" t="s">
        <v>670</v>
      </c>
      <c r="CS171" s="322">
        <v>352022</v>
      </c>
      <c r="CT171" s="322">
        <v>405878</v>
      </c>
      <c r="CU171" s="322">
        <v>489600</v>
      </c>
      <c r="CV171" s="322">
        <v>626688</v>
      </c>
      <c r="CW171" s="322">
        <v>698170</v>
      </c>
      <c r="CX171" s="14"/>
      <c r="CY171" s="23" t="s">
        <v>670</v>
      </c>
      <c r="CZ171" s="322">
        <v>352022</v>
      </c>
      <c r="DA171" s="322">
        <v>405878</v>
      </c>
      <c r="DB171" s="322">
        <v>489600</v>
      </c>
      <c r="DC171" s="322">
        <v>626688</v>
      </c>
      <c r="DD171" s="322">
        <v>698170</v>
      </c>
    </row>
    <row r="172" spans="1:108" ht="13" customHeight="1">
      <c r="A172" s="2" t="s">
        <v>318</v>
      </c>
      <c r="C172" s="2" t="s">
        <v>319</v>
      </c>
      <c r="BN172" s="23" t="s">
        <v>212</v>
      </c>
      <c r="BS172">
        <v>5</v>
      </c>
      <c r="BT172" t="s">
        <v>490</v>
      </c>
      <c r="CB172" s="351" t="s">
        <v>487</v>
      </c>
      <c r="CC172" s="465">
        <v>1540</v>
      </c>
      <c r="CD172" s="466">
        <v>1650</v>
      </c>
      <c r="CE172" s="465">
        <v>1980</v>
      </c>
      <c r="CF172" s="466">
        <v>2286</v>
      </c>
      <c r="CG172" s="466">
        <v>2550</v>
      </c>
      <c r="CH172" s="467">
        <v>2812</v>
      </c>
      <c r="CI172" s="3"/>
      <c r="CJ172" s="862">
        <v>872</v>
      </c>
      <c r="CK172" s="862">
        <v>1001</v>
      </c>
      <c r="CL172" s="862">
        <v>1286</v>
      </c>
      <c r="CM172" s="862">
        <v>1771</v>
      </c>
      <c r="CN172" s="862">
        <v>2138</v>
      </c>
      <c r="CR172" s="23" t="s">
        <v>672</v>
      </c>
      <c r="CS172" s="324">
        <v>324988</v>
      </c>
      <c r="CT172" s="324">
        <v>374708</v>
      </c>
      <c r="CU172" s="324">
        <v>452000</v>
      </c>
      <c r="CV172" s="324">
        <v>578560</v>
      </c>
      <c r="CW172" s="324">
        <v>644552</v>
      </c>
      <c r="CX172" s="14"/>
      <c r="CY172" s="23" t="s">
        <v>672</v>
      </c>
      <c r="CZ172" s="324">
        <v>324988</v>
      </c>
      <c r="DA172" s="324">
        <v>374708</v>
      </c>
      <c r="DB172" s="324">
        <v>452000</v>
      </c>
      <c r="DC172" s="324">
        <v>578560</v>
      </c>
      <c r="DD172" s="324">
        <v>644552</v>
      </c>
    </row>
    <row r="173" spans="1:108" ht="13" customHeight="1">
      <c r="C173" s="24"/>
      <c r="D173" t="s">
        <v>320</v>
      </c>
      <c r="J173" s="1560" t="s">
        <v>370</v>
      </c>
      <c r="K173" s="1560"/>
      <c r="L173" s="1560"/>
      <c r="M173" s="1560"/>
      <c r="N173" s="1560"/>
      <c r="O173" s="1560"/>
      <c r="P173" s="1560"/>
      <c r="Q173" s="1560"/>
      <c r="R173" s="1560"/>
      <c r="S173" s="1560"/>
      <c r="U173" s="25"/>
      <c r="X173" s="25"/>
      <c r="BB173" s="3" t="s">
        <v>306</v>
      </c>
      <c r="BN173" s="23" t="s">
        <v>213</v>
      </c>
      <c r="BS173">
        <v>7</v>
      </c>
      <c r="BT173" t="s">
        <v>491</v>
      </c>
      <c r="CB173" s="351" t="s">
        <v>488</v>
      </c>
      <c r="CC173" s="465">
        <v>1540</v>
      </c>
      <c r="CD173" s="466">
        <v>1650</v>
      </c>
      <c r="CE173" s="465">
        <v>1980</v>
      </c>
      <c r="CF173" s="466">
        <v>2286</v>
      </c>
      <c r="CG173" s="466">
        <v>2550</v>
      </c>
      <c r="CH173" s="467">
        <v>2812</v>
      </c>
      <c r="CI173" s="3"/>
      <c r="CJ173" s="862">
        <v>924</v>
      </c>
      <c r="CK173" s="862">
        <v>1079</v>
      </c>
      <c r="CL173" s="862">
        <v>1363</v>
      </c>
      <c r="CM173" s="862">
        <v>1648</v>
      </c>
      <c r="CN173" s="862">
        <v>2237</v>
      </c>
      <c r="CR173" s="23" t="s">
        <v>673</v>
      </c>
      <c r="CS173" s="322">
        <v>352022</v>
      </c>
      <c r="CT173" s="322">
        <v>405878</v>
      </c>
      <c r="CU173" s="322">
        <v>489600</v>
      </c>
      <c r="CV173" s="322">
        <v>626688</v>
      </c>
      <c r="CW173" s="322">
        <v>698170</v>
      </c>
      <c r="CX173" s="14"/>
      <c r="CY173" s="23" t="s">
        <v>673</v>
      </c>
      <c r="CZ173" s="322">
        <v>352022</v>
      </c>
      <c r="DA173" s="322">
        <v>405878</v>
      </c>
      <c r="DB173" s="322">
        <v>489600</v>
      </c>
      <c r="DC173" s="322">
        <v>626688</v>
      </c>
      <c r="DD173" s="322">
        <v>698170</v>
      </c>
    </row>
    <row r="174" spans="1:108" ht="13" customHeight="1">
      <c r="C174" s="24"/>
      <c r="D174" s="3" t="s">
        <v>1201</v>
      </c>
      <c r="J174" s="1352" t="s">
        <v>2102</v>
      </c>
      <c r="K174" s="1352"/>
      <c r="L174" s="1352"/>
      <c r="M174" s="1352"/>
      <c r="N174" s="1352"/>
      <c r="O174" s="1352"/>
      <c r="P174" s="1352"/>
      <c r="Q174" s="1352"/>
      <c r="R174" s="1352"/>
      <c r="S174" s="1352"/>
      <c r="T174" s="1352"/>
      <c r="U174" s="1352"/>
      <c r="V174" s="1352"/>
      <c r="W174" s="1352"/>
      <c r="X174" s="1352"/>
      <c r="Y174" s="1352"/>
      <c r="Z174" s="1352"/>
      <c r="AA174" s="1352"/>
      <c r="AB174" s="1352"/>
      <c r="BB174" t="s">
        <v>1969</v>
      </c>
      <c r="BN174" s="23" t="s">
        <v>215</v>
      </c>
      <c r="BS174">
        <v>7</v>
      </c>
      <c r="BT174" t="s">
        <v>492</v>
      </c>
      <c r="CB174" s="351" t="s">
        <v>489</v>
      </c>
      <c r="CC174" s="465">
        <v>1540</v>
      </c>
      <c r="CD174" s="466">
        <v>1650</v>
      </c>
      <c r="CE174" s="465">
        <v>1980</v>
      </c>
      <c r="CF174" s="466">
        <v>2286</v>
      </c>
      <c r="CG174" s="466">
        <v>2550</v>
      </c>
      <c r="CH174" s="467">
        <v>2812</v>
      </c>
      <c r="CI174" s="3"/>
      <c r="CJ174" s="862">
        <v>960</v>
      </c>
      <c r="CK174" s="862">
        <v>967</v>
      </c>
      <c r="CL174" s="862">
        <v>1258</v>
      </c>
      <c r="CM174" s="862">
        <v>1773</v>
      </c>
      <c r="CN174" s="862">
        <v>2135</v>
      </c>
      <c r="CR174" s="23" t="s">
        <v>210</v>
      </c>
      <c r="CS174" s="324">
        <v>307732</v>
      </c>
      <c r="CT174" s="324">
        <v>354812</v>
      </c>
      <c r="CU174" s="324">
        <v>428000</v>
      </c>
      <c r="CV174" s="324">
        <v>547840</v>
      </c>
      <c r="CW174" s="324">
        <v>610328</v>
      </c>
      <c r="CX174" s="14"/>
      <c r="CY174" s="23" t="s">
        <v>210</v>
      </c>
      <c r="CZ174" s="324">
        <v>307732</v>
      </c>
      <c r="DA174" s="324">
        <v>354812</v>
      </c>
      <c r="DB174" s="324">
        <v>428000</v>
      </c>
      <c r="DC174" s="324">
        <v>547840</v>
      </c>
      <c r="DD174" s="324">
        <v>610328</v>
      </c>
    </row>
    <row r="175" spans="1:108" ht="13" customHeight="1">
      <c r="C175" s="8"/>
      <c r="D175" s="3" t="s">
        <v>321</v>
      </c>
      <c r="O175" s="27"/>
      <c r="U175" s="1446" t="s">
        <v>668</v>
      </c>
      <c r="V175" s="1446"/>
      <c r="BB175" t="s">
        <v>1937</v>
      </c>
      <c r="BN175" s="23" t="s">
        <v>216</v>
      </c>
      <c r="BS175">
        <v>1</v>
      </c>
      <c r="BT175" t="s">
        <v>493</v>
      </c>
      <c r="CB175" s="351" t="s">
        <v>490</v>
      </c>
      <c r="CC175" s="465">
        <v>1540</v>
      </c>
      <c r="CD175" s="466">
        <v>1650</v>
      </c>
      <c r="CE175" s="465">
        <v>1980</v>
      </c>
      <c r="CF175" s="466">
        <v>2286</v>
      </c>
      <c r="CG175" s="466">
        <v>2550</v>
      </c>
      <c r="CH175" s="467">
        <v>2812</v>
      </c>
      <c r="CI175" s="3"/>
      <c r="CJ175" s="862">
        <v>1080</v>
      </c>
      <c r="CK175" s="862">
        <v>1087</v>
      </c>
      <c r="CL175" s="862">
        <v>1371</v>
      </c>
      <c r="CM175" s="862">
        <v>1932</v>
      </c>
      <c r="CN175" s="862">
        <v>2310</v>
      </c>
      <c r="CR175" s="23" t="s">
        <v>212</v>
      </c>
      <c r="CS175" s="322">
        <v>307732</v>
      </c>
      <c r="CT175" s="322">
        <v>354812</v>
      </c>
      <c r="CU175" s="322">
        <v>428000</v>
      </c>
      <c r="CV175" s="322">
        <v>547840</v>
      </c>
      <c r="CW175" s="322">
        <v>610328</v>
      </c>
      <c r="CX175" s="14"/>
      <c r="CY175" s="23" t="s">
        <v>212</v>
      </c>
      <c r="CZ175" s="322">
        <v>307732</v>
      </c>
      <c r="DA175" s="322">
        <v>354812</v>
      </c>
      <c r="DB175" s="322">
        <v>428000</v>
      </c>
      <c r="DC175" s="322">
        <v>547840</v>
      </c>
      <c r="DD175" s="322">
        <v>610328</v>
      </c>
    </row>
    <row r="176" spans="1:108" ht="13" customHeight="1">
      <c r="C176" s="8"/>
      <c r="D176" s="26"/>
      <c r="E176" t="s">
        <v>303</v>
      </c>
      <c r="O176" s="27"/>
      <c r="P176" t="s">
        <v>2080</v>
      </c>
      <c r="T176" s="27" t="s">
        <v>304</v>
      </c>
      <c r="U176" s="1509"/>
      <c r="V176" s="1509"/>
      <c r="W176" s="1" t="s">
        <v>305</v>
      </c>
      <c r="X176" s="1563"/>
      <c r="Y176" s="1563"/>
      <c r="BB176" t="s">
        <v>1970</v>
      </c>
      <c r="BN176" s="23" t="s">
        <v>218</v>
      </c>
      <c r="BS176">
        <v>5</v>
      </c>
      <c r="BT176" t="s">
        <v>494</v>
      </c>
      <c r="CB176" s="351" t="s">
        <v>491</v>
      </c>
      <c r="CC176" s="465">
        <v>1540</v>
      </c>
      <c r="CD176" s="466">
        <v>1650</v>
      </c>
      <c r="CE176" s="465">
        <v>1980</v>
      </c>
      <c r="CF176" s="466">
        <v>2286</v>
      </c>
      <c r="CG176" s="466">
        <v>2550</v>
      </c>
      <c r="CH176" s="467">
        <v>2812</v>
      </c>
      <c r="CI176" s="3"/>
      <c r="CJ176" s="862">
        <v>928</v>
      </c>
      <c r="CK176" s="862">
        <v>964</v>
      </c>
      <c r="CL176" s="862">
        <v>1267</v>
      </c>
      <c r="CM176" s="862">
        <v>1785</v>
      </c>
      <c r="CN176" s="862">
        <v>2150</v>
      </c>
      <c r="CR176" s="23" t="s">
        <v>213</v>
      </c>
      <c r="CS176" s="324">
        <v>352022</v>
      </c>
      <c r="CT176" s="324">
        <v>405878</v>
      </c>
      <c r="CU176" s="324">
        <v>489600</v>
      </c>
      <c r="CV176" s="324">
        <v>626688</v>
      </c>
      <c r="CW176" s="324">
        <v>698170</v>
      </c>
      <c r="CX176" s="14"/>
      <c r="CY176" s="23" t="s">
        <v>213</v>
      </c>
      <c r="CZ176" s="324">
        <v>352022</v>
      </c>
      <c r="DA176" s="324">
        <v>405878</v>
      </c>
      <c r="DB176" s="324">
        <v>489600</v>
      </c>
      <c r="DC176" s="324">
        <v>626688</v>
      </c>
      <c r="DD176" s="324">
        <v>698170</v>
      </c>
    </row>
    <row r="177" spans="1:108" ht="13" customHeight="1">
      <c r="C177" s="24"/>
      <c r="D177" t="s">
        <v>248</v>
      </c>
      <c r="R177" s="1446" t="s">
        <v>668</v>
      </c>
      <c r="S177" s="1446"/>
      <c r="BB177" t="s">
        <v>2214</v>
      </c>
      <c r="BN177" s="23" t="s">
        <v>219</v>
      </c>
      <c r="BS177">
        <v>2</v>
      </c>
      <c r="BT177" t="s">
        <v>495</v>
      </c>
      <c r="CB177" s="351" t="s">
        <v>492</v>
      </c>
      <c r="CC177" s="465">
        <v>1540</v>
      </c>
      <c r="CD177" s="466">
        <v>1650</v>
      </c>
      <c r="CE177" s="465">
        <v>1980</v>
      </c>
      <c r="CF177" s="466">
        <v>2286</v>
      </c>
      <c r="CG177" s="466">
        <v>2550</v>
      </c>
      <c r="CH177" s="467">
        <v>2812</v>
      </c>
      <c r="CI177" s="3"/>
      <c r="CJ177" s="862">
        <v>760</v>
      </c>
      <c r="CK177" s="862">
        <v>853</v>
      </c>
      <c r="CL177" s="862">
        <v>1121</v>
      </c>
      <c r="CM177" s="862">
        <v>1580</v>
      </c>
      <c r="CN177" s="862">
        <v>1789</v>
      </c>
      <c r="CR177" s="23" t="s">
        <v>215</v>
      </c>
      <c r="CS177" s="322">
        <v>352022</v>
      </c>
      <c r="CT177" s="322">
        <v>405878</v>
      </c>
      <c r="CU177" s="322">
        <v>489600</v>
      </c>
      <c r="CV177" s="322">
        <v>626688</v>
      </c>
      <c r="CW177" s="322">
        <v>698170</v>
      </c>
      <c r="CX177" s="14"/>
      <c r="CY177" s="23" t="s">
        <v>215</v>
      </c>
      <c r="CZ177" s="322">
        <v>352022</v>
      </c>
      <c r="DA177" s="322">
        <v>405878</v>
      </c>
      <c r="DB177" s="322">
        <v>489600</v>
      </c>
      <c r="DC177" s="322">
        <v>626688</v>
      </c>
      <c r="DD177" s="322">
        <v>698170</v>
      </c>
    </row>
    <row r="178" spans="1:108" ht="13" customHeight="1">
      <c r="C178" s="24"/>
      <c r="D178" s="3" t="s">
        <v>1202</v>
      </c>
      <c r="AA178" t="s">
        <v>2080</v>
      </c>
      <c r="AE178" s="27" t="s">
        <v>304</v>
      </c>
      <c r="AF178" s="1562"/>
      <c r="AG178" s="1562"/>
      <c r="AH178" s="1" t="s">
        <v>305</v>
      </c>
      <c r="AI178" s="1523"/>
      <c r="AJ178" s="1523"/>
      <c r="AK178" s="1523"/>
      <c r="BB178" t="s">
        <v>2215</v>
      </c>
      <c r="BN178" s="23" t="s">
        <v>220</v>
      </c>
      <c r="BS178">
        <v>7</v>
      </c>
      <c r="BT178" t="s">
        <v>53</v>
      </c>
      <c r="CB178" s="351" t="s">
        <v>493</v>
      </c>
      <c r="CC178" s="465">
        <v>2426</v>
      </c>
      <c r="CD178" s="466">
        <v>2600</v>
      </c>
      <c r="CE178" s="465">
        <v>3120</v>
      </c>
      <c r="CF178" s="466">
        <v>3606</v>
      </c>
      <c r="CG178" s="466">
        <v>4022</v>
      </c>
      <c r="CH178" s="467">
        <v>4438</v>
      </c>
      <c r="CI178" s="3"/>
      <c r="CJ178" s="862">
        <v>1777</v>
      </c>
      <c r="CK178" s="862">
        <v>2006</v>
      </c>
      <c r="CL178" s="862">
        <v>2544</v>
      </c>
      <c r="CM178" s="862">
        <v>3263</v>
      </c>
      <c r="CN178" s="862">
        <v>3600</v>
      </c>
      <c r="CR178" s="23" t="s">
        <v>216</v>
      </c>
      <c r="CS178" s="324">
        <v>437727</v>
      </c>
      <c r="CT178" s="324">
        <v>504695</v>
      </c>
      <c r="CU178" s="324">
        <v>608800</v>
      </c>
      <c r="CV178" s="324">
        <v>779264</v>
      </c>
      <c r="CW178" s="324">
        <v>868149</v>
      </c>
      <c r="CX178" s="14"/>
      <c r="CY178" s="23" t="s">
        <v>216</v>
      </c>
      <c r="CZ178" s="324">
        <v>437727</v>
      </c>
      <c r="DA178" s="324">
        <v>504695</v>
      </c>
      <c r="DB178" s="324">
        <v>608800</v>
      </c>
      <c r="DC178" s="324">
        <v>779264</v>
      </c>
      <c r="DD178" s="324">
        <v>868149</v>
      </c>
    </row>
    <row r="179" spans="1:108" ht="13" customHeight="1">
      <c r="C179" s="24"/>
      <c r="BN179" s="23" t="s">
        <v>221</v>
      </c>
      <c r="BS179">
        <v>7</v>
      </c>
      <c r="BT179" t="s">
        <v>54</v>
      </c>
      <c r="CB179" s="351" t="s">
        <v>494</v>
      </c>
      <c r="CC179" s="465">
        <v>1540</v>
      </c>
      <c r="CD179" s="466">
        <v>1650</v>
      </c>
      <c r="CE179" s="465">
        <v>1980</v>
      </c>
      <c r="CF179" s="466">
        <v>2286</v>
      </c>
      <c r="CG179" s="466">
        <v>2550</v>
      </c>
      <c r="CH179" s="467">
        <v>2812</v>
      </c>
      <c r="CI179" s="3"/>
      <c r="CJ179" s="862">
        <v>1083</v>
      </c>
      <c r="CK179" s="862">
        <v>1090</v>
      </c>
      <c r="CL179" s="862">
        <v>1432</v>
      </c>
      <c r="CM179" s="862">
        <v>1998</v>
      </c>
      <c r="CN179" s="862">
        <v>2208</v>
      </c>
      <c r="CR179" s="23" t="s">
        <v>218</v>
      </c>
      <c r="CS179" s="322">
        <v>307732</v>
      </c>
      <c r="CT179" s="322">
        <v>354812</v>
      </c>
      <c r="CU179" s="322">
        <v>428000</v>
      </c>
      <c r="CV179" s="322">
        <v>547840</v>
      </c>
      <c r="CW179" s="322">
        <v>610328</v>
      </c>
      <c r="CX179" s="14"/>
      <c r="CY179" s="23" t="s">
        <v>218</v>
      </c>
      <c r="CZ179" s="322">
        <v>307732</v>
      </c>
      <c r="DA179" s="322">
        <v>354812</v>
      </c>
      <c r="DB179" s="322">
        <v>428000</v>
      </c>
      <c r="DC179" s="322">
        <v>547840</v>
      </c>
      <c r="DD179" s="322">
        <v>610328</v>
      </c>
    </row>
    <row r="180" spans="1:108" ht="13" customHeight="1">
      <c r="C180" s="24"/>
      <c r="D180" t="s">
        <v>2081</v>
      </c>
      <c r="X180" s="1446" t="s">
        <v>668</v>
      </c>
      <c r="Y180" s="1446"/>
      <c r="BN180" s="23" t="s">
        <v>223</v>
      </c>
      <c r="BS180">
        <v>5</v>
      </c>
      <c r="BT180" t="s">
        <v>55</v>
      </c>
      <c r="CB180" s="351" t="s">
        <v>495</v>
      </c>
      <c r="CC180" s="465">
        <v>3426</v>
      </c>
      <c r="CD180" s="466">
        <v>3672</v>
      </c>
      <c r="CE180" s="465">
        <v>4406</v>
      </c>
      <c r="CF180" s="466">
        <v>5090</v>
      </c>
      <c r="CG180" s="466">
        <v>5680</v>
      </c>
      <c r="CH180" s="467">
        <v>6266</v>
      </c>
      <c r="CI180" s="3"/>
      <c r="CJ180" s="862">
        <v>2292</v>
      </c>
      <c r="CK180" s="862">
        <v>2818</v>
      </c>
      <c r="CL180" s="862">
        <v>3359</v>
      </c>
      <c r="CM180" s="862">
        <v>4112</v>
      </c>
      <c r="CN180" s="862">
        <v>4473</v>
      </c>
      <c r="CR180" s="23" t="s">
        <v>219</v>
      </c>
      <c r="CS180" s="324">
        <v>384234</v>
      </c>
      <c r="CT180" s="324">
        <v>443018</v>
      </c>
      <c r="CU180" s="324">
        <v>534400</v>
      </c>
      <c r="CV180" s="324">
        <v>684032</v>
      </c>
      <c r="CW180" s="324">
        <v>762054</v>
      </c>
      <c r="CX180" s="14"/>
      <c r="CY180" s="23" t="s">
        <v>219</v>
      </c>
      <c r="CZ180" s="324">
        <v>384234</v>
      </c>
      <c r="DA180" s="324">
        <v>443018</v>
      </c>
      <c r="DB180" s="324">
        <v>534400</v>
      </c>
      <c r="DC180" s="324">
        <v>684032</v>
      </c>
      <c r="DD180" s="324">
        <v>762054</v>
      </c>
    </row>
    <row r="181" spans="1:108" ht="13" customHeight="1">
      <c r="C181" s="8"/>
      <c r="E181" s="4" t="s">
        <v>975</v>
      </c>
      <c r="BN181" s="23" t="s">
        <v>224</v>
      </c>
      <c r="BS181">
        <v>7</v>
      </c>
      <c r="BT181" t="s">
        <v>56</v>
      </c>
      <c r="CB181" s="351" t="s">
        <v>53</v>
      </c>
      <c r="CC181" s="465">
        <v>1540</v>
      </c>
      <c r="CD181" s="466">
        <v>1650</v>
      </c>
      <c r="CE181" s="465">
        <v>1980</v>
      </c>
      <c r="CF181" s="466">
        <v>2286</v>
      </c>
      <c r="CG181" s="466">
        <v>2550</v>
      </c>
      <c r="CH181" s="467">
        <v>2812</v>
      </c>
      <c r="CI181" s="3"/>
      <c r="CJ181" s="862">
        <v>891</v>
      </c>
      <c r="CK181" s="862">
        <v>1010</v>
      </c>
      <c r="CL181" s="862">
        <v>1218</v>
      </c>
      <c r="CM181" s="862">
        <v>1716</v>
      </c>
      <c r="CN181" s="862">
        <v>2067</v>
      </c>
      <c r="CR181" s="23" t="s">
        <v>220</v>
      </c>
      <c r="CS181" s="322">
        <v>352022</v>
      </c>
      <c r="CT181" s="322">
        <v>405878</v>
      </c>
      <c r="CU181" s="322">
        <v>489600</v>
      </c>
      <c r="CV181" s="322">
        <v>626688</v>
      </c>
      <c r="CW181" s="322">
        <v>698170</v>
      </c>
      <c r="CX181" s="14"/>
      <c r="CY181" s="23" t="s">
        <v>220</v>
      </c>
      <c r="CZ181" s="322">
        <v>352022</v>
      </c>
      <c r="DA181" s="322">
        <v>405878</v>
      </c>
      <c r="DB181" s="322">
        <v>489600</v>
      </c>
      <c r="DC181" s="322">
        <v>626688</v>
      </c>
      <c r="DD181" s="322">
        <v>698170</v>
      </c>
    </row>
    <row r="182" spans="1:108" ht="13" customHeight="1">
      <c r="C182" s="531"/>
      <c r="BN182" s="23" t="s">
        <v>225</v>
      </c>
      <c r="BS182">
        <v>7</v>
      </c>
      <c r="BT182" t="s">
        <v>60</v>
      </c>
      <c r="CB182" s="351" t="s">
        <v>54</v>
      </c>
      <c r="CC182" s="465">
        <v>1582</v>
      </c>
      <c r="CD182" s="466">
        <v>1696</v>
      </c>
      <c r="CE182" s="465">
        <v>2034</v>
      </c>
      <c r="CF182" s="466">
        <v>2350</v>
      </c>
      <c r="CG182" s="466">
        <v>2622</v>
      </c>
      <c r="CH182" s="467">
        <v>2892</v>
      </c>
      <c r="CI182" s="3"/>
      <c r="CJ182" s="862">
        <v>1119</v>
      </c>
      <c r="CK182" s="862">
        <v>1132</v>
      </c>
      <c r="CL182" s="862">
        <v>1488</v>
      </c>
      <c r="CM182" s="862">
        <v>2097</v>
      </c>
      <c r="CN182" s="862">
        <v>2525</v>
      </c>
      <c r="CR182" s="23" t="s">
        <v>221</v>
      </c>
      <c r="CS182" s="324">
        <v>352022</v>
      </c>
      <c r="CT182" s="324">
        <v>405878</v>
      </c>
      <c r="CU182" s="324">
        <v>489600</v>
      </c>
      <c r="CV182" s="324">
        <v>626688</v>
      </c>
      <c r="CW182" s="324">
        <v>698170</v>
      </c>
      <c r="CX182" s="14"/>
      <c r="CY182" s="23" t="s">
        <v>221</v>
      </c>
      <c r="CZ182" s="324">
        <v>352022</v>
      </c>
      <c r="DA182" s="324">
        <v>405878</v>
      </c>
      <c r="DB182" s="324">
        <v>489600</v>
      </c>
      <c r="DC182" s="324">
        <v>626688</v>
      </c>
      <c r="DD182" s="324">
        <v>698170</v>
      </c>
    </row>
    <row r="183" spans="1:108" ht="13" customHeight="1">
      <c r="A183" s="2" t="s">
        <v>575</v>
      </c>
      <c r="C183" s="2" t="s">
        <v>576</v>
      </c>
      <c r="BN183" s="23" t="s">
        <v>227</v>
      </c>
      <c r="BS183">
        <v>4</v>
      </c>
      <c r="BT183" t="s">
        <v>61</v>
      </c>
      <c r="CB183" s="351" t="s">
        <v>55</v>
      </c>
      <c r="CC183" s="465">
        <v>1540</v>
      </c>
      <c r="CD183" s="466">
        <v>1650</v>
      </c>
      <c r="CE183" s="465">
        <v>1980</v>
      </c>
      <c r="CF183" s="466">
        <v>2286</v>
      </c>
      <c r="CG183" s="466">
        <v>2550</v>
      </c>
      <c r="CH183" s="467">
        <v>2812</v>
      </c>
      <c r="CI183" s="3"/>
      <c r="CJ183" s="862">
        <v>994</v>
      </c>
      <c r="CK183" s="862">
        <v>1159</v>
      </c>
      <c r="CL183" s="862">
        <v>1420</v>
      </c>
      <c r="CM183" s="862">
        <v>1995</v>
      </c>
      <c r="CN183" s="862">
        <v>2410</v>
      </c>
      <c r="CR183" s="23" t="s">
        <v>223</v>
      </c>
      <c r="CS183" s="322">
        <v>307732</v>
      </c>
      <c r="CT183" s="322">
        <v>354812</v>
      </c>
      <c r="CU183" s="322">
        <v>428000</v>
      </c>
      <c r="CV183" s="322">
        <v>547840</v>
      </c>
      <c r="CW183" s="322">
        <v>610328</v>
      </c>
      <c r="CX183" s="14"/>
      <c r="CY183" s="23" t="s">
        <v>223</v>
      </c>
      <c r="CZ183" s="322">
        <v>307732</v>
      </c>
      <c r="DA183" s="322">
        <v>354812</v>
      </c>
      <c r="DB183" s="322">
        <v>428000</v>
      </c>
      <c r="DC183" s="322">
        <v>547840</v>
      </c>
      <c r="DD183" s="322">
        <v>610328</v>
      </c>
    </row>
    <row r="184" spans="1:108" ht="13" customHeight="1">
      <c r="C184" s="21"/>
      <c r="D184" t="s">
        <v>577</v>
      </c>
      <c r="I184" s="1476" t="str">
        <f>H18</f>
        <v>George McDonald Court</v>
      </c>
      <c r="J184" s="1476"/>
      <c r="K184" s="1476"/>
      <c r="L184" s="1476"/>
      <c r="M184" s="1476"/>
      <c r="N184" s="1476"/>
      <c r="O184" s="1476"/>
      <c r="P184" s="1476"/>
      <c r="Q184" s="1476"/>
      <c r="R184" s="1476"/>
      <c r="S184" s="1476"/>
      <c r="T184" s="1476"/>
      <c r="U184" s="1476"/>
      <c r="V184" s="1476"/>
      <c r="W184" s="1476"/>
      <c r="X184" s="1476"/>
      <c r="Y184" s="1476"/>
      <c r="Z184" s="1476"/>
      <c r="AA184" s="1476"/>
      <c r="AB184" s="1476"/>
      <c r="AC184" s="1476"/>
      <c r="AD184" s="1476"/>
      <c r="AE184" s="1476"/>
      <c r="BC184" t="s">
        <v>586</v>
      </c>
      <c r="BN184" s="23" t="s">
        <v>229</v>
      </c>
      <c r="BS184">
        <v>4</v>
      </c>
      <c r="BT184" t="s">
        <v>62</v>
      </c>
      <c r="CB184" s="351" t="s">
        <v>56</v>
      </c>
      <c r="CC184" s="465">
        <v>1540</v>
      </c>
      <c r="CD184" s="466">
        <v>1650</v>
      </c>
      <c r="CE184" s="465">
        <v>1980</v>
      </c>
      <c r="CF184" s="466">
        <v>2286</v>
      </c>
      <c r="CG184" s="466">
        <v>2550</v>
      </c>
      <c r="CH184" s="467">
        <v>2812</v>
      </c>
      <c r="CI184" s="3"/>
      <c r="CJ184" s="862">
        <v>660</v>
      </c>
      <c r="CK184" s="862">
        <v>802</v>
      </c>
      <c r="CL184" s="862">
        <v>958</v>
      </c>
      <c r="CM184" s="862">
        <v>1158</v>
      </c>
      <c r="CN184" s="862">
        <v>1572</v>
      </c>
      <c r="CR184" s="23" t="s">
        <v>224</v>
      </c>
      <c r="CS184" s="324">
        <v>352022</v>
      </c>
      <c r="CT184" s="324">
        <v>405878</v>
      </c>
      <c r="CU184" s="324">
        <v>489600</v>
      </c>
      <c r="CV184" s="324">
        <v>626688</v>
      </c>
      <c r="CW184" s="324">
        <v>698170</v>
      </c>
      <c r="CX184" s="14"/>
      <c r="CY184" s="23" t="s">
        <v>224</v>
      </c>
      <c r="CZ184" s="324">
        <v>352022</v>
      </c>
      <c r="DA184" s="324">
        <v>405878</v>
      </c>
      <c r="DB184" s="324">
        <v>489600</v>
      </c>
      <c r="DC184" s="324">
        <v>626688</v>
      </c>
      <c r="DD184" s="324">
        <v>698170</v>
      </c>
    </row>
    <row r="185" spans="1:108" ht="13" customHeight="1">
      <c r="C185" s="21"/>
      <c r="D185" t="s">
        <v>578</v>
      </c>
      <c r="I185" s="1351" t="s">
        <v>2615</v>
      </c>
      <c r="J185" s="1351"/>
      <c r="K185" s="1351"/>
      <c r="L185" s="1351"/>
      <c r="M185" s="1351"/>
      <c r="N185" s="1351"/>
      <c r="O185" s="1351"/>
      <c r="P185" s="1351"/>
      <c r="Q185" s="1351"/>
      <c r="R185" s="1351"/>
      <c r="S185" s="1351"/>
      <c r="T185" s="1351"/>
      <c r="U185" s="1351"/>
      <c r="V185" s="1351"/>
      <c r="W185" s="1351"/>
      <c r="X185" s="1351"/>
      <c r="Y185" s="1351"/>
      <c r="Z185" s="1351"/>
      <c r="AA185" s="1351"/>
      <c r="AB185" s="1351"/>
      <c r="AC185" s="1351"/>
      <c r="AD185" s="1351"/>
      <c r="AE185" s="1351"/>
      <c r="BC185" t="s">
        <v>587</v>
      </c>
      <c r="BN185" s="23" t="s">
        <v>230</v>
      </c>
      <c r="BS185">
        <v>7</v>
      </c>
      <c r="BT185" t="s">
        <v>63</v>
      </c>
      <c r="CB185" s="351" t="s">
        <v>60</v>
      </c>
      <c r="CC185" s="465">
        <v>1634</v>
      </c>
      <c r="CD185" s="466">
        <v>1752</v>
      </c>
      <c r="CE185" s="465">
        <v>2102</v>
      </c>
      <c r="CF185" s="466">
        <v>2430</v>
      </c>
      <c r="CG185" s="466">
        <v>2710</v>
      </c>
      <c r="CH185" s="467">
        <v>2990</v>
      </c>
      <c r="CI185" s="3"/>
      <c r="CJ185" s="862">
        <v>1000</v>
      </c>
      <c r="CK185" s="862">
        <v>1292</v>
      </c>
      <c r="CL185" s="862">
        <v>1450</v>
      </c>
      <c r="CM185" s="862">
        <v>2043</v>
      </c>
      <c r="CN185" s="862">
        <v>2380</v>
      </c>
      <c r="CR185" s="23" t="s">
        <v>225</v>
      </c>
      <c r="CS185" s="322">
        <v>352022</v>
      </c>
      <c r="CT185" s="322">
        <v>405878</v>
      </c>
      <c r="CU185" s="322">
        <v>489600</v>
      </c>
      <c r="CV185" s="322">
        <v>626688</v>
      </c>
      <c r="CW185" s="322">
        <v>698170</v>
      </c>
      <c r="CX185" s="14"/>
      <c r="CY185" s="23" t="s">
        <v>225</v>
      </c>
      <c r="CZ185" s="322">
        <v>352022</v>
      </c>
      <c r="DA185" s="322">
        <v>405878</v>
      </c>
      <c r="DB185" s="322">
        <v>489600</v>
      </c>
      <c r="DC185" s="322">
        <v>626688</v>
      </c>
      <c r="DD185" s="322">
        <v>698170</v>
      </c>
    </row>
    <row r="186" spans="1:108" ht="13" customHeight="1">
      <c r="C186" s="21"/>
      <c r="E186" t="s">
        <v>167</v>
      </c>
      <c r="BN186" s="23" t="s">
        <v>231</v>
      </c>
      <c r="BS186">
        <v>4</v>
      </c>
      <c r="BT186" t="s">
        <v>64</v>
      </c>
      <c r="CB186" s="351" t="s">
        <v>61</v>
      </c>
      <c r="CC186" s="465">
        <v>2316</v>
      </c>
      <c r="CD186" s="466">
        <v>2482</v>
      </c>
      <c r="CE186" s="465">
        <v>2980</v>
      </c>
      <c r="CF186" s="466">
        <v>3442</v>
      </c>
      <c r="CG186" s="466">
        <v>3840</v>
      </c>
      <c r="CH186" s="467">
        <v>4236</v>
      </c>
      <c r="CI186" s="3"/>
      <c r="CJ186" s="862">
        <v>2340</v>
      </c>
      <c r="CK186" s="862">
        <v>2367</v>
      </c>
      <c r="CL186" s="862">
        <v>2879</v>
      </c>
      <c r="CM186" s="862">
        <v>3990</v>
      </c>
      <c r="CN186" s="862">
        <v>4400</v>
      </c>
      <c r="CR186" s="23" t="s">
        <v>227</v>
      </c>
      <c r="CS186" s="324">
        <v>404366</v>
      </c>
      <c r="CT186" s="324">
        <v>466230</v>
      </c>
      <c r="CU186" s="324">
        <v>562400</v>
      </c>
      <c r="CV186" s="324">
        <v>719872</v>
      </c>
      <c r="CW186" s="324">
        <v>801982</v>
      </c>
      <c r="CX186" s="14"/>
      <c r="CY186" s="23" t="s">
        <v>227</v>
      </c>
      <c r="CZ186" s="324">
        <v>404366</v>
      </c>
      <c r="DA186" s="324">
        <v>466230</v>
      </c>
      <c r="DB186" s="324">
        <v>562400</v>
      </c>
      <c r="DC186" s="324">
        <v>719872</v>
      </c>
      <c r="DD186" s="324">
        <v>801982</v>
      </c>
    </row>
    <row r="187" spans="1:108" ht="13" customHeight="1">
      <c r="C187" s="21"/>
      <c r="E187" s="1452"/>
      <c r="F187" s="1452"/>
      <c r="G187" s="1452"/>
      <c r="H187" s="1452"/>
      <c r="I187" s="1452"/>
      <c r="J187" s="1452"/>
      <c r="K187" s="1452"/>
      <c r="L187" s="1452"/>
      <c r="M187" s="1452"/>
      <c r="N187" s="1452"/>
      <c r="O187" s="1452"/>
      <c r="P187" s="1452"/>
      <c r="Q187" s="1452"/>
      <c r="R187" s="1452"/>
      <c r="S187" s="1452"/>
      <c r="T187" s="1452"/>
      <c r="U187" s="1452"/>
      <c r="V187" s="1452"/>
      <c r="W187" s="1452"/>
      <c r="X187" s="1452"/>
      <c r="Y187" s="1452"/>
      <c r="Z187" s="1452"/>
      <c r="AA187" s="1452"/>
      <c r="AB187" s="1452"/>
      <c r="AC187" s="1452"/>
      <c r="AD187" s="1452"/>
      <c r="AE187" s="1452"/>
      <c r="BN187" s="23" t="s">
        <v>232</v>
      </c>
      <c r="BS187">
        <v>6</v>
      </c>
      <c r="BT187" t="s">
        <v>65</v>
      </c>
      <c r="CB187" s="351" t="s">
        <v>62</v>
      </c>
      <c r="CC187" s="465">
        <v>2570</v>
      </c>
      <c r="CD187" s="466">
        <v>2752</v>
      </c>
      <c r="CE187" s="465">
        <v>3304</v>
      </c>
      <c r="CF187" s="466">
        <v>3816</v>
      </c>
      <c r="CG187" s="466">
        <v>4256</v>
      </c>
      <c r="CH187" s="467">
        <v>4698</v>
      </c>
      <c r="CI187" s="3"/>
      <c r="CJ187" s="862">
        <v>1819</v>
      </c>
      <c r="CK187" s="862">
        <v>2043</v>
      </c>
      <c r="CL187" s="862">
        <v>2684</v>
      </c>
      <c r="CM187" s="862">
        <v>3634</v>
      </c>
      <c r="CN187" s="862">
        <v>3915</v>
      </c>
      <c r="CR187" s="23" t="s">
        <v>229</v>
      </c>
      <c r="CS187" s="322">
        <v>384234</v>
      </c>
      <c r="CT187" s="322">
        <v>443018</v>
      </c>
      <c r="CU187" s="322">
        <v>534400</v>
      </c>
      <c r="CV187" s="322">
        <v>684032</v>
      </c>
      <c r="CW187" s="322">
        <v>762054</v>
      </c>
      <c r="CX187" s="14"/>
      <c r="CY187" s="23" t="s">
        <v>229</v>
      </c>
      <c r="CZ187" s="322">
        <v>384234</v>
      </c>
      <c r="DA187" s="322">
        <v>443018</v>
      </c>
      <c r="DB187" s="322">
        <v>534400</v>
      </c>
      <c r="DC187" s="322">
        <v>684032</v>
      </c>
      <c r="DD187" s="322">
        <v>762054</v>
      </c>
    </row>
    <row r="188" spans="1:108" ht="13" customHeight="1">
      <c r="C188" s="21"/>
      <c r="E188" s="1453"/>
      <c r="F188" s="1453"/>
      <c r="G188" s="1453"/>
      <c r="H188" s="1453"/>
      <c r="I188" s="1453"/>
      <c r="J188" s="1453"/>
      <c r="K188" s="1453"/>
      <c r="L188" s="1453"/>
      <c r="M188" s="1453"/>
      <c r="N188" s="1453"/>
      <c r="O188" s="1453"/>
      <c r="P188" s="1453"/>
      <c r="Q188" s="1453"/>
      <c r="R188" s="1453"/>
      <c r="S188" s="1453"/>
      <c r="T188" s="1453"/>
      <c r="U188" s="1453"/>
      <c r="V188" s="1453"/>
      <c r="W188" s="1453"/>
      <c r="X188" s="1453"/>
      <c r="Y188" s="1453"/>
      <c r="Z188" s="1453"/>
      <c r="AA188" s="1453"/>
      <c r="AB188" s="1453"/>
      <c r="AC188" s="1453"/>
      <c r="AD188" s="1453"/>
      <c r="AE188" s="1453"/>
      <c r="BN188" s="23" t="s">
        <v>234</v>
      </c>
      <c r="BS188">
        <v>7</v>
      </c>
      <c r="BT188" t="s">
        <v>66</v>
      </c>
      <c r="CB188" s="351" t="s">
        <v>63</v>
      </c>
      <c r="CC188" s="465">
        <v>1824</v>
      </c>
      <c r="CD188" s="466">
        <v>1954</v>
      </c>
      <c r="CE188" s="465">
        <v>2344</v>
      </c>
      <c r="CF188" s="466">
        <v>2710</v>
      </c>
      <c r="CG188" s="466">
        <v>3022</v>
      </c>
      <c r="CH188" s="467">
        <v>3336</v>
      </c>
      <c r="CI188" s="3"/>
      <c r="CJ188" s="862">
        <v>1209</v>
      </c>
      <c r="CK188" s="862">
        <v>1217</v>
      </c>
      <c r="CL188" s="862">
        <v>1596</v>
      </c>
      <c r="CM188" s="862">
        <v>2249</v>
      </c>
      <c r="CN188" s="862">
        <v>2708</v>
      </c>
      <c r="CR188" s="23" t="s">
        <v>230</v>
      </c>
      <c r="CS188" s="324">
        <v>352022</v>
      </c>
      <c r="CT188" s="324">
        <v>405878</v>
      </c>
      <c r="CU188" s="324">
        <v>489600</v>
      </c>
      <c r="CV188" s="324">
        <v>626688</v>
      </c>
      <c r="CW188" s="324">
        <v>698170</v>
      </c>
      <c r="CX188" s="14"/>
      <c r="CY188" s="23" t="s">
        <v>230</v>
      </c>
      <c r="CZ188" s="324">
        <v>352022</v>
      </c>
      <c r="DA188" s="324">
        <v>405878</v>
      </c>
      <c r="DB188" s="324">
        <v>489600</v>
      </c>
      <c r="DC188" s="324">
        <v>626688</v>
      </c>
      <c r="DD188" s="324">
        <v>698170</v>
      </c>
    </row>
    <row r="189" spans="1:108" ht="13" customHeight="1">
      <c r="C189" s="21"/>
      <c r="D189" t="s">
        <v>579</v>
      </c>
      <c r="I189" s="1491" t="s">
        <v>493</v>
      </c>
      <c r="J189" s="1352"/>
      <c r="K189" s="1352"/>
      <c r="L189" s="1352"/>
      <c r="M189" s="1352"/>
      <c r="N189" s="1352"/>
      <c r="O189" s="1352"/>
      <c r="P189" s="1352"/>
      <c r="Q189" t="s">
        <v>581</v>
      </c>
      <c r="T189" s="1352" t="s">
        <v>493</v>
      </c>
      <c r="U189" s="1352"/>
      <c r="V189" s="1352"/>
      <c r="W189" s="1352"/>
      <c r="X189" s="1352"/>
      <c r="Y189" s="1352"/>
      <c r="Z189" s="1352"/>
      <c r="AA189" s="1352"/>
      <c r="AB189" s="1352"/>
      <c r="AC189" s="1352"/>
      <c r="AD189" s="1352"/>
      <c r="AE189" s="1352"/>
      <c r="BC189" t="s">
        <v>306</v>
      </c>
      <c r="BH189" s="3" t="s">
        <v>590</v>
      </c>
      <c r="BN189" s="23" t="s">
        <v>235</v>
      </c>
      <c r="BS189">
        <v>5</v>
      </c>
      <c r="BT189" t="s">
        <v>67</v>
      </c>
      <c r="CB189" s="351" t="s">
        <v>64</v>
      </c>
      <c r="CC189" s="465">
        <v>2762</v>
      </c>
      <c r="CD189" s="466">
        <v>2958</v>
      </c>
      <c r="CE189" s="465">
        <v>3552</v>
      </c>
      <c r="CF189" s="466">
        <v>4102</v>
      </c>
      <c r="CG189" s="466">
        <v>4576</v>
      </c>
      <c r="CH189" s="467">
        <v>5050</v>
      </c>
      <c r="CI189" s="34"/>
      <c r="CJ189" s="1042">
        <v>2200</v>
      </c>
      <c r="CK189" s="1042">
        <v>2344</v>
      </c>
      <c r="CL189" s="1042">
        <v>2783</v>
      </c>
      <c r="CM189" s="1042">
        <v>3769</v>
      </c>
      <c r="CN189" s="1042">
        <v>4467</v>
      </c>
      <c r="CR189" s="23" t="s">
        <v>231</v>
      </c>
      <c r="CS189" s="322">
        <v>396888</v>
      </c>
      <c r="CT189" s="322">
        <v>457608</v>
      </c>
      <c r="CU189" s="322">
        <v>552000</v>
      </c>
      <c r="CV189" s="322">
        <v>706560</v>
      </c>
      <c r="CW189" s="322">
        <v>787152</v>
      </c>
      <c r="CX189" s="14"/>
      <c r="CY189" s="23" t="s">
        <v>231</v>
      </c>
      <c r="CZ189" s="322">
        <v>396888</v>
      </c>
      <c r="DA189" s="322">
        <v>457608</v>
      </c>
      <c r="DB189" s="322">
        <v>552000</v>
      </c>
      <c r="DC189" s="322">
        <v>706560</v>
      </c>
      <c r="DD189" s="322">
        <v>787152</v>
      </c>
    </row>
    <row r="190" spans="1:108" ht="13" customHeight="1">
      <c r="C190" s="21"/>
      <c r="D190" t="s">
        <v>582</v>
      </c>
      <c r="I190" s="1351">
        <v>90002</v>
      </c>
      <c r="J190" s="1351"/>
      <c r="K190" s="1351"/>
      <c r="L190" s="1351"/>
      <c r="M190" s="1351"/>
      <c r="N190" s="1351"/>
      <c r="O190" t="s">
        <v>584</v>
      </c>
      <c r="T190" s="1545">
        <v>2422.0100000000002</v>
      </c>
      <c r="U190" s="1545"/>
      <c r="V190" s="1545"/>
      <c r="W190" s="1545"/>
      <c r="X190" s="1545"/>
      <c r="Y190" s="1545"/>
      <c r="Z190" s="1545"/>
      <c r="AA190" s="1545"/>
      <c r="AB190" s="1545"/>
      <c r="AC190" s="1545"/>
      <c r="AD190" s="1545"/>
      <c r="AE190" s="1545"/>
      <c r="BC190" t="s">
        <v>1040</v>
      </c>
      <c r="BH190" t="s">
        <v>1040</v>
      </c>
      <c r="BN190" s="23" t="s">
        <v>634</v>
      </c>
      <c r="BS190">
        <v>6</v>
      </c>
      <c r="BT190" t="s">
        <v>68</v>
      </c>
      <c r="CB190" s="351" t="s">
        <v>65</v>
      </c>
      <c r="CC190" s="465">
        <v>2064</v>
      </c>
      <c r="CD190" s="466">
        <v>2210</v>
      </c>
      <c r="CE190" s="465">
        <v>2652</v>
      </c>
      <c r="CF190" s="466">
        <v>3064</v>
      </c>
      <c r="CG190" s="466">
        <v>3420</v>
      </c>
      <c r="CH190" s="467">
        <v>3772</v>
      </c>
      <c r="CI190" s="34"/>
      <c r="CJ190" s="1042">
        <v>1543</v>
      </c>
      <c r="CK190" s="1042">
        <v>1666</v>
      </c>
      <c r="CL190" s="1042">
        <v>2072</v>
      </c>
      <c r="CM190" s="1042">
        <v>2884</v>
      </c>
      <c r="CN190" s="1042">
        <v>3321</v>
      </c>
      <c r="CR190" s="23" t="s">
        <v>232</v>
      </c>
      <c r="CS190" s="324">
        <v>331890</v>
      </c>
      <c r="CT190" s="324">
        <v>382666</v>
      </c>
      <c r="CU190" s="324">
        <v>461600</v>
      </c>
      <c r="CV190" s="324">
        <v>590848</v>
      </c>
      <c r="CW190" s="324">
        <v>658242</v>
      </c>
      <c r="CX190" s="14"/>
      <c r="CY190" s="23" t="s">
        <v>232</v>
      </c>
      <c r="CZ190" s="324">
        <v>331890</v>
      </c>
      <c r="DA190" s="324">
        <v>382666</v>
      </c>
      <c r="DB190" s="324">
        <v>461600</v>
      </c>
      <c r="DC190" s="324">
        <v>590848</v>
      </c>
      <c r="DD190" s="324">
        <v>658242</v>
      </c>
    </row>
    <row r="191" spans="1:108" ht="13" customHeight="1">
      <c r="C191" s="21"/>
      <c r="D191" t="s">
        <v>461</v>
      </c>
      <c r="N191" s="1452" t="s">
        <v>2616</v>
      </c>
      <c r="O191" s="1452"/>
      <c r="P191" s="1452"/>
      <c r="Q191" s="1452"/>
      <c r="R191" s="1452"/>
      <c r="S191" s="1452"/>
      <c r="T191" s="1452"/>
      <c r="U191" s="1452"/>
      <c r="V191" s="1452"/>
      <c r="W191" s="1452"/>
      <c r="X191" s="1452"/>
      <c r="Y191" s="1452"/>
      <c r="Z191" s="1452"/>
      <c r="AA191" s="1452"/>
      <c r="AB191" s="1452"/>
      <c r="AC191" s="1452"/>
      <c r="AD191" s="1452"/>
      <c r="AE191" s="1452"/>
      <c r="BC191" t="s">
        <v>1039</v>
      </c>
      <c r="BH191" t="s">
        <v>1039</v>
      </c>
      <c r="BN191" s="23" t="s">
        <v>687</v>
      </c>
      <c r="BS191">
        <v>4</v>
      </c>
      <c r="BT191" t="s">
        <v>726</v>
      </c>
      <c r="CB191" s="351" t="s">
        <v>66</v>
      </c>
      <c r="CC191" s="465">
        <v>1612</v>
      </c>
      <c r="CD191" s="466">
        <v>1726</v>
      </c>
      <c r="CE191" s="465">
        <v>2072</v>
      </c>
      <c r="CF191" s="466">
        <v>2394</v>
      </c>
      <c r="CG191" s="466">
        <v>2672</v>
      </c>
      <c r="CH191" s="467">
        <v>2948</v>
      </c>
      <c r="CI191" s="34"/>
      <c r="CJ191" s="1042">
        <v>803</v>
      </c>
      <c r="CK191" s="1042">
        <v>887</v>
      </c>
      <c r="CL191" s="1042">
        <v>1165</v>
      </c>
      <c r="CM191" s="1042">
        <v>1642</v>
      </c>
      <c r="CN191" s="1042">
        <v>1867</v>
      </c>
      <c r="CR191" s="23" t="s">
        <v>234</v>
      </c>
      <c r="CS191" s="322">
        <v>352022</v>
      </c>
      <c r="CT191" s="322">
        <v>405878</v>
      </c>
      <c r="CU191" s="322">
        <v>489600</v>
      </c>
      <c r="CV191" s="322">
        <v>626688</v>
      </c>
      <c r="CW191" s="322">
        <v>698170</v>
      </c>
      <c r="CX191" s="14"/>
      <c r="CY191" s="23" t="s">
        <v>234</v>
      </c>
      <c r="CZ191" s="322">
        <v>352022</v>
      </c>
      <c r="DA191" s="322">
        <v>405878</v>
      </c>
      <c r="DB191" s="322">
        <v>489600</v>
      </c>
      <c r="DC191" s="322">
        <v>626688</v>
      </c>
      <c r="DD191" s="322">
        <v>698170</v>
      </c>
    </row>
    <row r="192" spans="1:108" ht="13" customHeight="1">
      <c r="C192" s="21"/>
      <c r="M192" s="40"/>
      <c r="N192" s="1453"/>
      <c r="O192" s="1453"/>
      <c r="P192" s="1453"/>
      <c r="Q192" s="1453"/>
      <c r="R192" s="1453"/>
      <c r="S192" s="1453"/>
      <c r="T192" s="1453"/>
      <c r="U192" s="1453"/>
      <c r="V192" s="1453"/>
      <c r="W192" s="1453"/>
      <c r="X192" s="1453"/>
      <c r="Y192" s="1453"/>
      <c r="Z192" s="1453"/>
      <c r="AA192" s="1453"/>
      <c r="AB192" s="1453"/>
      <c r="AC192" s="1453"/>
      <c r="AD192" s="1453"/>
      <c r="AE192" s="1453"/>
      <c r="BC192" t="s">
        <v>1042</v>
      </c>
      <c r="BH192" s="3" t="s">
        <v>1363</v>
      </c>
      <c r="BN192" s="23" t="s">
        <v>688</v>
      </c>
      <c r="BS192">
        <v>5</v>
      </c>
      <c r="BT192" t="s">
        <v>727</v>
      </c>
      <c r="CB192" s="351" t="s">
        <v>67</v>
      </c>
      <c r="CC192" s="465">
        <v>1794</v>
      </c>
      <c r="CD192" s="466">
        <v>1922</v>
      </c>
      <c r="CE192" s="465">
        <v>2304</v>
      </c>
      <c r="CF192" s="466">
        <v>2664</v>
      </c>
      <c r="CG192" s="466">
        <v>2972</v>
      </c>
      <c r="CH192" s="467">
        <v>3280</v>
      </c>
      <c r="CI192" s="34"/>
      <c r="CJ192" s="1042">
        <v>1517</v>
      </c>
      <c r="CK192" s="1042">
        <v>1611</v>
      </c>
      <c r="CL192" s="1042">
        <v>2010</v>
      </c>
      <c r="CM192" s="1042">
        <v>2707</v>
      </c>
      <c r="CN192" s="1042">
        <v>3304</v>
      </c>
      <c r="CR192" s="23" t="s">
        <v>235</v>
      </c>
      <c r="CS192" s="324">
        <v>324988</v>
      </c>
      <c r="CT192" s="324">
        <v>374708</v>
      </c>
      <c r="CU192" s="324">
        <v>452000</v>
      </c>
      <c r="CV192" s="324">
        <v>578560</v>
      </c>
      <c r="CW192" s="324">
        <v>644552</v>
      </c>
      <c r="CX192" s="14"/>
      <c r="CY192" s="23" t="s">
        <v>235</v>
      </c>
      <c r="CZ192" s="324">
        <v>324988</v>
      </c>
      <c r="DA192" s="324">
        <v>374708</v>
      </c>
      <c r="DB192" s="324">
        <v>452000</v>
      </c>
      <c r="DC192" s="324">
        <v>578560</v>
      </c>
      <c r="DD192" s="324">
        <v>644552</v>
      </c>
    </row>
    <row r="193" spans="1:108" ht="13" customHeight="1">
      <c r="C193" s="21"/>
      <c r="D193" t="s">
        <v>2082</v>
      </c>
      <c r="M193" s="40"/>
      <c r="N193" s="895"/>
      <c r="O193" s="895"/>
      <c r="P193" s="895"/>
      <c r="Q193" s="895"/>
      <c r="R193" s="895"/>
      <c r="S193" s="895"/>
      <c r="T193" s="1540" t="s">
        <v>2214</v>
      </c>
      <c r="U193" s="1540"/>
      <c r="V193" s="1540"/>
      <c r="W193" s="1540"/>
      <c r="X193" s="1540"/>
      <c r="Y193" s="1540"/>
      <c r="Z193" s="1540"/>
      <c r="AA193" s="1540"/>
      <c r="AB193" s="1540"/>
      <c r="AC193" s="1540"/>
      <c r="AD193" s="1540"/>
      <c r="AE193" s="1540"/>
      <c r="AF193" s="1540"/>
      <c r="AG193" s="1540"/>
      <c r="AH193" s="1540"/>
      <c r="AI193" s="1540"/>
      <c r="BC193" t="s">
        <v>1041</v>
      </c>
      <c r="BH193" s="3" t="s">
        <v>1628</v>
      </c>
      <c r="BN193" s="23" t="s">
        <v>689</v>
      </c>
      <c r="BS193">
        <v>4</v>
      </c>
      <c r="BT193" t="s">
        <v>728</v>
      </c>
      <c r="CB193" s="351" t="s">
        <v>68</v>
      </c>
      <c r="CC193" s="465">
        <v>2064</v>
      </c>
      <c r="CD193" s="466">
        <v>2210</v>
      </c>
      <c r="CE193" s="465">
        <v>2652</v>
      </c>
      <c r="CF193" s="466">
        <v>3064</v>
      </c>
      <c r="CG193" s="466">
        <v>3420</v>
      </c>
      <c r="CH193" s="467">
        <v>3772</v>
      </c>
      <c r="CI193" s="34"/>
      <c r="CJ193" s="1042">
        <v>1543</v>
      </c>
      <c r="CK193" s="1042">
        <v>1666</v>
      </c>
      <c r="CL193" s="1042">
        <v>2072</v>
      </c>
      <c r="CM193" s="1042">
        <v>2884</v>
      </c>
      <c r="CN193" s="1042">
        <v>3321</v>
      </c>
      <c r="CR193" s="23" t="s">
        <v>634</v>
      </c>
      <c r="CS193" s="322">
        <v>331890</v>
      </c>
      <c r="CT193" s="322">
        <v>382666</v>
      </c>
      <c r="CU193" s="322">
        <v>461600</v>
      </c>
      <c r="CV193" s="322">
        <v>590848</v>
      </c>
      <c r="CW193" s="322">
        <v>658242</v>
      </c>
      <c r="CX193" s="14"/>
      <c r="CY193" s="23" t="s">
        <v>634</v>
      </c>
      <c r="CZ193" s="322">
        <v>331890</v>
      </c>
      <c r="DA193" s="322">
        <v>382666</v>
      </c>
      <c r="DB193" s="322">
        <v>461600</v>
      </c>
      <c r="DC193" s="322">
        <v>590848</v>
      </c>
      <c r="DD193" s="322">
        <v>658242</v>
      </c>
    </row>
    <row r="194" spans="1:108" ht="13" customHeight="1">
      <c r="C194" s="21"/>
      <c r="D194" s="3" t="s">
        <v>2216</v>
      </c>
      <c r="M194" s="40"/>
      <c r="N194" s="895"/>
      <c r="O194" s="895"/>
      <c r="P194" s="895"/>
      <c r="Q194" s="895"/>
      <c r="R194" s="895"/>
      <c r="S194" s="895"/>
      <c r="AH194" s="1446" t="s">
        <v>668</v>
      </c>
      <c r="AI194" s="1446"/>
      <c r="BC194" t="s">
        <v>1363</v>
      </c>
      <c r="BN194" s="23" t="s">
        <v>690</v>
      </c>
      <c r="BS194">
        <v>2</v>
      </c>
      <c r="BT194" t="s">
        <v>729</v>
      </c>
      <c r="CB194" s="351" t="s">
        <v>726</v>
      </c>
      <c r="CC194" s="465">
        <v>2142</v>
      </c>
      <c r="CD194" s="466">
        <v>2296</v>
      </c>
      <c r="CE194" s="465">
        <v>2754</v>
      </c>
      <c r="CF194" s="466">
        <v>3182</v>
      </c>
      <c r="CG194" s="466">
        <v>3550</v>
      </c>
      <c r="CH194" s="467">
        <v>3916</v>
      </c>
      <c r="CI194" s="34"/>
      <c r="CJ194" s="1042">
        <v>1707</v>
      </c>
      <c r="CK194" s="1042">
        <v>1917</v>
      </c>
      <c r="CL194" s="1042">
        <v>2519</v>
      </c>
      <c r="CM194" s="1042">
        <v>3550</v>
      </c>
      <c r="CN194" s="1042">
        <v>4121</v>
      </c>
      <c r="CR194" s="23" t="s">
        <v>687</v>
      </c>
      <c r="CS194" s="324">
        <v>352022</v>
      </c>
      <c r="CT194" s="324">
        <v>405878</v>
      </c>
      <c r="CU194" s="324">
        <v>489600</v>
      </c>
      <c r="CV194" s="324">
        <v>626688</v>
      </c>
      <c r="CW194" s="324">
        <v>698170</v>
      </c>
      <c r="CX194" s="14"/>
      <c r="CY194" s="23" t="s">
        <v>687</v>
      </c>
      <c r="CZ194" s="324">
        <v>352022</v>
      </c>
      <c r="DA194" s="324">
        <v>405878</v>
      </c>
      <c r="DB194" s="324">
        <v>489600</v>
      </c>
      <c r="DC194" s="324">
        <v>626688</v>
      </c>
      <c r="DD194" s="324">
        <v>698170</v>
      </c>
    </row>
    <row r="195" spans="1:108" ht="13" customHeight="1">
      <c r="C195" s="21"/>
      <c r="D195" t="s">
        <v>330</v>
      </c>
      <c r="T195" s="1446" t="s">
        <v>668</v>
      </c>
      <c r="U195" s="1446"/>
      <c r="W195" t="s">
        <v>683</v>
      </c>
      <c r="AH195" s="1446">
        <v>43</v>
      </c>
      <c r="AI195" s="1446"/>
      <c r="BC195" t="s">
        <v>1856</v>
      </c>
      <c r="BN195" s="23" t="s">
        <v>241</v>
      </c>
      <c r="BS195">
        <v>6</v>
      </c>
      <c r="BT195" t="s">
        <v>730</v>
      </c>
      <c r="CB195" s="351" t="s">
        <v>727</v>
      </c>
      <c r="CC195" s="465">
        <v>1794</v>
      </c>
      <c r="CD195" s="466">
        <v>1922</v>
      </c>
      <c r="CE195" s="465">
        <v>2304</v>
      </c>
      <c r="CF195" s="466">
        <v>2664</v>
      </c>
      <c r="CG195" s="466">
        <v>2972</v>
      </c>
      <c r="CH195" s="467">
        <v>3280</v>
      </c>
      <c r="CI195" s="34"/>
      <c r="CJ195" s="1042">
        <v>1517</v>
      </c>
      <c r="CK195" s="1042">
        <v>1611</v>
      </c>
      <c r="CL195" s="1042">
        <v>2010</v>
      </c>
      <c r="CM195" s="1042">
        <v>2707</v>
      </c>
      <c r="CN195" s="1042">
        <v>3304</v>
      </c>
      <c r="CR195" s="23" t="s">
        <v>688</v>
      </c>
      <c r="CS195" s="322">
        <v>324988</v>
      </c>
      <c r="CT195" s="322">
        <v>374708</v>
      </c>
      <c r="CU195" s="322">
        <v>452000</v>
      </c>
      <c r="CV195" s="322">
        <v>578560</v>
      </c>
      <c r="CW195" s="322">
        <v>644552</v>
      </c>
      <c r="CX195" s="14"/>
      <c r="CY195" s="23" t="s">
        <v>688</v>
      </c>
      <c r="CZ195" s="322">
        <v>324988</v>
      </c>
      <c r="DA195" s="322">
        <v>374708</v>
      </c>
      <c r="DB195" s="322">
        <v>452000</v>
      </c>
      <c r="DC195" s="322">
        <v>578560</v>
      </c>
      <c r="DD195" s="322">
        <v>644552</v>
      </c>
    </row>
    <row r="196" spans="1:108" ht="13" customHeight="1">
      <c r="C196" s="21"/>
      <c r="D196" t="s">
        <v>385</v>
      </c>
      <c r="T196" s="1407" t="s">
        <v>544</v>
      </c>
      <c r="U196" s="1407"/>
      <c r="W196" t="s">
        <v>684</v>
      </c>
      <c r="AH196" s="1446">
        <v>65</v>
      </c>
      <c r="AI196" s="1446"/>
      <c r="BN196" s="23" t="s">
        <v>242</v>
      </c>
      <c r="BS196">
        <v>4</v>
      </c>
      <c r="BT196" t="s">
        <v>69</v>
      </c>
      <c r="CB196" s="351" t="s">
        <v>728</v>
      </c>
      <c r="CC196" s="465">
        <v>2652</v>
      </c>
      <c r="CD196" s="466">
        <v>2840</v>
      </c>
      <c r="CE196" s="465">
        <v>3410</v>
      </c>
      <c r="CF196" s="466">
        <v>3940</v>
      </c>
      <c r="CG196" s="466">
        <v>4394</v>
      </c>
      <c r="CH196" s="467">
        <v>4848</v>
      </c>
      <c r="CI196" s="34"/>
      <c r="CJ196" s="1042">
        <v>2062</v>
      </c>
      <c r="CK196" s="1042">
        <v>2248</v>
      </c>
      <c r="CL196" s="1042">
        <v>2833</v>
      </c>
      <c r="CM196" s="1042">
        <v>3819</v>
      </c>
      <c r="CN196" s="1042">
        <v>4638</v>
      </c>
      <c r="CR196" s="23" t="s">
        <v>689</v>
      </c>
      <c r="CS196" s="324">
        <v>353173</v>
      </c>
      <c r="CT196" s="324">
        <v>407205</v>
      </c>
      <c r="CU196" s="324">
        <v>491200</v>
      </c>
      <c r="CV196" s="324">
        <v>628736</v>
      </c>
      <c r="CW196" s="324">
        <v>700451</v>
      </c>
      <c r="CX196" s="14"/>
      <c r="CY196" s="23" t="s">
        <v>689</v>
      </c>
      <c r="CZ196" s="324">
        <v>353173</v>
      </c>
      <c r="DA196" s="324">
        <v>407205</v>
      </c>
      <c r="DB196" s="324">
        <v>491200</v>
      </c>
      <c r="DC196" s="324">
        <v>628736</v>
      </c>
      <c r="DD196" s="324">
        <v>700451</v>
      </c>
    </row>
    <row r="197" spans="1:108" ht="13" customHeight="1">
      <c r="C197" s="21"/>
      <c r="D197" s="3" t="s">
        <v>168</v>
      </c>
      <c r="T197" s="1407" t="s">
        <v>668</v>
      </c>
      <c r="U197" s="1407"/>
      <c r="W197" t="s">
        <v>685</v>
      </c>
      <c r="AH197" s="1446">
        <v>35</v>
      </c>
      <c r="AI197" s="1446"/>
      <c r="BC197" t="s">
        <v>306</v>
      </c>
      <c r="BN197" s="23" t="s">
        <v>243</v>
      </c>
      <c r="BS197">
        <v>2</v>
      </c>
      <c r="BT197" t="s">
        <v>70</v>
      </c>
      <c r="CB197" s="351" t="s">
        <v>729</v>
      </c>
      <c r="CC197" s="465">
        <v>3426</v>
      </c>
      <c r="CD197" s="466">
        <v>3672</v>
      </c>
      <c r="CE197" s="465">
        <v>4406</v>
      </c>
      <c r="CF197" s="466">
        <v>5090</v>
      </c>
      <c r="CG197" s="466">
        <v>5680</v>
      </c>
      <c r="CH197" s="467">
        <v>6266</v>
      </c>
      <c r="CI197" s="34"/>
      <c r="CJ197" s="1042">
        <v>2292</v>
      </c>
      <c r="CK197" s="1042">
        <v>2818</v>
      </c>
      <c r="CL197" s="1042">
        <v>3359</v>
      </c>
      <c r="CM197" s="1042">
        <v>4112</v>
      </c>
      <c r="CN197" s="1042">
        <v>4473</v>
      </c>
      <c r="CR197" s="23" t="s">
        <v>690</v>
      </c>
      <c r="CS197" s="322">
        <v>689665</v>
      </c>
      <c r="CT197" s="322">
        <v>795177</v>
      </c>
      <c r="CU197" s="322">
        <v>959200</v>
      </c>
      <c r="CV197" s="322">
        <v>1227776</v>
      </c>
      <c r="CW197" s="322">
        <v>1367819</v>
      </c>
      <c r="CX197" s="14"/>
      <c r="CY197" s="23" t="s">
        <v>690</v>
      </c>
      <c r="CZ197" s="322">
        <v>689665</v>
      </c>
      <c r="DA197" s="322">
        <v>795177</v>
      </c>
      <c r="DB197" s="322">
        <v>959200</v>
      </c>
      <c r="DC197" s="322">
        <v>1227776</v>
      </c>
      <c r="DD197" s="322">
        <v>1367819</v>
      </c>
    </row>
    <row r="198" spans="1:108" s="14" customFormat="1" ht="13" customHeight="1">
      <c r="A198"/>
      <c r="B198"/>
      <c r="C198" s="21"/>
      <c r="D198" s="3" t="s">
        <v>1651</v>
      </c>
      <c r="E198"/>
      <c r="F198"/>
      <c r="G198"/>
      <c r="H198"/>
      <c r="I198"/>
      <c r="J198"/>
      <c r="K198"/>
      <c r="L198"/>
      <c r="M198"/>
      <c r="N198"/>
      <c r="O198"/>
      <c r="P198"/>
      <c r="Q198"/>
      <c r="R198"/>
      <c r="S198"/>
      <c r="T198" s="1407">
        <v>0</v>
      </c>
      <c r="U198" s="1407"/>
      <c r="V198"/>
      <c r="X198" s="1553" t="s">
        <v>2516</v>
      </c>
      <c r="Y198" s="1553"/>
      <c r="Z198" s="1553"/>
      <c r="AA198" s="1553"/>
      <c r="AB198" s="1553"/>
      <c r="AC198" s="1553"/>
      <c r="AD198" s="1553"/>
      <c r="AE198" s="1553"/>
      <c r="AF198" s="1553"/>
      <c r="AG198" s="1553"/>
      <c r="AH198" s="1553"/>
      <c r="AI198" s="1553"/>
      <c r="AJ198" s="1553"/>
      <c r="AK198" s="1553"/>
      <c r="AL198" s="1553"/>
      <c r="AM198" s="1553"/>
      <c r="AN198" s="1553"/>
      <c r="AO198" s="1553"/>
      <c r="AP198" s="1553"/>
      <c r="AQ198" s="1553"/>
      <c r="AR198" s="1553"/>
      <c r="AS198" s="1553"/>
      <c r="AT198" s="1553"/>
      <c r="AU198"/>
      <c r="AV198"/>
      <c r="AW198"/>
      <c r="AX198"/>
      <c r="AY198"/>
      <c r="AZ198" s="30"/>
      <c r="BA198" s="30"/>
      <c r="BC198" s="14" t="s">
        <v>590</v>
      </c>
      <c r="BD198"/>
      <c r="BN198" s="23" t="s">
        <v>696</v>
      </c>
      <c r="BO198"/>
      <c r="BP198"/>
      <c r="BQ198"/>
      <c r="BR198"/>
      <c r="BS198">
        <v>4</v>
      </c>
      <c r="BT198" t="s">
        <v>190</v>
      </c>
      <c r="BU198"/>
      <c r="BV198" s="31"/>
      <c r="CB198" s="351" t="s">
        <v>730</v>
      </c>
      <c r="CC198" s="465">
        <v>1686</v>
      </c>
      <c r="CD198" s="466">
        <v>1808</v>
      </c>
      <c r="CE198" s="465">
        <v>2170</v>
      </c>
      <c r="CF198" s="466">
        <v>2506</v>
      </c>
      <c r="CG198" s="466">
        <v>2796</v>
      </c>
      <c r="CH198" s="467">
        <v>3086</v>
      </c>
      <c r="CI198" s="3"/>
      <c r="CJ198" s="862">
        <v>1122</v>
      </c>
      <c r="CK198" s="862">
        <v>1245</v>
      </c>
      <c r="CL198" s="862">
        <v>1607</v>
      </c>
      <c r="CM198" s="862">
        <v>2265</v>
      </c>
      <c r="CN198" s="862">
        <v>2727</v>
      </c>
      <c r="CR198" s="23" t="s">
        <v>241</v>
      </c>
      <c r="CS198" s="324">
        <v>307732</v>
      </c>
      <c r="CT198" s="324">
        <v>354812</v>
      </c>
      <c r="CU198" s="324">
        <v>428000</v>
      </c>
      <c r="CV198" s="324">
        <v>547840</v>
      </c>
      <c r="CW198" s="324">
        <v>610328</v>
      </c>
      <c r="CY198" s="23" t="s">
        <v>241</v>
      </c>
      <c r="CZ198" s="324">
        <v>307732</v>
      </c>
      <c r="DA198" s="324">
        <v>354812</v>
      </c>
      <c r="DB198" s="324">
        <v>428000</v>
      </c>
      <c r="DC198" s="324">
        <v>547840</v>
      </c>
      <c r="DD198" s="324">
        <v>610328</v>
      </c>
    </row>
    <row r="199" spans="1:108" s="14" customFormat="1" ht="13" customHeight="1">
      <c r="A199"/>
      <c r="B199"/>
      <c r="C199" s="21"/>
      <c r="D199" s="118" t="s">
        <v>2519</v>
      </c>
      <c r="E199"/>
      <c r="F199"/>
      <c r="G199"/>
      <c r="H199"/>
      <c r="I199"/>
      <c r="J199"/>
      <c r="K199"/>
      <c r="L199"/>
      <c r="M199"/>
      <c r="N199"/>
      <c r="O199"/>
      <c r="P199"/>
      <c r="Q199"/>
      <c r="R199"/>
      <c r="S199"/>
      <c r="T199" s="1446" t="s">
        <v>668</v>
      </c>
      <c r="U199" s="1446"/>
      <c r="V199"/>
      <c r="W199"/>
      <c r="X199" s="1553"/>
      <c r="Y199" s="1553"/>
      <c r="Z199" s="1553"/>
      <c r="AA199" s="1553"/>
      <c r="AB199" s="1553"/>
      <c r="AC199" s="1553"/>
      <c r="AD199" s="1553"/>
      <c r="AE199" s="1553"/>
      <c r="AF199" s="1553"/>
      <c r="AG199" s="1553"/>
      <c r="AH199" s="1553"/>
      <c r="AI199" s="1553"/>
      <c r="AJ199" s="1553"/>
      <c r="AK199" s="1553"/>
      <c r="AL199" s="1553"/>
      <c r="AM199" s="1553"/>
      <c r="AN199" s="1553"/>
      <c r="AO199" s="1553"/>
      <c r="AP199" s="1553"/>
      <c r="AQ199" s="1553"/>
      <c r="AR199" s="1553"/>
      <c r="AS199" s="1553"/>
      <c r="AT199" s="1553"/>
      <c r="AU199"/>
      <c r="AV199"/>
      <c r="AW199"/>
      <c r="AX199"/>
      <c r="AY199"/>
      <c r="AZ199" s="30"/>
      <c r="BA199" s="30"/>
      <c r="BC199" t="s">
        <v>874</v>
      </c>
      <c r="BD199"/>
      <c r="BN199" s="23" t="s">
        <v>697</v>
      </c>
      <c r="BO199"/>
      <c r="BP199"/>
      <c r="BQ199"/>
      <c r="BR199"/>
      <c r="BS199">
        <v>2</v>
      </c>
      <c r="BT199" s="32" t="s">
        <v>191</v>
      </c>
      <c r="BU199"/>
      <c r="BV199" s="31"/>
      <c r="CB199" s="351" t="s">
        <v>69</v>
      </c>
      <c r="CC199" s="465">
        <v>2230</v>
      </c>
      <c r="CD199" s="466">
        <v>2388</v>
      </c>
      <c r="CE199" s="465">
        <v>2864</v>
      </c>
      <c r="CF199" s="466">
        <v>3310</v>
      </c>
      <c r="CG199" s="466">
        <v>3692</v>
      </c>
      <c r="CH199" s="467">
        <v>4074</v>
      </c>
      <c r="CI199" s="3"/>
      <c r="CJ199" s="862">
        <v>1541</v>
      </c>
      <c r="CK199" s="862">
        <v>1731</v>
      </c>
      <c r="CL199" s="862">
        <v>2274</v>
      </c>
      <c r="CM199" s="862">
        <v>3045</v>
      </c>
      <c r="CN199" s="862">
        <v>3465</v>
      </c>
      <c r="CR199" s="23" t="s">
        <v>242</v>
      </c>
      <c r="CS199" s="322">
        <v>404366</v>
      </c>
      <c r="CT199" s="322">
        <v>466230</v>
      </c>
      <c r="CU199" s="322">
        <v>562400</v>
      </c>
      <c r="CV199" s="322">
        <v>719872</v>
      </c>
      <c r="CW199" s="322">
        <v>801982</v>
      </c>
      <c r="CY199" s="23" t="s">
        <v>242</v>
      </c>
      <c r="CZ199" s="322">
        <v>404366</v>
      </c>
      <c r="DA199" s="322">
        <v>466230</v>
      </c>
      <c r="DB199" s="322">
        <v>562400</v>
      </c>
      <c r="DC199" s="322">
        <v>719872</v>
      </c>
      <c r="DD199" s="322">
        <v>801982</v>
      </c>
    </row>
    <row r="200" spans="1:108" s="14" customFormat="1" ht="13" customHeight="1">
      <c r="A200"/>
      <c r="B200"/>
      <c r="C200" s="21"/>
      <c r="D200" s="14" t="s">
        <v>2517</v>
      </c>
      <c r="T200" s="1446" t="s">
        <v>668</v>
      </c>
      <c r="U200" s="1446"/>
      <c r="V200"/>
      <c r="W200"/>
      <c r="X200"/>
      <c r="Y200"/>
      <c r="AA200"/>
      <c r="AB200" s="1254" t="s">
        <v>917</v>
      </c>
      <c r="AC200"/>
      <c r="AF200"/>
      <c r="AG200"/>
      <c r="AH200" s="1"/>
      <c r="AJ200"/>
      <c r="AK200"/>
      <c r="AL200"/>
      <c r="AM200"/>
      <c r="AN200"/>
      <c r="AO200"/>
      <c r="AP200"/>
      <c r="AQ200"/>
      <c r="AR200"/>
      <c r="AS200"/>
      <c r="AU200"/>
      <c r="AV200"/>
      <c r="AW200"/>
      <c r="AX200"/>
      <c r="AY200"/>
      <c r="AZ200" s="30"/>
      <c r="BA200" s="30"/>
      <c r="BC200" s="3" t="s">
        <v>873</v>
      </c>
      <c r="BD200" s="437"/>
      <c r="BN200" s="23" t="s">
        <v>698</v>
      </c>
      <c r="BO200"/>
      <c r="BP200"/>
      <c r="BQ200"/>
      <c r="BR200"/>
      <c r="BS200">
        <v>2</v>
      </c>
      <c r="BT200" s="32" t="s">
        <v>192</v>
      </c>
      <c r="BU200"/>
      <c r="CB200" s="351" t="s">
        <v>70</v>
      </c>
      <c r="CC200" s="465">
        <v>3426</v>
      </c>
      <c r="CD200" s="466">
        <v>3672</v>
      </c>
      <c r="CE200" s="465">
        <v>4406</v>
      </c>
      <c r="CF200" s="466">
        <v>5090</v>
      </c>
      <c r="CG200" s="466">
        <v>5680</v>
      </c>
      <c r="CH200" s="467">
        <v>6266</v>
      </c>
      <c r="CI200" s="3"/>
      <c r="CJ200" s="862">
        <v>2292</v>
      </c>
      <c r="CK200" s="862">
        <v>2818</v>
      </c>
      <c r="CL200" s="862">
        <v>3359</v>
      </c>
      <c r="CM200" s="862">
        <v>4112</v>
      </c>
      <c r="CN200" s="862">
        <v>4473</v>
      </c>
      <c r="CR200" s="23" t="s">
        <v>243</v>
      </c>
      <c r="CS200" s="323">
        <v>532060</v>
      </c>
      <c r="CT200" s="323">
        <v>613460</v>
      </c>
      <c r="CU200" s="324">
        <v>740000</v>
      </c>
      <c r="CV200" s="323">
        <v>947200</v>
      </c>
      <c r="CW200" s="323">
        <v>1055240</v>
      </c>
      <c r="CY200" s="23" t="s">
        <v>243</v>
      </c>
      <c r="CZ200" s="323">
        <v>532060</v>
      </c>
      <c r="DA200" s="323">
        <v>613460</v>
      </c>
      <c r="DB200" s="323">
        <v>740000</v>
      </c>
      <c r="DC200" s="323">
        <v>947200</v>
      </c>
      <c r="DD200" s="323">
        <v>1055240</v>
      </c>
    </row>
    <row r="201" spans="1:108" s="14" customFormat="1" ht="13" customHeight="1">
      <c r="A201"/>
      <c r="B201"/>
      <c r="C201" s="21"/>
      <c r="E201" s="3" t="s">
        <v>2518</v>
      </c>
      <c r="V201"/>
      <c r="X201"/>
      <c r="Y201"/>
      <c r="Z201"/>
      <c r="AB201" s="1254" t="s">
        <v>918</v>
      </c>
      <c r="AC201"/>
      <c r="AH201" s="1"/>
      <c r="AJ201"/>
      <c r="AK201"/>
      <c r="AL201"/>
      <c r="AM201"/>
      <c r="AN201"/>
      <c r="AO201"/>
      <c r="AP201"/>
      <c r="AQ201"/>
      <c r="AR201"/>
      <c r="AS201"/>
      <c r="AU201"/>
      <c r="AV201"/>
      <c r="AW201"/>
      <c r="AX201"/>
      <c r="AY201"/>
      <c r="AZ201" s="30"/>
      <c r="BA201" s="30"/>
      <c r="BC201" s="3" t="s">
        <v>1060</v>
      </c>
      <c r="BD201" s="437"/>
      <c r="BN201" s="23" t="s">
        <v>699</v>
      </c>
      <c r="BO201" s="31"/>
      <c r="BP201" s="32"/>
      <c r="BQ201" s="32"/>
      <c r="BR201" s="32"/>
      <c r="BS201">
        <v>6</v>
      </c>
      <c r="BT201" s="32" t="s">
        <v>193</v>
      </c>
      <c r="BU201"/>
      <c r="CB201" s="351" t="s">
        <v>190</v>
      </c>
      <c r="CC201" s="465">
        <v>2846</v>
      </c>
      <c r="CD201" s="466">
        <v>3050</v>
      </c>
      <c r="CE201" s="465">
        <v>3660</v>
      </c>
      <c r="CF201" s="466">
        <v>4228</v>
      </c>
      <c r="CG201" s="466">
        <v>4716</v>
      </c>
      <c r="CH201" s="467">
        <v>5204</v>
      </c>
      <c r="CI201" s="3"/>
      <c r="CJ201" s="862">
        <v>2330</v>
      </c>
      <c r="CK201" s="862">
        <v>2651</v>
      </c>
      <c r="CL201" s="862">
        <v>2994</v>
      </c>
      <c r="CM201" s="862">
        <v>3996</v>
      </c>
      <c r="CN201" s="862">
        <v>4528</v>
      </c>
      <c r="CR201" s="23" t="s">
        <v>696</v>
      </c>
      <c r="CS201" s="322">
        <v>404366</v>
      </c>
      <c r="CT201" s="322">
        <v>466230</v>
      </c>
      <c r="CU201" s="322">
        <v>562400</v>
      </c>
      <c r="CV201" s="322">
        <v>719872</v>
      </c>
      <c r="CW201" s="322">
        <v>801982</v>
      </c>
      <c r="CY201" s="23" t="s">
        <v>696</v>
      </c>
      <c r="CZ201" s="322">
        <v>404366</v>
      </c>
      <c r="DA201" s="322">
        <v>466230</v>
      </c>
      <c r="DB201" s="322">
        <v>562400</v>
      </c>
      <c r="DC201" s="322">
        <v>719872</v>
      </c>
      <c r="DD201" s="322">
        <v>801982</v>
      </c>
    </row>
    <row r="202" spans="1:108" ht="13" customHeight="1">
      <c r="C202" s="21"/>
      <c r="AE202" s="8"/>
      <c r="BC202" t="s">
        <v>610</v>
      </c>
      <c r="BD202" s="437"/>
      <c r="BN202" s="23" t="s">
        <v>700</v>
      </c>
      <c r="BO202" s="14"/>
      <c r="BP202" s="32"/>
      <c r="BQ202" s="32"/>
      <c r="BR202" s="32"/>
      <c r="BS202">
        <v>7</v>
      </c>
      <c r="BT202" s="32" t="s">
        <v>194</v>
      </c>
      <c r="CB202" s="351" t="s">
        <v>191</v>
      </c>
      <c r="CC202" s="465">
        <v>3226</v>
      </c>
      <c r="CD202" s="466">
        <v>3456</v>
      </c>
      <c r="CE202" s="465">
        <v>4146</v>
      </c>
      <c r="CF202" s="466">
        <v>4792</v>
      </c>
      <c r="CG202" s="466">
        <v>5344</v>
      </c>
      <c r="CH202" s="467">
        <v>5898</v>
      </c>
      <c r="CI202" s="3"/>
      <c r="CJ202" s="862">
        <v>2383</v>
      </c>
      <c r="CK202" s="862">
        <v>2694</v>
      </c>
      <c r="CL202" s="862">
        <v>3132</v>
      </c>
      <c r="CM202" s="862">
        <v>4011</v>
      </c>
      <c r="CN202" s="862">
        <v>4425</v>
      </c>
      <c r="CR202" s="23" t="s">
        <v>697</v>
      </c>
      <c r="CS202" s="323">
        <v>532060</v>
      </c>
      <c r="CT202" s="323">
        <v>613460</v>
      </c>
      <c r="CU202" s="323">
        <v>740000</v>
      </c>
      <c r="CV202" s="323">
        <v>947200</v>
      </c>
      <c r="CW202" s="323">
        <v>1055240</v>
      </c>
      <c r="CX202" s="14"/>
      <c r="CY202" s="23" t="s">
        <v>697</v>
      </c>
      <c r="CZ202" s="323">
        <v>532060</v>
      </c>
      <c r="DA202" s="323">
        <v>613460</v>
      </c>
      <c r="DB202" s="323">
        <v>740000</v>
      </c>
      <c r="DC202" s="323">
        <v>947200</v>
      </c>
      <c r="DD202" s="323">
        <v>1055240</v>
      </c>
    </row>
    <row r="203" spans="1:108" ht="13" customHeight="1">
      <c r="A203" s="2" t="s">
        <v>585</v>
      </c>
      <c r="C203" s="2" t="s">
        <v>136</v>
      </c>
      <c r="BC203" t="s">
        <v>1061</v>
      </c>
      <c r="BN203" s="23" t="s">
        <v>701</v>
      </c>
      <c r="BO203" s="14"/>
      <c r="BP203" s="32"/>
      <c r="BQ203" s="32"/>
      <c r="BR203" s="32"/>
      <c r="BS203">
        <v>7</v>
      </c>
      <c r="BT203" s="32" t="s">
        <v>195</v>
      </c>
      <c r="CB203" s="351" t="s">
        <v>192</v>
      </c>
      <c r="CC203" s="465">
        <v>3170</v>
      </c>
      <c r="CD203" s="466">
        <v>3396</v>
      </c>
      <c r="CE203" s="465">
        <v>4074</v>
      </c>
      <c r="CF203" s="466">
        <v>4708</v>
      </c>
      <c r="CG203" s="466">
        <v>5252</v>
      </c>
      <c r="CH203" s="467">
        <v>5796</v>
      </c>
      <c r="CI203" s="3"/>
      <c r="CJ203" s="862">
        <v>2849</v>
      </c>
      <c r="CK203" s="862">
        <v>3085</v>
      </c>
      <c r="CL203" s="862">
        <v>4054</v>
      </c>
      <c r="CM203" s="862">
        <v>5000</v>
      </c>
      <c r="CN203" s="862">
        <v>5504</v>
      </c>
      <c r="CR203" s="23" t="s">
        <v>698</v>
      </c>
      <c r="CS203" s="322">
        <v>404366</v>
      </c>
      <c r="CT203" s="322">
        <v>466230</v>
      </c>
      <c r="CU203" s="322">
        <v>562400</v>
      </c>
      <c r="CV203" s="322">
        <v>719872</v>
      </c>
      <c r="CW203" s="322">
        <v>801982</v>
      </c>
      <c r="CX203" s="14"/>
      <c r="CY203" s="23" t="s">
        <v>698</v>
      </c>
      <c r="CZ203" s="322">
        <v>404366</v>
      </c>
      <c r="DA203" s="322">
        <v>466230</v>
      </c>
      <c r="DB203" s="322">
        <v>562400</v>
      </c>
      <c r="DC203" s="322">
        <v>719872</v>
      </c>
      <c r="DD203" s="322">
        <v>801982</v>
      </c>
    </row>
    <row r="204" spans="1:108" ht="13" customHeight="1">
      <c r="D204" s="1476" t="s">
        <v>384</v>
      </c>
      <c r="E204" s="1476"/>
      <c r="F204" s="1476"/>
      <c r="G204" s="1476"/>
      <c r="H204" s="1476"/>
      <c r="I204" s="1476"/>
      <c r="J204" s="1476"/>
      <c r="K204" s="1476"/>
      <c r="L204" s="1476"/>
      <c r="M204" s="1476"/>
      <c r="P204" s="1538">
        <f>M26</f>
        <v>1283252</v>
      </c>
      <c r="Q204" s="1539"/>
      <c r="R204" s="1539"/>
      <c r="S204" s="1539"/>
      <c r="T204" s="1539"/>
      <c r="U204" s="1539"/>
      <c r="BC204" t="s">
        <v>1062</v>
      </c>
      <c r="BN204" s="23" t="s">
        <v>702</v>
      </c>
      <c r="BS204">
        <v>6</v>
      </c>
      <c r="BT204" s="32" t="s">
        <v>196</v>
      </c>
      <c r="BU204" s="14"/>
      <c r="CB204" s="351" t="s">
        <v>193</v>
      </c>
      <c r="CC204" s="465">
        <v>1560</v>
      </c>
      <c r="CD204" s="466">
        <v>1670</v>
      </c>
      <c r="CE204" s="465">
        <v>2004</v>
      </c>
      <c r="CF204" s="466">
        <v>2316</v>
      </c>
      <c r="CG204" s="466">
        <v>2584</v>
      </c>
      <c r="CH204" s="467">
        <v>2852</v>
      </c>
      <c r="CI204" s="3"/>
      <c r="CJ204" s="862">
        <v>1014</v>
      </c>
      <c r="CK204" s="862">
        <v>1132</v>
      </c>
      <c r="CL204" s="862">
        <v>1487</v>
      </c>
      <c r="CM204" s="862">
        <v>2095</v>
      </c>
      <c r="CN204" s="862">
        <v>2523</v>
      </c>
      <c r="CR204" s="23" t="s">
        <v>699</v>
      </c>
      <c r="CS204" s="324">
        <v>319236</v>
      </c>
      <c r="CT204" s="324">
        <v>368076</v>
      </c>
      <c r="CU204" s="324">
        <v>444000</v>
      </c>
      <c r="CV204" s="324">
        <v>568320</v>
      </c>
      <c r="CW204" s="324">
        <v>633144</v>
      </c>
      <c r="CX204" s="14"/>
      <c r="CY204" s="23" t="s">
        <v>699</v>
      </c>
      <c r="CZ204" s="324">
        <v>319236</v>
      </c>
      <c r="DA204" s="324">
        <v>368076</v>
      </c>
      <c r="DB204" s="324">
        <v>444000</v>
      </c>
      <c r="DC204" s="324">
        <v>568320</v>
      </c>
      <c r="DD204" s="324">
        <v>633144</v>
      </c>
    </row>
    <row r="205" spans="1:108" ht="13" customHeight="1">
      <c r="C205" s="21"/>
      <c r="D205" s="1542" t="s">
        <v>1246</v>
      </c>
      <c r="E205" s="1476"/>
      <c r="F205" s="1476"/>
      <c r="G205" s="1476"/>
      <c r="H205" s="1476"/>
      <c r="I205" s="1476"/>
      <c r="J205" s="1476"/>
      <c r="K205" s="1476"/>
      <c r="L205" s="1476"/>
      <c r="M205" s="1476"/>
      <c r="P205" s="1539">
        <f>M27</f>
        <v>0</v>
      </c>
      <c r="Q205" s="1539"/>
      <c r="R205" s="1539"/>
      <c r="S205" s="1539"/>
      <c r="T205" s="1539"/>
      <c r="U205" s="1539"/>
      <c r="V205" s="28"/>
      <c r="W205" s="3" t="s">
        <v>1719</v>
      </c>
      <c r="Z205" s="1552" t="s">
        <v>1183</v>
      </c>
      <c r="AA205" s="1552"/>
      <c r="AB205" s="1552"/>
      <c r="AC205" s="1552"/>
      <c r="AD205" s="1552"/>
      <c r="AE205" s="1552"/>
      <c r="AF205" s="1552"/>
      <c r="AG205" s="1552"/>
      <c r="AH205" s="1552"/>
      <c r="AI205" s="1552"/>
      <c r="AJ205" s="1552"/>
      <c r="AK205" s="1552"/>
      <c r="AL205" s="1552"/>
      <c r="AM205" s="1552"/>
      <c r="AN205" s="1552"/>
      <c r="AP205" s="1409"/>
      <c r="AQ205" s="1409"/>
      <c r="BC205" t="s">
        <v>609</v>
      </c>
      <c r="BN205" s="23" t="s">
        <v>109</v>
      </c>
      <c r="BS205">
        <v>4</v>
      </c>
      <c r="BT205" s="32" t="s">
        <v>173</v>
      </c>
      <c r="BU205" s="14"/>
      <c r="CB205" s="351" t="s">
        <v>194</v>
      </c>
      <c r="CC205" s="465">
        <v>1540</v>
      </c>
      <c r="CD205" s="466">
        <v>1650</v>
      </c>
      <c r="CE205" s="465">
        <v>1980</v>
      </c>
      <c r="CF205" s="466">
        <v>2286</v>
      </c>
      <c r="CG205" s="466">
        <v>2550</v>
      </c>
      <c r="CH205" s="467">
        <v>2812</v>
      </c>
      <c r="CI205" s="3"/>
      <c r="CJ205" s="862">
        <v>911</v>
      </c>
      <c r="CK205" s="862">
        <v>1005</v>
      </c>
      <c r="CL205" s="862">
        <v>1321</v>
      </c>
      <c r="CM205" s="862">
        <v>1862</v>
      </c>
      <c r="CN205" s="862">
        <v>2168</v>
      </c>
      <c r="CR205" s="23" t="s">
        <v>700</v>
      </c>
      <c r="CS205" s="322">
        <v>352022</v>
      </c>
      <c r="CT205" s="322">
        <v>405878</v>
      </c>
      <c r="CU205" s="322">
        <v>489600</v>
      </c>
      <c r="CV205" s="322">
        <v>626688</v>
      </c>
      <c r="CW205" s="322">
        <v>698170</v>
      </c>
      <c r="CX205" s="14"/>
      <c r="CY205" s="23" t="s">
        <v>700</v>
      </c>
      <c r="CZ205" s="322">
        <v>352022</v>
      </c>
      <c r="DA205" s="322">
        <v>405878</v>
      </c>
      <c r="DB205" s="322">
        <v>489600</v>
      </c>
      <c r="DC205" s="322">
        <v>626688</v>
      </c>
      <c r="DD205" s="322">
        <v>698170</v>
      </c>
    </row>
    <row r="206" spans="1:108" ht="13" customHeight="1">
      <c r="D206" s="29"/>
      <c r="E206" s="29"/>
      <c r="F206" s="29"/>
      <c r="G206" s="29"/>
      <c r="H206" s="29"/>
      <c r="I206" s="29"/>
      <c r="J206" s="29"/>
      <c r="K206" s="29"/>
      <c r="L206" s="29"/>
      <c r="M206" s="29"/>
      <c r="N206" s="29"/>
      <c r="O206" s="29"/>
      <c r="P206" s="29"/>
      <c r="BC206" t="s">
        <v>1025</v>
      </c>
      <c r="BN206" s="23" t="s">
        <v>110</v>
      </c>
      <c r="BS206">
        <v>5</v>
      </c>
      <c r="BT206" s="32" t="s">
        <v>197</v>
      </c>
      <c r="BU206" s="14"/>
      <c r="CB206" s="351" t="s">
        <v>195</v>
      </c>
      <c r="CC206" s="465">
        <v>1540</v>
      </c>
      <c r="CD206" s="466">
        <v>1650</v>
      </c>
      <c r="CE206" s="465">
        <v>1980</v>
      </c>
      <c r="CF206" s="466">
        <v>2286</v>
      </c>
      <c r="CG206" s="466">
        <v>2550</v>
      </c>
      <c r="CH206" s="467">
        <v>2812</v>
      </c>
      <c r="CI206" s="3"/>
      <c r="CJ206" s="862">
        <v>838</v>
      </c>
      <c r="CK206" s="862">
        <v>843</v>
      </c>
      <c r="CL206" s="862">
        <v>1089</v>
      </c>
      <c r="CM206" s="862">
        <v>1535</v>
      </c>
      <c r="CN206" s="862">
        <v>1620</v>
      </c>
      <c r="CR206" s="23" t="s">
        <v>701</v>
      </c>
      <c r="CS206" s="324">
        <v>352022</v>
      </c>
      <c r="CT206" s="324">
        <v>405878</v>
      </c>
      <c r="CU206" s="324">
        <v>489600</v>
      </c>
      <c r="CV206" s="324">
        <v>626688</v>
      </c>
      <c r="CW206" s="324">
        <v>698170</v>
      </c>
      <c r="CX206" s="14"/>
      <c r="CY206" s="23" t="s">
        <v>701</v>
      </c>
      <c r="CZ206" s="324">
        <v>352022</v>
      </c>
      <c r="DA206" s="324">
        <v>405878</v>
      </c>
      <c r="DB206" s="324">
        <v>489600</v>
      </c>
      <c r="DC206" s="324">
        <v>626688</v>
      </c>
      <c r="DD206" s="324">
        <v>698170</v>
      </c>
    </row>
    <row r="207" spans="1:108" ht="13" customHeight="1">
      <c r="A207" s="2" t="s">
        <v>588</v>
      </c>
      <c r="C207" s="2" t="s">
        <v>550</v>
      </c>
      <c r="BC207" s="438" t="s">
        <v>1063</v>
      </c>
      <c r="BN207" s="23" t="s">
        <v>45</v>
      </c>
      <c r="BS207">
        <v>6</v>
      </c>
      <c r="BT207" s="32" t="s">
        <v>198</v>
      </c>
      <c r="CB207" s="351" t="s">
        <v>196</v>
      </c>
      <c r="CC207" s="465">
        <v>2202</v>
      </c>
      <c r="CD207" s="466">
        <v>2360</v>
      </c>
      <c r="CE207" s="465">
        <v>2832</v>
      </c>
      <c r="CF207" s="466">
        <v>3270</v>
      </c>
      <c r="CG207" s="466">
        <v>3650</v>
      </c>
      <c r="CH207" s="467">
        <v>4026</v>
      </c>
      <c r="CI207" s="3"/>
      <c r="CJ207" s="862">
        <v>1652</v>
      </c>
      <c r="CK207" s="862">
        <v>1853</v>
      </c>
      <c r="CL207" s="862">
        <v>2308</v>
      </c>
      <c r="CM207" s="862">
        <v>3199</v>
      </c>
      <c r="CN207" s="862">
        <v>3643</v>
      </c>
      <c r="CR207" s="23" t="s">
        <v>702</v>
      </c>
      <c r="CS207" s="322">
        <v>384234</v>
      </c>
      <c r="CT207" s="322">
        <v>443018</v>
      </c>
      <c r="CU207" s="322">
        <v>534400</v>
      </c>
      <c r="CV207" s="322">
        <v>684032</v>
      </c>
      <c r="CW207" s="322">
        <v>762054</v>
      </c>
      <c r="CX207" s="14"/>
      <c r="CY207" s="23" t="s">
        <v>702</v>
      </c>
      <c r="CZ207" s="322">
        <v>384234</v>
      </c>
      <c r="DA207" s="322">
        <v>443018</v>
      </c>
      <c r="DB207" s="322">
        <v>534400</v>
      </c>
      <c r="DC207" s="322">
        <v>684032</v>
      </c>
      <c r="DD207" s="322">
        <v>762054</v>
      </c>
    </row>
    <row r="208" spans="1:108" ht="13" customHeight="1">
      <c r="C208" s="21"/>
      <c r="D208" s="1447" t="s">
        <v>2617</v>
      </c>
      <c r="E208" s="1447"/>
      <c r="F208" s="1447"/>
      <c r="G208" s="1447"/>
      <c r="H208" s="1447"/>
      <c r="I208" s="1447"/>
      <c r="J208" s="1447"/>
      <c r="K208" s="1447"/>
      <c r="L208" s="1447"/>
      <c r="M208" s="1447"/>
      <c r="BC208" s="3" t="s">
        <v>2207</v>
      </c>
      <c r="BN208" s="23" t="s">
        <v>46</v>
      </c>
      <c r="BS208">
        <v>7</v>
      </c>
      <c r="BT208" s="32" t="s">
        <v>199</v>
      </c>
      <c r="CB208" s="351" t="s">
        <v>173</v>
      </c>
      <c r="CC208" s="465">
        <v>2422</v>
      </c>
      <c r="CD208" s="466">
        <v>2594</v>
      </c>
      <c r="CE208" s="465">
        <v>3112</v>
      </c>
      <c r="CF208" s="466">
        <v>3596</v>
      </c>
      <c r="CG208" s="466">
        <v>4012</v>
      </c>
      <c r="CH208" s="467">
        <v>4426</v>
      </c>
      <c r="CI208" s="3"/>
      <c r="CJ208" s="862">
        <v>1611</v>
      </c>
      <c r="CK208" s="862">
        <v>1809</v>
      </c>
      <c r="CL208" s="862">
        <v>2377</v>
      </c>
      <c r="CM208" s="862">
        <v>3228</v>
      </c>
      <c r="CN208" s="862">
        <v>3425</v>
      </c>
      <c r="CR208" s="23" t="s">
        <v>109</v>
      </c>
      <c r="CS208" s="324">
        <v>384234</v>
      </c>
      <c r="CT208" s="324">
        <v>443018</v>
      </c>
      <c r="CU208" s="324">
        <v>534400</v>
      </c>
      <c r="CV208" s="324">
        <v>684032</v>
      </c>
      <c r="CW208" s="324">
        <v>762054</v>
      </c>
      <c r="CX208" s="14"/>
      <c r="CY208" s="23" t="s">
        <v>109</v>
      </c>
      <c r="CZ208" s="324">
        <v>384234</v>
      </c>
      <c r="DA208" s="324">
        <v>443018</v>
      </c>
      <c r="DB208" s="324">
        <v>534400</v>
      </c>
      <c r="DC208" s="324">
        <v>684032</v>
      </c>
      <c r="DD208" s="324">
        <v>762054</v>
      </c>
    </row>
    <row r="209" spans="1:108" ht="13" customHeight="1">
      <c r="BC209" t="s">
        <v>1064</v>
      </c>
      <c r="BN209" s="23" t="s">
        <v>47</v>
      </c>
      <c r="BS209">
        <v>7</v>
      </c>
      <c r="BT209" s="32" t="s">
        <v>200</v>
      </c>
      <c r="CB209" s="351" t="s">
        <v>197</v>
      </c>
      <c r="CC209" s="465">
        <v>1594</v>
      </c>
      <c r="CD209" s="466">
        <v>1708</v>
      </c>
      <c r="CE209" s="465">
        <v>2050</v>
      </c>
      <c r="CF209" s="466">
        <v>2368</v>
      </c>
      <c r="CG209" s="466">
        <v>2642</v>
      </c>
      <c r="CH209" s="467">
        <v>2916</v>
      </c>
      <c r="CI209" s="3"/>
      <c r="CJ209" s="862">
        <v>1143</v>
      </c>
      <c r="CK209" s="862">
        <v>1188</v>
      </c>
      <c r="CL209" s="862">
        <v>1528</v>
      </c>
      <c r="CM209" s="862">
        <v>2153</v>
      </c>
      <c r="CN209" s="862">
        <v>2536</v>
      </c>
      <c r="CR209" s="23" t="s">
        <v>110</v>
      </c>
      <c r="CS209" s="322">
        <v>307732</v>
      </c>
      <c r="CT209" s="322">
        <v>354812</v>
      </c>
      <c r="CU209" s="322">
        <v>428000</v>
      </c>
      <c r="CV209" s="322">
        <v>547840</v>
      </c>
      <c r="CW209" s="322">
        <v>610328</v>
      </c>
      <c r="CX209" s="14"/>
      <c r="CY209" s="23" t="s">
        <v>110</v>
      </c>
      <c r="CZ209" s="322">
        <v>307732</v>
      </c>
      <c r="DA209" s="322">
        <v>354812</v>
      </c>
      <c r="DB209" s="322">
        <v>428000</v>
      </c>
      <c r="DC209" s="322">
        <v>547840</v>
      </c>
      <c r="DD209" s="322">
        <v>610328</v>
      </c>
    </row>
    <row r="210" spans="1:108" ht="13" customHeight="1">
      <c r="A210" s="2" t="s">
        <v>589</v>
      </c>
      <c r="C210" s="2" t="s">
        <v>387</v>
      </c>
      <c r="BC210" t="s">
        <v>658</v>
      </c>
      <c r="BN210" s="23" t="s">
        <v>48</v>
      </c>
      <c r="BS210">
        <v>5</v>
      </c>
      <c r="BT210" s="32" t="s">
        <v>201</v>
      </c>
      <c r="CB210" s="351" t="s">
        <v>198</v>
      </c>
      <c r="CC210" s="465">
        <v>1540</v>
      </c>
      <c r="CD210" s="466">
        <v>1650</v>
      </c>
      <c r="CE210" s="465">
        <v>1980</v>
      </c>
      <c r="CF210" s="466">
        <v>2286</v>
      </c>
      <c r="CG210" s="466">
        <v>2550</v>
      </c>
      <c r="CH210" s="467">
        <v>2812</v>
      </c>
      <c r="CI210" s="3"/>
      <c r="CJ210" s="862">
        <v>1125</v>
      </c>
      <c r="CK210" s="862">
        <v>1132</v>
      </c>
      <c r="CL210" s="862">
        <v>1461</v>
      </c>
      <c r="CM210" s="862">
        <v>2059</v>
      </c>
      <c r="CN210" s="862">
        <v>2479</v>
      </c>
      <c r="CR210" s="23" t="s">
        <v>45</v>
      </c>
      <c r="CS210" s="324">
        <v>331890</v>
      </c>
      <c r="CT210" s="324">
        <v>382666</v>
      </c>
      <c r="CU210" s="324">
        <v>461600</v>
      </c>
      <c r="CV210" s="324">
        <v>590848</v>
      </c>
      <c r="CW210" s="324">
        <v>658242</v>
      </c>
      <c r="CX210" s="14"/>
      <c r="CY210" s="23" t="s">
        <v>45</v>
      </c>
      <c r="CZ210" s="324">
        <v>331890</v>
      </c>
      <c r="DA210" s="324">
        <v>382666</v>
      </c>
      <c r="DB210" s="324">
        <v>461600</v>
      </c>
      <c r="DC210" s="324">
        <v>590848</v>
      </c>
      <c r="DD210" s="324">
        <v>658242</v>
      </c>
    </row>
    <row r="211" spans="1:108" ht="13" customHeight="1">
      <c r="C211" s="21"/>
      <c r="D211" s="1447" t="s">
        <v>1856</v>
      </c>
      <c r="E211" s="1447"/>
      <c r="F211" s="1447"/>
      <c r="G211" s="1447"/>
      <c r="H211" s="1447"/>
      <c r="I211" s="1447"/>
      <c r="J211" s="1447"/>
      <c r="K211" s="1447"/>
      <c r="L211" s="1447"/>
      <c r="M211" s="1447"/>
      <c r="BN211" s="23" t="s">
        <v>129</v>
      </c>
      <c r="BS211">
        <v>7</v>
      </c>
      <c r="BT211" s="32" t="s">
        <v>130</v>
      </c>
      <c r="CB211" s="351" t="s">
        <v>199</v>
      </c>
      <c r="CC211" s="465">
        <v>1540</v>
      </c>
      <c r="CD211" s="466">
        <v>1650</v>
      </c>
      <c r="CE211" s="465">
        <v>1980</v>
      </c>
      <c r="CF211" s="466">
        <v>2286</v>
      </c>
      <c r="CG211" s="466">
        <v>2550</v>
      </c>
      <c r="CH211" s="467">
        <v>2812</v>
      </c>
      <c r="CI211" s="3"/>
      <c r="CJ211" s="862">
        <v>844</v>
      </c>
      <c r="CK211" s="862">
        <v>948</v>
      </c>
      <c r="CL211" s="862">
        <v>1245</v>
      </c>
      <c r="CM211" s="862">
        <v>1695</v>
      </c>
      <c r="CN211" s="862">
        <v>2010</v>
      </c>
      <c r="CR211" s="23" t="s">
        <v>46</v>
      </c>
      <c r="CS211" s="322">
        <v>352022</v>
      </c>
      <c r="CT211" s="322">
        <v>405878</v>
      </c>
      <c r="CU211" s="322">
        <v>489600</v>
      </c>
      <c r="CV211" s="322">
        <v>626688</v>
      </c>
      <c r="CW211" s="322">
        <v>698170</v>
      </c>
      <c r="CX211" s="14"/>
      <c r="CY211" s="23" t="s">
        <v>46</v>
      </c>
      <c r="CZ211" s="322">
        <v>352022</v>
      </c>
      <c r="DA211" s="322">
        <v>405878</v>
      </c>
      <c r="DB211" s="322">
        <v>489600</v>
      </c>
      <c r="DC211" s="322">
        <v>626688</v>
      </c>
      <c r="DD211" s="322">
        <v>698170</v>
      </c>
    </row>
    <row r="212" spans="1:108" ht="13" customHeight="1">
      <c r="C212" s="21"/>
      <c r="D212" s="3" t="s">
        <v>2233</v>
      </c>
      <c r="Q212" s="1446">
        <v>0</v>
      </c>
      <c r="R212" s="1446"/>
      <c r="T212" s="1558">
        <f>IFERROR(Q212/AG440,0)</f>
        <v>0</v>
      </c>
      <c r="U212" s="1559"/>
      <c r="BC212" t="s">
        <v>306</v>
      </c>
      <c r="BI212" t="s">
        <v>1183</v>
      </c>
      <c r="BN212" s="23" t="s">
        <v>49</v>
      </c>
      <c r="BS212">
        <v>4</v>
      </c>
      <c r="BT212" s="32" t="s">
        <v>202</v>
      </c>
      <c r="CB212" s="351" t="s">
        <v>200</v>
      </c>
      <c r="CC212" s="465">
        <v>1540</v>
      </c>
      <c r="CD212" s="466">
        <v>1650</v>
      </c>
      <c r="CE212" s="465">
        <v>1980</v>
      </c>
      <c r="CF212" s="466">
        <v>2286</v>
      </c>
      <c r="CG212" s="466">
        <v>2550</v>
      </c>
      <c r="CH212" s="467">
        <v>2812</v>
      </c>
      <c r="CI212" s="3"/>
      <c r="CJ212" s="862">
        <v>710</v>
      </c>
      <c r="CK212" s="862">
        <v>784</v>
      </c>
      <c r="CL212" s="862">
        <v>1030</v>
      </c>
      <c r="CM212" s="862">
        <v>1451</v>
      </c>
      <c r="CN212" s="862">
        <v>1657</v>
      </c>
      <c r="CR212" s="23" t="s">
        <v>47</v>
      </c>
      <c r="CS212" s="324">
        <v>352022</v>
      </c>
      <c r="CT212" s="324">
        <v>405878</v>
      </c>
      <c r="CU212" s="324">
        <v>489600</v>
      </c>
      <c r="CV212" s="324">
        <v>626688</v>
      </c>
      <c r="CW212" s="324">
        <v>698170</v>
      </c>
      <c r="CX212" s="14"/>
      <c r="CY212" s="23" t="s">
        <v>47</v>
      </c>
      <c r="CZ212" s="324">
        <v>352022</v>
      </c>
      <c r="DA212" s="324">
        <v>405878</v>
      </c>
      <c r="DB212" s="324">
        <v>489600</v>
      </c>
      <c r="DC212" s="324">
        <v>626688</v>
      </c>
      <c r="DD212" s="324">
        <v>698170</v>
      </c>
    </row>
    <row r="213" spans="1:108" ht="13" customHeight="1">
      <c r="D213" s="1147" t="s">
        <v>2476</v>
      </c>
      <c r="BC213" t="s">
        <v>525</v>
      </c>
      <c r="BI213" s="3" t="s">
        <v>2230</v>
      </c>
      <c r="BN213" s="23" t="s">
        <v>50</v>
      </c>
      <c r="BS213">
        <v>6</v>
      </c>
      <c r="BT213" s="32" t="s">
        <v>203</v>
      </c>
      <c r="CB213" s="351" t="s">
        <v>201</v>
      </c>
      <c r="CC213" s="465">
        <v>1540</v>
      </c>
      <c r="CD213" s="466">
        <v>1650</v>
      </c>
      <c r="CE213" s="465">
        <v>1980</v>
      </c>
      <c r="CF213" s="466">
        <v>2286</v>
      </c>
      <c r="CG213" s="466">
        <v>2550</v>
      </c>
      <c r="CH213" s="467">
        <v>2812</v>
      </c>
      <c r="CI213" s="3"/>
      <c r="CJ213" s="862">
        <v>977</v>
      </c>
      <c r="CK213" s="862">
        <v>989</v>
      </c>
      <c r="CL213" s="862">
        <v>1299</v>
      </c>
      <c r="CM213" s="862">
        <v>1809</v>
      </c>
      <c r="CN213" s="862">
        <v>2065</v>
      </c>
      <c r="CR213" s="23" t="s">
        <v>48</v>
      </c>
      <c r="CS213" s="322">
        <v>307732</v>
      </c>
      <c r="CT213" s="322">
        <v>354812</v>
      </c>
      <c r="CU213" s="322">
        <v>428000</v>
      </c>
      <c r="CV213" s="322">
        <v>547840</v>
      </c>
      <c r="CW213" s="322">
        <v>610328</v>
      </c>
      <c r="CX213" s="14"/>
      <c r="CY213" s="23" t="s">
        <v>48</v>
      </c>
      <c r="CZ213" s="322">
        <v>307732</v>
      </c>
      <c r="DA213" s="322">
        <v>354812</v>
      </c>
      <c r="DB213" s="322">
        <v>428000</v>
      </c>
      <c r="DC213" s="322">
        <v>547840</v>
      </c>
      <c r="DD213" s="322">
        <v>610328</v>
      </c>
    </row>
    <row r="214" spans="1:108" ht="13" customHeight="1">
      <c r="D214" s="1534" t="s">
        <v>590</v>
      </c>
      <c r="E214" s="1534"/>
      <c r="F214" s="1534"/>
      <c r="G214" s="1534"/>
      <c r="H214" s="1534"/>
      <c r="I214" s="1534"/>
      <c r="J214" s="1534"/>
      <c r="K214" s="1534"/>
      <c r="L214" s="1534"/>
      <c r="M214" s="1534"/>
      <c r="N214" s="1534"/>
      <c r="O214" s="1534"/>
      <c r="P214" s="1534"/>
      <c r="Q214" s="1534"/>
      <c r="R214" s="1534"/>
      <c r="S214" s="1534"/>
      <c r="T214" s="1534"/>
      <c r="U214" s="1534"/>
      <c r="V214" s="1534"/>
      <c r="W214" s="1534"/>
      <c r="X214" s="1534"/>
      <c r="Y214" s="1534"/>
      <c r="Z214" s="1534"/>
      <c r="AU214" s="21"/>
      <c r="AV214" s="21"/>
      <c r="AW214" s="21"/>
      <c r="AX214" s="21"/>
      <c r="AY214" s="21"/>
      <c r="BC214" t="s">
        <v>529</v>
      </c>
      <c r="BI214" s="3" t="s">
        <v>2221</v>
      </c>
      <c r="BN214" s="23" t="s">
        <v>325</v>
      </c>
      <c r="BS214">
        <v>6</v>
      </c>
      <c r="BT214" s="32" t="s">
        <v>204</v>
      </c>
      <c r="CB214" s="351" t="s">
        <v>130</v>
      </c>
      <c r="CC214" s="465">
        <v>1694</v>
      </c>
      <c r="CD214" s="466">
        <v>1816</v>
      </c>
      <c r="CE214" s="465">
        <v>2180</v>
      </c>
      <c r="CF214" s="466">
        <v>2520</v>
      </c>
      <c r="CG214" s="466">
        <v>2810</v>
      </c>
      <c r="CH214" s="467">
        <v>3100</v>
      </c>
      <c r="CI214" s="3"/>
      <c r="CJ214" s="862">
        <v>919</v>
      </c>
      <c r="CK214" s="862">
        <v>1032</v>
      </c>
      <c r="CL214" s="862">
        <v>1356</v>
      </c>
      <c r="CM214" s="862">
        <v>1795</v>
      </c>
      <c r="CN214" s="862">
        <v>2301</v>
      </c>
      <c r="CR214" s="23" t="s">
        <v>129</v>
      </c>
      <c r="CS214" s="324">
        <v>352022</v>
      </c>
      <c r="CT214" s="324">
        <v>405878</v>
      </c>
      <c r="CU214" s="324">
        <v>489600</v>
      </c>
      <c r="CV214" s="324">
        <v>626688</v>
      </c>
      <c r="CW214" s="324">
        <v>698170</v>
      </c>
      <c r="CX214" s="14"/>
      <c r="CY214" s="23" t="s">
        <v>129</v>
      </c>
      <c r="CZ214" s="324">
        <v>352022</v>
      </c>
      <c r="DA214" s="324">
        <v>405878</v>
      </c>
      <c r="DB214" s="324">
        <v>489600</v>
      </c>
      <c r="DC214" s="324">
        <v>626688</v>
      </c>
      <c r="DD214" s="324">
        <v>698170</v>
      </c>
    </row>
    <row r="215" spans="1:108" ht="13" customHeight="1">
      <c r="D215" s="3" t="s">
        <v>1652</v>
      </c>
      <c r="Z215" s="40"/>
      <c r="AB215" s="1515"/>
      <c r="AC215" s="1515"/>
      <c r="AD215" s="1515"/>
      <c r="AE215" s="1515"/>
      <c r="AF215" s="1515"/>
      <c r="AG215" s="1515"/>
      <c r="AH215" s="1515"/>
      <c r="AI215" s="1515"/>
      <c r="AJ215" s="1515"/>
      <c r="AK215" s="1515"/>
      <c r="AL215" s="1515"/>
      <c r="AM215" s="21"/>
      <c r="AN215" s="21"/>
      <c r="AO215" s="21"/>
      <c r="AP215" s="21"/>
      <c r="AQ215" s="21"/>
      <c r="AR215" s="21"/>
      <c r="AS215" s="21"/>
      <c r="AT215" s="21"/>
      <c r="AU215" s="21"/>
      <c r="AV215" s="21"/>
      <c r="AW215" s="21"/>
      <c r="AX215" s="21"/>
      <c r="AY215" s="21"/>
      <c r="BC215" t="s">
        <v>526</v>
      </c>
      <c r="BI215" s="3" t="s">
        <v>2222</v>
      </c>
      <c r="CB215" s="351" t="s">
        <v>202</v>
      </c>
      <c r="CC215" s="468">
        <v>2462</v>
      </c>
      <c r="CD215" s="469">
        <v>2638</v>
      </c>
      <c r="CE215" s="468">
        <v>3166</v>
      </c>
      <c r="CF215" s="469">
        <v>3658</v>
      </c>
      <c r="CG215" s="469">
        <v>4082</v>
      </c>
      <c r="CH215" s="470">
        <v>4502</v>
      </c>
      <c r="CI215" s="3"/>
      <c r="CJ215" s="862">
        <v>1725</v>
      </c>
      <c r="CK215" s="862">
        <v>2011</v>
      </c>
      <c r="CL215" s="862">
        <v>2414</v>
      </c>
      <c r="CM215" s="862">
        <v>3310</v>
      </c>
      <c r="CN215" s="862">
        <v>3867</v>
      </c>
      <c r="CR215" s="23" t="s">
        <v>49</v>
      </c>
      <c r="CS215" s="322">
        <v>404366</v>
      </c>
      <c r="CT215" s="322">
        <v>466230</v>
      </c>
      <c r="CU215" s="322">
        <v>562400</v>
      </c>
      <c r="CV215" s="322">
        <v>719872</v>
      </c>
      <c r="CW215" s="322">
        <v>801982</v>
      </c>
      <c r="CX215" s="14"/>
      <c r="CY215" s="23" t="s">
        <v>49</v>
      </c>
      <c r="CZ215" s="322">
        <v>404366</v>
      </c>
      <c r="DA215" s="322">
        <v>466230</v>
      </c>
      <c r="DB215" s="322">
        <v>562400</v>
      </c>
      <c r="DC215" s="322">
        <v>719872</v>
      </c>
      <c r="DD215" s="322">
        <v>801982</v>
      </c>
    </row>
    <row r="216" spans="1:108" ht="13" customHeight="1">
      <c r="D216" s="3" t="s">
        <v>1650</v>
      </c>
      <c r="Z216" s="40"/>
      <c r="AB216" s="1515"/>
      <c r="AC216" s="1515"/>
      <c r="AD216" s="1515"/>
      <c r="AE216" s="1515"/>
      <c r="AF216" s="1515"/>
      <c r="AG216" s="1515"/>
      <c r="AH216" s="1515"/>
      <c r="AI216" s="1515"/>
      <c r="AJ216" s="1515"/>
      <c r="AK216" s="1515"/>
      <c r="AL216" s="1515"/>
      <c r="AM216" s="21"/>
      <c r="AN216" s="21"/>
      <c r="AO216" s="21"/>
      <c r="AP216" s="21"/>
      <c r="AQ216" s="21"/>
      <c r="AR216" s="21"/>
      <c r="AS216" s="21"/>
      <c r="AT216" s="21"/>
      <c r="AU216" s="21"/>
      <c r="AV216" s="21"/>
      <c r="AW216" s="21"/>
      <c r="AX216" s="21"/>
      <c r="AY216" s="21"/>
      <c r="BC216" t="s">
        <v>565</v>
      </c>
      <c r="BI216" t="s">
        <v>2220</v>
      </c>
      <c r="CB216" s="351" t="s">
        <v>203</v>
      </c>
      <c r="CC216" s="471">
        <v>2020</v>
      </c>
      <c r="CD216" s="472">
        <v>2162</v>
      </c>
      <c r="CE216" s="471">
        <v>2594</v>
      </c>
      <c r="CF216" s="472">
        <v>2998</v>
      </c>
      <c r="CG216" s="472">
        <v>3344</v>
      </c>
      <c r="CH216" s="473">
        <v>3690</v>
      </c>
      <c r="CI216" s="3"/>
      <c r="CJ216" s="862">
        <v>1497</v>
      </c>
      <c r="CK216" s="862">
        <v>1507</v>
      </c>
      <c r="CL216" s="862">
        <v>1980</v>
      </c>
      <c r="CM216" s="862">
        <v>2717</v>
      </c>
      <c r="CN216" s="862">
        <v>3169</v>
      </c>
      <c r="CR216" s="23" t="s">
        <v>50</v>
      </c>
      <c r="CS216" s="324">
        <v>331890</v>
      </c>
      <c r="CT216" s="324">
        <v>382666</v>
      </c>
      <c r="CU216" s="324">
        <v>461600</v>
      </c>
      <c r="CV216" s="324">
        <v>590848</v>
      </c>
      <c r="CW216" s="324">
        <v>658242</v>
      </c>
      <c r="CX216" s="14"/>
      <c r="CY216" s="23" t="s">
        <v>50</v>
      </c>
      <c r="CZ216" s="324">
        <v>331890</v>
      </c>
      <c r="DA216" s="324">
        <v>382666</v>
      </c>
      <c r="DB216" s="324">
        <v>461600</v>
      </c>
      <c r="DC216" s="324">
        <v>590848</v>
      </c>
      <c r="DD216" s="324">
        <v>658242</v>
      </c>
    </row>
    <row r="217" spans="1:108" ht="13"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527</v>
      </c>
      <c r="BI217" t="s">
        <v>2224</v>
      </c>
      <c r="CB217" s="351" t="s">
        <v>204</v>
      </c>
      <c r="CC217" s="474">
        <v>1540</v>
      </c>
      <c r="CD217" s="475">
        <v>1650</v>
      </c>
      <c r="CE217" s="474">
        <v>1980</v>
      </c>
      <c r="CF217" s="475">
        <v>2286</v>
      </c>
      <c r="CG217" s="475">
        <v>2550</v>
      </c>
      <c r="CH217" s="476">
        <v>2812</v>
      </c>
      <c r="CI217" s="3"/>
      <c r="CJ217" s="862">
        <v>1125</v>
      </c>
      <c r="CK217" s="862">
        <v>1132</v>
      </c>
      <c r="CL217" s="862">
        <v>1461</v>
      </c>
      <c r="CM217" s="862">
        <v>2059</v>
      </c>
      <c r="CN217" s="862">
        <v>2479</v>
      </c>
      <c r="CR217" s="23" t="s">
        <v>325</v>
      </c>
      <c r="CS217" s="322">
        <v>331890</v>
      </c>
      <c r="CT217" s="322">
        <v>382666</v>
      </c>
      <c r="CU217" s="322">
        <v>461600</v>
      </c>
      <c r="CV217" s="322">
        <v>590848</v>
      </c>
      <c r="CW217" s="322">
        <v>658242</v>
      </c>
      <c r="CX217" s="14"/>
      <c r="CY217" s="23" t="s">
        <v>325</v>
      </c>
      <c r="CZ217" s="322">
        <v>331890</v>
      </c>
      <c r="DA217" s="322">
        <v>382666</v>
      </c>
      <c r="DB217" s="322">
        <v>461600</v>
      </c>
      <c r="DC217" s="322">
        <v>590848</v>
      </c>
      <c r="DD217" s="322">
        <v>658242</v>
      </c>
    </row>
    <row r="218" spans="1:108" ht="13" customHeight="1">
      <c r="A218" s="2" t="s">
        <v>591</v>
      </c>
      <c r="C218" s="2" t="s">
        <v>2236</v>
      </c>
      <c r="D218" s="28"/>
      <c r="AC218" s="2" t="s">
        <v>2465</v>
      </c>
      <c r="BC218" t="s">
        <v>528</v>
      </c>
    </row>
    <row r="219" spans="1:108" ht="13" customHeight="1">
      <c r="A219" s="2"/>
      <c r="C219" s="2"/>
      <c r="D219" s="3" t="s">
        <v>2466</v>
      </c>
      <c r="AZ219" s="3"/>
      <c r="BA219" s="3"/>
      <c r="BC219" t="s">
        <v>376</v>
      </c>
    </row>
    <row r="220" spans="1:108" ht="13" customHeight="1">
      <c r="A220" s="2"/>
      <c r="C220" s="2"/>
      <c r="D220" s="1447" t="s">
        <v>874</v>
      </c>
      <c r="E220" s="1447"/>
      <c r="F220" s="1447"/>
      <c r="G220" s="1447"/>
      <c r="H220" s="1447"/>
      <c r="I220" s="1447"/>
      <c r="J220" s="1447"/>
      <c r="K220" s="1447"/>
      <c r="L220" s="1447"/>
      <c r="M220" s="1447"/>
      <c r="N220" s="1447"/>
      <c r="O220" s="1447"/>
      <c r="P220" s="1447"/>
      <c r="Q220" s="1447"/>
      <c r="R220" s="1447"/>
      <c r="S220" s="1447"/>
      <c r="T220" s="1447"/>
      <c r="U220" s="1447"/>
      <c r="V220" s="1447"/>
      <c r="W220" s="1447"/>
      <c r="X220" s="1447"/>
      <c r="Y220" s="1447"/>
      <c r="Z220" s="1447"/>
      <c r="AC220" s="1541" t="s">
        <v>874</v>
      </c>
      <c r="AD220" s="1541"/>
      <c r="AE220" s="1541"/>
      <c r="AF220" s="1541"/>
      <c r="AG220" s="1541"/>
      <c r="AH220" s="1541"/>
      <c r="AI220" s="1541"/>
      <c r="AJ220" s="1541"/>
      <c r="AK220" s="1541"/>
      <c r="AL220" s="1541"/>
      <c r="AM220" s="1541"/>
      <c r="AN220" s="1541"/>
      <c r="AO220" s="1541"/>
      <c r="AP220" s="1541"/>
      <c r="AQ220" s="1541"/>
      <c r="BA220" s="3"/>
      <c r="BC220" t="s">
        <v>299</v>
      </c>
    </row>
    <row r="221" spans="1:108" ht="13" customHeight="1">
      <c r="A221" s="2"/>
      <c r="B221" s="14"/>
      <c r="C221" s="2"/>
      <c r="BA221" s="3"/>
    </row>
    <row r="222" spans="1:108" ht="13" customHeight="1">
      <c r="A222" s="1549" t="s">
        <v>539</v>
      </c>
      <c r="B222" s="1549"/>
      <c r="C222" s="1549"/>
      <c r="D222" s="1549"/>
      <c r="E222" s="1549"/>
      <c r="F222" s="1549"/>
      <c r="G222" s="1549"/>
      <c r="H222" s="1549"/>
      <c r="I222" s="1549"/>
      <c r="J222" s="1549"/>
      <c r="K222" s="1549"/>
      <c r="L222" s="1549"/>
      <c r="M222" s="1549"/>
      <c r="N222" s="1549"/>
      <c r="O222" s="1549"/>
      <c r="P222" s="1549"/>
      <c r="Q222" s="1549"/>
      <c r="R222" s="1549"/>
      <c r="S222" s="1549"/>
      <c r="T222" s="1549"/>
      <c r="U222" s="1549"/>
      <c r="V222" s="1549"/>
      <c r="W222" s="1549"/>
      <c r="X222" s="1549"/>
      <c r="Y222" s="1549"/>
      <c r="Z222" s="1549"/>
      <c r="AA222" s="1549"/>
      <c r="AB222" s="1549"/>
      <c r="AC222" s="1549"/>
      <c r="AD222" s="1549"/>
      <c r="AE222" s="1549"/>
      <c r="AF222" s="1549"/>
      <c r="AG222" s="1549"/>
      <c r="AH222" s="1549"/>
      <c r="AI222" s="1549"/>
      <c r="AJ222" s="1549"/>
      <c r="AK222" s="1549"/>
      <c r="AL222" s="1549"/>
      <c r="AM222" s="1549"/>
      <c r="AN222" s="1549"/>
      <c r="AO222" s="1549"/>
      <c r="AP222" s="1549"/>
      <c r="AQ222" s="1549"/>
      <c r="AR222" s="1549"/>
      <c r="AS222" s="1549"/>
      <c r="AT222" s="1549"/>
      <c r="AU222" s="95"/>
      <c r="AV222" s="95"/>
      <c r="AW222" s="95"/>
      <c r="AX222" s="95"/>
      <c r="AY222" s="95"/>
      <c r="AZ222" s="3"/>
      <c r="BA222" s="3"/>
      <c r="BP222" s="34"/>
    </row>
    <row r="223" spans="1:108" ht="13" customHeight="1">
      <c r="A223" s="1549"/>
      <c r="B223" s="1549"/>
      <c r="C223" s="1549"/>
      <c r="D223" s="1549"/>
      <c r="E223" s="1549"/>
      <c r="F223" s="1549"/>
      <c r="G223" s="1549"/>
      <c r="H223" s="1549"/>
      <c r="I223" s="1549"/>
      <c r="J223" s="1549"/>
      <c r="K223" s="1549"/>
      <c r="L223" s="1549"/>
      <c r="M223" s="1549"/>
      <c r="N223" s="1549"/>
      <c r="O223" s="1549"/>
      <c r="P223" s="1549"/>
      <c r="Q223" s="1549"/>
      <c r="R223" s="1549"/>
      <c r="S223" s="1549"/>
      <c r="T223" s="1549"/>
      <c r="U223" s="1549"/>
      <c r="V223" s="1549"/>
      <c r="W223" s="1549"/>
      <c r="X223" s="1549"/>
      <c r="Y223" s="1549"/>
      <c r="Z223" s="1549"/>
      <c r="AA223" s="1549"/>
      <c r="AB223" s="1549"/>
      <c r="AC223" s="1549"/>
      <c r="AD223" s="1549"/>
      <c r="AE223" s="1549"/>
      <c r="AF223" s="1549"/>
      <c r="AG223" s="1549"/>
      <c r="AH223" s="1549"/>
      <c r="AI223" s="1549"/>
      <c r="AJ223" s="1549"/>
      <c r="AK223" s="1549"/>
      <c r="AL223" s="1549"/>
      <c r="AM223" s="1549"/>
      <c r="AN223" s="1549"/>
      <c r="AO223" s="1549"/>
      <c r="AP223" s="1549"/>
      <c r="AQ223" s="1549"/>
      <c r="AR223" s="1549"/>
      <c r="AS223" s="1549"/>
      <c r="AT223" s="1549"/>
      <c r="BA223" s="3"/>
      <c r="BB223" s="3"/>
      <c r="BQ223" s="34"/>
    </row>
    <row r="224" spans="1:108" ht="13" customHeight="1">
      <c r="AZ224" s="4"/>
      <c r="BA224" s="3"/>
      <c r="BB224" s="3"/>
      <c r="BQ224" s="34"/>
    </row>
    <row r="225" spans="1:59" ht="13" customHeight="1">
      <c r="A225" s="2" t="s">
        <v>318</v>
      </c>
      <c r="B225" s="2"/>
      <c r="C225" s="2" t="s">
        <v>2083</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row>
    <row r="226" spans="1:59" ht="13" customHeight="1">
      <c r="B226" s="4"/>
      <c r="D226" s="4" t="s">
        <v>606</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446" t="s">
        <v>590</v>
      </c>
      <c r="AJ226" s="1446"/>
      <c r="AL226" s="3"/>
      <c r="AM226" s="3"/>
      <c r="AN226" s="3"/>
      <c r="AO226" s="3"/>
      <c r="AP226" s="3"/>
      <c r="AQ226" s="3"/>
      <c r="AR226" s="3"/>
      <c r="AS226" s="3"/>
      <c r="AT226" s="3"/>
      <c r="AU226" s="3"/>
      <c r="AV226" s="3"/>
      <c r="AW226" s="3"/>
      <c r="AX226" s="3"/>
      <c r="AY226" s="3"/>
      <c r="AZ226" s="4"/>
      <c r="BB226" s="205" t="s">
        <v>537</v>
      </c>
      <c r="BG226" s="242">
        <f>IF(AND(AND($M$249="for profit",$M$257="for profit",$M$265="nonprofit")),2,0)</f>
        <v>0</v>
      </c>
    </row>
    <row r="227" spans="1:59" ht="13" customHeight="1">
      <c r="B227" s="4"/>
      <c r="D227" s="4" t="s">
        <v>553</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446" t="s">
        <v>544</v>
      </c>
      <c r="AJ227" s="1446"/>
      <c r="AL227" s="3"/>
      <c r="AM227" s="3"/>
      <c r="AN227" s="3"/>
      <c r="AO227" s="3"/>
      <c r="AP227" s="3"/>
      <c r="AQ227" s="3"/>
      <c r="AR227" s="3"/>
      <c r="AS227" s="3"/>
      <c r="AT227" s="3"/>
      <c r="AU227" s="3"/>
      <c r="AV227" s="3"/>
      <c r="AW227" s="3"/>
      <c r="AX227" s="3"/>
      <c r="AY227" s="3"/>
      <c r="BA227" s="3"/>
      <c r="BB227" s="205" t="s">
        <v>537</v>
      </c>
      <c r="BG227" s="242">
        <f>IF(AND(AND($M$249="for profit",$M$257="nonprofit",$M$265="for profit")),2,0)</f>
        <v>0</v>
      </c>
    </row>
    <row r="228" spans="1:59" ht="13" customHeight="1">
      <c r="B228" s="4"/>
      <c r="D228" s="4" t="s">
        <v>166</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446" t="s">
        <v>544</v>
      </c>
      <c r="AJ228" s="1446"/>
      <c r="AL228" s="3"/>
      <c r="AM228" s="3"/>
      <c r="AN228" s="3"/>
      <c r="AO228" s="3"/>
      <c r="AP228" s="3"/>
      <c r="AQ228" s="3"/>
      <c r="AR228" s="3"/>
      <c r="AS228" s="3"/>
      <c r="AT228" s="3"/>
      <c r="AU228" s="3"/>
      <c r="AV228" s="3"/>
      <c r="AW228" s="3"/>
      <c r="AX228" s="3"/>
      <c r="AY228" s="3"/>
      <c r="AZ228" s="4"/>
      <c r="BA228" s="3"/>
      <c r="BB228" s="205" t="s">
        <v>537</v>
      </c>
      <c r="BG228" s="242">
        <f>IF(AND(AND($M$249="nonprofit",$M$257="for profit",$M$265="for profit")),2,0)</f>
        <v>0</v>
      </c>
    </row>
    <row r="229" spans="1:59" ht="13" customHeight="1">
      <c r="B229" s="4"/>
      <c r="D229" s="4" t="s">
        <v>293</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446" t="s">
        <v>590</v>
      </c>
      <c r="AJ229" s="1446"/>
      <c r="AL229" s="3"/>
      <c r="AM229" s="3"/>
      <c r="AN229" s="3"/>
      <c r="AO229" s="3"/>
      <c r="AP229" s="3"/>
      <c r="AQ229" s="3"/>
      <c r="AR229" s="3"/>
      <c r="AS229" s="3"/>
      <c r="AT229" s="3"/>
      <c r="AU229" s="3"/>
      <c r="AV229" s="3"/>
      <c r="AW229" s="3"/>
      <c r="AX229" s="3"/>
      <c r="AY229" s="3"/>
      <c r="BA229" s="3"/>
      <c r="BB229" s="205" t="s">
        <v>537</v>
      </c>
      <c r="BG229" s="242">
        <f>IF(AND(AND($M$249="for profit",$M$257="nonprofit",$M$265="(select one)")),2,0)</f>
        <v>0</v>
      </c>
    </row>
    <row r="230" spans="1:59" ht="13"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05" t="s">
        <v>537</v>
      </c>
      <c r="BG230" s="241">
        <f>IF(AND(AND($M$249="nonprofit",$M$257="for profit",$M$265="(select one)")),2,0)</f>
        <v>0</v>
      </c>
    </row>
    <row r="231" spans="1:59" ht="13" customHeight="1">
      <c r="A231" s="2" t="s">
        <v>575</v>
      </c>
      <c r="B231" s="4"/>
      <c r="C231" s="2" t="s">
        <v>2084</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05"/>
      <c r="BG231" s="205"/>
    </row>
    <row r="232" spans="1:59" ht="13" customHeight="1">
      <c r="D232" s="4" t="s">
        <v>469</v>
      </c>
      <c r="E232" s="4"/>
      <c r="F232" s="4"/>
      <c r="G232" s="4"/>
      <c r="H232" s="4"/>
      <c r="I232" s="4"/>
      <c r="J232" s="4"/>
      <c r="K232" s="4"/>
      <c r="M232" s="1546" t="str">
        <f>H16</f>
        <v>George McDonald Court LP</v>
      </c>
      <c r="N232" s="1546"/>
      <c r="O232" s="1546"/>
      <c r="P232" s="1546"/>
      <c r="Q232" s="1546"/>
      <c r="R232" s="1546"/>
      <c r="S232" s="1546"/>
      <c r="T232" s="1546"/>
      <c r="U232" s="1546"/>
      <c r="V232" s="1546"/>
      <c r="W232" s="1546"/>
      <c r="X232" s="1546"/>
      <c r="Y232" s="1546"/>
      <c r="Z232" s="1546"/>
      <c r="AA232" s="1546"/>
      <c r="AB232" s="1546"/>
      <c r="AC232" s="1546"/>
      <c r="AD232" s="1546"/>
      <c r="AE232" s="1546"/>
      <c r="AF232" s="1546"/>
      <c r="AG232" s="1546"/>
      <c r="AH232" s="1546"/>
      <c r="AI232" s="1546"/>
      <c r="AJ232" s="1546"/>
      <c r="AK232" s="1546"/>
      <c r="AZ232" s="4"/>
      <c r="BA232" s="3"/>
      <c r="BB232" s="206" t="s">
        <v>537</v>
      </c>
      <c r="BG232" s="242">
        <f>IF(AND(AND($M$249="nonprofit",$M$257="nonprofit",$M$265="for profit")),2,0)</f>
        <v>0</v>
      </c>
    </row>
    <row r="233" spans="1:59" ht="13" customHeight="1">
      <c r="D233" s="4" t="s">
        <v>85</v>
      </c>
      <c r="E233" s="4"/>
      <c r="F233" s="4"/>
      <c r="G233" s="4"/>
      <c r="H233" s="4"/>
      <c r="I233" s="4"/>
      <c r="J233" s="4"/>
      <c r="K233" s="4"/>
      <c r="M233" s="1491" t="s">
        <v>2618</v>
      </c>
      <c r="N233" s="1447"/>
      <c r="O233" s="1447"/>
      <c r="P233" s="1447"/>
      <c r="Q233" s="1447"/>
      <c r="R233" s="1447"/>
      <c r="S233" s="1447"/>
      <c r="T233" s="1447"/>
      <c r="U233" s="1447"/>
      <c r="V233" s="1447"/>
      <c r="W233" s="1447"/>
      <c r="X233" s="1447"/>
      <c r="Y233" s="1447"/>
      <c r="Z233" s="1447"/>
      <c r="AA233" s="1447"/>
      <c r="AB233" s="1447"/>
      <c r="AC233" s="1447"/>
      <c r="AD233" s="1447"/>
      <c r="AE233" s="1447"/>
      <c r="BB233" s="206" t="s">
        <v>537</v>
      </c>
      <c r="BG233" s="242">
        <f>IF(AND(AND($M$249="nonprofit",$M$257="for profit",$M$265="nonprofit")),2,0)</f>
        <v>0</v>
      </c>
    </row>
    <row r="234" spans="1:59" ht="13" customHeight="1">
      <c r="D234" s="4" t="s">
        <v>579</v>
      </c>
      <c r="E234" s="4"/>
      <c r="M234" s="1491" t="s">
        <v>2619</v>
      </c>
      <c r="N234" s="1447"/>
      <c r="O234" s="1447"/>
      <c r="P234" s="1447"/>
      <c r="Q234" s="1447"/>
      <c r="R234" s="1447"/>
      <c r="S234" s="1447"/>
      <c r="T234" s="1447"/>
      <c r="V234" s="33" t="s">
        <v>86</v>
      </c>
      <c r="W234" s="1458" t="s">
        <v>2620</v>
      </c>
      <c r="X234" s="1490"/>
      <c r="Y234" s="4" t="s">
        <v>582</v>
      </c>
      <c r="AC234" s="1447">
        <v>91010</v>
      </c>
      <c r="AD234" s="1447"/>
      <c r="AE234" s="1447"/>
      <c r="AU234" s="4"/>
      <c r="AV234" s="4"/>
      <c r="AW234" s="4"/>
      <c r="AX234" s="4"/>
      <c r="AY234" s="4"/>
      <c r="AZ234" s="4"/>
      <c r="BB234" s="206" t="s">
        <v>537</v>
      </c>
      <c r="BG234" s="241">
        <f>IF(AND(AND($M$249="for profit",$M$257="nonprofit",$M$265="nonprofit")),2,0)</f>
        <v>0</v>
      </c>
    </row>
    <row r="235" spans="1:59" ht="13" customHeight="1">
      <c r="D235" s="4" t="s">
        <v>87</v>
      </c>
      <c r="E235" s="4"/>
      <c r="F235" s="4"/>
      <c r="G235" s="4"/>
      <c r="H235" s="4"/>
      <c r="I235" s="4"/>
      <c r="J235" s="4"/>
      <c r="K235" s="19"/>
      <c r="M235" s="1491" t="s">
        <v>2621</v>
      </c>
      <c r="N235" s="1447"/>
      <c r="O235" s="1447"/>
      <c r="P235" s="1447"/>
      <c r="Q235" s="1447"/>
      <c r="R235" s="1447"/>
      <c r="S235" s="1447"/>
      <c r="T235" s="1447"/>
      <c r="U235" s="1447"/>
      <c r="V235" s="1447"/>
      <c r="W235" s="1447"/>
      <c r="X235" s="1447"/>
      <c r="Y235" s="1447"/>
      <c r="Z235" s="1447"/>
      <c r="AA235" s="1447"/>
      <c r="AB235" s="1447"/>
      <c r="AC235" s="1447"/>
      <c r="AD235" s="1447"/>
      <c r="AE235" s="1447"/>
      <c r="AI235" s="4"/>
      <c r="AJ235" s="4"/>
      <c r="AK235" s="4"/>
      <c r="AL235" s="4"/>
      <c r="AM235" s="4"/>
      <c r="AN235" s="4"/>
      <c r="AO235" s="4"/>
      <c r="AP235" s="4"/>
      <c r="AQ235" s="4"/>
      <c r="AR235" s="4"/>
      <c r="AS235" s="4"/>
      <c r="AT235" s="4"/>
      <c r="BB235" s="206"/>
      <c r="BG235" s="205"/>
    </row>
    <row r="236" spans="1:59" ht="13" customHeight="1">
      <c r="D236" s="4" t="s">
        <v>88</v>
      </c>
      <c r="E236" s="4"/>
      <c r="F236" s="4"/>
      <c r="M236" s="1448">
        <v>8182597568</v>
      </c>
      <c r="N236" s="1448"/>
      <c r="O236" s="1448"/>
      <c r="P236" s="1448"/>
      <c r="Q236" s="1448"/>
      <c r="R236" s="1448"/>
      <c r="S236" s="4" t="s">
        <v>205</v>
      </c>
      <c r="T236" s="4"/>
      <c r="U236" s="1490"/>
      <c r="V236" s="1490"/>
      <c r="W236" s="1490"/>
      <c r="X236" s="4" t="s">
        <v>89</v>
      </c>
      <c r="Z236" s="1448"/>
      <c r="AA236" s="1448"/>
      <c r="AB236" s="1448"/>
      <c r="AC236" s="1448"/>
      <c r="AD236" s="1448"/>
      <c r="AE236" s="1448"/>
      <c r="AU236" s="4"/>
      <c r="AV236" s="4"/>
      <c r="AW236" s="4"/>
      <c r="AX236" s="4"/>
      <c r="AY236" s="4"/>
      <c r="AZ236" s="4"/>
      <c r="BB236" s="205" t="s">
        <v>536</v>
      </c>
      <c r="BG236" s="242">
        <f>IF(AND(AND($M$249="nonprofit",$M$257="nonprofit",$M$265="(select one)")),1,0)</f>
        <v>0</v>
      </c>
    </row>
    <row r="237" spans="1:59" ht="13" customHeight="1">
      <c r="D237" s="4" t="s">
        <v>90</v>
      </c>
      <c r="E237" s="4"/>
      <c r="F237" s="4"/>
      <c r="M237" s="1527" t="s">
        <v>2622</v>
      </c>
      <c r="N237" s="1527"/>
      <c r="O237" s="1527"/>
      <c r="P237" s="1527"/>
      <c r="Q237" s="1527"/>
      <c r="R237" s="1527"/>
      <c r="S237" s="1527"/>
      <c r="T237" s="1527"/>
      <c r="U237" s="1527"/>
      <c r="V237" s="1527"/>
      <c r="W237" s="1527"/>
      <c r="X237" s="1527"/>
      <c r="Y237" s="1527"/>
      <c r="Z237" s="1527"/>
      <c r="AA237" s="1527"/>
      <c r="AB237" s="1527"/>
      <c r="AC237" s="1527"/>
      <c r="AD237" s="1527"/>
      <c r="AE237" s="1527"/>
      <c r="AF237" s="4"/>
      <c r="AG237" s="4"/>
      <c r="AH237" s="4"/>
      <c r="AI237" s="4"/>
      <c r="AJ237" s="4"/>
      <c r="AK237" s="4"/>
      <c r="AL237" s="4"/>
      <c r="AM237" s="4"/>
      <c r="AN237" s="4"/>
      <c r="AO237" s="4"/>
      <c r="AP237" s="4"/>
      <c r="AQ237" s="4"/>
      <c r="AR237" s="4"/>
      <c r="AS237" s="4"/>
      <c r="AT237" s="4"/>
      <c r="AU237" s="3"/>
      <c r="AV237" s="3"/>
      <c r="AW237" s="3"/>
      <c r="AX237" s="3"/>
      <c r="AY237" s="3"/>
      <c r="BB237" s="205" t="s">
        <v>536</v>
      </c>
      <c r="BG237" s="242">
        <f>IF(AND(AND($M$249="nonprofit",$M$257="nonprofit",$M$265="nonprofit")),1,0)</f>
        <v>0</v>
      </c>
    </row>
    <row r="238" spans="1:59" ht="13" customHeight="1">
      <c r="A238" s="2" t="s">
        <v>585</v>
      </c>
      <c r="C238" s="2" t="s">
        <v>524</v>
      </c>
      <c r="M238" s="1351" t="s">
        <v>527</v>
      </c>
      <c r="N238" s="1351"/>
      <c r="O238" s="1351"/>
      <c r="P238" s="1351"/>
      <c r="Q238" s="1351"/>
      <c r="R238" s="1351"/>
      <c r="S238" s="1351"/>
      <c r="T238" s="1351"/>
      <c r="U238" s="205" t="s">
        <v>905</v>
      </c>
      <c r="V238" s="205"/>
      <c r="W238" s="205"/>
      <c r="X238" s="205"/>
      <c r="Y238" s="205"/>
      <c r="Z238" s="205"/>
      <c r="AA238" s="1555" t="s">
        <v>2623</v>
      </c>
      <c r="AB238" s="1556"/>
      <c r="AC238" s="1556"/>
      <c r="AD238" s="1556"/>
      <c r="AE238" s="1556"/>
      <c r="AF238" s="1556"/>
      <c r="AG238" s="1556"/>
      <c r="AH238" s="1556"/>
      <c r="AI238" s="1556"/>
      <c r="AJ238" s="1556"/>
      <c r="AK238" s="1556"/>
      <c r="AL238" s="3"/>
      <c r="AM238" s="3"/>
      <c r="AN238" s="3"/>
      <c r="AO238" s="3"/>
      <c r="AP238" s="3"/>
      <c r="AQ238" s="3"/>
      <c r="AR238" s="3"/>
      <c r="AS238" s="3"/>
      <c r="AT238" s="3"/>
      <c r="AU238" s="3"/>
      <c r="AV238" s="3"/>
      <c r="AW238" s="3"/>
      <c r="AX238" s="3"/>
      <c r="AY238" s="3"/>
      <c r="BB238" s="205" t="s">
        <v>536</v>
      </c>
      <c r="BG238" s="242">
        <f>IF(AND(AND($M$249="nonprofit",$M$257="(select one)",$M$265="(select one)")),1,0)</f>
        <v>1</v>
      </c>
    </row>
    <row r="239" spans="1:59" ht="13" customHeight="1">
      <c r="D239" t="s">
        <v>530</v>
      </c>
      <c r="M239" s="1352"/>
      <c r="N239" s="1352"/>
      <c r="O239" s="1352"/>
      <c r="P239" s="1352"/>
      <c r="Q239" s="1352"/>
      <c r="R239" s="1352"/>
      <c r="S239" s="1352"/>
      <c r="T239" s="1352"/>
      <c r="U239" s="1352"/>
      <c r="V239" s="1352"/>
      <c r="W239" s="1352"/>
      <c r="X239" s="1352"/>
      <c r="Y239" s="1352"/>
      <c r="Z239" s="1352"/>
      <c r="AA239" s="1352"/>
      <c r="AB239" s="1352"/>
      <c r="AC239" s="1352"/>
      <c r="AD239" s="1352"/>
      <c r="AE239" s="1352"/>
      <c r="AF239" s="4"/>
      <c r="AG239" s="4"/>
      <c r="AH239" s="4"/>
      <c r="AI239" s="4"/>
      <c r="AJ239" s="4"/>
      <c r="AK239" s="3"/>
      <c r="AL239" s="3"/>
      <c r="AM239" s="3"/>
      <c r="AN239" s="3"/>
      <c r="AO239" s="3"/>
      <c r="AP239" s="3"/>
      <c r="AQ239" s="3"/>
      <c r="AR239" s="3"/>
      <c r="AS239" s="3"/>
      <c r="AT239" s="3"/>
      <c r="BB239" s="205" t="s">
        <v>876</v>
      </c>
      <c r="BG239" s="242">
        <f>IF(AND(AND($M$249="for profit",$M$257="for profit",$M$265="(select one)")),3,0)</f>
        <v>0</v>
      </c>
    </row>
    <row r="240" spans="1:59" ht="13" customHeight="1">
      <c r="D240" s="4"/>
      <c r="BB240" s="205" t="s">
        <v>876</v>
      </c>
      <c r="BG240" s="242">
        <f>IF(AND(AND($M$249="for profit",$M$257="for profit",$M$265="for profit")),3,0)</f>
        <v>0</v>
      </c>
    </row>
    <row r="241" spans="1:67" ht="13" customHeight="1">
      <c r="A241" s="2" t="s">
        <v>588</v>
      </c>
      <c r="C241" s="2" t="s">
        <v>1182</v>
      </c>
      <c r="D241" s="4"/>
      <c r="L241" s="8"/>
      <c r="M241" s="8"/>
      <c r="N241" s="8"/>
      <c r="AU241" s="3"/>
      <c r="AV241" s="3"/>
      <c r="AW241" s="3"/>
      <c r="AX241" s="3"/>
      <c r="AY241" s="3"/>
      <c r="BB241" s="205" t="s">
        <v>876</v>
      </c>
      <c r="BG241" s="242">
        <f>IF(AND(AND($M$249="for profit",$M$257="(select one)",$M$265="(select one)")),3,0)</f>
        <v>0</v>
      </c>
    </row>
    <row r="242" spans="1:67" ht="13"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row>
    <row r="243" spans="1:67" ht="13" customHeight="1">
      <c r="A243" s="19"/>
      <c r="B243" s="4"/>
      <c r="C243" s="56" t="s">
        <v>472</v>
      </c>
      <c r="D243" s="4" t="s">
        <v>531</v>
      </c>
      <c r="E243" s="4"/>
      <c r="F243" s="4"/>
      <c r="G243" s="4"/>
      <c r="H243" s="4"/>
      <c r="I243" s="4"/>
      <c r="J243" s="4"/>
      <c r="K243" s="4"/>
      <c r="L243" s="4"/>
      <c r="M243" s="1564" t="s">
        <v>2624</v>
      </c>
      <c r="N243" s="1529"/>
      <c r="O243" s="1529"/>
      <c r="P243" s="1529"/>
      <c r="Q243" s="1529"/>
      <c r="R243" s="1529"/>
      <c r="S243" s="1529"/>
      <c r="T243" s="1529"/>
      <c r="U243" s="1529"/>
      <c r="V243" s="1529"/>
      <c r="W243" s="1529"/>
      <c r="X243" s="1529"/>
      <c r="Y243" s="1529"/>
      <c r="Z243" s="1529"/>
      <c r="AA243" s="1529"/>
      <c r="AB243" s="1529"/>
      <c r="AC243" s="1529"/>
      <c r="AD243" s="1529"/>
      <c r="AE243" s="1529"/>
      <c r="AF243" s="1529" t="s">
        <v>2625</v>
      </c>
      <c r="AG243" s="1529"/>
      <c r="AH243" s="1529"/>
      <c r="AI243" s="1529"/>
      <c r="AJ243" s="1529"/>
      <c r="AK243" s="1529"/>
      <c r="AU243" s="4"/>
      <c r="AV243" s="4"/>
      <c r="AW243" s="4"/>
      <c r="AX243" s="4"/>
      <c r="AY243" s="4"/>
      <c r="BG243">
        <f>SUM(BG226:BG241)</f>
        <v>1</v>
      </c>
    </row>
    <row r="244" spans="1:67" ht="13" customHeight="1">
      <c r="A244" s="19"/>
      <c r="B244" s="4"/>
      <c r="C244" s="4"/>
      <c r="D244" s="4" t="s">
        <v>85</v>
      </c>
      <c r="E244" s="4"/>
      <c r="F244" s="4"/>
      <c r="G244" s="4"/>
      <c r="H244" s="4"/>
      <c r="I244" s="4"/>
      <c r="J244" s="4"/>
      <c r="K244" s="4"/>
      <c r="L244" s="4"/>
      <c r="M244" s="1447" t="s">
        <v>2618</v>
      </c>
      <c r="N244" s="1447"/>
      <c r="O244" s="1447"/>
      <c r="P244" s="1447"/>
      <c r="Q244" s="1447"/>
      <c r="R244" s="1447"/>
      <c r="S244" s="1447"/>
      <c r="T244" s="1447"/>
      <c r="U244" s="1447"/>
      <c r="V244" s="1447"/>
      <c r="W244" s="1447"/>
      <c r="X244" s="1447"/>
      <c r="Y244" s="1447"/>
      <c r="Z244" s="1447"/>
      <c r="AA244" s="1447"/>
      <c r="AB244" s="1447"/>
      <c r="AC244" s="1447"/>
      <c r="AD244" s="1447"/>
      <c r="AE244" s="1447"/>
      <c r="AF244" s="3" t="s">
        <v>1178</v>
      </c>
      <c r="AL244" s="4"/>
      <c r="AM244" s="4"/>
      <c r="AN244" s="4"/>
      <c r="AO244" s="4"/>
      <c r="AP244" s="4"/>
      <c r="AQ244" s="4"/>
      <c r="AR244" s="4"/>
      <c r="AS244" s="4"/>
      <c r="AT244" s="4"/>
      <c r="BB244" t="s">
        <v>306</v>
      </c>
      <c r="BG244">
        <v>1</v>
      </c>
      <c r="BH244" t="s">
        <v>533</v>
      </c>
    </row>
    <row r="245" spans="1:67" ht="13" customHeight="1">
      <c r="A245" s="19"/>
      <c r="B245" s="4"/>
      <c r="C245" s="4"/>
      <c r="D245" s="4" t="s">
        <v>579</v>
      </c>
      <c r="E245" s="4"/>
      <c r="M245" s="1447" t="s">
        <v>2619</v>
      </c>
      <c r="N245" s="1447"/>
      <c r="O245" s="1447"/>
      <c r="P245" s="1447"/>
      <c r="Q245" s="1447"/>
      <c r="R245" s="1447"/>
      <c r="S245" s="1447"/>
      <c r="T245" s="1447"/>
      <c r="V245" s="33" t="s">
        <v>86</v>
      </c>
      <c r="W245" s="1458" t="s">
        <v>2620</v>
      </c>
      <c r="X245" s="1490"/>
      <c r="Y245" s="4" t="s">
        <v>582</v>
      </c>
      <c r="AC245" s="1447">
        <v>91010</v>
      </c>
      <c r="AD245" s="1447"/>
      <c r="AE245" s="1447"/>
      <c r="AF245" s="3" t="s">
        <v>1179</v>
      </c>
      <c r="AU245" s="4"/>
      <c r="AV245" s="4"/>
      <c r="AW245" s="4"/>
      <c r="AX245" s="4"/>
      <c r="AY245" s="4"/>
      <c r="BB245" s="4" t="s">
        <v>279</v>
      </c>
      <c r="BG245">
        <v>2</v>
      </c>
      <c r="BH245" t="s">
        <v>565</v>
      </c>
      <c r="BO245" s="240" t="str">
        <f>VLOOKUP(BG243,BG244:BH247,2,FALSE)</f>
        <v>Nonprofit</v>
      </c>
    </row>
    <row r="246" spans="1:67" ht="13" customHeight="1">
      <c r="A246" s="19"/>
      <c r="B246" s="4"/>
      <c r="C246" s="4"/>
      <c r="D246" s="4" t="s">
        <v>87</v>
      </c>
      <c r="E246" s="4"/>
      <c r="F246" s="4"/>
      <c r="G246" s="4"/>
      <c r="H246" s="4"/>
      <c r="I246" s="4"/>
      <c r="J246" s="4"/>
      <c r="K246" s="4"/>
      <c r="L246" s="19"/>
      <c r="M246" s="1491" t="s">
        <v>2626</v>
      </c>
      <c r="N246" s="1447"/>
      <c r="O246" s="1447"/>
      <c r="P246" s="1447"/>
      <c r="Q246" s="1447"/>
      <c r="R246" s="1447"/>
      <c r="S246" s="1447"/>
      <c r="T246" s="1447"/>
      <c r="U246" s="1447"/>
      <c r="V246" s="1447"/>
      <c r="W246" s="1447"/>
      <c r="X246" s="1447"/>
      <c r="Y246" s="1447"/>
      <c r="Z246" s="1447"/>
      <c r="AA246" s="1447"/>
      <c r="AB246" s="1447"/>
      <c r="AC246" s="1447"/>
      <c r="AD246" s="1447"/>
      <c r="AE246" s="1447"/>
      <c r="AH246" s="1557">
        <v>100</v>
      </c>
      <c r="AI246" s="1557"/>
      <c r="AJ246" s="1557"/>
      <c r="AK246" s="1557"/>
      <c r="AL246" s="4"/>
      <c r="AM246" s="4"/>
      <c r="AN246" s="4"/>
      <c r="AO246" s="4"/>
      <c r="AP246" s="4"/>
      <c r="AQ246" s="4"/>
      <c r="AR246" s="4"/>
      <c r="AS246" s="4"/>
      <c r="AT246" s="4"/>
      <c r="BB246" s="4" t="s">
        <v>172</v>
      </c>
      <c r="BG246">
        <v>3</v>
      </c>
      <c r="BH246" t="s">
        <v>535</v>
      </c>
      <c r="BN246" s="34"/>
    </row>
    <row r="247" spans="1:67" ht="13" customHeight="1">
      <c r="A247" s="19"/>
      <c r="B247" s="4"/>
      <c r="C247" s="4"/>
      <c r="D247" s="4" t="s">
        <v>88</v>
      </c>
      <c r="E247" s="4"/>
      <c r="F247" s="4"/>
      <c r="M247" s="1448">
        <v>9259247102</v>
      </c>
      <c r="N247" s="1448"/>
      <c r="O247" s="1448"/>
      <c r="P247" s="1448"/>
      <c r="Q247" s="1448"/>
      <c r="R247" s="1448"/>
      <c r="S247" s="4" t="s">
        <v>205</v>
      </c>
      <c r="T247" s="4"/>
      <c r="U247" s="1490"/>
      <c r="V247" s="1490"/>
      <c r="W247" s="1490"/>
      <c r="X247" s="4" t="s">
        <v>89</v>
      </c>
      <c r="Z247" s="1448"/>
      <c r="AA247" s="1448"/>
      <c r="AB247" s="1448"/>
      <c r="AC247" s="1448"/>
      <c r="AD247" s="1448"/>
      <c r="AE247" s="1448"/>
      <c r="AU247" s="4"/>
      <c r="AV247" s="4"/>
      <c r="AW247" s="4"/>
      <c r="AX247" s="4"/>
      <c r="AY247" s="4"/>
      <c r="BG247">
        <v>0</v>
      </c>
      <c r="BH247" s="3" t="str">
        <f>""</f>
        <v/>
      </c>
      <c r="BN247" s="34"/>
    </row>
    <row r="248" spans="1:67" ht="13" customHeight="1">
      <c r="A248" s="19"/>
      <c r="B248" s="4"/>
      <c r="C248" s="4"/>
      <c r="D248" s="4" t="s">
        <v>90</v>
      </c>
      <c r="E248" s="4"/>
      <c r="F248" s="4"/>
      <c r="M248" s="1527" t="s">
        <v>2627</v>
      </c>
      <c r="N248" s="1527"/>
      <c r="O248" s="1527"/>
      <c r="P248" s="1527"/>
      <c r="Q248" s="1527"/>
      <c r="R248" s="1527"/>
      <c r="S248" s="1527"/>
      <c r="T248" s="1527"/>
      <c r="U248" s="1527"/>
      <c r="V248" s="1527"/>
      <c r="W248" s="1527"/>
      <c r="X248" s="1527"/>
      <c r="Y248" s="1527"/>
      <c r="Z248" s="1527"/>
      <c r="AA248" s="1527"/>
      <c r="AB248" s="1527"/>
      <c r="AC248" s="1527"/>
      <c r="AD248" s="1527"/>
      <c r="AE248" s="1527"/>
      <c r="AG248" s="4"/>
      <c r="AH248" s="4"/>
      <c r="AI248" s="4"/>
      <c r="AJ248" s="4"/>
      <c r="AK248" s="4"/>
      <c r="AL248" s="4"/>
      <c r="AM248" s="4"/>
      <c r="AN248" s="4"/>
      <c r="AO248" s="4"/>
      <c r="AP248" s="4"/>
      <c r="AQ248" s="4"/>
      <c r="AR248" s="4"/>
      <c r="AS248" s="4"/>
      <c r="AT248" s="4"/>
      <c r="BN248" s="34"/>
    </row>
    <row r="249" spans="1:67" ht="13" customHeight="1">
      <c r="A249" s="13"/>
      <c r="B249" s="4"/>
      <c r="C249" s="56"/>
      <c r="D249" s="4" t="s">
        <v>534</v>
      </c>
      <c r="E249" s="4"/>
      <c r="F249" s="4"/>
      <c r="G249" s="4"/>
      <c r="H249" s="4"/>
      <c r="I249" s="4"/>
      <c r="J249" s="4"/>
      <c r="K249" s="4"/>
      <c r="L249" s="4"/>
      <c r="M249" s="1351" t="s">
        <v>533</v>
      </c>
      <c r="N249" s="1351"/>
      <c r="O249" s="1351"/>
      <c r="P249" s="1351"/>
      <c r="Q249" s="1351"/>
      <c r="R249" s="1351"/>
      <c r="S249" s="1351"/>
      <c r="T249" s="1351"/>
      <c r="U249" s="205" t="s">
        <v>905</v>
      </c>
      <c r="V249" s="205"/>
      <c r="W249" s="205"/>
      <c r="X249" s="205"/>
      <c r="Y249" s="205"/>
      <c r="Z249" s="205"/>
      <c r="AA249" s="1555" t="s">
        <v>2623</v>
      </c>
      <c r="AB249" s="1556"/>
      <c r="AC249" s="1556"/>
      <c r="AD249" s="1556"/>
      <c r="AE249" s="1556"/>
      <c r="AF249" s="1556"/>
      <c r="AG249" s="1556"/>
      <c r="AH249" s="1556"/>
      <c r="AI249" s="1556"/>
      <c r="AJ249" s="1556"/>
      <c r="AK249" s="1556"/>
      <c r="BN249" s="34"/>
    </row>
    <row r="250" spans="1:67" ht="13" customHeight="1">
      <c r="A250" s="19"/>
      <c r="B250" s="4"/>
      <c r="C250" s="4"/>
      <c r="D250" s="4"/>
      <c r="E250" s="4"/>
      <c r="F250" s="4"/>
      <c r="G250" s="4"/>
      <c r="H250" s="4"/>
      <c r="I250" s="4"/>
      <c r="J250" s="4"/>
      <c r="K250" s="4"/>
      <c r="L250" s="4"/>
      <c r="AG250" s="4"/>
      <c r="AH250" s="4"/>
      <c r="AI250" s="4"/>
      <c r="AJ250" s="4"/>
      <c r="BN250" s="34"/>
    </row>
    <row r="251" spans="1:67" ht="13" customHeight="1">
      <c r="A251" s="2"/>
      <c r="B251" s="4"/>
      <c r="C251" s="56" t="s">
        <v>98</v>
      </c>
      <c r="D251" s="4" t="s">
        <v>954</v>
      </c>
      <c r="E251" s="4"/>
      <c r="F251" s="4"/>
      <c r="G251" s="4"/>
      <c r="H251" s="4"/>
      <c r="I251" s="4"/>
      <c r="J251" s="4"/>
      <c r="K251" s="4"/>
      <c r="L251" s="4"/>
      <c r="M251" s="1529"/>
      <c r="N251" s="1529"/>
      <c r="O251" s="1529"/>
      <c r="P251" s="1529"/>
      <c r="Q251" s="1529"/>
      <c r="R251" s="1529"/>
      <c r="S251" s="1529"/>
      <c r="T251" s="1529"/>
      <c r="U251" s="1529"/>
      <c r="V251" s="1529"/>
      <c r="W251" s="1529"/>
      <c r="X251" s="1529"/>
      <c r="Y251" s="1529"/>
      <c r="Z251" s="1529"/>
      <c r="AA251" s="1529"/>
      <c r="AB251" s="1529"/>
      <c r="AC251" s="1529"/>
      <c r="AD251" s="1529"/>
      <c r="AE251" s="1529"/>
      <c r="AF251" s="1529" t="s">
        <v>306</v>
      </c>
      <c r="AG251" s="1529"/>
      <c r="AH251" s="1529"/>
      <c r="AI251" s="1529"/>
      <c r="AJ251" s="1529"/>
      <c r="AK251" s="1529"/>
      <c r="AU251" s="4"/>
      <c r="AV251" s="4"/>
      <c r="AW251" s="4"/>
      <c r="AX251" s="4"/>
      <c r="AY251" s="4"/>
      <c r="BN251" s="34"/>
    </row>
    <row r="252" spans="1:67" ht="13" customHeight="1">
      <c r="A252" s="19"/>
      <c r="B252" s="4"/>
      <c r="C252" s="4"/>
      <c r="D252" s="4" t="s">
        <v>85</v>
      </c>
      <c r="E252" s="4"/>
      <c r="F252" s="4"/>
      <c r="G252" s="4"/>
      <c r="H252" s="4"/>
      <c r="I252" s="4"/>
      <c r="J252" s="4"/>
      <c r="K252" s="4"/>
      <c r="L252" s="4"/>
      <c r="M252" s="1447"/>
      <c r="N252" s="1447"/>
      <c r="O252" s="1447"/>
      <c r="P252" s="1447"/>
      <c r="Q252" s="1447"/>
      <c r="R252" s="1447"/>
      <c r="S252" s="1447"/>
      <c r="T252" s="1447"/>
      <c r="U252" s="1447"/>
      <c r="V252" s="1447"/>
      <c r="W252" s="1447"/>
      <c r="X252" s="1447"/>
      <c r="Y252" s="1447"/>
      <c r="Z252" s="1447"/>
      <c r="AA252" s="1447"/>
      <c r="AB252" s="1447"/>
      <c r="AC252" s="1447"/>
      <c r="AD252" s="1447"/>
      <c r="AE252" s="1447"/>
      <c r="AF252" s="3" t="s">
        <v>1178</v>
      </c>
      <c r="AL252" s="4"/>
      <c r="AM252" s="4"/>
      <c r="AN252" s="4"/>
      <c r="AO252" s="4"/>
      <c r="AP252" s="4"/>
      <c r="AQ252" s="4"/>
      <c r="AR252" s="4"/>
      <c r="AS252" s="4"/>
      <c r="AT252" s="4"/>
      <c r="BN252" s="34"/>
    </row>
    <row r="253" spans="1:67" ht="13" customHeight="1">
      <c r="A253" s="19"/>
      <c r="B253" s="4"/>
      <c r="C253" s="4"/>
      <c r="D253" s="4" t="s">
        <v>579</v>
      </c>
      <c r="E253" s="4"/>
      <c r="M253" s="1447"/>
      <c r="N253" s="1447"/>
      <c r="O253" s="1447"/>
      <c r="P253" s="1447"/>
      <c r="Q253" s="1447"/>
      <c r="R253" s="1447"/>
      <c r="S253" s="1447"/>
      <c r="T253" s="1447"/>
      <c r="V253" s="33" t="s">
        <v>86</v>
      </c>
      <c r="W253" s="1490"/>
      <c r="X253" s="1490"/>
      <c r="Y253" s="4" t="s">
        <v>582</v>
      </c>
      <c r="AC253" s="1447"/>
      <c r="AD253" s="1447"/>
      <c r="AE253" s="1447"/>
      <c r="AF253" s="3" t="s">
        <v>1179</v>
      </c>
      <c r="AU253" s="4"/>
      <c r="AV253" s="4"/>
      <c r="AW253" s="4"/>
      <c r="AX253" s="4"/>
      <c r="AY253" s="4"/>
      <c r="BN253" s="34"/>
    </row>
    <row r="254" spans="1:67" ht="13" customHeight="1">
      <c r="A254" s="19"/>
      <c r="B254" s="4"/>
      <c r="C254" s="4"/>
      <c r="D254" s="4" t="s">
        <v>87</v>
      </c>
      <c r="E254" s="4"/>
      <c r="F254" s="4"/>
      <c r="G254" s="4"/>
      <c r="H254" s="4"/>
      <c r="I254" s="4"/>
      <c r="J254" s="4"/>
      <c r="K254" s="4"/>
      <c r="L254" s="19"/>
      <c r="M254" s="1447"/>
      <c r="N254" s="1447"/>
      <c r="O254" s="1447"/>
      <c r="P254" s="1447"/>
      <c r="Q254" s="1447"/>
      <c r="R254" s="1447"/>
      <c r="S254" s="1447"/>
      <c r="T254" s="1447"/>
      <c r="U254" s="1447"/>
      <c r="V254" s="1447"/>
      <c r="W254" s="1447"/>
      <c r="X254" s="1447"/>
      <c r="Y254" s="1447"/>
      <c r="Z254" s="1447"/>
      <c r="AA254" s="1447"/>
      <c r="AB254" s="1447"/>
      <c r="AC254" s="1447"/>
      <c r="AD254" s="1447"/>
      <c r="AE254" s="1447"/>
      <c r="AH254" s="1557"/>
      <c r="AI254" s="1557"/>
      <c r="AJ254" s="1557"/>
      <c r="AK254" s="1557"/>
      <c r="AL254" s="4"/>
      <c r="AM254" s="4"/>
      <c r="AN254" s="4"/>
      <c r="AO254" s="4"/>
      <c r="AP254" s="4"/>
      <c r="AQ254" s="4"/>
      <c r="AR254" s="4"/>
      <c r="AS254" s="4"/>
      <c r="AT254" s="4"/>
    </row>
    <row r="255" spans="1:67" ht="13" customHeight="1">
      <c r="A255" s="19"/>
      <c r="B255" s="4"/>
      <c r="C255" s="4"/>
      <c r="D255" s="4" t="s">
        <v>88</v>
      </c>
      <c r="E255" s="4"/>
      <c r="F255" s="4"/>
      <c r="M255" s="1448"/>
      <c r="N255" s="1448"/>
      <c r="O255" s="1448"/>
      <c r="P255" s="1448"/>
      <c r="Q255" s="1448"/>
      <c r="R255" s="1448"/>
      <c r="S255" s="4" t="s">
        <v>205</v>
      </c>
      <c r="T255" s="4"/>
      <c r="U255" s="1490"/>
      <c r="V255" s="1490"/>
      <c r="W255" s="1490"/>
      <c r="X255" s="4" t="s">
        <v>89</v>
      </c>
      <c r="Z255" s="1448"/>
      <c r="AA255" s="1448"/>
      <c r="AB255" s="1448"/>
      <c r="AC255" s="1448"/>
      <c r="AD255" s="1448"/>
      <c r="AE255" s="1448"/>
      <c r="AU255" s="4"/>
      <c r="AV255" s="4"/>
      <c r="AW255" s="4"/>
      <c r="AX255" s="4"/>
      <c r="AY255" s="4"/>
      <c r="BN255" s="34"/>
    </row>
    <row r="256" spans="1:67" ht="13" customHeight="1">
      <c r="A256" s="19"/>
      <c r="B256" s="4"/>
      <c r="C256" s="4"/>
      <c r="D256" s="4" t="s">
        <v>90</v>
      </c>
      <c r="E256" s="4"/>
      <c r="F256" s="4"/>
      <c r="M256" s="1527"/>
      <c r="N256" s="1527"/>
      <c r="O256" s="1527"/>
      <c r="P256" s="1527"/>
      <c r="Q256" s="1527"/>
      <c r="R256" s="1527"/>
      <c r="S256" s="1527"/>
      <c r="T256" s="1527"/>
      <c r="U256" s="1527"/>
      <c r="V256" s="1527"/>
      <c r="W256" s="1527"/>
      <c r="X256" s="1527"/>
      <c r="Y256" s="1527"/>
      <c r="Z256" s="1527"/>
      <c r="AA256" s="1527"/>
      <c r="AB256" s="1527"/>
      <c r="AC256" s="1527"/>
      <c r="AD256" s="1527"/>
      <c r="AE256" s="1527"/>
      <c r="AG256" s="4"/>
      <c r="AH256" s="4"/>
      <c r="AI256" s="4"/>
      <c r="AJ256" s="4"/>
      <c r="AK256" s="4"/>
      <c r="AL256" s="4"/>
      <c r="AM256" s="4"/>
      <c r="AN256" s="4"/>
      <c r="AO256" s="4"/>
      <c r="AP256" s="4"/>
      <c r="AQ256" s="4"/>
      <c r="AR256" s="4"/>
      <c r="AS256" s="4"/>
      <c r="AT256" s="4"/>
      <c r="AU256" s="3"/>
      <c r="AV256" s="3"/>
      <c r="AW256" s="3"/>
      <c r="AX256" s="3"/>
      <c r="AY256" s="3"/>
      <c r="BN256" s="34"/>
    </row>
    <row r="257" spans="1:51" ht="13" customHeight="1">
      <c r="A257" s="13"/>
      <c r="B257" s="4"/>
      <c r="C257" s="56"/>
      <c r="D257" s="4" t="s">
        <v>534</v>
      </c>
      <c r="E257" s="4"/>
      <c r="F257" s="4"/>
      <c r="G257" s="4"/>
      <c r="H257" s="4"/>
      <c r="I257" s="4"/>
      <c r="J257" s="4"/>
      <c r="K257" s="4"/>
      <c r="L257" s="4"/>
      <c r="M257" s="1351" t="s">
        <v>306</v>
      </c>
      <c r="N257" s="1351"/>
      <c r="O257" s="1351"/>
      <c r="P257" s="1351"/>
      <c r="Q257" s="1351"/>
      <c r="R257" s="1351"/>
      <c r="S257" s="1351"/>
      <c r="T257" s="1351"/>
      <c r="U257" s="205" t="s">
        <v>905</v>
      </c>
      <c r="V257" s="205"/>
      <c r="W257" s="205"/>
      <c r="X257" s="205"/>
      <c r="Y257" s="205"/>
      <c r="Z257" s="205"/>
      <c r="AA257" s="1556"/>
      <c r="AB257" s="1556"/>
      <c r="AC257" s="1556"/>
      <c r="AD257" s="1556"/>
      <c r="AE257" s="1556"/>
      <c r="AF257" s="1556"/>
      <c r="AG257" s="1556"/>
      <c r="AH257" s="1556"/>
      <c r="AI257" s="1556"/>
      <c r="AJ257" s="1556"/>
      <c r="AK257" s="1556"/>
      <c r="AL257" s="3"/>
      <c r="AM257" s="3"/>
      <c r="AN257" s="3"/>
      <c r="AO257" s="3"/>
      <c r="AP257" s="3"/>
      <c r="AQ257" s="3"/>
      <c r="AR257" s="3"/>
      <c r="AS257" s="3"/>
      <c r="AT257" s="3"/>
      <c r="AU257" s="3"/>
      <c r="AV257" s="3"/>
      <c r="AW257" s="3"/>
      <c r="AX257" s="3"/>
      <c r="AY257" s="3"/>
    </row>
    <row r="258" spans="1:51" ht="13"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row>
    <row r="259" spans="1:51" ht="13" customHeight="1">
      <c r="A259" s="13"/>
      <c r="B259" s="4"/>
      <c r="C259" s="56" t="s">
        <v>875</v>
      </c>
      <c r="D259" s="4" t="s">
        <v>531</v>
      </c>
      <c r="E259" s="4"/>
      <c r="F259" s="4"/>
      <c r="G259" s="4"/>
      <c r="H259" s="4"/>
      <c r="I259" s="4"/>
      <c r="J259" s="4"/>
      <c r="K259" s="4"/>
      <c r="L259" s="4"/>
      <c r="M259" s="1529"/>
      <c r="N259" s="1529"/>
      <c r="O259" s="1529"/>
      <c r="P259" s="1529"/>
      <c r="Q259" s="1529"/>
      <c r="R259" s="1529"/>
      <c r="S259" s="1529"/>
      <c r="T259" s="1529"/>
      <c r="U259" s="1529"/>
      <c r="V259" s="1529"/>
      <c r="W259" s="1529"/>
      <c r="X259" s="1529"/>
      <c r="Y259" s="1529"/>
      <c r="Z259" s="1529"/>
      <c r="AA259" s="1529"/>
      <c r="AB259" s="1529"/>
      <c r="AC259" s="1529"/>
      <c r="AD259" s="1529"/>
      <c r="AE259" s="1529"/>
      <c r="AF259" s="1529" t="s">
        <v>306</v>
      </c>
      <c r="AG259" s="1529"/>
      <c r="AH259" s="1529"/>
      <c r="AI259" s="1529"/>
      <c r="AJ259" s="1529"/>
      <c r="AK259" s="1529"/>
      <c r="AL259" s="3"/>
      <c r="AM259" s="3"/>
      <c r="AN259" s="3"/>
      <c r="AO259" s="3"/>
      <c r="AP259" s="3"/>
      <c r="AQ259" s="3"/>
      <c r="AR259" s="3"/>
      <c r="AS259" s="3"/>
      <c r="AT259" s="3"/>
      <c r="AU259" s="3"/>
      <c r="AV259" s="3"/>
      <c r="AW259" s="3"/>
      <c r="AX259" s="3"/>
      <c r="AY259" s="3"/>
    </row>
    <row r="260" spans="1:51" ht="13" customHeight="1">
      <c r="A260" s="13"/>
      <c r="B260" s="4"/>
      <c r="C260" s="4"/>
      <c r="D260" s="4" t="s">
        <v>85</v>
      </c>
      <c r="E260" s="4"/>
      <c r="F260" s="4"/>
      <c r="G260" s="4"/>
      <c r="H260" s="4"/>
      <c r="I260" s="4"/>
      <c r="J260" s="4"/>
      <c r="K260" s="4"/>
      <c r="L260" s="4"/>
      <c r="M260" s="1447"/>
      <c r="N260" s="1447"/>
      <c r="O260" s="1447"/>
      <c r="P260" s="1447"/>
      <c r="Q260" s="1447"/>
      <c r="R260" s="1447"/>
      <c r="S260" s="1447"/>
      <c r="T260" s="1447"/>
      <c r="U260" s="1447"/>
      <c r="V260" s="1447"/>
      <c r="W260" s="1447"/>
      <c r="X260" s="1447"/>
      <c r="Y260" s="1447"/>
      <c r="Z260" s="1447"/>
      <c r="AA260" s="1447"/>
      <c r="AB260" s="1447"/>
      <c r="AC260" s="1447"/>
      <c r="AD260" s="1447"/>
      <c r="AE260" s="1447"/>
      <c r="AF260" s="3" t="s">
        <v>1178</v>
      </c>
      <c r="AL260" s="3"/>
      <c r="AM260" s="3"/>
      <c r="AN260" s="3"/>
      <c r="AO260" s="3"/>
      <c r="AP260" s="3"/>
      <c r="AQ260" s="3"/>
      <c r="AR260" s="3"/>
      <c r="AS260" s="3"/>
      <c r="AT260" s="3"/>
      <c r="AU260" s="3"/>
      <c r="AV260" s="3"/>
      <c r="AW260" s="3"/>
      <c r="AX260" s="3"/>
      <c r="AY260" s="3"/>
    </row>
    <row r="261" spans="1:51" ht="13" customHeight="1">
      <c r="A261" s="13"/>
      <c r="B261" s="4"/>
      <c r="C261" s="4"/>
      <c r="D261" s="4" t="s">
        <v>579</v>
      </c>
      <c r="E261" s="4"/>
      <c r="M261" s="1447"/>
      <c r="N261" s="1447"/>
      <c r="O261" s="1447"/>
      <c r="P261" s="1447"/>
      <c r="Q261" s="1447"/>
      <c r="R261" s="1447"/>
      <c r="S261" s="1447"/>
      <c r="T261" s="1447"/>
      <c r="V261" s="33" t="s">
        <v>86</v>
      </c>
      <c r="W261" s="1490"/>
      <c r="X261" s="1490"/>
      <c r="Y261" s="4" t="s">
        <v>582</v>
      </c>
      <c r="AC261" s="1447"/>
      <c r="AD261" s="1447"/>
      <c r="AE261" s="1447"/>
      <c r="AF261" s="3" t="s">
        <v>1179</v>
      </c>
      <c r="AL261" s="3"/>
      <c r="AM261" s="3"/>
      <c r="AN261" s="3"/>
      <c r="AO261" s="3"/>
      <c r="AP261" s="3"/>
      <c r="AQ261" s="3"/>
      <c r="AR261" s="3"/>
      <c r="AS261" s="3"/>
      <c r="AT261" s="3"/>
      <c r="AU261" s="3"/>
      <c r="AV261" s="3"/>
      <c r="AW261" s="3"/>
      <c r="AX261" s="3"/>
      <c r="AY261" s="3"/>
    </row>
    <row r="262" spans="1:51" ht="13" customHeight="1">
      <c r="A262" s="13"/>
      <c r="B262" s="4"/>
      <c r="C262" s="4"/>
      <c r="D262" s="4" t="s">
        <v>87</v>
      </c>
      <c r="E262" s="4"/>
      <c r="F262" s="4"/>
      <c r="G262" s="4"/>
      <c r="H262" s="4"/>
      <c r="I262" s="4"/>
      <c r="J262" s="4"/>
      <c r="K262" s="4"/>
      <c r="L262" s="19"/>
      <c r="M262" s="1447"/>
      <c r="N262" s="1447"/>
      <c r="O262" s="1447"/>
      <c r="P262" s="1447"/>
      <c r="Q262" s="1447"/>
      <c r="R262" s="1447"/>
      <c r="S262" s="1447"/>
      <c r="T262" s="1447"/>
      <c r="U262" s="1447"/>
      <c r="V262" s="1447"/>
      <c r="W262" s="1447"/>
      <c r="X262" s="1447"/>
      <c r="Y262" s="1447"/>
      <c r="Z262" s="1447"/>
      <c r="AA262" s="1447"/>
      <c r="AB262" s="1447"/>
      <c r="AC262" s="1447"/>
      <c r="AD262" s="1447"/>
      <c r="AE262" s="1447"/>
      <c r="AH262" s="1557"/>
      <c r="AI262" s="1557"/>
      <c r="AJ262" s="1557"/>
      <c r="AK262" s="1557"/>
      <c r="AL262" s="3"/>
      <c r="AM262" s="3"/>
      <c r="AN262" s="3"/>
      <c r="AO262" s="3"/>
      <c r="AP262" s="3"/>
      <c r="AQ262" s="3"/>
      <c r="AR262" s="3"/>
      <c r="AS262" s="3"/>
      <c r="AT262" s="3"/>
      <c r="AU262" s="3"/>
      <c r="AV262" s="3"/>
      <c r="AW262" s="3"/>
      <c r="AX262" s="3"/>
      <c r="AY262" s="3"/>
    </row>
    <row r="263" spans="1:51" ht="13" customHeight="1">
      <c r="A263" s="13"/>
      <c r="B263" s="4"/>
      <c r="C263" s="4"/>
      <c r="D263" s="4" t="s">
        <v>88</v>
      </c>
      <c r="E263" s="4"/>
      <c r="F263" s="4"/>
      <c r="M263" s="1448"/>
      <c r="N263" s="1448"/>
      <c r="O263" s="1448"/>
      <c r="P263" s="1448"/>
      <c r="Q263" s="1448"/>
      <c r="R263" s="1448"/>
      <c r="S263" s="4" t="s">
        <v>205</v>
      </c>
      <c r="T263" s="4"/>
      <c r="U263" s="1490"/>
      <c r="V263" s="1490"/>
      <c r="W263" s="1490"/>
      <c r="X263" s="4" t="s">
        <v>89</v>
      </c>
      <c r="Z263" s="1448"/>
      <c r="AA263" s="1448"/>
      <c r="AB263" s="1448"/>
      <c r="AC263" s="1448"/>
      <c r="AD263" s="1448"/>
      <c r="AE263" s="1448"/>
      <c r="AL263" s="3"/>
      <c r="AM263" s="3"/>
      <c r="AN263" s="3"/>
      <c r="AO263" s="3"/>
      <c r="AP263" s="3"/>
      <c r="AQ263" s="3"/>
      <c r="AR263" s="3"/>
      <c r="AS263" s="3"/>
      <c r="AT263" s="3"/>
      <c r="AU263" s="3"/>
      <c r="AV263" s="3"/>
      <c r="AW263" s="3"/>
      <c r="AX263" s="3"/>
      <c r="AY263" s="3"/>
    </row>
    <row r="264" spans="1:51" ht="13" customHeight="1">
      <c r="A264" s="13"/>
      <c r="B264" s="4"/>
      <c r="C264" s="4"/>
      <c r="D264" s="4" t="s">
        <v>90</v>
      </c>
      <c r="E264" s="4"/>
      <c r="F264" s="4"/>
      <c r="M264" s="1527"/>
      <c r="N264" s="1527"/>
      <c r="O264" s="1527"/>
      <c r="P264" s="1527"/>
      <c r="Q264" s="1527"/>
      <c r="R264" s="1527"/>
      <c r="S264" s="1527"/>
      <c r="T264" s="1527"/>
      <c r="U264" s="1527"/>
      <c r="V264" s="1527"/>
      <c r="W264" s="1527"/>
      <c r="X264" s="1527"/>
      <c r="Y264" s="1527"/>
      <c r="Z264" s="1527"/>
      <c r="AA264" s="1528"/>
      <c r="AB264" s="1528"/>
      <c r="AC264" s="1528"/>
      <c r="AD264" s="1528"/>
      <c r="AE264" s="1528"/>
      <c r="AG264" s="4"/>
      <c r="AH264" s="4"/>
      <c r="AI264" s="4"/>
      <c r="AJ264" s="4"/>
      <c r="AK264" s="4"/>
      <c r="AL264" s="3"/>
      <c r="AM264" s="3"/>
      <c r="AN264" s="3"/>
      <c r="AO264" s="3"/>
      <c r="AP264" s="3"/>
      <c r="AQ264" s="3"/>
      <c r="AR264" s="3"/>
      <c r="AS264" s="3"/>
      <c r="AT264" s="3"/>
      <c r="AU264" s="3"/>
      <c r="AV264" s="3"/>
      <c r="AW264" s="3"/>
      <c r="AX264" s="3"/>
      <c r="AY264" s="3"/>
    </row>
    <row r="265" spans="1:51" ht="13" customHeight="1">
      <c r="A265" s="13"/>
      <c r="B265" s="4"/>
      <c r="C265" s="56"/>
      <c r="D265" s="4" t="s">
        <v>534</v>
      </c>
      <c r="E265" s="4"/>
      <c r="F265" s="4"/>
      <c r="G265" s="4"/>
      <c r="H265" s="4"/>
      <c r="I265" s="4"/>
      <c r="J265" s="4"/>
      <c r="K265" s="4"/>
      <c r="L265" s="4"/>
      <c r="M265" s="1351" t="s">
        <v>306</v>
      </c>
      <c r="N265" s="1351"/>
      <c r="O265" s="1351"/>
      <c r="P265" s="1351"/>
      <c r="Q265" s="1351"/>
      <c r="R265" s="1351"/>
      <c r="S265" s="1351"/>
      <c r="T265" s="1351"/>
      <c r="U265" s="205" t="s">
        <v>905</v>
      </c>
      <c r="V265" s="205"/>
      <c r="W265" s="205"/>
      <c r="X265" s="205"/>
      <c r="Y265" s="205"/>
      <c r="Z265" s="205"/>
      <c r="AA265" s="1568"/>
      <c r="AB265" s="1568"/>
      <c r="AC265" s="1568"/>
      <c r="AD265" s="1568"/>
      <c r="AE265" s="1568"/>
      <c r="AF265" s="1568"/>
      <c r="AG265" s="1568"/>
      <c r="AH265" s="1568"/>
      <c r="AI265" s="1568"/>
      <c r="AJ265" s="1568"/>
      <c r="AK265" s="1568"/>
      <c r="AL265" s="3"/>
      <c r="AM265" s="3"/>
      <c r="AN265" s="3"/>
      <c r="AO265" s="3"/>
      <c r="AP265" s="3"/>
      <c r="AQ265" s="3"/>
      <c r="AR265" s="3"/>
      <c r="AS265" s="3"/>
      <c r="AT265" s="3"/>
    </row>
    <row r="266" spans="1:51" ht="13"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row>
    <row r="267" spans="1:51" ht="13" customHeight="1">
      <c r="A267" s="57" t="s">
        <v>589</v>
      </c>
      <c r="B267" s="4"/>
      <c r="C267" s="2" t="s">
        <v>294</v>
      </c>
      <c r="D267" s="4"/>
      <c r="E267" s="4"/>
      <c r="F267" s="4"/>
      <c r="G267" s="4"/>
      <c r="H267" s="4"/>
      <c r="I267" s="4"/>
      <c r="J267" s="4"/>
      <c r="K267" s="4"/>
      <c r="L267" s="4"/>
      <c r="M267" s="35"/>
      <c r="N267" s="35"/>
      <c r="O267" s="35"/>
      <c r="P267" s="35"/>
      <c r="Q267" s="35"/>
      <c r="T267" s="1569" t="str">
        <f>IFERROR(BO245,"")</f>
        <v>Nonprofit</v>
      </c>
      <c r="U267" s="1569"/>
      <c r="V267" s="1569"/>
      <c r="W267" s="1569"/>
      <c r="X267" s="1569"/>
      <c r="Z267" s="308" t="s">
        <v>953</v>
      </c>
      <c r="AA267" s="309"/>
      <c r="AB267" s="309"/>
      <c r="AC267" s="309"/>
      <c r="AD267" s="105"/>
      <c r="AE267" s="105"/>
      <c r="AF267" s="105"/>
      <c r="AG267" s="105"/>
      <c r="AH267" s="105"/>
      <c r="AI267" s="105"/>
      <c r="AJ267" s="105"/>
      <c r="AK267" s="310"/>
      <c r="AL267" s="58"/>
    </row>
    <row r="268" spans="1:51" ht="13" customHeight="1">
      <c r="A268" s="2"/>
      <c r="B268" s="4"/>
      <c r="C268" s="2"/>
      <c r="I268" s="4"/>
      <c r="J268" s="4"/>
      <c r="K268" s="4"/>
      <c r="L268" s="4"/>
      <c r="M268" s="35"/>
      <c r="N268" s="35"/>
      <c r="O268" s="35"/>
      <c r="P268" s="35"/>
      <c r="Q268" s="35"/>
      <c r="T268" s="4"/>
      <c r="U268" s="4"/>
      <c r="V268" s="4"/>
      <c r="W268" s="35"/>
      <c r="Z268" s="311" t="s">
        <v>806</v>
      </c>
      <c r="AF268" s="4"/>
      <c r="AG268" s="4"/>
      <c r="AH268" s="4"/>
      <c r="AI268" s="4"/>
      <c r="AJ268" s="4"/>
      <c r="AL268" s="65"/>
    </row>
    <row r="269" spans="1:51" ht="13" customHeight="1">
      <c r="A269" s="2" t="s">
        <v>591</v>
      </c>
      <c r="B269" s="4"/>
      <c r="C269" s="2" t="s">
        <v>171</v>
      </c>
      <c r="D269" s="4"/>
      <c r="E269" s="4"/>
      <c r="F269" s="4"/>
      <c r="G269" s="4"/>
      <c r="H269" s="4"/>
      <c r="I269" s="4"/>
      <c r="J269" s="4"/>
      <c r="K269" s="4"/>
      <c r="L269" s="4"/>
      <c r="M269" s="4"/>
      <c r="N269" s="4"/>
      <c r="O269" s="4"/>
      <c r="P269" s="4"/>
      <c r="Q269" s="4"/>
      <c r="R269" s="4"/>
      <c r="S269" s="4"/>
      <c r="T269" s="4"/>
      <c r="U269" s="4"/>
      <c r="V269" s="4"/>
      <c r="W269" s="4"/>
      <c r="Z269" s="312" t="s">
        <v>952</v>
      </c>
      <c r="AA269" s="48"/>
      <c r="AB269" s="48"/>
      <c r="AC269" s="48"/>
      <c r="AD269" s="48"/>
      <c r="AE269" s="48"/>
      <c r="AF269" s="104"/>
      <c r="AG269" s="104"/>
      <c r="AH269" s="104"/>
      <c r="AI269" s="104"/>
      <c r="AJ269" s="104"/>
      <c r="AK269" s="48"/>
      <c r="AL269" s="49"/>
    </row>
    <row r="270" spans="1:51" ht="13" customHeight="1">
      <c r="A270" s="4"/>
      <c r="B270" s="36">
        <v>0</v>
      </c>
      <c r="D270" s="1447" t="s">
        <v>279</v>
      </c>
      <c r="E270" s="1447"/>
      <c r="F270" s="1447"/>
      <c r="G270" s="1447"/>
      <c r="H270" s="1447"/>
      <c r="J270" t="s">
        <v>278</v>
      </c>
      <c r="X270" s="1526"/>
      <c r="Y270" s="1526"/>
      <c r="Z270" s="1526"/>
      <c r="AA270" s="1526"/>
      <c r="AB270" s="1526"/>
      <c r="AC270" s="1526"/>
      <c r="AU270" s="3"/>
      <c r="AV270" s="3"/>
      <c r="AW270" s="3"/>
      <c r="AX270" s="3"/>
      <c r="AY270" s="3"/>
    </row>
    <row r="271" spans="1:51" ht="13" customHeight="1">
      <c r="A271" s="4"/>
      <c r="B271" s="19"/>
      <c r="D271" s="37" t="s">
        <v>280</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row>
    <row r="272" spans="1:51" ht="13"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row>
    <row r="273" spans="1:51" ht="13" customHeight="1">
      <c r="A273" s="2" t="s">
        <v>466</v>
      </c>
      <c r="B273" s="2"/>
      <c r="C273" s="2" t="s">
        <v>621</v>
      </c>
      <c r="D273" s="4"/>
      <c r="E273" s="4"/>
      <c r="F273" s="4"/>
      <c r="G273" s="4"/>
      <c r="H273" s="4"/>
      <c r="I273" s="4"/>
      <c r="J273" s="4"/>
      <c r="K273" s="4"/>
      <c r="L273" s="4"/>
      <c r="M273" s="4"/>
      <c r="N273" s="4"/>
      <c r="O273" s="4"/>
      <c r="P273" s="4"/>
      <c r="Q273" s="4"/>
      <c r="R273" s="4"/>
      <c r="S273" s="4"/>
      <c r="T273" s="4"/>
      <c r="AU273" s="3"/>
      <c r="AV273" s="3"/>
      <c r="AW273" s="3"/>
      <c r="AX273" s="3"/>
      <c r="AY273" s="3"/>
    </row>
    <row r="274" spans="1:51" ht="13" customHeight="1">
      <c r="D274" s="4" t="s">
        <v>295</v>
      </c>
      <c r="E274" s="4"/>
      <c r="F274" s="4"/>
      <c r="G274" s="4"/>
      <c r="H274" s="4"/>
      <c r="I274" s="4"/>
      <c r="J274" s="4"/>
      <c r="K274" s="4"/>
      <c r="L274" s="1564" t="s">
        <v>2623</v>
      </c>
      <c r="M274" s="1529"/>
      <c r="N274" s="1529"/>
      <c r="O274" s="1529"/>
      <c r="P274" s="1529"/>
      <c r="Q274" s="1529"/>
      <c r="R274" s="1529"/>
      <c r="S274" s="1529"/>
      <c r="T274" s="1529"/>
      <c r="U274" s="1529"/>
      <c r="V274" s="1529"/>
      <c r="W274" s="1529"/>
      <c r="X274" s="1529"/>
      <c r="Y274" s="1529"/>
      <c r="Z274" s="1529"/>
      <c r="AA274" s="1529"/>
      <c r="AB274" s="1529"/>
      <c r="AC274" s="1529"/>
      <c r="AD274" s="1529"/>
      <c r="AE274" s="1529"/>
      <c r="AF274" s="1529"/>
      <c r="AG274" s="1529"/>
      <c r="AH274" s="1529"/>
      <c r="AI274" s="1529"/>
      <c r="AJ274" s="1529"/>
      <c r="AK274" s="3"/>
      <c r="AL274" s="3"/>
      <c r="AM274" s="3"/>
      <c r="AN274" s="3"/>
      <c r="AO274" s="3"/>
      <c r="AP274" s="3"/>
      <c r="AQ274" s="3"/>
      <c r="AR274" s="3"/>
      <c r="AS274" s="3"/>
      <c r="AT274" s="3"/>
      <c r="AU274" s="3"/>
      <c r="AV274" s="3"/>
      <c r="AW274" s="3"/>
      <c r="AX274" s="3"/>
      <c r="AY274" s="3"/>
    </row>
    <row r="275" spans="1:51" ht="13" customHeight="1">
      <c r="D275" s="4" t="s">
        <v>85</v>
      </c>
      <c r="E275" s="4"/>
      <c r="F275" s="4"/>
      <c r="G275" s="4"/>
      <c r="H275" s="4"/>
      <c r="I275" s="4"/>
      <c r="J275" s="4"/>
      <c r="K275" s="4"/>
      <c r="L275" s="1491" t="s">
        <v>2618</v>
      </c>
      <c r="M275" s="1447"/>
      <c r="N275" s="1447"/>
      <c r="O275" s="1447"/>
      <c r="P275" s="1447"/>
      <c r="Q275" s="1447"/>
      <c r="R275" s="1447"/>
      <c r="S275" s="1447"/>
      <c r="T275" s="1447"/>
      <c r="U275" s="1447"/>
      <c r="V275" s="1447"/>
      <c r="W275" s="1447"/>
      <c r="X275" s="1447"/>
      <c r="Y275" s="1447"/>
      <c r="Z275" s="1447"/>
      <c r="AA275" s="1447"/>
      <c r="AB275" s="1447"/>
      <c r="AC275" s="1447"/>
      <c r="AD275" s="1447"/>
      <c r="AK275" s="3"/>
      <c r="AL275" s="3"/>
      <c r="AM275" s="3"/>
      <c r="AN275" s="3"/>
      <c r="AO275" s="3"/>
      <c r="AP275" s="3"/>
      <c r="AQ275" s="3"/>
      <c r="AR275" s="3"/>
      <c r="AS275" s="3"/>
      <c r="AT275" s="3"/>
      <c r="AU275" s="3"/>
      <c r="AV275" s="3"/>
      <c r="AW275" s="3"/>
      <c r="AX275" s="3"/>
      <c r="AY275" s="3"/>
    </row>
    <row r="276" spans="1:51" ht="13" customHeight="1">
      <c r="D276" s="4" t="s">
        <v>579</v>
      </c>
      <c r="E276" s="4"/>
      <c r="L276" s="1491" t="s">
        <v>2619</v>
      </c>
      <c r="M276" s="1447"/>
      <c r="N276" s="1447"/>
      <c r="O276" s="1447"/>
      <c r="P276" s="1447"/>
      <c r="Q276" s="1447"/>
      <c r="R276" s="1447"/>
      <c r="S276" s="1447"/>
      <c r="U276" s="33" t="s">
        <v>86</v>
      </c>
      <c r="V276" s="1458" t="s">
        <v>2620</v>
      </c>
      <c r="W276" s="1490"/>
      <c r="X276" s="4" t="s">
        <v>582</v>
      </c>
      <c r="AB276" s="1447">
        <v>91010</v>
      </c>
      <c r="AC276" s="1447"/>
      <c r="AD276" s="1447"/>
      <c r="AK276" s="3"/>
      <c r="AL276" s="3"/>
      <c r="AM276" s="3"/>
      <c r="AN276" s="3"/>
      <c r="AO276" s="3"/>
      <c r="AP276" s="3"/>
      <c r="AQ276" s="3"/>
      <c r="AR276" s="3"/>
      <c r="AS276" s="3"/>
      <c r="AT276" s="3"/>
      <c r="AU276" s="3"/>
      <c r="AV276" s="3"/>
      <c r="AW276" s="3"/>
      <c r="AX276" s="3"/>
      <c r="AY276" s="3"/>
    </row>
    <row r="277" spans="1:51" ht="13" customHeight="1">
      <c r="D277" s="4" t="s">
        <v>87</v>
      </c>
      <c r="E277" s="4"/>
      <c r="F277" s="4"/>
      <c r="G277" s="4"/>
      <c r="H277" s="4"/>
      <c r="I277" s="4"/>
      <c r="J277" s="4"/>
      <c r="K277" s="19"/>
      <c r="L277" s="1491" t="s">
        <v>2621</v>
      </c>
      <c r="M277" s="1447"/>
      <c r="N277" s="1447"/>
      <c r="O277" s="1447"/>
      <c r="P277" s="1447"/>
      <c r="Q277" s="1447"/>
      <c r="R277" s="1447"/>
      <c r="S277" s="1447"/>
      <c r="T277" s="1447"/>
      <c r="U277" s="1447"/>
      <c r="V277" s="1447"/>
      <c r="W277" s="1447"/>
      <c r="X277" s="1447"/>
      <c r="Y277" s="1447"/>
      <c r="Z277" s="1447"/>
      <c r="AA277" s="1447"/>
      <c r="AB277" s="1447"/>
      <c r="AC277" s="1447"/>
      <c r="AD277" s="1447"/>
      <c r="AI277" s="4"/>
      <c r="AJ277" s="4"/>
      <c r="AK277" s="3"/>
      <c r="AL277" s="3"/>
      <c r="AM277" s="3"/>
      <c r="AN277" s="3"/>
      <c r="AO277" s="3"/>
      <c r="AP277" s="3"/>
      <c r="AQ277" s="3"/>
      <c r="AR277" s="3"/>
      <c r="AS277" s="3"/>
      <c r="AT277" s="3"/>
    </row>
    <row r="278" spans="1:51" ht="13" customHeight="1">
      <c r="D278" s="4" t="s">
        <v>88</v>
      </c>
      <c r="E278" s="4"/>
      <c r="F278" s="4"/>
      <c r="L278" s="1448">
        <v>8182597568</v>
      </c>
      <c r="M278" s="1448"/>
      <c r="N278" s="1448"/>
      <c r="O278" s="1448"/>
      <c r="P278" s="1448"/>
      <c r="Q278" s="1448"/>
      <c r="R278" s="4" t="s">
        <v>205</v>
      </c>
      <c r="S278" s="4"/>
      <c r="T278" s="1490"/>
      <c r="U278" s="1490"/>
      <c r="V278" s="1490"/>
      <c r="W278" s="4" t="s">
        <v>89</v>
      </c>
      <c r="Y278" s="1448"/>
      <c r="Z278" s="1448"/>
      <c r="AA278" s="1448"/>
      <c r="AB278" s="1448"/>
      <c r="AC278" s="1448"/>
      <c r="AD278" s="1448"/>
    </row>
    <row r="279" spans="1:51" ht="13" customHeight="1">
      <c r="D279" s="4" t="s">
        <v>90</v>
      </c>
      <c r="E279" s="4"/>
      <c r="F279" s="4"/>
      <c r="L279" s="1527" t="s">
        <v>2622</v>
      </c>
      <c r="M279" s="1527"/>
      <c r="N279" s="1527"/>
      <c r="O279" s="1527"/>
      <c r="P279" s="1527"/>
      <c r="Q279" s="1527"/>
      <c r="R279" s="1527"/>
      <c r="S279" s="1527"/>
      <c r="T279" s="1527"/>
      <c r="U279" s="1527"/>
      <c r="V279" s="1527"/>
      <c r="W279" s="1527"/>
      <c r="X279" s="1527"/>
      <c r="Y279" s="1527"/>
      <c r="Z279" s="1527"/>
      <c r="AA279" s="1527"/>
      <c r="AB279" s="1527"/>
      <c r="AC279" s="1527"/>
      <c r="AD279" s="1527"/>
      <c r="AF279" s="4"/>
      <c r="AG279" s="4"/>
      <c r="AH279" s="4"/>
      <c r="AI279" s="4"/>
      <c r="AJ279" s="4"/>
      <c r="AU279" s="3"/>
      <c r="AV279" s="3"/>
      <c r="AW279" s="3"/>
      <c r="AX279" s="3"/>
      <c r="AY279" s="3"/>
    </row>
    <row r="280" spans="1:51" ht="13" customHeight="1">
      <c r="D280" s="3" t="s">
        <v>622</v>
      </c>
      <c r="E280" s="3"/>
      <c r="F280" s="3"/>
      <c r="G280" s="3"/>
      <c r="H280" s="3"/>
      <c r="I280" s="3"/>
      <c r="L280" s="1458"/>
      <c r="M280" s="1458"/>
      <c r="N280" s="1458"/>
      <c r="O280" s="1458"/>
      <c r="P280" s="1458"/>
      <c r="Q280" s="1458"/>
      <c r="R280" s="1458"/>
      <c r="S280" s="1458"/>
      <c r="T280" s="1458"/>
      <c r="U280" s="1458"/>
      <c r="V280" s="1458"/>
      <c r="W280" s="1458"/>
      <c r="X280" s="1458"/>
      <c r="Y280" s="1458"/>
      <c r="Z280" s="1458"/>
      <c r="AA280" s="1458"/>
      <c r="AB280" s="1458"/>
      <c r="AC280" s="1458"/>
      <c r="AD280" s="1458"/>
      <c r="AK280" s="3"/>
      <c r="AL280" s="3"/>
      <c r="AM280" s="3"/>
      <c r="AN280" s="3"/>
      <c r="AO280" s="3"/>
      <c r="AP280" s="3"/>
      <c r="AQ280" s="3"/>
      <c r="AR280" s="3"/>
      <c r="AS280" s="3"/>
      <c r="AT280" s="3"/>
    </row>
    <row r="281" spans="1:51" ht="13" customHeight="1">
      <c r="L281" s="22" t="s">
        <v>623</v>
      </c>
      <c r="AU281" s="95"/>
      <c r="AV281" s="95"/>
      <c r="AW281" s="95"/>
      <c r="AX281" s="95"/>
      <c r="AY281" s="95"/>
    </row>
    <row r="282" spans="1:51" ht="13" customHeight="1">
      <c r="A282" s="1549" t="s">
        <v>540</v>
      </c>
      <c r="B282" s="1549"/>
      <c r="C282" s="1549"/>
      <c r="D282" s="1549"/>
      <c r="E282" s="1549"/>
      <c r="F282" s="1549"/>
      <c r="G282" s="1549"/>
      <c r="H282" s="1549"/>
      <c r="I282" s="1549"/>
      <c r="J282" s="1549"/>
      <c r="K282" s="1549"/>
      <c r="L282" s="1549"/>
      <c r="M282" s="1549"/>
      <c r="N282" s="1549"/>
      <c r="O282" s="1549"/>
      <c r="P282" s="1549"/>
      <c r="Q282" s="1549"/>
      <c r="R282" s="1549"/>
      <c r="S282" s="1549"/>
      <c r="T282" s="1549"/>
      <c r="U282" s="1549"/>
      <c r="V282" s="1549"/>
      <c r="W282" s="1549"/>
      <c r="X282" s="1549"/>
      <c r="Y282" s="1549"/>
      <c r="Z282" s="1549"/>
      <c r="AA282" s="1549"/>
      <c r="AB282" s="1549"/>
      <c r="AC282" s="1549"/>
      <c r="AD282" s="1549"/>
      <c r="AE282" s="1549"/>
      <c r="AF282" s="1549"/>
      <c r="AG282" s="1549"/>
      <c r="AH282" s="1549"/>
      <c r="AI282" s="1549"/>
      <c r="AJ282" s="1549"/>
      <c r="AK282" s="1549"/>
      <c r="AL282" s="1549"/>
      <c r="AM282" s="1549"/>
      <c r="AN282" s="1549"/>
      <c r="AO282" s="1549"/>
      <c r="AP282" s="1549"/>
      <c r="AQ282" s="1549"/>
      <c r="AR282" s="1549"/>
      <c r="AS282" s="1549"/>
      <c r="AT282" s="1549"/>
      <c r="AU282" s="95"/>
      <c r="AV282" s="95"/>
      <c r="AW282" s="95"/>
      <c r="AX282" s="95"/>
      <c r="AY282" s="95"/>
    </row>
    <row r="283" spans="1:51" ht="13" customHeight="1">
      <c r="A283" s="1549"/>
      <c r="B283" s="1549"/>
      <c r="C283" s="1549"/>
      <c r="D283" s="1549"/>
      <c r="E283" s="1549"/>
      <c r="F283" s="1549"/>
      <c r="G283" s="1549"/>
      <c r="H283" s="1549"/>
      <c r="I283" s="1549"/>
      <c r="J283" s="1549"/>
      <c r="K283" s="1549"/>
      <c r="L283" s="1549"/>
      <c r="M283" s="1549"/>
      <c r="N283" s="1549"/>
      <c r="O283" s="1549"/>
      <c r="P283" s="1549"/>
      <c r="Q283" s="1549"/>
      <c r="R283" s="1549"/>
      <c r="S283" s="1549"/>
      <c r="T283" s="1549"/>
      <c r="U283" s="1549"/>
      <c r="V283" s="1549"/>
      <c r="W283" s="1549"/>
      <c r="X283" s="1549"/>
      <c r="Y283" s="1549"/>
      <c r="Z283" s="1549"/>
      <c r="AA283" s="1549"/>
      <c r="AB283" s="1549"/>
      <c r="AC283" s="1549"/>
      <c r="AD283" s="1549"/>
      <c r="AE283" s="1549"/>
      <c r="AF283" s="1549"/>
      <c r="AG283" s="1549"/>
      <c r="AH283" s="1549"/>
      <c r="AI283" s="1549"/>
      <c r="AJ283" s="1549"/>
      <c r="AK283" s="1549"/>
      <c r="AL283" s="1549"/>
      <c r="AM283" s="1549"/>
      <c r="AN283" s="1549"/>
      <c r="AO283" s="1549"/>
      <c r="AP283" s="1549"/>
      <c r="AQ283" s="1549"/>
      <c r="AR283" s="1549"/>
      <c r="AS283" s="1549"/>
      <c r="AT283" s="1549"/>
      <c r="AU283" s="25"/>
      <c r="AV283" s="25"/>
      <c r="AW283" s="25"/>
      <c r="AX283" s="25"/>
      <c r="AY283" s="25"/>
    </row>
    <row r="284" spans="1:51" ht="13"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row>
    <row r="285" spans="1:51" ht="13" customHeight="1">
      <c r="A285" s="2" t="s">
        <v>318</v>
      </c>
      <c r="C285" s="2" t="s">
        <v>624</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row>
    <row r="286" spans="1:51" ht="13"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row>
    <row r="287" spans="1:51" ht="13" customHeight="1">
      <c r="B287" s="3" t="s">
        <v>625</v>
      </c>
      <c r="C287" s="3"/>
      <c r="D287" s="3"/>
      <c r="E287" s="3"/>
      <c r="F287" s="3"/>
      <c r="H287" s="1491" t="s">
        <v>2623</v>
      </c>
      <c r="I287" s="1352"/>
      <c r="J287" s="1352"/>
      <c r="K287" s="1352"/>
      <c r="L287" s="1352"/>
      <c r="M287" s="1352"/>
      <c r="N287" s="1352"/>
      <c r="O287" s="1352"/>
      <c r="P287" s="1352"/>
      <c r="Q287" s="1352"/>
      <c r="R287" s="1352"/>
      <c r="T287" s="3" t="s">
        <v>566</v>
      </c>
      <c r="V287" s="3"/>
      <c r="W287" s="3"/>
      <c r="X287" s="3"/>
      <c r="Y287" s="3"/>
      <c r="AA287" s="1567" t="s">
        <v>2629</v>
      </c>
      <c r="AB287" s="1567"/>
      <c r="AC287" s="1567"/>
      <c r="AD287" s="1567"/>
      <c r="AE287" s="1567"/>
      <c r="AF287" s="1567"/>
      <c r="AG287" s="1567"/>
      <c r="AH287" s="1567"/>
      <c r="AI287" s="1567"/>
      <c r="AJ287" s="1567"/>
      <c r="AK287" s="1567"/>
    </row>
    <row r="288" spans="1:51" ht="13" customHeight="1">
      <c r="B288" s="3" t="s">
        <v>470</v>
      </c>
      <c r="C288" s="3"/>
      <c r="D288" s="3"/>
      <c r="E288" s="3"/>
      <c r="F288" s="3"/>
      <c r="H288" s="1566" t="s">
        <v>2618</v>
      </c>
      <c r="I288" s="1566"/>
      <c r="J288" s="1566"/>
      <c r="K288" s="1566"/>
      <c r="L288" s="1566"/>
      <c r="M288" s="1566"/>
      <c r="N288" s="1566"/>
      <c r="O288" s="1566"/>
      <c r="P288" s="1566"/>
      <c r="Q288" s="1566"/>
      <c r="R288" s="1566"/>
      <c r="T288" s="3" t="s">
        <v>470</v>
      </c>
      <c r="V288" s="3"/>
      <c r="W288" s="3"/>
      <c r="X288" s="3"/>
      <c r="Y288" s="3"/>
      <c r="AA288" s="1566" t="s">
        <v>2630</v>
      </c>
      <c r="AB288" s="1566"/>
      <c r="AC288" s="1566"/>
      <c r="AD288" s="1566"/>
      <c r="AE288" s="1566"/>
      <c r="AF288" s="1566"/>
      <c r="AG288" s="1566"/>
      <c r="AH288" s="1566"/>
      <c r="AI288" s="1566"/>
      <c r="AJ288" s="1566"/>
      <c r="AK288" s="1566"/>
    </row>
    <row r="289" spans="2:37" ht="13" customHeight="1">
      <c r="B289" s="3" t="s">
        <v>471</v>
      </c>
      <c r="C289" s="3"/>
      <c r="D289" s="3"/>
      <c r="E289" s="3"/>
      <c r="F289" s="3"/>
      <c r="H289" s="1566" t="s">
        <v>2628</v>
      </c>
      <c r="I289" s="1566"/>
      <c r="J289" s="1566"/>
      <c r="K289" s="1566"/>
      <c r="L289" s="1566"/>
      <c r="M289" s="1566"/>
      <c r="N289" s="1566"/>
      <c r="O289" s="1566"/>
      <c r="P289" s="1566"/>
      <c r="Q289" s="1566"/>
      <c r="R289" s="1566"/>
      <c r="T289" s="3" t="s">
        <v>75</v>
      </c>
      <c r="V289" s="3"/>
      <c r="W289" s="3"/>
      <c r="X289" s="3"/>
      <c r="Y289" s="3"/>
      <c r="AA289" s="1566" t="s">
        <v>2631</v>
      </c>
      <c r="AB289" s="1566"/>
      <c r="AC289" s="1566"/>
      <c r="AD289" s="1566"/>
      <c r="AE289" s="1566"/>
      <c r="AF289" s="1566"/>
      <c r="AG289" s="1566"/>
      <c r="AH289" s="1566"/>
      <c r="AI289" s="1566"/>
      <c r="AJ289" s="1566"/>
      <c r="AK289" s="1566"/>
    </row>
    <row r="290" spans="2:37" ht="13" customHeight="1">
      <c r="B290" s="3" t="s">
        <v>87</v>
      </c>
      <c r="C290" s="3"/>
      <c r="D290" s="3"/>
      <c r="E290" s="3"/>
      <c r="F290" s="3"/>
      <c r="H290" s="1566" t="s">
        <v>2621</v>
      </c>
      <c r="I290" s="1566"/>
      <c r="J290" s="1566"/>
      <c r="K290" s="1566"/>
      <c r="L290" s="1566"/>
      <c r="M290" s="1566"/>
      <c r="N290" s="1566"/>
      <c r="O290" s="1566"/>
      <c r="P290" s="1566"/>
      <c r="Q290" s="1566"/>
      <c r="R290" s="1566"/>
      <c r="T290" s="3" t="s">
        <v>87</v>
      </c>
      <c r="V290" s="3"/>
      <c r="W290" s="3"/>
      <c r="X290" s="3"/>
      <c r="Y290" s="3"/>
      <c r="AA290" s="1566" t="s">
        <v>2632</v>
      </c>
      <c r="AB290" s="1566"/>
      <c r="AC290" s="1566"/>
      <c r="AD290" s="1566"/>
      <c r="AE290" s="1566"/>
      <c r="AF290" s="1566"/>
      <c r="AG290" s="1566"/>
      <c r="AH290" s="1566"/>
      <c r="AI290" s="1566"/>
      <c r="AJ290" s="1566"/>
      <c r="AK290" s="1566"/>
    </row>
    <row r="291" spans="2:37" ht="13" customHeight="1">
      <c r="B291" s="3" t="s">
        <v>88</v>
      </c>
      <c r="C291" s="3"/>
      <c r="D291" s="3"/>
      <c r="E291" s="3"/>
      <c r="F291" s="3"/>
      <c r="G291" s="3"/>
      <c r="H291" s="1565">
        <v>8182597568</v>
      </c>
      <c r="I291" s="1530"/>
      <c r="J291" s="1530"/>
      <c r="K291" s="1530"/>
      <c r="L291" s="1530"/>
      <c r="M291" s="1530"/>
      <c r="N291" s="4" t="s">
        <v>205</v>
      </c>
      <c r="O291" s="4"/>
      <c r="P291" s="1447"/>
      <c r="Q291" s="1447"/>
      <c r="R291" s="1447"/>
      <c r="S291" s="3"/>
      <c r="T291" s="3" t="s">
        <v>88</v>
      </c>
      <c r="V291" s="3"/>
      <c r="W291" s="3"/>
      <c r="X291" s="3"/>
      <c r="Y291" s="3"/>
      <c r="AA291" s="1530">
        <v>9493026296</v>
      </c>
      <c r="AB291" s="1530"/>
      <c r="AC291" s="1530"/>
      <c r="AD291" s="1530"/>
      <c r="AE291" s="1530"/>
      <c r="AF291" s="1530"/>
      <c r="AG291" s="4" t="s">
        <v>205</v>
      </c>
      <c r="AH291" s="4"/>
      <c r="AI291" s="1447"/>
      <c r="AJ291" s="1447"/>
      <c r="AK291" s="1447"/>
    </row>
    <row r="292" spans="2:37" ht="13" customHeight="1">
      <c r="B292" s="3" t="s">
        <v>89</v>
      </c>
      <c r="C292" s="3"/>
      <c r="D292" s="3"/>
      <c r="E292" s="3"/>
      <c r="F292" s="3"/>
      <c r="G292" s="3"/>
      <c r="H292" s="1448"/>
      <c r="I292" s="1448"/>
      <c r="J292" s="1448"/>
      <c r="K292" s="1448"/>
      <c r="L292" s="1448"/>
      <c r="M292" s="1448"/>
      <c r="N292" s="4"/>
      <c r="O292" s="4"/>
      <c r="P292" s="35"/>
      <c r="Q292" s="35"/>
      <c r="R292" s="35"/>
      <c r="S292" s="3"/>
      <c r="T292" s="3" t="s">
        <v>89</v>
      </c>
      <c r="V292" s="3"/>
      <c r="W292" s="3"/>
      <c r="X292" s="3"/>
      <c r="Y292" s="3"/>
      <c r="AA292" s="1448"/>
      <c r="AB292" s="1448"/>
      <c r="AC292" s="1448"/>
      <c r="AD292" s="1448"/>
      <c r="AE292" s="1448"/>
      <c r="AF292" s="1448"/>
      <c r="AG292" s="4"/>
      <c r="AH292" s="4"/>
      <c r="AI292" s="35"/>
      <c r="AJ292" s="35"/>
      <c r="AK292" s="35"/>
    </row>
    <row r="293" spans="2:37" ht="13" customHeight="1">
      <c r="B293" s="3" t="s">
        <v>76</v>
      </c>
      <c r="C293" s="3"/>
      <c r="D293" s="3"/>
      <c r="E293" s="3"/>
      <c r="F293" s="3"/>
      <c r="G293" s="3"/>
      <c r="H293" s="1458" t="s">
        <v>2622</v>
      </c>
      <c r="I293" s="1351"/>
      <c r="J293" s="1351"/>
      <c r="K293" s="1351"/>
      <c r="L293" s="1351"/>
      <c r="M293" s="1351"/>
      <c r="N293" s="1352"/>
      <c r="O293" s="1352"/>
      <c r="P293" s="1352"/>
      <c r="Q293" s="1352"/>
      <c r="R293" s="1352"/>
      <c r="S293" s="3"/>
      <c r="T293" s="3" t="s">
        <v>76</v>
      </c>
      <c r="V293" s="3"/>
      <c r="W293" s="3"/>
      <c r="X293" s="3"/>
      <c r="Y293" s="3"/>
      <c r="AA293" s="1458" t="s">
        <v>2633</v>
      </c>
      <c r="AB293" s="1351"/>
      <c r="AC293" s="1351"/>
      <c r="AD293" s="1351"/>
      <c r="AE293" s="1351"/>
      <c r="AF293" s="1351"/>
      <c r="AG293" s="1352"/>
      <c r="AH293" s="1352"/>
      <c r="AI293" s="1352"/>
      <c r="AJ293" s="1352"/>
      <c r="AK293" s="1352"/>
    </row>
    <row r="294" spans="2:37" ht="13"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row>
    <row r="295" spans="2:37" ht="13" customHeight="1">
      <c r="B295" s="3" t="s">
        <v>322</v>
      </c>
      <c r="C295" s="3"/>
      <c r="D295" s="3"/>
      <c r="E295" s="3"/>
      <c r="F295" s="3"/>
      <c r="H295" s="1567" t="s">
        <v>2634</v>
      </c>
      <c r="I295" s="1567"/>
      <c r="J295" s="1567"/>
      <c r="K295" s="1567"/>
      <c r="L295" s="1567"/>
      <c r="M295" s="1567"/>
      <c r="N295" s="1567"/>
      <c r="O295" s="1567"/>
      <c r="P295" s="1567"/>
      <c r="Q295" s="1567"/>
      <c r="R295" s="1567"/>
      <c r="T295" s="3" t="s">
        <v>363</v>
      </c>
      <c r="V295" s="3"/>
      <c r="W295" s="3"/>
      <c r="X295" s="3"/>
      <c r="Y295" s="3"/>
      <c r="AA295" s="1567" t="s">
        <v>2639</v>
      </c>
      <c r="AB295" s="1567"/>
      <c r="AC295" s="1567"/>
      <c r="AD295" s="1567"/>
      <c r="AE295" s="1567"/>
      <c r="AF295" s="1567"/>
      <c r="AG295" s="1567"/>
      <c r="AH295" s="1567"/>
      <c r="AI295" s="1567"/>
      <c r="AJ295" s="1567"/>
      <c r="AK295" s="1567"/>
    </row>
    <row r="296" spans="2:37" ht="13" customHeight="1">
      <c r="B296" s="3" t="s">
        <v>470</v>
      </c>
      <c r="C296" s="3"/>
      <c r="D296" s="3"/>
      <c r="E296" s="3"/>
      <c r="F296" s="3"/>
      <c r="H296" s="1566" t="s">
        <v>2635</v>
      </c>
      <c r="I296" s="1566"/>
      <c r="J296" s="1566"/>
      <c r="K296" s="1566"/>
      <c r="L296" s="1566"/>
      <c r="M296" s="1566"/>
      <c r="N296" s="1566"/>
      <c r="O296" s="1566"/>
      <c r="P296" s="1566"/>
      <c r="Q296" s="1566"/>
      <c r="R296" s="1566"/>
      <c r="T296" s="3" t="s">
        <v>470</v>
      </c>
      <c r="V296" s="3"/>
      <c r="W296" s="3"/>
      <c r="X296" s="3"/>
      <c r="Y296" s="3"/>
      <c r="AA296" s="1566" t="s">
        <v>2640</v>
      </c>
      <c r="AB296" s="1566"/>
      <c r="AC296" s="1566"/>
      <c r="AD296" s="1566"/>
      <c r="AE296" s="1566"/>
      <c r="AF296" s="1566"/>
      <c r="AG296" s="1566"/>
      <c r="AH296" s="1566"/>
      <c r="AI296" s="1566"/>
      <c r="AJ296" s="1566"/>
      <c r="AK296" s="1566"/>
    </row>
    <row r="297" spans="2:37" ht="13" customHeight="1">
      <c r="B297" s="3" t="s">
        <v>471</v>
      </c>
      <c r="C297" s="3"/>
      <c r="D297" s="3"/>
      <c r="E297" s="3"/>
      <c r="F297" s="3"/>
      <c r="H297" s="1566" t="s">
        <v>2636</v>
      </c>
      <c r="I297" s="1566"/>
      <c r="J297" s="1566"/>
      <c r="K297" s="1566"/>
      <c r="L297" s="1566"/>
      <c r="M297" s="1566"/>
      <c r="N297" s="1566"/>
      <c r="O297" s="1566"/>
      <c r="P297" s="1566"/>
      <c r="Q297" s="1566"/>
      <c r="R297" s="1566"/>
      <c r="T297" s="3" t="s">
        <v>75</v>
      </c>
      <c r="V297" s="3"/>
      <c r="W297" s="3"/>
      <c r="X297" s="3"/>
      <c r="Y297" s="3"/>
      <c r="AA297" s="1566" t="s">
        <v>2641</v>
      </c>
      <c r="AB297" s="1566"/>
      <c r="AC297" s="1566"/>
      <c r="AD297" s="1566"/>
      <c r="AE297" s="1566"/>
      <c r="AF297" s="1566"/>
      <c r="AG297" s="1566"/>
      <c r="AH297" s="1566"/>
      <c r="AI297" s="1566"/>
      <c r="AJ297" s="1566"/>
      <c r="AK297" s="1566"/>
    </row>
    <row r="298" spans="2:37" ht="13" customHeight="1">
      <c r="B298" s="3" t="s">
        <v>87</v>
      </c>
      <c r="C298" s="3"/>
      <c r="D298" s="3"/>
      <c r="E298" s="3"/>
      <c r="F298" s="3"/>
      <c r="H298" s="1566" t="s">
        <v>2637</v>
      </c>
      <c r="I298" s="1566"/>
      <c r="J298" s="1566"/>
      <c r="K298" s="1566"/>
      <c r="L298" s="1566"/>
      <c r="M298" s="1566"/>
      <c r="N298" s="1566"/>
      <c r="O298" s="1566"/>
      <c r="P298" s="1566"/>
      <c r="Q298" s="1566"/>
      <c r="R298" s="1566"/>
      <c r="T298" s="3" t="s">
        <v>87</v>
      </c>
      <c r="V298" s="3"/>
      <c r="W298" s="3"/>
      <c r="X298" s="3"/>
      <c r="Y298" s="3"/>
      <c r="AA298" s="1566" t="s">
        <v>2642</v>
      </c>
      <c r="AB298" s="1566"/>
      <c r="AC298" s="1566"/>
      <c r="AD298" s="1566"/>
      <c r="AE298" s="1566"/>
      <c r="AF298" s="1566"/>
      <c r="AG298" s="1566"/>
      <c r="AH298" s="1566"/>
      <c r="AI298" s="1566"/>
      <c r="AJ298" s="1566"/>
      <c r="AK298" s="1566"/>
    </row>
    <row r="299" spans="2:37" ht="13" customHeight="1">
      <c r="B299" s="3" t="s">
        <v>88</v>
      </c>
      <c r="C299" s="3"/>
      <c r="D299" s="3"/>
      <c r="E299" s="3"/>
      <c r="F299" s="3"/>
      <c r="G299" s="3"/>
      <c r="H299" s="1530">
        <v>5104336602</v>
      </c>
      <c r="I299" s="1530"/>
      <c r="J299" s="1530"/>
      <c r="K299" s="1530"/>
      <c r="L299" s="1530"/>
      <c r="M299" s="1530"/>
      <c r="N299" s="4" t="s">
        <v>205</v>
      </c>
      <c r="O299" s="4"/>
      <c r="P299" s="1447"/>
      <c r="Q299" s="1447"/>
      <c r="R299" s="1447"/>
      <c r="S299" s="3"/>
      <c r="T299" s="3" t="s">
        <v>88</v>
      </c>
      <c r="V299" s="3"/>
      <c r="W299" s="3"/>
      <c r="X299" s="3"/>
      <c r="Y299" s="3"/>
      <c r="AA299" s="1530">
        <v>9092677820</v>
      </c>
      <c r="AB299" s="1530"/>
      <c r="AC299" s="1530"/>
      <c r="AD299" s="1530"/>
      <c r="AE299" s="1530"/>
      <c r="AF299" s="1530"/>
      <c r="AG299" s="4" t="s">
        <v>205</v>
      </c>
      <c r="AH299" s="4"/>
      <c r="AI299" s="1447"/>
      <c r="AJ299" s="1447"/>
      <c r="AK299" s="1447"/>
    </row>
    <row r="300" spans="2:37" ht="13" customHeight="1">
      <c r="B300" s="3" t="s">
        <v>89</v>
      </c>
      <c r="C300" s="3"/>
      <c r="D300" s="3"/>
      <c r="E300" s="3"/>
      <c r="F300" s="3"/>
      <c r="G300" s="3"/>
      <c r="H300" s="1448"/>
      <c r="I300" s="1448"/>
      <c r="J300" s="1448"/>
      <c r="K300" s="1448"/>
      <c r="L300" s="1448"/>
      <c r="M300" s="1448"/>
      <c r="N300" s="4"/>
      <c r="O300" s="4"/>
      <c r="P300" s="35"/>
      <c r="Q300" s="35"/>
      <c r="R300" s="35"/>
      <c r="S300" s="3"/>
      <c r="T300" s="3" t="s">
        <v>89</v>
      </c>
      <c r="V300" s="3"/>
      <c r="W300" s="3"/>
      <c r="X300" s="3"/>
      <c r="Y300" s="3"/>
      <c r="AA300" s="1448"/>
      <c r="AB300" s="1448"/>
      <c r="AC300" s="1448"/>
      <c r="AD300" s="1448"/>
      <c r="AE300" s="1448"/>
      <c r="AF300" s="1448"/>
      <c r="AG300" s="4"/>
      <c r="AH300" s="4"/>
      <c r="AI300" s="35"/>
      <c r="AJ300" s="35"/>
      <c r="AK300" s="35"/>
    </row>
    <row r="301" spans="2:37" ht="13" customHeight="1">
      <c r="B301" s="3" t="s">
        <v>76</v>
      </c>
      <c r="C301" s="3"/>
      <c r="D301" s="3"/>
      <c r="E301" s="3"/>
      <c r="F301" s="3"/>
      <c r="G301" s="3"/>
      <c r="H301" s="1566" t="s">
        <v>2638</v>
      </c>
      <c r="I301" s="1566"/>
      <c r="J301" s="1566"/>
      <c r="K301" s="1566"/>
      <c r="L301" s="1566"/>
      <c r="M301" s="1566"/>
      <c r="N301" s="1567"/>
      <c r="O301" s="1567"/>
      <c r="P301" s="1567"/>
      <c r="Q301" s="1567"/>
      <c r="R301" s="1567"/>
      <c r="S301" s="3"/>
      <c r="T301" s="3" t="s">
        <v>76</v>
      </c>
      <c r="V301" s="3"/>
      <c r="W301" s="3"/>
      <c r="X301" s="3"/>
      <c r="Y301" s="3"/>
      <c r="AA301" s="1566" t="s">
        <v>2643</v>
      </c>
      <c r="AB301" s="1566"/>
      <c r="AC301" s="1566"/>
      <c r="AD301" s="1566"/>
      <c r="AE301" s="1566"/>
      <c r="AF301" s="1566"/>
      <c r="AG301" s="1567"/>
      <c r="AH301" s="1567"/>
      <c r="AI301" s="1567"/>
      <c r="AJ301" s="1567"/>
      <c r="AK301" s="1567"/>
    </row>
    <row r="302" spans="2:37" ht="13" customHeight="1"/>
    <row r="303" spans="2:37" ht="13" customHeight="1">
      <c r="B303" s="3" t="s">
        <v>77</v>
      </c>
      <c r="C303" s="3"/>
      <c r="D303" s="3"/>
      <c r="E303" s="3"/>
      <c r="F303" s="3"/>
      <c r="H303" s="1567" t="s">
        <v>2644</v>
      </c>
      <c r="I303" s="1567"/>
      <c r="J303" s="1567"/>
      <c r="K303" s="1567"/>
      <c r="L303" s="1567"/>
      <c r="M303" s="1567"/>
      <c r="N303" s="1567"/>
      <c r="O303" s="1567"/>
      <c r="P303" s="1567"/>
      <c r="Q303" s="1567"/>
      <c r="R303" s="1567"/>
      <c r="T303" s="4" t="s">
        <v>877</v>
      </c>
      <c r="V303" s="3"/>
      <c r="W303" s="3"/>
      <c r="X303" s="3"/>
      <c r="Y303" s="3"/>
      <c r="AA303" s="1567" t="s">
        <v>2649</v>
      </c>
      <c r="AB303" s="1567"/>
      <c r="AC303" s="1567"/>
      <c r="AD303" s="1567"/>
      <c r="AE303" s="1567"/>
      <c r="AF303" s="1567"/>
      <c r="AG303" s="1567"/>
      <c r="AH303" s="1567"/>
      <c r="AI303" s="1567"/>
      <c r="AJ303" s="1567"/>
      <c r="AK303" s="1567"/>
    </row>
    <row r="304" spans="2:37" ht="13" customHeight="1">
      <c r="B304" s="3" t="s">
        <v>470</v>
      </c>
      <c r="C304" s="3"/>
      <c r="D304" s="3"/>
      <c r="E304" s="3"/>
      <c r="F304" s="3"/>
      <c r="H304" s="1566" t="s">
        <v>2645</v>
      </c>
      <c r="I304" s="1566"/>
      <c r="J304" s="1566"/>
      <c r="K304" s="1566"/>
      <c r="L304" s="1566"/>
      <c r="M304" s="1566"/>
      <c r="N304" s="1566"/>
      <c r="O304" s="1566"/>
      <c r="P304" s="1566"/>
      <c r="Q304" s="1566"/>
      <c r="R304" s="1566"/>
      <c r="T304" s="3" t="s">
        <v>470</v>
      </c>
      <c r="V304" s="3"/>
      <c r="W304" s="3"/>
      <c r="X304" s="3"/>
      <c r="Y304" s="3"/>
      <c r="AA304" s="1566" t="s">
        <v>2650</v>
      </c>
      <c r="AB304" s="1566"/>
      <c r="AC304" s="1566"/>
      <c r="AD304" s="1566"/>
      <c r="AE304" s="1566"/>
      <c r="AF304" s="1566"/>
      <c r="AG304" s="1566"/>
      <c r="AH304" s="1566"/>
      <c r="AI304" s="1566"/>
      <c r="AJ304" s="1566"/>
      <c r="AK304" s="1566"/>
    </row>
    <row r="305" spans="2:37" ht="13" customHeight="1">
      <c r="B305" s="3" t="s">
        <v>471</v>
      </c>
      <c r="C305" s="3"/>
      <c r="D305" s="3"/>
      <c r="E305" s="3"/>
      <c r="F305" s="3"/>
      <c r="H305" s="1566" t="s">
        <v>2646</v>
      </c>
      <c r="I305" s="1566"/>
      <c r="J305" s="1566"/>
      <c r="K305" s="1566"/>
      <c r="L305" s="1566"/>
      <c r="M305" s="1566"/>
      <c r="N305" s="1566"/>
      <c r="O305" s="1566"/>
      <c r="P305" s="1566"/>
      <c r="Q305" s="1566"/>
      <c r="R305" s="1566"/>
      <c r="T305" s="3" t="s">
        <v>75</v>
      </c>
      <c r="V305" s="3"/>
      <c r="W305" s="3"/>
      <c r="X305" s="3"/>
      <c r="Y305" s="3"/>
      <c r="AA305" s="1566" t="s">
        <v>2651</v>
      </c>
      <c r="AB305" s="1566"/>
      <c r="AC305" s="1566"/>
      <c r="AD305" s="1566"/>
      <c r="AE305" s="1566"/>
      <c r="AF305" s="1566"/>
      <c r="AG305" s="1566"/>
      <c r="AH305" s="1566"/>
      <c r="AI305" s="1566"/>
      <c r="AJ305" s="1566"/>
      <c r="AK305" s="1566"/>
    </row>
    <row r="306" spans="2:37" ht="13" customHeight="1">
      <c r="B306" s="3" t="s">
        <v>87</v>
      </c>
      <c r="C306" s="3"/>
      <c r="D306" s="3"/>
      <c r="E306" s="3"/>
      <c r="F306" s="3"/>
      <c r="H306" s="1566" t="s">
        <v>2647</v>
      </c>
      <c r="I306" s="1566"/>
      <c r="J306" s="1566"/>
      <c r="K306" s="1566"/>
      <c r="L306" s="1566"/>
      <c r="M306" s="1566"/>
      <c r="N306" s="1566"/>
      <c r="O306" s="1566"/>
      <c r="P306" s="1566"/>
      <c r="Q306" s="1566"/>
      <c r="R306" s="1566"/>
      <c r="T306" s="3" t="s">
        <v>87</v>
      </c>
      <c r="V306" s="3"/>
      <c r="W306" s="3"/>
      <c r="X306" s="3"/>
      <c r="Y306" s="3"/>
      <c r="AA306" s="1566" t="s">
        <v>2652</v>
      </c>
      <c r="AB306" s="1566"/>
      <c r="AC306" s="1566"/>
      <c r="AD306" s="1566"/>
      <c r="AE306" s="1566"/>
      <c r="AF306" s="1566"/>
      <c r="AG306" s="1566"/>
      <c r="AH306" s="1566"/>
      <c r="AI306" s="1566"/>
      <c r="AJ306" s="1566"/>
      <c r="AK306" s="1566"/>
    </row>
    <row r="307" spans="2:37" ht="13" customHeight="1">
      <c r="B307" s="3" t="s">
        <v>88</v>
      </c>
      <c r="C307" s="3"/>
      <c r="D307" s="3"/>
      <c r="E307" s="3"/>
      <c r="F307" s="3"/>
      <c r="G307" s="3"/>
      <c r="H307" s="1530">
        <v>3178196173</v>
      </c>
      <c r="I307" s="1530"/>
      <c r="J307" s="1530"/>
      <c r="K307" s="1530"/>
      <c r="L307" s="1530"/>
      <c r="M307" s="1530"/>
      <c r="N307" s="4" t="s">
        <v>205</v>
      </c>
      <c r="O307" s="4"/>
      <c r="P307" s="1447"/>
      <c r="Q307" s="1447"/>
      <c r="R307" s="1447"/>
      <c r="S307" s="3"/>
      <c r="T307" s="3" t="s">
        <v>88</v>
      </c>
      <c r="V307" s="3"/>
      <c r="W307" s="3"/>
      <c r="X307" s="3"/>
      <c r="Y307" s="3"/>
      <c r="AA307" s="1530">
        <v>3107743165</v>
      </c>
      <c r="AB307" s="1530"/>
      <c r="AC307" s="1530"/>
      <c r="AD307" s="1530"/>
      <c r="AE307" s="1530"/>
      <c r="AF307" s="1530"/>
      <c r="AG307" s="4" t="s">
        <v>205</v>
      </c>
      <c r="AH307" s="4"/>
      <c r="AI307" s="1447"/>
      <c r="AJ307" s="1447"/>
      <c r="AK307" s="1447"/>
    </row>
    <row r="308" spans="2:37" ht="13" customHeight="1">
      <c r="B308" s="3" t="s">
        <v>89</v>
      </c>
      <c r="C308" s="3"/>
      <c r="D308" s="3"/>
      <c r="E308" s="3"/>
      <c r="F308" s="3"/>
      <c r="G308" s="3"/>
      <c r="H308" s="1448"/>
      <c r="I308" s="1448"/>
      <c r="J308" s="1448"/>
      <c r="K308" s="1448"/>
      <c r="L308" s="1448"/>
      <c r="M308" s="1448"/>
      <c r="N308" s="4"/>
      <c r="O308" s="4"/>
      <c r="P308" s="35"/>
      <c r="Q308" s="35"/>
      <c r="R308" s="35"/>
      <c r="S308" s="3"/>
      <c r="T308" s="3" t="s">
        <v>89</v>
      </c>
      <c r="V308" s="3"/>
      <c r="W308" s="3"/>
      <c r="X308" s="3"/>
      <c r="Y308" s="3"/>
      <c r="AA308" s="1448"/>
      <c r="AB308" s="1448"/>
      <c r="AC308" s="1448"/>
      <c r="AD308" s="1448"/>
      <c r="AE308" s="1448"/>
      <c r="AF308" s="1448"/>
      <c r="AG308" s="4"/>
      <c r="AH308" s="4"/>
      <c r="AI308" s="35"/>
      <c r="AJ308" s="35"/>
      <c r="AK308" s="35"/>
    </row>
    <row r="309" spans="2:37" ht="13" customHeight="1">
      <c r="B309" s="3" t="s">
        <v>76</v>
      </c>
      <c r="C309" s="3"/>
      <c r="D309" s="3"/>
      <c r="E309" s="3"/>
      <c r="F309" s="3"/>
      <c r="G309" s="3"/>
      <c r="H309" s="1566" t="s">
        <v>2648</v>
      </c>
      <c r="I309" s="1566"/>
      <c r="J309" s="1566"/>
      <c r="K309" s="1566"/>
      <c r="L309" s="1566"/>
      <c r="M309" s="1566"/>
      <c r="N309" s="1567"/>
      <c r="O309" s="1567"/>
      <c r="P309" s="1567"/>
      <c r="Q309" s="1567"/>
      <c r="R309" s="1567"/>
      <c r="S309" s="3"/>
      <c r="T309" s="3" t="s">
        <v>76</v>
      </c>
      <c r="V309" s="3"/>
      <c r="W309" s="3"/>
      <c r="X309" s="3"/>
      <c r="Y309" s="3"/>
      <c r="AA309" s="1566" t="s">
        <v>2653</v>
      </c>
      <c r="AB309" s="1566"/>
      <c r="AC309" s="1566"/>
      <c r="AD309" s="1566"/>
      <c r="AE309" s="1566"/>
      <c r="AF309" s="1566"/>
      <c r="AG309" s="1567"/>
      <c r="AH309" s="1567"/>
      <c r="AI309" s="1567"/>
      <c r="AJ309" s="1567"/>
      <c r="AK309" s="1567"/>
    </row>
    <row r="310" spans="2:37" ht="13"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row>
    <row r="311" spans="2:37" ht="13" customHeight="1">
      <c r="B311" s="4" t="s">
        <v>906</v>
      </c>
      <c r="C311" s="3"/>
      <c r="D311" s="3"/>
      <c r="E311" s="3"/>
      <c r="F311" s="3"/>
      <c r="H311" s="1567" t="s">
        <v>2644</v>
      </c>
      <c r="I311" s="1567"/>
      <c r="J311" s="1567"/>
      <c r="K311" s="1567"/>
      <c r="L311" s="1567"/>
      <c r="M311" s="1567"/>
      <c r="N311" s="1567"/>
      <c r="O311" s="1567"/>
      <c r="P311" s="1567"/>
      <c r="Q311" s="1567"/>
      <c r="R311" s="1567"/>
      <c r="S311" s="3"/>
      <c r="T311" s="3" t="s">
        <v>364</v>
      </c>
      <c r="V311" s="3"/>
      <c r="W311" s="3"/>
      <c r="X311" s="3"/>
      <c r="Y311" s="3"/>
      <c r="AA311" s="1491" t="s">
        <v>2654</v>
      </c>
      <c r="AB311" s="1352"/>
      <c r="AC311" s="1352"/>
      <c r="AD311" s="1352"/>
      <c r="AE311" s="1352"/>
      <c r="AF311" s="1352"/>
      <c r="AG311" s="1352"/>
      <c r="AH311" s="1352"/>
      <c r="AI311" s="1352"/>
      <c r="AJ311" s="1352"/>
      <c r="AK311" s="1352"/>
    </row>
    <row r="312" spans="2:37" ht="13" customHeight="1">
      <c r="B312" s="3" t="s">
        <v>470</v>
      </c>
      <c r="C312" s="3"/>
      <c r="D312" s="3"/>
      <c r="E312" s="3"/>
      <c r="F312" s="3"/>
      <c r="H312" s="1566" t="s">
        <v>2645</v>
      </c>
      <c r="I312" s="1566"/>
      <c r="J312" s="1566"/>
      <c r="K312" s="1566"/>
      <c r="L312" s="1566"/>
      <c r="M312" s="1566"/>
      <c r="N312" s="1566"/>
      <c r="O312" s="1566"/>
      <c r="P312" s="1566"/>
      <c r="Q312" s="1566"/>
      <c r="R312" s="1566"/>
      <c r="S312" s="3"/>
      <c r="T312" s="3" t="s">
        <v>470</v>
      </c>
      <c r="V312" s="3"/>
      <c r="W312" s="3"/>
      <c r="X312" s="3"/>
      <c r="Y312" s="3"/>
      <c r="AA312" s="1351"/>
      <c r="AB312" s="1351"/>
      <c r="AC312" s="1351"/>
      <c r="AD312" s="1351"/>
      <c r="AE312" s="1351"/>
      <c r="AF312" s="1351"/>
      <c r="AG312" s="1351"/>
      <c r="AH312" s="1351"/>
      <c r="AI312" s="1351"/>
      <c r="AJ312" s="1351"/>
      <c r="AK312" s="1351"/>
    </row>
    <row r="313" spans="2:37" ht="13" customHeight="1">
      <c r="B313" s="3" t="s">
        <v>471</v>
      </c>
      <c r="C313" s="3"/>
      <c r="D313" s="3"/>
      <c r="E313" s="3"/>
      <c r="F313" s="3"/>
      <c r="H313" s="1566" t="s">
        <v>2646</v>
      </c>
      <c r="I313" s="1566"/>
      <c r="J313" s="1566"/>
      <c r="K313" s="1566"/>
      <c r="L313" s="1566"/>
      <c r="M313" s="1566"/>
      <c r="N313" s="1566"/>
      <c r="O313" s="1566"/>
      <c r="P313" s="1566"/>
      <c r="Q313" s="1566"/>
      <c r="R313" s="1566"/>
      <c r="S313" s="3"/>
      <c r="T313" s="3" t="s">
        <v>75</v>
      </c>
      <c r="V313" s="3"/>
      <c r="W313" s="3"/>
      <c r="X313" s="3"/>
      <c r="Y313" s="3"/>
      <c r="AA313" s="1351"/>
      <c r="AB313" s="1351"/>
      <c r="AC313" s="1351"/>
      <c r="AD313" s="1351"/>
      <c r="AE313" s="1351"/>
      <c r="AF313" s="1351"/>
      <c r="AG313" s="1351"/>
      <c r="AH313" s="1351"/>
      <c r="AI313" s="1351"/>
      <c r="AJ313" s="1351"/>
      <c r="AK313" s="1351"/>
    </row>
    <row r="314" spans="2:37" ht="13" customHeight="1">
      <c r="B314" s="3" t="s">
        <v>87</v>
      </c>
      <c r="C314" s="3"/>
      <c r="D314" s="3"/>
      <c r="E314" s="3"/>
      <c r="F314" s="3"/>
      <c r="H314" s="1566" t="s">
        <v>2647</v>
      </c>
      <c r="I314" s="1566"/>
      <c r="J314" s="1566"/>
      <c r="K314" s="1566"/>
      <c r="L314" s="1566"/>
      <c r="M314" s="1566"/>
      <c r="N314" s="1566"/>
      <c r="O314" s="1566"/>
      <c r="P314" s="1566"/>
      <c r="Q314" s="1566"/>
      <c r="R314" s="1566"/>
      <c r="S314" s="3"/>
      <c r="T314" s="3" t="s">
        <v>87</v>
      </c>
      <c r="V314" s="3"/>
      <c r="W314" s="3"/>
      <c r="X314" s="3"/>
      <c r="Y314" s="3"/>
      <c r="AA314" s="1351"/>
      <c r="AB314" s="1351"/>
      <c r="AC314" s="1351"/>
      <c r="AD314" s="1351"/>
      <c r="AE314" s="1351"/>
      <c r="AF314" s="1351"/>
      <c r="AG314" s="1351"/>
      <c r="AH314" s="1351"/>
      <c r="AI314" s="1351"/>
      <c r="AJ314" s="1351"/>
      <c r="AK314" s="1351"/>
    </row>
    <row r="315" spans="2:37" ht="13" customHeight="1">
      <c r="B315" s="3" t="s">
        <v>88</v>
      </c>
      <c r="C315" s="3"/>
      <c r="D315" s="3"/>
      <c r="E315" s="3"/>
      <c r="F315" s="3"/>
      <c r="G315" s="3"/>
      <c r="H315" s="1530">
        <v>2138928775</v>
      </c>
      <c r="I315" s="1530"/>
      <c r="J315" s="1530"/>
      <c r="K315" s="1530"/>
      <c r="L315" s="1530"/>
      <c r="M315" s="1530"/>
      <c r="N315" s="4" t="s">
        <v>205</v>
      </c>
      <c r="O315" s="4"/>
      <c r="P315" s="1447"/>
      <c r="Q315" s="1447"/>
      <c r="R315" s="1447"/>
      <c r="S315" s="3"/>
      <c r="T315" s="3" t="s">
        <v>88</v>
      </c>
      <c r="V315" s="3"/>
      <c r="W315" s="3"/>
      <c r="X315" s="3"/>
      <c r="Y315" s="3"/>
      <c r="AA315" s="1530"/>
      <c r="AB315" s="1530"/>
      <c r="AC315" s="1530"/>
      <c r="AD315" s="1530"/>
      <c r="AE315" s="1530"/>
      <c r="AF315" s="1530"/>
      <c r="AG315" s="4" t="s">
        <v>205</v>
      </c>
      <c r="AH315" s="4"/>
      <c r="AI315" s="1447"/>
      <c r="AJ315" s="1447"/>
      <c r="AK315" s="1447"/>
    </row>
    <row r="316" spans="2:37" ht="13" customHeight="1">
      <c r="B316" s="3" t="s">
        <v>89</v>
      </c>
      <c r="C316" s="3"/>
      <c r="D316" s="3"/>
      <c r="E316" s="3"/>
      <c r="F316" s="3"/>
      <c r="G316" s="3"/>
      <c r="H316" s="1448"/>
      <c r="I316" s="1448"/>
      <c r="J316" s="1448"/>
      <c r="K316" s="1448"/>
      <c r="L316" s="1448"/>
      <c r="M316" s="1448"/>
      <c r="N316" s="4"/>
      <c r="O316" s="4"/>
      <c r="P316" s="35"/>
      <c r="Q316" s="35"/>
      <c r="R316" s="35"/>
      <c r="S316" s="3"/>
      <c r="T316" s="3" t="s">
        <v>89</v>
      </c>
      <c r="V316" s="3"/>
      <c r="W316" s="3"/>
      <c r="X316" s="3"/>
      <c r="Y316" s="3"/>
      <c r="AA316" s="1448"/>
      <c r="AB316" s="1448"/>
      <c r="AC316" s="1448"/>
      <c r="AD316" s="1448"/>
      <c r="AE316" s="1448"/>
      <c r="AF316" s="1448"/>
      <c r="AG316" s="4"/>
      <c r="AH316" s="4"/>
      <c r="AI316" s="35"/>
      <c r="AJ316" s="35"/>
      <c r="AK316" s="35"/>
    </row>
    <row r="317" spans="2:37" ht="13" customHeight="1">
      <c r="B317" s="3" t="s">
        <v>76</v>
      </c>
      <c r="C317" s="3"/>
      <c r="D317" s="3"/>
      <c r="E317" s="3"/>
      <c r="F317" s="3"/>
      <c r="G317" s="3"/>
      <c r="H317" s="1566" t="s">
        <v>2648</v>
      </c>
      <c r="I317" s="1566"/>
      <c r="J317" s="1566"/>
      <c r="K317" s="1566"/>
      <c r="L317" s="1566"/>
      <c r="M317" s="1566"/>
      <c r="N317" s="1567"/>
      <c r="O317" s="1567"/>
      <c r="P317" s="1567"/>
      <c r="Q317" s="1567"/>
      <c r="R317" s="1567"/>
      <c r="S317" s="3"/>
      <c r="T317" s="3" t="s">
        <v>76</v>
      </c>
      <c r="V317" s="3"/>
      <c r="W317" s="3"/>
      <c r="X317" s="3"/>
      <c r="Y317" s="3"/>
      <c r="AA317" s="1351"/>
      <c r="AB317" s="1351"/>
      <c r="AC317" s="1351"/>
      <c r="AD317" s="1351"/>
      <c r="AE317" s="1351"/>
      <c r="AF317" s="1351"/>
      <c r="AG317" s="1352"/>
      <c r="AH317" s="1352"/>
      <c r="AI317" s="1352"/>
      <c r="AJ317" s="1352"/>
      <c r="AK317" s="1352"/>
    </row>
    <row r="318" spans="2:37" ht="13" customHeight="1"/>
    <row r="319" spans="2:37" ht="13" customHeight="1">
      <c r="B319" s="4" t="s">
        <v>907</v>
      </c>
      <c r="C319" s="3"/>
      <c r="D319" s="3"/>
      <c r="E319" s="3"/>
      <c r="F319" s="3"/>
      <c r="H319" s="1567" t="s">
        <v>2655</v>
      </c>
      <c r="I319" s="1567"/>
      <c r="J319" s="1567"/>
      <c r="K319" s="1567"/>
      <c r="L319" s="1567"/>
      <c r="M319" s="1567"/>
      <c r="N319" s="1567"/>
      <c r="O319" s="1567"/>
      <c r="P319" s="1567"/>
      <c r="Q319" s="1567"/>
      <c r="R319" s="1567"/>
      <c r="T319" s="3" t="s">
        <v>365</v>
      </c>
      <c r="V319" s="3"/>
      <c r="W319" s="3"/>
      <c r="X319" s="3"/>
      <c r="Y319" s="3"/>
      <c r="AA319" s="1259" t="s">
        <v>2672</v>
      </c>
      <c r="AB319" s="1259"/>
      <c r="AC319" s="1259"/>
      <c r="AD319" s="1259"/>
      <c r="AE319" s="1259"/>
      <c r="AF319" s="1259"/>
      <c r="AG319" s="1259"/>
      <c r="AH319" s="1259"/>
      <c r="AI319" s="1259"/>
      <c r="AJ319" s="1259"/>
      <c r="AK319" s="1259"/>
    </row>
    <row r="320" spans="2:37" ht="13" customHeight="1">
      <c r="B320" s="3" t="s">
        <v>470</v>
      </c>
      <c r="C320" s="3"/>
      <c r="D320" s="3"/>
      <c r="E320" s="3"/>
      <c r="F320" s="3"/>
      <c r="H320" s="1566" t="s">
        <v>2712</v>
      </c>
      <c r="I320" s="1566"/>
      <c r="J320" s="1566"/>
      <c r="K320" s="1566"/>
      <c r="L320" s="1566"/>
      <c r="M320" s="1566"/>
      <c r="N320" s="1566"/>
      <c r="O320" s="1566"/>
      <c r="P320" s="1566"/>
      <c r="Q320" s="1566"/>
      <c r="R320" s="1566"/>
      <c r="T320" s="3" t="s">
        <v>470</v>
      </c>
      <c r="V320" s="3"/>
      <c r="W320" s="3"/>
      <c r="X320" s="3"/>
      <c r="Y320" s="3"/>
      <c r="AA320" s="1351" t="s">
        <v>2673</v>
      </c>
      <c r="AB320" s="1351"/>
      <c r="AC320" s="1351"/>
      <c r="AD320" s="1351"/>
      <c r="AE320" s="1351"/>
      <c r="AF320" s="1351"/>
      <c r="AG320" s="1351"/>
      <c r="AH320" s="1351"/>
      <c r="AI320" s="1351"/>
      <c r="AJ320" s="1351"/>
      <c r="AK320" s="1351"/>
    </row>
    <row r="321" spans="2:37" ht="13" customHeight="1">
      <c r="B321" s="3" t="s">
        <v>471</v>
      </c>
      <c r="C321" s="3"/>
      <c r="D321" s="3"/>
      <c r="E321" s="3"/>
      <c r="F321" s="3"/>
      <c r="H321" s="1566" t="s">
        <v>2713</v>
      </c>
      <c r="I321" s="1566"/>
      <c r="J321" s="1566"/>
      <c r="K321" s="1566"/>
      <c r="L321" s="1566"/>
      <c r="M321" s="1566"/>
      <c r="N321" s="1566"/>
      <c r="O321" s="1566"/>
      <c r="P321" s="1566"/>
      <c r="Q321" s="1566"/>
      <c r="R321" s="1566"/>
      <c r="T321" s="3" t="s">
        <v>75</v>
      </c>
      <c r="V321" s="3"/>
      <c r="W321" s="3"/>
      <c r="X321" s="3"/>
      <c r="Y321" s="3"/>
      <c r="AA321" s="1351" t="s">
        <v>2674</v>
      </c>
      <c r="AB321" s="1351"/>
      <c r="AC321" s="1351"/>
      <c r="AD321" s="1351"/>
      <c r="AE321" s="1351"/>
      <c r="AF321" s="1351"/>
      <c r="AG321" s="1351"/>
      <c r="AH321" s="1351"/>
      <c r="AI321" s="1351"/>
      <c r="AJ321" s="1351"/>
      <c r="AK321" s="1351"/>
    </row>
    <row r="322" spans="2:37" ht="13" customHeight="1">
      <c r="B322" s="3" t="s">
        <v>87</v>
      </c>
      <c r="C322" s="3"/>
      <c r="D322" s="3"/>
      <c r="E322" s="3"/>
      <c r="F322" s="3"/>
      <c r="H322" s="1566" t="s">
        <v>2656</v>
      </c>
      <c r="I322" s="1566"/>
      <c r="J322" s="1566"/>
      <c r="K322" s="1566"/>
      <c r="L322" s="1566"/>
      <c r="M322" s="1566"/>
      <c r="N322" s="1566"/>
      <c r="O322" s="1566"/>
      <c r="P322" s="1566"/>
      <c r="Q322" s="1566"/>
      <c r="R322" s="1566"/>
      <c r="T322" s="3" t="s">
        <v>87</v>
      </c>
      <c r="V322" s="3"/>
      <c r="W322" s="3"/>
      <c r="X322" s="3"/>
      <c r="Y322" s="3"/>
      <c r="AA322" s="1351" t="s">
        <v>2675</v>
      </c>
      <c r="AB322" s="1351"/>
      <c r="AC322" s="1351"/>
      <c r="AD322" s="1351"/>
      <c r="AE322" s="1351"/>
      <c r="AF322" s="1351"/>
      <c r="AG322" s="1351"/>
      <c r="AH322" s="1351"/>
      <c r="AI322" s="1351"/>
      <c r="AJ322" s="1351"/>
      <c r="AK322" s="1351"/>
    </row>
    <row r="323" spans="2:37" ht="13" customHeight="1">
      <c r="B323" s="3" t="s">
        <v>88</v>
      </c>
      <c r="C323" s="3"/>
      <c r="D323" s="3"/>
      <c r="E323" s="3"/>
      <c r="F323" s="3"/>
      <c r="G323" s="3"/>
      <c r="H323" s="1448" t="s">
        <v>2714</v>
      </c>
      <c r="I323" s="1448"/>
      <c r="J323" s="1448"/>
      <c r="K323" s="1448"/>
      <c r="L323" s="1448"/>
      <c r="M323" s="1448"/>
      <c r="N323" s="4" t="s">
        <v>205</v>
      </c>
      <c r="O323" s="4"/>
      <c r="P323" s="1447"/>
      <c r="Q323" s="1447"/>
      <c r="R323" s="1447"/>
      <c r="S323" s="3"/>
      <c r="T323" s="3" t="s">
        <v>88</v>
      </c>
      <c r="V323" s="3"/>
      <c r="W323" s="3"/>
      <c r="X323" s="3"/>
      <c r="Y323" s="3"/>
      <c r="AA323" s="1565" t="s">
        <v>2676</v>
      </c>
      <c r="AB323" s="1565"/>
      <c r="AC323" s="1565"/>
      <c r="AD323" s="1565"/>
      <c r="AE323" s="1565"/>
      <c r="AF323" s="1565"/>
      <c r="AG323" s="4" t="s">
        <v>205</v>
      </c>
      <c r="AH323" s="4"/>
      <c r="AI323" s="1447"/>
      <c r="AJ323" s="1447"/>
      <c r="AK323" s="1447"/>
    </row>
    <row r="324" spans="2:37" ht="13" customHeight="1">
      <c r="B324" s="3" t="s">
        <v>89</v>
      </c>
      <c r="C324" s="3"/>
      <c r="D324" s="3"/>
      <c r="E324" s="3"/>
      <c r="F324" s="3"/>
      <c r="G324" s="3"/>
      <c r="H324" s="1448"/>
      <c r="I324" s="1448"/>
      <c r="J324" s="1448"/>
      <c r="K324" s="1448"/>
      <c r="L324" s="1448"/>
      <c r="M324" s="1448"/>
      <c r="N324" s="4"/>
      <c r="O324" s="4"/>
      <c r="P324" s="35"/>
      <c r="Q324" s="35"/>
      <c r="R324" s="35"/>
      <c r="S324" s="3"/>
      <c r="T324" s="3" t="s">
        <v>89</v>
      </c>
      <c r="V324" s="3"/>
      <c r="W324" s="3"/>
      <c r="X324" s="3"/>
      <c r="Y324" s="3"/>
      <c r="AA324" s="1531" t="s">
        <v>2677</v>
      </c>
      <c r="AB324" s="1531"/>
      <c r="AC324" s="1531"/>
      <c r="AD324" s="1531"/>
      <c r="AE324" s="1531"/>
      <c r="AF324" s="1531"/>
      <c r="AG324" s="4"/>
      <c r="AH324" s="4"/>
      <c r="AI324" s="35"/>
      <c r="AJ324" s="35"/>
      <c r="AK324" s="35"/>
    </row>
    <row r="325" spans="2:37" ht="13" customHeight="1">
      <c r="B325" s="3" t="s">
        <v>76</v>
      </c>
      <c r="C325" s="3"/>
      <c r="D325" s="3"/>
      <c r="E325" s="3"/>
      <c r="F325" s="3"/>
      <c r="G325" s="3"/>
      <c r="H325" s="252" t="s">
        <v>2715</v>
      </c>
      <c r="I325" s="252"/>
      <c r="J325" s="252"/>
      <c r="K325" s="252"/>
      <c r="L325" s="252"/>
      <c r="M325" s="252"/>
      <c r="N325" s="1259"/>
      <c r="O325" s="1259"/>
      <c r="P325" s="1259"/>
      <c r="Q325" s="1259"/>
      <c r="R325" s="1259"/>
      <c r="S325" s="3"/>
      <c r="T325" s="3" t="s">
        <v>76</v>
      </c>
      <c r="V325" s="3"/>
      <c r="W325" s="3"/>
      <c r="X325" s="3"/>
      <c r="Y325" s="3"/>
      <c r="AA325" s="1351" t="s">
        <v>2678</v>
      </c>
      <c r="AB325" s="1351"/>
      <c r="AC325" s="1351"/>
      <c r="AD325" s="1351"/>
      <c r="AE325" s="1351"/>
      <c r="AF325" s="1351"/>
      <c r="AG325" s="1352"/>
      <c r="AH325" s="1352"/>
      <c r="AI325" s="1352"/>
      <c r="AJ325" s="1352"/>
      <c r="AK325" s="1352"/>
    </row>
    <row r="326" spans="2:37" ht="13" customHeight="1">
      <c r="B326" s="3"/>
      <c r="C326" s="3"/>
      <c r="D326" s="3"/>
      <c r="E326" s="3"/>
      <c r="F326" s="3"/>
      <c r="G326" s="3"/>
      <c r="P326" s="163"/>
      <c r="Q326" s="163"/>
      <c r="R326" s="163"/>
      <c r="S326" s="163"/>
      <c r="T326" s="163"/>
      <c r="U326" s="163"/>
      <c r="V326" s="4"/>
      <c r="W326" s="4"/>
      <c r="X326" s="35"/>
      <c r="Y326" s="35"/>
      <c r="Z326" s="35"/>
    </row>
    <row r="327" spans="2:37" ht="13" customHeight="1">
      <c r="B327" s="3" t="s">
        <v>366</v>
      </c>
      <c r="C327" s="3"/>
      <c r="D327" s="3"/>
      <c r="E327" s="3"/>
      <c r="F327" s="3"/>
      <c r="H327" s="1259" t="s">
        <v>2672</v>
      </c>
      <c r="I327" s="1259"/>
      <c r="J327" s="1259"/>
      <c r="K327" s="1259"/>
      <c r="L327" s="1259"/>
      <c r="M327" s="1259"/>
      <c r="N327" s="1259"/>
      <c r="O327" s="1259"/>
      <c r="P327" s="1259"/>
      <c r="Q327" s="1259"/>
      <c r="R327" s="1259"/>
      <c r="T327" s="3" t="s">
        <v>367</v>
      </c>
      <c r="V327" s="3"/>
      <c r="W327" s="3"/>
      <c r="X327" s="3"/>
      <c r="Y327" s="3"/>
      <c r="AA327" s="1352" t="s">
        <v>2679</v>
      </c>
      <c r="AB327" s="1352"/>
      <c r="AC327" s="1352"/>
      <c r="AD327" s="1352"/>
      <c r="AE327" s="1352"/>
      <c r="AF327" s="1352"/>
      <c r="AG327" s="1352"/>
      <c r="AH327" s="1352"/>
      <c r="AI327" s="1352"/>
      <c r="AJ327" s="1352"/>
      <c r="AK327" s="1352"/>
    </row>
    <row r="328" spans="2:37" ht="13" customHeight="1">
      <c r="B328" s="3" t="s">
        <v>470</v>
      </c>
      <c r="C328" s="3"/>
      <c r="D328" s="3"/>
      <c r="E328" s="3"/>
      <c r="F328" s="3"/>
      <c r="H328" s="252" t="s">
        <v>2673</v>
      </c>
      <c r="I328" s="252"/>
      <c r="J328" s="252"/>
      <c r="K328" s="252"/>
      <c r="L328" s="252"/>
      <c r="M328" s="252"/>
      <c r="N328" s="252"/>
      <c r="O328" s="252"/>
      <c r="P328" s="252"/>
      <c r="Q328" s="252"/>
      <c r="R328" s="252"/>
      <c r="T328" s="3" t="s">
        <v>470</v>
      </c>
      <c r="V328" s="3"/>
      <c r="W328" s="3"/>
      <c r="X328" s="3"/>
      <c r="Y328" s="3"/>
      <c r="AA328" s="1351" t="s">
        <v>2650</v>
      </c>
      <c r="AB328" s="1351"/>
      <c r="AC328" s="1351"/>
      <c r="AD328" s="1351"/>
      <c r="AE328" s="1351"/>
      <c r="AF328" s="1351"/>
      <c r="AG328" s="1351"/>
      <c r="AH328" s="1351"/>
      <c r="AI328" s="1351"/>
      <c r="AJ328" s="1351"/>
      <c r="AK328" s="1351"/>
    </row>
    <row r="329" spans="2:37" ht="13" customHeight="1">
      <c r="B329" s="3" t="s">
        <v>471</v>
      </c>
      <c r="C329" s="3"/>
      <c r="D329" s="3"/>
      <c r="E329" s="3"/>
      <c r="F329" s="3"/>
      <c r="H329" s="252" t="s">
        <v>2674</v>
      </c>
      <c r="I329" s="252"/>
      <c r="J329" s="252"/>
      <c r="K329" s="252"/>
      <c r="L329" s="252"/>
      <c r="M329" s="252"/>
      <c r="N329" s="252"/>
      <c r="O329" s="252"/>
      <c r="P329" s="252"/>
      <c r="Q329" s="252"/>
      <c r="R329" s="252"/>
      <c r="T329" s="3" t="s">
        <v>75</v>
      </c>
      <c r="V329" s="3"/>
      <c r="W329" s="3"/>
      <c r="X329" s="3"/>
      <c r="Y329" s="3"/>
      <c r="AA329" s="1351" t="s">
        <v>2651</v>
      </c>
      <c r="AB329" s="1351"/>
      <c r="AC329" s="1351"/>
      <c r="AD329" s="1351"/>
      <c r="AE329" s="1351"/>
      <c r="AF329" s="1351"/>
      <c r="AG329" s="1351"/>
      <c r="AH329" s="1351"/>
      <c r="AI329" s="1351"/>
      <c r="AJ329" s="1351"/>
      <c r="AK329" s="1351"/>
    </row>
    <row r="330" spans="2:37" ht="13" customHeight="1">
      <c r="B330" s="3" t="s">
        <v>87</v>
      </c>
      <c r="C330" s="3"/>
      <c r="D330" s="3"/>
      <c r="E330" s="3"/>
      <c r="F330" s="3"/>
      <c r="H330" s="252" t="s">
        <v>2675</v>
      </c>
      <c r="I330" s="252"/>
      <c r="J330" s="252"/>
      <c r="K330" s="252"/>
      <c r="L330" s="252"/>
      <c r="M330" s="252"/>
      <c r="N330" s="252"/>
      <c r="O330" s="252"/>
      <c r="P330" s="252"/>
      <c r="Q330" s="252"/>
      <c r="R330" s="252"/>
      <c r="T330" s="3" t="s">
        <v>87</v>
      </c>
      <c r="V330" s="3"/>
      <c r="W330" s="3"/>
      <c r="X330" s="3"/>
      <c r="Y330" s="3"/>
      <c r="AA330" s="1351" t="s">
        <v>2652</v>
      </c>
      <c r="AB330" s="1351"/>
      <c r="AC330" s="1351"/>
      <c r="AD330" s="1351"/>
      <c r="AE330" s="1351"/>
      <c r="AF330" s="1351"/>
      <c r="AG330" s="1351"/>
      <c r="AH330" s="1351"/>
      <c r="AI330" s="1351"/>
      <c r="AJ330" s="1351"/>
      <c r="AK330" s="1351"/>
    </row>
    <row r="331" spans="2:37" ht="13" customHeight="1">
      <c r="B331" s="3" t="s">
        <v>88</v>
      </c>
      <c r="C331" s="3"/>
      <c r="D331" s="3"/>
      <c r="E331" s="3"/>
      <c r="F331" s="3"/>
      <c r="G331" s="3"/>
      <c r="H331" s="1530" t="s">
        <v>2676</v>
      </c>
      <c r="I331" s="1530"/>
      <c r="J331" s="1530"/>
      <c r="K331" s="1530"/>
      <c r="L331" s="1530"/>
      <c r="M331" s="1530"/>
      <c r="N331" s="4" t="s">
        <v>205</v>
      </c>
      <c r="O331" s="4"/>
      <c r="P331" s="1447"/>
      <c r="Q331" s="1447"/>
      <c r="R331" s="1447"/>
      <c r="S331" s="3"/>
      <c r="T331" s="3" t="s">
        <v>88</v>
      </c>
      <c r="V331" s="3"/>
      <c r="W331" s="3"/>
      <c r="X331" s="3"/>
      <c r="Y331" s="3"/>
      <c r="AA331" s="1565" t="s">
        <v>2680</v>
      </c>
      <c r="AB331" s="1565"/>
      <c r="AC331" s="1565"/>
      <c r="AD331" s="1565"/>
      <c r="AE331" s="1565"/>
      <c r="AF331" s="1565"/>
      <c r="AG331" s="4" t="s">
        <v>205</v>
      </c>
      <c r="AH331" s="4"/>
      <c r="AI331" s="1447"/>
      <c r="AJ331" s="1447"/>
      <c r="AK331" s="1447"/>
    </row>
    <row r="332" spans="2:37" ht="13" customHeight="1">
      <c r="B332" s="3" t="s">
        <v>89</v>
      </c>
      <c r="C332" s="3"/>
      <c r="D332" s="3"/>
      <c r="E332" s="3"/>
      <c r="F332" s="3"/>
      <c r="G332" s="3"/>
      <c r="H332" s="1448" t="s">
        <v>2677</v>
      </c>
      <c r="I332" s="1448"/>
      <c r="J332" s="1448"/>
      <c r="K332" s="1448"/>
      <c r="L332" s="1448"/>
      <c r="M332" s="1448"/>
      <c r="N332" s="4"/>
      <c r="O332" s="4"/>
      <c r="P332" s="35"/>
      <c r="Q332" s="35"/>
      <c r="R332" s="35"/>
      <c r="S332" s="3"/>
      <c r="T332" s="3" t="s">
        <v>89</v>
      </c>
      <c r="V332" s="3"/>
      <c r="W332" s="3"/>
      <c r="X332" s="3"/>
      <c r="Y332" s="3"/>
      <c r="AA332" s="1448"/>
      <c r="AB332" s="1448"/>
      <c r="AC332" s="1448"/>
      <c r="AD332" s="1448"/>
      <c r="AE332" s="1448"/>
      <c r="AF332" s="1448"/>
      <c r="AG332" s="4"/>
      <c r="AH332" s="4"/>
      <c r="AI332" s="35"/>
      <c r="AJ332" s="35"/>
      <c r="AK332" s="35"/>
    </row>
    <row r="333" spans="2:37" ht="13" customHeight="1">
      <c r="B333" s="3" t="s">
        <v>76</v>
      </c>
      <c r="C333" s="3"/>
      <c r="D333" s="3"/>
      <c r="E333" s="3"/>
      <c r="F333" s="3"/>
      <c r="G333" s="3"/>
      <c r="H333" s="1351" t="s">
        <v>2678</v>
      </c>
      <c r="I333" s="1351"/>
      <c r="J333" s="1351"/>
      <c r="K333" s="1351"/>
      <c r="L333" s="1351"/>
      <c r="M333" s="1351"/>
      <c r="N333" s="1352"/>
      <c r="O333" s="1352"/>
      <c r="P333" s="1352"/>
      <c r="Q333" s="1352"/>
      <c r="R333" s="1352"/>
      <c r="S333" s="3"/>
      <c r="T333" s="3" t="s">
        <v>76</v>
      </c>
      <c r="V333" s="3"/>
      <c r="W333" s="3"/>
      <c r="X333" s="3"/>
      <c r="Y333" s="3"/>
      <c r="AA333" s="1351" t="s">
        <v>2653</v>
      </c>
      <c r="AB333" s="1351"/>
      <c r="AC333" s="1351"/>
      <c r="AD333" s="1351"/>
      <c r="AE333" s="1351"/>
      <c r="AF333" s="1351"/>
      <c r="AG333" s="1352"/>
      <c r="AH333" s="1352"/>
      <c r="AI333" s="1352"/>
      <c r="AJ333" s="1352"/>
      <c r="AK333" s="1352"/>
    </row>
    <row r="334" spans="2:37" ht="13" customHeight="1">
      <c r="B334" s="3"/>
      <c r="C334" s="3"/>
      <c r="D334" s="3"/>
      <c r="E334" s="3"/>
      <c r="F334" s="3"/>
      <c r="G334" s="3"/>
      <c r="P334" s="163"/>
      <c r="Q334" s="163"/>
      <c r="R334" s="163"/>
      <c r="S334" s="163"/>
      <c r="T334" s="163"/>
      <c r="U334" s="163"/>
      <c r="V334" s="4"/>
      <c r="W334" s="4"/>
      <c r="X334" s="35"/>
      <c r="Y334" s="35"/>
      <c r="Z334" s="35"/>
    </row>
    <row r="335" spans="2:37" ht="13" customHeight="1">
      <c r="B335" s="3" t="s">
        <v>328</v>
      </c>
      <c r="C335" s="3"/>
      <c r="D335" s="3"/>
      <c r="E335" s="3"/>
      <c r="F335" s="3"/>
      <c r="H335" s="1259" t="s">
        <v>2683</v>
      </c>
      <c r="I335" s="1259"/>
      <c r="J335" s="1259"/>
      <c r="K335" s="1259"/>
      <c r="L335" s="1259"/>
      <c r="M335" s="1259"/>
      <c r="N335" s="1259"/>
      <c r="O335" s="1259"/>
      <c r="P335" s="1259"/>
      <c r="Q335" s="1259"/>
      <c r="R335" s="1259"/>
      <c r="T335" s="205" t="s">
        <v>885</v>
      </c>
      <c r="V335" s="3"/>
      <c r="W335" s="3"/>
      <c r="X335" s="3"/>
      <c r="Y335" s="3"/>
      <c r="AA335" s="1259" t="s">
        <v>2623</v>
      </c>
      <c r="AB335" s="1259"/>
      <c r="AC335" s="1259"/>
      <c r="AD335" s="1259"/>
      <c r="AE335" s="1259"/>
      <c r="AF335" s="1259"/>
      <c r="AG335" s="1259"/>
      <c r="AH335" s="1259"/>
      <c r="AI335" s="1259"/>
      <c r="AJ335" s="1259"/>
      <c r="AK335" s="1259"/>
    </row>
    <row r="336" spans="2:37" ht="13" customHeight="1">
      <c r="B336" s="3" t="s">
        <v>470</v>
      </c>
      <c r="C336" s="3"/>
      <c r="D336" s="3"/>
      <c r="E336" s="3"/>
      <c r="F336" s="3"/>
      <c r="H336" s="1263" t="s">
        <v>2684</v>
      </c>
      <c r="I336" s="252"/>
      <c r="J336" s="252"/>
      <c r="K336" s="252"/>
      <c r="L336" s="252"/>
      <c r="M336" s="252"/>
      <c r="N336" s="252"/>
      <c r="O336" s="252"/>
      <c r="P336" s="252"/>
      <c r="Q336" s="252"/>
      <c r="R336" s="252"/>
      <c r="T336" s="3" t="s">
        <v>470</v>
      </c>
      <c r="V336" s="3"/>
      <c r="W336" s="3"/>
      <c r="X336" s="3"/>
      <c r="Y336" s="3"/>
      <c r="AA336" s="252" t="s">
        <v>2618</v>
      </c>
      <c r="AB336" s="252"/>
      <c r="AC336" s="252"/>
      <c r="AD336" s="252"/>
      <c r="AE336" s="252"/>
      <c r="AF336" s="252"/>
      <c r="AG336" s="252"/>
      <c r="AH336" s="252"/>
      <c r="AI336" s="252"/>
      <c r="AJ336" s="252"/>
      <c r="AK336" s="252"/>
    </row>
    <row r="337" spans="1:66" ht="13" customHeight="1">
      <c r="B337" s="3" t="s">
        <v>75</v>
      </c>
      <c r="C337" s="3"/>
      <c r="D337" s="3"/>
      <c r="E337" s="3"/>
      <c r="F337" s="3"/>
      <c r="H337" s="252" t="s">
        <v>2685</v>
      </c>
      <c r="I337" s="252"/>
      <c r="J337" s="252"/>
      <c r="K337" s="252"/>
      <c r="L337" s="252"/>
      <c r="M337" s="252"/>
      <c r="N337" s="252"/>
      <c r="O337" s="252"/>
      <c r="P337" s="252"/>
      <c r="Q337" s="252"/>
      <c r="R337" s="252"/>
      <c r="T337" s="3" t="s">
        <v>75</v>
      </c>
      <c r="V337" s="3"/>
      <c r="W337" s="3"/>
      <c r="X337" s="3"/>
      <c r="Y337" s="3"/>
      <c r="AA337" s="252" t="s">
        <v>2628</v>
      </c>
      <c r="AB337" s="252"/>
      <c r="AC337" s="252"/>
      <c r="AD337" s="252"/>
      <c r="AE337" s="252"/>
      <c r="AF337" s="252"/>
      <c r="AG337" s="252"/>
      <c r="AH337" s="252"/>
      <c r="AI337" s="252"/>
      <c r="AJ337" s="252"/>
      <c r="AK337" s="252"/>
    </row>
    <row r="338" spans="1:66" ht="13" customHeight="1">
      <c r="B338" s="3" t="s">
        <v>87</v>
      </c>
      <c r="C338" s="3"/>
      <c r="D338" s="3"/>
      <c r="E338" s="3"/>
      <c r="F338" s="3"/>
      <c r="G338" s="3"/>
      <c r="H338" s="252" t="s">
        <v>2686</v>
      </c>
      <c r="I338" s="252"/>
      <c r="J338" s="252"/>
      <c r="K338" s="252"/>
      <c r="L338" s="252"/>
      <c r="M338" s="252"/>
      <c r="N338" s="252"/>
      <c r="O338" s="252"/>
      <c r="P338" s="252"/>
      <c r="Q338" s="252"/>
      <c r="R338" s="252"/>
      <c r="T338" s="3" t="s">
        <v>87</v>
      </c>
      <c r="V338" s="3"/>
      <c r="W338" s="3"/>
      <c r="X338" s="3"/>
      <c r="Y338" s="3"/>
      <c r="AA338" s="252" t="s">
        <v>2681</v>
      </c>
      <c r="AB338" s="252"/>
      <c r="AC338" s="252"/>
      <c r="AD338" s="252"/>
      <c r="AE338" s="252"/>
      <c r="AF338" s="252"/>
      <c r="AG338" s="252"/>
      <c r="AH338" s="252"/>
      <c r="AI338" s="252"/>
      <c r="AJ338" s="252"/>
      <c r="AK338" s="252"/>
    </row>
    <row r="339" spans="1:66" ht="13" customHeight="1">
      <c r="B339" s="3" t="s">
        <v>88</v>
      </c>
      <c r="C339" s="3"/>
      <c r="D339" s="3"/>
      <c r="E339" s="3"/>
      <c r="F339" s="3"/>
      <c r="G339" s="3"/>
      <c r="H339" s="1260">
        <v>7609301333</v>
      </c>
      <c r="I339" s="1260"/>
      <c r="J339" s="1260"/>
      <c r="K339" s="1260"/>
      <c r="L339" s="1260"/>
      <c r="M339" s="1260"/>
      <c r="N339" s="4" t="s">
        <v>205</v>
      </c>
      <c r="O339" s="4"/>
      <c r="P339" s="1447"/>
      <c r="Q339" s="1447"/>
      <c r="R339" s="1447"/>
      <c r="S339" s="3"/>
      <c r="T339" s="3" t="s">
        <v>88</v>
      </c>
      <c r="V339" s="3"/>
      <c r="W339" s="3"/>
      <c r="X339" s="3"/>
      <c r="Y339" s="3"/>
      <c r="AA339" s="1530">
        <v>9259247182</v>
      </c>
      <c r="AB339" s="1530"/>
      <c r="AC339" s="1530"/>
      <c r="AD339" s="1530"/>
      <c r="AE339" s="1530"/>
      <c r="AF339" s="1530"/>
      <c r="AG339" s="4" t="s">
        <v>205</v>
      </c>
      <c r="AH339" s="4"/>
      <c r="AI339" s="1447"/>
      <c r="AJ339" s="1447"/>
      <c r="AK339" s="1447"/>
    </row>
    <row r="340" spans="1:66" ht="13" customHeight="1">
      <c r="B340" s="3" t="s">
        <v>89</v>
      </c>
      <c r="C340" s="3"/>
      <c r="D340" s="3"/>
      <c r="E340" s="3"/>
      <c r="F340" s="3"/>
      <c r="G340" s="3"/>
      <c r="H340" s="1448">
        <v>7606833390</v>
      </c>
      <c r="I340" s="1448"/>
      <c r="J340" s="1448"/>
      <c r="K340" s="1448"/>
      <c r="L340" s="1448"/>
      <c r="M340" s="1448"/>
      <c r="N340" s="4"/>
      <c r="O340" s="4"/>
      <c r="P340" s="35"/>
      <c r="Q340" s="35"/>
      <c r="R340" s="35"/>
      <c r="S340" s="3"/>
      <c r="T340" s="3" t="s">
        <v>89</v>
      </c>
      <c r="V340" s="3"/>
      <c r="W340" s="3"/>
      <c r="X340" s="3"/>
      <c r="Y340" s="3"/>
      <c r="AA340" s="1448"/>
      <c r="AB340" s="1448"/>
      <c r="AC340" s="1448"/>
      <c r="AD340" s="1448"/>
      <c r="AE340" s="1448"/>
      <c r="AF340" s="1448"/>
      <c r="AG340" s="4"/>
      <c r="AH340" s="4"/>
      <c r="AI340" s="35"/>
      <c r="AJ340" s="35"/>
      <c r="AK340" s="35"/>
    </row>
    <row r="341" spans="1:66" ht="13" customHeight="1">
      <c r="B341" s="3" t="s">
        <v>76</v>
      </c>
      <c r="C341" s="3"/>
      <c r="D341" s="3"/>
      <c r="E341" s="3"/>
      <c r="F341" s="3"/>
      <c r="G341" s="3"/>
      <c r="H341" s="252" t="s">
        <v>2687</v>
      </c>
      <c r="I341" s="252"/>
      <c r="J341" s="252"/>
      <c r="K341" s="252"/>
      <c r="L341" s="252"/>
      <c r="M341" s="252"/>
      <c r="N341" s="1259"/>
      <c r="O341" s="1259"/>
      <c r="P341" s="1259"/>
      <c r="Q341" s="1259"/>
      <c r="R341" s="1259"/>
      <c r="S341" s="3"/>
      <c r="T341" s="3" t="s">
        <v>76</v>
      </c>
      <c r="V341" s="3"/>
      <c r="W341" s="3"/>
      <c r="X341" s="3"/>
      <c r="Y341" s="3"/>
      <c r="AA341" s="1351" t="s">
        <v>2682</v>
      </c>
      <c r="AB341" s="1351"/>
      <c r="AC341" s="1351"/>
      <c r="AD341" s="1351"/>
      <c r="AE341" s="1351"/>
      <c r="AF341" s="1351"/>
      <c r="AG341" s="1352"/>
      <c r="AH341" s="1352"/>
      <c r="AI341" s="1352"/>
      <c r="AJ341" s="1352"/>
      <c r="AK341" s="1352"/>
    </row>
    <row r="342" spans="1:66" ht="13"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590</v>
      </c>
    </row>
    <row r="343" spans="1:66" ht="13" customHeight="1">
      <c r="B343" s="3"/>
      <c r="C343" s="4"/>
      <c r="D343" s="4"/>
      <c r="E343" s="4"/>
      <c r="F343" s="4"/>
      <c r="I343" s="205" t="s">
        <v>886</v>
      </c>
      <c r="P343" s="1352"/>
      <c r="Q343" s="1352"/>
      <c r="R343" s="1352"/>
      <c r="S343" s="1352"/>
      <c r="T343" s="1352"/>
      <c r="U343" s="1352"/>
      <c r="V343" s="1352"/>
      <c r="W343" s="1352"/>
      <c r="X343" s="1352"/>
      <c r="Y343" s="1352"/>
      <c r="Z343" s="1352"/>
      <c r="AA343" s="1352"/>
      <c r="AB343" s="1352"/>
      <c r="AC343" s="1352"/>
      <c r="AD343" s="1352"/>
      <c r="AE343" s="1352"/>
      <c r="BN343" t="s">
        <v>668</v>
      </c>
    </row>
    <row r="344" spans="1:66" ht="13" customHeight="1">
      <c r="B344" s="4"/>
      <c r="C344" s="4"/>
      <c r="D344" s="4"/>
      <c r="E344" s="4"/>
      <c r="F344" s="4"/>
      <c r="I344" s="4" t="s">
        <v>470</v>
      </c>
      <c r="P344" s="1351"/>
      <c r="Q344" s="1351"/>
      <c r="R344" s="1351"/>
      <c r="S344" s="1351"/>
      <c r="T344" s="1351"/>
      <c r="U344" s="1351"/>
      <c r="V344" s="1351"/>
      <c r="W344" s="1351"/>
      <c r="X344" s="1351"/>
      <c r="Y344" s="1351"/>
      <c r="Z344" s="1351"/>
      <c r="AA344" s="1351"/>
      <c r="AB344" s="1351"/>
      <c r="AC344" s="1351"/>
      <c r="AD344" s="1351"/>
      <c r="AE344" s="1351"/>
      <c r="BN344" t="s">
        <v>544</v>
      </c>
    </row>
    <row r="345" spans="1:66" ht="13" customHeight="1">
      <c r="B345" s="4"/>
      <c r="C345" s="4"/>
      <c r="D345" s="4"/>
      <c r="E345" s="4"/>
      <c r="F345" s="4"/>
      <c r="I345" s="4" t="s">
        <v>75</v>
      </c>
      <c r="P345" s="1351"/>
      <c r="Q345" s="1351"/>
      <c r="R345" s="1351"/>
      <c r="S345" s="1351"/>
      <c r="T345" s="1351"/>
      <c r="U345" s="1351"/>
      <c r="V345" s="1351"/>
      <c r="W345" s="1351"/>
      <c r="X345" s="1351"/>
      <c r="Y345" s="1351"/>
      <c r="Z345" s="1351"/>
      <c r="AA345" s="1351"/>
      <c r="AB345" s="1351"/>
      <c r="AC345" s="1351"/>
      <c r="AD345" s="1351"/>
      <c r="AE345" s="1351"/>
    </row>
    <row r="346" spans="1:66" ht="13" customHeight="1">
      <c r="B346" s="4"/>
      <c r="C346" s="4"/>
      <c r="D346" s="4"/>
      <c r="E346" s="4"/>
      <c r="F346" s="4"/>
      <c r="G346" s="4"/>
      <c r="I346" s="4" t="s">
        <v>87</v>
      </c>
      <c r="P346" s="1351"/>
      <c r="Q346" s="1351"/>
      <c r="R346" s="1351"/>
      <c r="S346" s="1351"/>
      <c r="T346" s="1351"/>
      <c r="U346" s="1351"/>
      <c r="V346" s="1351"/>
      <c r="W346" s="1351"/>
      <c r="X346" s="1351"/>
      <c r="Y346" s="1351"/>
      <c r="Z346" s="1351"/>
      <c r="AA346" s="1351"/>
      <c r="AB346" s="1351"/>
      <c r="AC346" s="1351"/>
      <c r="AD346" s="1351"/>
      <c r="AE346" s="1351"/>
    </row>
    <row r="347" spans="1:66" ht="13" customHeight="1">
      <c r="B347" s="4"/>
      <c r="C347" s="4"/>
      <c r="D347" s="4"/>
      <c r="E347" s="4"/>
      <c r="F347" s="4"/>
      <c r="G347" s="4"/>
      <c r="H347" s="303"/>
      <c r="I347" s="4" t="s">
        <v>88</v>
      </c>
      <c r="P347" s="1448"/>
      <c r="Q347" s="1448"/>
      <c r="R347" s="1448"/>
      <c r="S347" s="1448"/>
      <c r="T347" s="1448"/>
      <c r="U347" s="1448"/>
      <c r="V347" s="1448"/>
      <c r="W347" s="1448"/>
      <c r="X347" s="1448"/>
      <c r="Y347" s="1448"/>
      <c r="Z347" s="1448"/>
      <c r="AA347" s="4" t="s">
        <v>205</v>
      </c>
      <c r="AB347" s="4"/>
      <c r="AC347" s="1490"/>
      <c r="AD347" s="1490"/>
      <c r="AE347" s="1490"/>
      <c r="AF347" s="303"/>
      <c r="AG347" s="4"/>
      <c r="AH347" s="4"/>
      <c r="AI347" s="4"/>
      <c r="AJ347" s="4"/>
      <c r="AK347" s="4"/>
    </row>
    <row r="348" spans="1:66" ht="13" customHeight="1">
      <c r="B348" s="4"/>
      <c r="C348" s="4"/>
      <c r="D348" s="4"/>
      <c r="E348" s="4"/>
      <c r="F348" s="4"/>
      <c r="G348" s="4"/>
      <c r="H348" s="303"/>
      <c r="I348" s="4" t="s">
        <v>89</v>
      </c>
      <c r="P348" s="1448"/>
      <c r="Q348" s="1448"/>
      <c r="R348" s="1448"/>
      <c r="S348" s="1448"/>
      <c r="T348" s="1448"/>
      <c r="U348" s="1448"/>
      <c r="V348" s="1448"/>
      <c r="W348" s="1448"/>
      <c r="X348" s="1448"/>
      <c r="Y348" s="1448"/>
      <c r="Z348" s="1448"/>
      <c r="AF348" s="303"/>
      <c r="AG348" s="4"/>
      <c r="AH348" s="4"/>
      <c r="AI348" s="35"/>
      <c r="AJ348" s="35"/>
      <c r="AK348" s="35"/>
    </row>
    <row r="349" spans="1:66" ht="13" customHeight="1">
      <c r="B349" s="4"/>
      <c r="C349" s="4"/>
      <c r="D349" s="4"/>
      <c r="E349" s="4"/>
      <c r="F349" s="4"/>
      <c r="G349" s="4"/>
      <c r="I349" s="4" t="s">
        <v>76</v>
      </c>
      <c r="P349" s="1352"/>
      <c r="Q349" s="1352"/>
      <c r="R349" s="1352"/>
      <c r="S349" s="1352"/>
      <c r="T349" s="1352"/>
      <c r="U349" s="1352"/>
      <c r="V349" s="1352"/>
      <c r="W349" s="1352"/>
      <c r="X349" s="1352"/>
      <c r="Y349" s="1352"/>
      <c r="Z349" s="1352"/>
      <c r="AA349" s="1352"/>
      <c r="AB349" s="1352"/>
      <c r="AC349" s="1352"/>
      <c r="AD349" s="1352"/>
      <c r="AE349" s="1352"/>
    </row>
    <row r="350" spans="1:66" ht="13" customHeight="1">
      <c r="T350" s="8"/>
      <c r="U350" s="8"/>
      <c r="V350" s="8"/>
      <c r="W350" s="8"/>
      <c r="X350" s="8"/>
      <c r="Y350" s="8"/>
      <c r="Z350" s="8"/>
      <c r="AU350" s="95"/>
      <c r="AV350" s="95"/>
      <c r="AW350" s="95"/>
      <c r="AX350" s="95"/>
      <c r="AY350" s="95"/>
    </row>
    <row r="351" spans="1:66" ht="13" customHeight="1">
      <c r="A351" s="1549" t="s">
        <v>541</v>
      </c>
      <c r="B351" s="1549"/>
      <c r="C351" s="1549"/>
      <c r="D351" s="1549"/>
      <c r="E351" s="1549"/>
      <c r="F351" s="1549"/>
      <c r="G351" s="1549"/>
      <c r="H351" s="1549"/>
      <c r="I351" s="1549"/>
      <c r="J351" s="1549"/>
      <c r="K351" s="1549"/>
      <c r="L351" s="1549"/>
      <c r="M351" s="1549"/>
      <c r="N351" s="1549"/>
      <c r="O351" s="1549"/>
      <c r="P351" s="1549"/>
      <c r="Q351" s="1549"/>
      <c r="R351" s="1549"/>
      <c r="S351" s="1549"/>
      <c r="T351" s="1549"/>
      <c r="U351" s="1549"/>
      <c r="V351" s="1549"/>
      <c r="W351" s="1549"/>
      <c r="X351" s="1549"/>
      <c r="Y351" s="1549"/>
      <c r="Z351" s="1549"/>
      <c r="AA351" s="1549"/>
      <c r="AB351" s="1549"/>
      <c r="AC351" s="1549"/>
      <c r="AD351" s="1549"/>
      <c r="AE351" s="1549"/>
      <c r="AF351" s="1549"/>
      <c r="AG351" s="1549"/>
      <c r="AH351" s="1549"/>
      <c r="AI351" s="1549"/>
      <c r="AJ351" s="1549"/>
      <c r="AK351" s="1549"/>
      <c r="AL351" s="1549"/>
      <c r="AM351" s="1549"/>
      <c r="AN351" s="1549"/>
      <c r="AO351" s="1549"/>
      <c r="AP351" s="1549"/>
      <c r="AQ351" s="1549"/>
      <c r="AR351" s="1549"/>
      <c r="AS351" s="1549"/>
      <c r="AT351" s="1549"/>
      <c r="AU351" s="95"/>
      <c r="AV351" s="95"/>
      <c r="AW351" s="95"/>
      <c r="AX351" s="95"/>
      <c r="AY351" s="95"/>
    </row>
    <row r="352" spans="1:66" ht="13" customHeight="1">
      <c r="A352" s="1549"/>
      <c r="B352" s="1549"/>
      <c r="C352" s="1549"/>
      <c r="D352" s="1549"/>
      <c r="E352" s="1549"/>
      <c r="F352" s="1549"/>
      <c r="G352" s="1549"/>
      <c r="H352" s="1549"/>
      <c r="I352" s="1549"/>
      <c r="J352" s="1549"/>
      <c r="K352" s="1549"/>
      <c r="L352" s="1549"/>
      <c r="M352" s="1549"/>
      <c r="N352" s="1549"/>
      <c r="O352" s="1549"/>
      <c r="P352" s="1549"/>
      <c r="Q352" s="1549"/>
      <c r="R352" s="1549"/>
      <c r="S352" s="1549"/>
      <c r="T352" s="1549"/>
      <c r="U352" s="1549"/>
      <c r="V352" s="1549"/>
      <c r="W352" s="1549"/>
      <c r="X352" s="1549"/>
      <c r="Y352" s="1549"/>
      <c r="Z352" s="1549"/>
      <c r="AA352" s="1549"/>
      <c r="AB352" s="1549"/>
      <c r="AC352" s="1549"/>
      <c r="AD352" s="1549"/>
      <c r="AE352" s="1549"/>
      <c r="AF352" s="1549"/>
      <c r="AG352" s="1549"/>
      <c r="AH352" s="1549"/>
      <c r="AI352" s="1549"/>
      <c r="AJ352" s="1549"/>
      <c r="AK352" s="1549"/>
      <c r="AL352" s="1549"/>
      <c r="AM352" s="1549"/>
      <c r="AN352" s="1549"/>
      <c r="AO352" s="1549"/>
      <c r="AP352" s="1549"/>
      <c r="AQ352" s="1549"/>
      <c r="AR352" s="1549"/>
      <c r="AS352" s="1549"/>
      <c r="AT352" s="1549"/>
      <c r="AU352" s="25"/>
      <c r="AV352" s="25"/>
      <c r="AW352" s="25"/>
      <c r="AX352" s="25"/>
      <c r="AY352" s="25"/>
    </row>
    <row r="353" spans="1:46" ht="13"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3" customHeight="1">
      <c r="A354" s="2" t="s">
        <v>318</v>
      </c>
      <c r="B354" s="2"/>
      <c r="C354" s="2" t="s">
        <v>781</v>
      </c>
    </row>
    <row r="355" spans="1:46" ht="13" customHeight="1">
      <c r="D355" s="3" t="s">
        <v>2099</v>
      </c>
      <c r="M355" s="1446" t="s">
        <v>590</v>
      </c>
      <c r="N355" s="1446"/>
      <c r="P355" t="s">
        <v>1649</v>
      </c>
      <c r="AJ355" s="1446" t="s">
        <v>668</v>
      </c>
      <c r="AK355" s="1446"/>
    </row>
    <row r="356" spans="1:46" ht="13" customHeight="1">
      <c r="D356" s="3" t="s">
        <v>1638</v>
      </c>
      <c r="M356" s="1446" t="s">
        <v>590</v>
      </c>
      <c r="N356" s="1446"/>
      <c r="P356" s="3" t="s">
        <v>1718</v>
      </c>
      <c r="AJ356" s="1392"/>
      <c r="AK356" s="1392"/>
    </row>
    <row r="357" spans="1:46" ht="13" customHeight="1">
      <c r="D357" s="3" t="s">
        <v>703</v>
      </c>
      <c r="M357" s="1446" t="s">
        <v>590</v>
      </c>
      <c r="N357" s="1446"/>
      <c r="P357" t="s">
        <v>1648</v>
      </c>
      <c r="AJ357" s="1446" t="s">
        <v>544</v>
      </c>
      <c r="AK357" s="1446"/>
    </row>
    <row r="358" spans="1:46" ht="13" customHeight="1">
      <c r="D358" s="3" t="s">
        <v>704</v>
      </c>
      <c r="M358" s="1446" t="s">
        <v>544</v>
      </c>
      <c r="N358" s="1446"/>
      <c r="Q358" s="4"/>
    </row>
    <row r="359" spans="1:46" ht="13" customHeight="1">
      <c r="Q359" s="4"/>
    </row>
    <row r="360" spans="1:46" ht="13" customHeight="1">
      <c r="Q360" s="4"/>
    </row>
    <row r="361" spans="1:46" ht="13" customHeight="1">
      <c r="A361" s="2" t="s">
        <v>575</v>
      </c>
      <c r="B361" s="2"/>
      <c r="C361" s="2" t="s">
        <v>551</v>
      </c>
      <c r="D361" s="2"/>
    </row>
    <row r="362" spans="1:46" ht="13" customHeight="1">
      <c r="D362" s="39" t="s">
        <v>184</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3" customHeight="1">
      <c r="D363" s="39" t="s">
        <v>185</v>
      </c>
      <c r="E363" s="40"/>
      <c r="F363" s="40"/>
      <c r="G363" s="40"/>
      <c r="H363" s="40"/>
      <c r="I363" s="40"/>
      <c r="J363" s="40"/>
      <c r="K363" s="40"/>
      <c r="L363" s="40"/>
      <c r="M363" s="40"/>
      <c r="N363" s="1446" t="s">
        <v>544</v>
      </c>
      <c r="O363" s="1446"/>
      <c r="P363" s="40"/>
      <c r="Q363" s="40"/>
      <c r="R363" s="40"/>
      <c r="S363" s="40"/>
      <c r="T363" s="40"/>
      <c r="U363" s="40"/>
      <c r="V363" s="40"/>
      <c r="W363" s="40"/>
      <c r="X363" s="40"/>
      <c r="Y363" s="40"/>
      <c r="Z363" s="40"/>
      <c r="AC363" s="40"/>
      <c r="AD363" s="40"/>
      <c r="AE363" s="40"/>
    </row>
    <row r="364" spans="1:46" ht="13" customHeight="1">
      <c r="E364" t="s">
        <v>369</v>
      </c>
      <c r="Y364" s="1446" t="s">
        <v>590</v>
      </c>
      <c r="Z364" s="1446"/>
    </row>
    <row r="365" spans="1:46" ht="13" customHeight="1">
      <c r="D365" s="4" t="s">
        <v>977</v>
      </c>
      <c r="Q365" s="1352" t="s">
        <v>2657</v>
      </c>
      <c r="R365" s="1352"/>
      <c r="S365" s="1352"/>
      <c r="T365" s="1352"/>
      <c r="U365" s="1352"/>
      <c r="V365" s="1352"/>
      <c r="W365" s="1352"/>
      <c r="X365" s="1352"/>
      <c r="Y365" s="1352"/>
      <c r="Z365" s="1352"/>
      <c r="AA365" s="1352"/>
      <c r="AB365" s="1352"/>
      <c r="AC365" s="1352"/>
      <c r="AD365" s="1352"/>
      <c r="AE365" s="1352"/>
      <c r="AF365" s="1352"/>
      <c r="AG365" s="1352"/>
    </row>
    <row r="366" spans="1:46" ht="13" customHeight="1">
      <c r="D366" t="s">
        <v>186</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3" customHeight="1">
      <c r="D367" t="s">
        <v>187</v>
      </c>
      <c r="E367" s="40"/>
      <c r="F367" s="40"/>
      <c r="G367" s="40"/>
      <c r="H367" s="40"/>
      <c r="I367" s="40"/>
      <c r="J367" s="1446" t="s">
        <v>544</v>
      </c>
      <c r="K367" s="1446"/>
      <c r="L367" s="40"/>
      <c r="M367" s="40"/>
      <c r="N367" s="40"/>
      <c r="O367" s="40"/>
      <c r="P367" s="40"/>
      <c r="Q367" s="40"/>
      <c r="R367" s="40"/>
      <c r="S367" s="40"/>
      <c r="T367" s="40"/>
      <c r="U367" s="40"/>
      <c r="V367" s="40"/>
      <c r="W367" s="40"/>
      <c r="X367" s="40"/>
      <c r="Y367" s="40"/>
      <c r="Z367" s="40"/>
      <c r="AC367" s="40"/>
      <c r="AD367" s="40"/>
      <c r="AE367" s="40"/>
    </row>
    <row r="368" spans="1:46" ht="13" customHeight="1">
      <c r="E368" s="1533" t="s">
        <v>705</v>
      </c>
      <c r="F368" s="1533"/>
      <c r="G368" s="1533"/>
      <c r="H368" s="1533"/>
      <c r="I368" s="1533"/>
      <c r="J368" s="1533"/>
      <c r="K368" s="1533"/>
      <c r="L368" s="1533"/>
      <c r="M368" s="1533"/>
      <c r="N368" s="1533"/>
      <c r="O368" s="1533"/>
      <c r="P368" s="1533"/>
      <c r="Q368" s="1533"/>
      <c r="R368" s="1533"/>
      <c r="S368" s="1533"/>
      <c r="T368" s="1533"/>
      <c r="U368" s="1533"/>
      <c r="V368" s="1533"/>
      <c r="W368" s="1533"/>
      <c r="X368" s="1533"/>
      <c r="Y368" s="1533"/>
      <c r="Z368" s="1533"/>
      <c r="AA368" s="1533"/>
      <c r="AB368" s="1533"/>
      <c r="AC368" s="1533"/>
      <c r="AD368" s="1533"/>
      <c r="AE368" s="1533"/>
      <c r="AF368" s="1533"/>
      <c r="AG368" s="1533"/>
      <c r="AH368" s="1533"/>
    </row>
    <row r="369" spans="1:34" ht="13" customHeight="1">
      <c r="E369" s="1533"/>
      <c r="F369" s="1533"/>
      <c r="G369" s="1533"/>
      <c r="H369" s="1533"/>
      <c r="I369" s="1533"/>
      <c r="J369" s="1533"/>
      <c r="K369" s="1533"/>
      <c r="L369" s="1533"/>
      <c r="M369" s="1533"/>
      <c r="N369" s="1533"/>
      <c r="O369" s="1533"/>
      <c r="P369" s="1533"/>
      <c r="Q369" s="1533"/>
      <c r="R369" s="1533"/>
      <c r="S369" s="1533"/>
      <c r="T369" s="1533"/>
      <c r="U369" s="1533"/>
      <c r="V369" s="1533"/>
      <c r="W369" s="1533"/>
      <c r="X369" s="1533"/>
      <c r="Y369" s="1533"/>
      <c r="Z369" s="1533"/>
      <c r="AA369" s="1533"/>
      <c r="AB369" s="1533"/>
      <c r="AC369" s="1533"/>
      <c r="AD369" s="1533"/>
      <c r="AE369" s="1533"/>
      <c r="AF369" s="1533"/>
      <c r="AG369" s="1533"/>
      <c r="AH369" s="1533"/>
    </row>
    <row r="370" spans="1:34" ht="13" customHeight="1">
      <c r="E370" s="4" t="s">
        <v>447</v>
      </c>
      <c r="F370" s="4"/>
      <c r="G370" s="4"/>
      <c r="H370" s="4"/>
      <c r="I370" s="4"/>
      <c r="J370" s="4"/>
      <c r="K370" s="4"/>
      <c r="L370" s="4"/>
      <c r="N370" s="1374">
        <v>25</v>
      </c>
      <c r="O370" s="1374"/>
      <c r="P370" s="1374"/>
      <c r="Q370" s="1374"/>
      <c r="R370" s="4"/>
      <c r="U370" s="4" t="s">
        <v>448</v>
      </c>
      <c r="V370" s="4"/>
      <c r="W370" s="4"/>
      <c r="X370" s="4"/>
      <c r="Y370" s="4"/>
      <c r="Z370" s="4"/>
      <c r="AA370" s="4"/>
      <c r="AB370" s="4"/>
      <c r="AC370" s="1374">
        <v>1</v>
      </c>
      <c r="AD370" s="1374"/>
      <c r="AE370" s="1374"/>
      <c r="AF370" s="1374"/>
    </row>
    <row r="371" spans="1:34" ht="13" customHeight="1">
      <c r="E371" s="4" t="s">
        <v>449</v>
      </c>
      <c r="F371" s="4"/>
      <c r="G371" s="4"/>
      <c r="H371" s="4"/>
      <c r="I371" s="4"/>
      <c r="J371" s="4"/>
      <c r="K371" s="4"/>
      <c r="L371" s="4"/>
      <c r="N371" s="1374">
        <v>1</v>
      </c>
      <c r="O371" s="1374"/>
      <c r="P371" s="1374"/>
      <c r="Q371" s="1374"/>
      <c r="R371" s="4"/>
      <c r="U371" s="4" t="s">
        <v>0</v>
      </c>
      <c r="V371" s="4"/>
      <c r="W371" s="4"/>
      <c r="X371" s="4"/>
      <c r="Y371" s="4"/>
      <c r="Z371" s="4"/>
      <c r="AA371" s="4"/>
      <c r="AB371" s="4"/>
      <c r="AC371" s="1374">
        <v>61</v>
      </c>
      <c r="AD371" s="1374"/>
      <c r="AE371" s="1374"/>
      <c r="AF371" s="1374"/>
    </row>
    <row r="372" spans="1:34" ht="13" customHeight="1">
      <c r="E372" s="4" t="s">
        <v>1</v>
      </c>
      <c r="F372" s="4"/>
      <c r="G372" s="4"/>
      <c r="H372" s="4"/>
      <c r="I372" s="4"/>
      <c r="J372" s="4"/>
      <c r="K372" s="4"/>
      <c r="L372" s="4"/>
      <c r="N372" s="1374">
        <v>3</v>
      </c>
      <c r="O372" s="1374"/>
      <c r="P372" s="1374"/>
      <c r="Q372" s="1374"/>
      <c r="R372" s="4"/>
      <c r="V372" s="4"/>
      <c r="W372" s="4"/>
      <c r="X372" s="4"/>
      <c r="Y372" s="4"/>
      <c r="Z372" s="4"/>
      <c r="AA372" s="4"/>
      <c r="AB372" s="4"/>
    </row>
    <row r="373" spans="1:34" ht="13" customHeight="1">
      <c r="E373" s="4" t="s">
        <v>2</v>
      </c>
      <c r="F373" s="4"/>
      <c r="G373" s="4"/>
      <c r="H373" s="4"/>
      <c r="I373" s="4"/>
      <c r="J373" s="4"/>
      <c r="K373" s="4"/>
      <c r="L373" s="4"/>
      <c r="N373" s="1449" t="s">
        <v>2658</v>
      </c>
      <c r="O373" s="1449"/>
      <c r="P373" s="1449"/>
      <c r="Q373" s="1449"/>
      <c r="R373" s="1449"/>
      <c r="S373" s="1449"/>
      <c r="T373" s="1449"/>
      <c r="U373" s="1449"/>
      <c r="V373" s="1449"/>
      <c r="W373" s="1449"/>
      <c r="X373" s="1449"/>
      <c r="Y373" s="1449"/>
      <c r="Z373" s="1449"/>
      <c r="AA373" s="1449"/>
      <c r="AB373" s="1449"/>
      <c r="AC373" s="1449"/>
      <c r="AD373" s="1449"/>
      <c r="AE373" s="1449"/>
      <c r="AF373" s="1449"/>
    </row>
    <row r="374" spans="1:34" ht="13" customHeight="1">
      <c r="E374" s="4"/>
      <c r="F374" s="4"/>
      <c r="G374" s="4"/>
      <c r="H374" s="4"/>
      <c r="I374" s="4"/>
      <c r="J374" s="4"/>
      <c r="K374" s="4"/>
      <c r="L374" s="4"/>
      <c r="N374" s="1450"/>
      <c r="O374" s="1450"/>
      <c r="P374" s="1450"/>
      <c r="Q374" s="1450"/>
      <c r="R374" s="1450"/>
      <c r="S374" s="1450"/>
      <c r="T374" s="1450"/>
      <c r="U374" s="1450"/>
      <c r="V374" s="1450"/>
      <c r="W374" s="1450"/>
      <c r="X374" s="1450"/>
      <c r="Y374" s="1450"/>
      <c r="Z374" s="1450"/>
      <c r="AA374" s="1450"/>
      <c r="AB374" s="1450"/>
      <c r="AC374" s="1450"/>
      <c r="AD374" s="1450"/>
      <c r="AE374" s="1450"/>
      <c r="AF374" s="1450"/>
    </row>
    <row r="375" spans="1:34" ht="13" customHeight="1">
      <c r="C375" s="513"/>
      <c r="E375" s="4"/>
      <c r="F375" s="4"/>
      <c r="G375" s="4"/>
      <c r="H375" s="4"/>
      <c r="I375" s="4"/>
      <c r="J375" s="4"/>
      <c r="K375" s="4"/>
      <c r="L375" s="4"/>
    </row>
    <row r="376" spans="1:34" ht="13" customHeight="1">
      <c r="D376" s="2" t="s">
        <v>974</v>
      </c>
      <c r="E376" s="2"/>
      <c r="F376" s="4"/>
      <c r="G376" s="4"/>
      <c r="H376" s="4"/>
      <c r="I376" s="4"/>
      <c r="J376" s="4"/>
      <c r="K376" s="4"/>
      <c r="L376" s="4"/>
    </row>
    <row r="377" spans="1:34" ht="13" customHeight="1">
      <c r="E377" s="4" t="s">
        <v>2085</v>
      </c>
      <c r="F377" s="4"/>
      <c r="G377" s="4"/>
      <c r="H377" s="4"/>
      <c r="I377" s="4"/>
      <c r="J377" s="4"/>
      <c r="K377" s="4"/>
      <c r="L377" s="4"/>
      <c r="N377" t="s">
        <v>2080</v>
      </c>
      <c r="R377" s="27" t="s">
        <v>304</v>
      </c>
      <c r="S377" s="1451"/>
      <c r="T377" s="1451"/>
      <c r="U377" s="1" t="s">
        <v>305</v>
      </c>
      <c r="V377" s="1451"/>
      <c r="W377" s="1451"/>
      <c r="Y377" t="s">
        <v>2080</v>
      </c>
      <c r="AC377" s="27" t="s">
        <v>304</v>
      </c>
      <c r="AD377" s="1451"/>
      <c r="AE377" s="1451"/>
      <c r="AF377" s="1" t="s">
        <v>305</v>
      </c>
      <c r="AG377" s="1451"/>
      <c r="AH377" s="1451"/>
    </row>
    <row r="378" spans="1:34" ht="13" customHeight="1">
      <c r="E378" s="4" t="s">
        <v>986</v>
      </c>
      <c r="F378" s="4"/>
      <c r="G378" s="4"/>
      <c r="H378" s="4"/>
      <c r="I378" s="4"/>
      <c r="J378" s="4"/>
      <c r="K378" s="4"/>
      <c r="L378" s="4"/>
      <c r="N378" s="1451"/>
      <c r="O378" s="1451"/>
      <c r="P378" s="1451"/>
    </row>
    <row r="379" spans="1:34" ht="13" customHeight="1">
      <c r="E379" s="205" t="s">
        <v>2086</v>
      </c>
      <c r="F379" s="4"/>
      <c r="G379" s="4"/>
      <c r="H379" s="4"/>
      <c r="I379" s="4"/>
      <c r="J379" s="4"/>
      <c r="K379" s="4"/>
      <c r="L379" s="4"/>
      <c r="AG379" s="1523" t="s">
        <v>590</v>
      </c>
      <c r="AH379" s="1523"/>
    </row>
    <row r="380" spans="1:34" ht="13" customHeight="1">
      <c r="E380" s="4"/>
      <c r="F380" s="4"/>
      <c r="G380" s="4" t="s">
        <v>2087</v>
      </c>
      <c r="H380" s="4"/>
      <c r="I380" s="4"/>
      <c r="J380" s="4"/>
      <c r="K380" s="4"/>
      <c r="L380" s="4"/>
      <c r="AG380" s="1523" t="s">
        <v>590</v>
      </c>
      <c r="AH380" s="1523"/>
    </row>
    <row r="381" spans="1:34" ht="13" customHeight="1">
      <c r="E381" s="4"/>
      <c r="F381" s="4"/>
      <c r="G381" s="321" t="s">
        <v>987</v>
      </c>
      <c r="H381" s="4"/>
      <c r="I381" s="4"/>
      <c r="J381" s="4"/>
      <c r="K381" s="4"/>
      <c r="L381" s="4"/>
      <c r="V381" s="1446" t="s">
        <v>590</v>
      </c>
      <c r="W381" s="1446"/>
      <c r="Y381" s="22" t="s">
        <v>979</v>
      </c>
    </row>
    <row r="382" spans="1:34" ht="13" customHeight="1">
      <c r="E382" s="4" t="s">
        <v>980</v>
      </c>
      <c r="F382" s="4"/>
      <c r="G382" s="4"/>
      <c r="H382" s="4"/>
      <c r="I382" s="4"/>
      <c r="J382" s="4"/>
      <c r="K382" s="4"/>
      <c r="L382" s="4"/>
      <c r="V382" s="1446" t="s">
        <v>590</v>
      </c>
      <c r="W382" s="1446"/>
      <c r="Y382" s="4" t="s">
        <v>981</v>
      </c>
    </row>
    <row r="383" spans="1:34" ht="13" customHeight="1"/>
    <row r="384" spans="1:34" ht="13" customHeight="1">
      <c r="A384" s="2" t="s">
        <v>78</v>
      </c>
      <c r="B384" s="2"/>
    </row>
    <row r="385" spans="4:36" ht="13" customHeight="1">
      <c r="D385" t="s">
        <v>427</v>
      </c>
      <c r="J385" s="1491" t="s">
        <v>2719</v>
      </c>
      <c r="K385" s="1352"/>
      <c r="L385" s="1352"/>
      <c r="M385" s="1352"/>
      <c r="N385" s="1352"/>
      <c r="O385" s="1352"/>
      <c r="P385" s="1352"/>
      <c r="Q385" s="1352"/>
      <c r="R385" s="1352"/>
      <c r="S385" s="1352"/>
      <c r="T385" s="1352"/>
      <c r="U385" s="1352"/>
      <c r="V385" s="8" t="s">
        <v>83</v>
      </c>
      <c r="W385" s="8"/>
      <c r="X385" s="8"/>
      <c r="Y385" s="8"/>
      <c r="Z385" s="8"/>
      <c r="AA385" s="8"/>
      <c r="AB385" s="8"/>
      <c r="AC385" s="1491" t="s">
        <v>2716</v>
      </c>
      <c r="AD385" s="1352"/>
      <c r="AE385" s="1352"/>
      <c r="AF385" s="1352"/>
      <c r="AG385" s="1352"/>
      <c r="AH385" s="1352"/>
      <c r="AI385" s="1352"/>
      <c r="AJ385" s="1352"/>
    </row>
    <row r="386" spans="4:36" ht="13" customHeight="1">
      <c r="D386" s="3" t="s">
        <v>1181</v>
      </c>
      <c r="J386" s="1458" t="s">
        <v>2716</v>
      </c>
      <c r="K386" s="1351"/>
      <c r="L386" s="1351"/>
      <c r="M386" s="1351"/>
      <c r="N386" s="1351"/>
      <c r="O386" s="1351"/>
      <c r="P386" s="1351"/>
      <c r="Q386" s="1351"/>
      <c r="R386" s="1351"/>
      <c r="S386" s="1351"/>
      <c r="T386" s="1351"/>
      <c r="U386" s="1351"/>
      <c r="V386" s="3" t="s">
        <v>1181</v>
      </c>
      <c r="W386" s="8"/>
      <c r="X386" s="8"/>
      <c r="Y386" s="8"/>
      <c r="Z386" s="8"/>
      <c r="AA386" s="8"/>
      <c r="AB386" s="8"/>
      <c r="AC386" s="1352" t="s">
        <v>2716</v>
      </c>
      <c r="AD386" s="1352"/>
      <c r="AE386" s="1352"/>
      <c r="AF386" s="1352"/>
      <c r="AG386" s="1352"/>
      <c r="AH386" s="1352"/>
      <c r="AI386" s="1352"/>
      <c r="AJ386" s="1352"/>
    </row>
    <row r="387" spans="4:36" ht="13" customHeight="1">
      <c r="D387" s="3" t="s">
        <v>440</v>
      </c>
      <c r="J387" s="1458" t="s">
        <v>2717</v>
      </c>
      <c r="K387" s="1351"/>
      <c r="L387" s="1351"/>
      <c r="M387" s="1351"/>
      <c r="N387" s="1351"/>
      <c r="O387" s="1351"/>
      <c r="P387" s="1351"/>
      <c r="Q387" s="1351"/>
      <c r="R387" s="1351"/>
      <c r="S387" s="1351"/>
      <c r="T387" s="1351"/>
      <c r="U387" s="1351"/>
      <c r="V387" s="3" t="s">
        <v>440</v>
      </c>
      <c r="W387" s="8"/>
      <c r="X387" s="8"/>
      <c r="Y387" s="8"/>
      <c r="Z387" s="8"/>
      <c r="AA387" s="8"/>
      <c r="AB387" s="8"/>
      <c r="AC387" s="1352" t="s">
        <v>2717</v>
      </c>
      <c r="AD387" s="1352"/>
      <c r="AE387" s="1352"/>
      <c r="AF387" s="1352"/>
      <c r="AG387" s="1352"/>
      <c r="AH387" s="1352"/>
      <c r="AI387" s="1352"/>
      <c r="AJ387" s="1352"/>
    </row>
    <row r="388" spans="4:36" ht="13" customHeight="1">
      <c r="D388" t="s">
        <v>1177</v>
      </c>
      <c r="J388" s="1407" t="s">
        <v>2718</v>
      </c>
      <c r="K388" s="1407"/>
      <c r="L388" s="1407"/>
      <c r="M388" s="1407"/>
      <c r="N388" s="1407"/>
      <c r="O388" s="1407"/>
      <c r="P388" s="1407"/>
      <c r="Q388" s="1407"/>
      <c r="R388" s="1407"/>
      <c r="S388" s="1407"/>
      <c r="T388" s="1407"/>
      <c r="U388" s="1407"/>
      <c r="V388" s="1352"/>
      <c r="W388" s="1352"/>
      <c r="X388" s="1352"/>
      <c r="Y388" s="1352"/>
      <c r="Z388" s="1352"/>
      <c r="AA388" s="1352"/>
      <c r="AB388" s="1352"/>
      <c r="AC388" s="1352"/>
      <c r="AD388" s="1352"/>
      <c r="AE388" s="1352"/>
      <c r="AF388" s="1352"/>
      <c r="AG388" s="1352"/>
      <c r="AH388" s="1352"/>
      <c r="AI388" s="1352"/>
      <c r="AJ388" s="1352"/>
    </row>
    <row r="389" spans="4:36" ht="13" customHeight="1">
      <c r="D389" t="s">
        <v>4</v>
      </c>
      <c r="Q389" s="1868">
        <v>45678</v>
      </c>
      <c r="R389" s="1868"/>
      <c r="S389" s="1868"/>
      <c r="T389" s="1868"/>
      <c r="U389" s="1868"/>
      <c r="V389" t="s">
        <v>308</v>
      </c>
      <c r="AI389" s="1446" t="s">
        <v>668</v>
      </c>
      <c r="AJ389" s="1446"/>
    </row>
    <row r="390" spans="4:36" ht="13" customHeight="1">
      <c r="D390" t="s">
        <v>5</v>
      </c>
      <c r="Q390" s="1516" t="s">
        <v>2730</v>
      </c>
      <c r="R390" s="1517"/>
      <c r="S390" s="1517"/>
      <c r="T390" s="1517"/>
      <c r="U390" s="1517"/>
      <c r="W390" s="21" t="s">
        <v>74</v>
      </c>
      <c r="AG390" s="1512"/>
      <c r="AH390" s="1512"/>
      <c r="AI390" s="1512"/>
      <c r="AJ390" s="1512"/>
    </row>
    <row r="391" spans="4:36" ht="13" customHeight="1">
      <c r="D391" t="s">
        <v>426</v>
      </c>
      <c r="Q391" s="1525">
        <v>13600000</v>
      </c>
      <c r="R391" s="1525"/>
      <c r="S391" s="1525"/>
      <c r="T391" s="1525"/>
      <c r="U391" s="1525"/>
      <c r="V391" s="3" t="s">
        <v>1180</v>
      </c>
      <c r="AG391" s="1521">
        <v>45901</v>
      </c>
      <c r="AH391" s="1521"/>
      <c r="AI391" s="1521"/>
      <c r="AJ391" s="1521"/>
    </row>
    <row r="392" spans="4:36" ht="13" customHeight="1">
      <c r="D392" t="s">
        <v>88</v>
      </c>
      <c r="I392" s="1530">
        <v>8182470420</v>
      </c>
      <c r="J392" s="1530"/>
      <c r="K392" s="1530"/>
      <c r="L392" s="1530"/>
      <c r="M392" s="1530"/>
      <c r="N392" s="1530"/>
      <c r="Q392" s="4" t="s">
        <v>205</v>
      </c>
      <c r="S392" s="1524"/>
      <c r="T392" s="1524"/>
      <c r="U392" s="1524"/>
      <c r="V392" t="s">
        <v>73</v>
      </c>
      <c r="AI392" s="1446" t="s">
        <v>668</v>
      </c>
      <c r="AJ392" s="1446"/>
    </row>
    <row r="393" spans="4:36" ht="13" customHeight="1">
      <c r="D393" t="s">
        <v>309</v>
      </c>
      <c r="Q393" s="1522"/>
      <c r="R393" s="1522"/>
      <c r="S393" s="1522"/>
      <c r="T393" s="1522"/>
      <c r="U393" s="1522"/>
      <c r="V393" t="s">
        <v>310</v>
      </c>
      <c r="AG393" s="1512"/>
      <c r="AH393" s="1512"/>
      <c r="AI393" s="1512"/>
      <c r="AJ393" s="1512"/>
    </row>
    <row r="394" spans="4:36" ht="13" customHeight="1">
      <c r="D394" t="s">
        <v>311</v>
      </c>
      <c r="Q394" s="1581"/>
      <c r="R394" s="1581"/>
      <c r="S394" s="1581"/>
      <c r="T394" s="1581"/>
      <c r="U394" s="1581"/>
      <c r="V394" t="s">
        <v>1162</v>
      </c>
      <c r="AG394" s="1512"/>
      <c r="AH394" s="1512"/>
      <c r="AI394" s="1512"/>
      <c r="AJ394" s="1512"/>
    </row>
    <row r="395" spans="4:36" ht="13" customHeight="1">
      <c r="D395" t="s">
        <v>1161</v>
      </c>
      <c r="AG395" s="1512"/>
      <c r="AH395" s="1512"/>
      <c r="AI395" s="1512"/>
      <c r="AJ395" s="1512"/>
    </row>
    <row r="396" spans="4:36" ht="13" customHeight="1">
      <c r="AG396" s="457"/>
      <c r="AH396" s="457"/>
      <c r="AI396" s="457"/>
      <c r="AJ396" s="457"/>
    </row>
    <row r="397" spans="4:36" ht="13" customHeight="1">
      <c r="D397" s="3" t="s">
        <v>2143</v>
      </c>
      <c r="AG397" s="457"/>
      <c r="AH397" s="457"/>
      <c r="AI397" s="1446" t="s">
        <v>668</v>
      </c>
      <c r="AJ397" s="1446"/>
    </row>
    <row r="398" spans="4:36" ht="13" customHeight="1">
      <c r="D398" s="3" t="s">
        <v>1666</v>
      </c>
      <c r="T398" s="1423"/>
      <c r="U398" s="1423"/>
      <c r="V398" s="1423"/>
      <c r="W398" s="1423"/>
      <c r="X398" s="1423"/>
      <c r="Y398" s="1423"/>
      <c r="Z398" s="1423"/>
      <c r="AA398" s="1423"/>
      <c r="AB398" s="1423"/>
      <c r="AC398" s="1423"/>
      <c r="AD398" s="1423"/>
      <c r="AE398" s="1423"/>
      <c r="AF398" s="1423"/>
      <c r="AG398" s="1423"/>
      <c r="AH398" s="1423"/>
      <c r="AI398" s="1423"/>
      <c r="AJ398" s="1423"/>
    </row>
    <row r="399" spans="4:36" ht="13" customHeight="1">
      <c r="D399" s="3" t="s">
        <v>1665</v>
      </c>
      <c r="T399" s="1423"/>
      <c r="U399" s="1423"/>
      <c r="V399" s="1423"/>
      <c r="W399" s="1423"/>
      <c r="X399" s="1423"/>
      <c r="Y399" s="1423"/>
      <c r="Z399" s="1423"/>
      <c r="AA399" s="1423"/>
      <c r="AB399" s="1423"/>
      <c r="AC399" s="1423"/>
      <c r="AD399" s="1423"/>
      <c r="AE399" s="1423"/>
      <c r="AF399" s="1423"/>
      <c r="AG399" s="1423"/>
      <c r="AH399" s="1423"/>
      <c r="AI399" s="1423"/>
      <c r="AJ399" s="1423"/>
    </row>
    <row r="400" spans="4:36" ht="13" customHeight="1">
      <c r="AG400" s="457"/>
      <c r="AH400" s="457"/>
      <c r="AI400" s="457"/>
      <c r="AJ400" s="457"/>
    </row>
    <row r="401" spans="1:36" ht="13" customHeight="1">
      <c r="D401" s="3" t="s">
        <v>1659</v>
      </c>
      <c r="S401" s="1423" t="s">
        <v>668</v>
      </c>
      <c r="T401" s="1423"/>
      <c r="U401" s="1423"/>
      <c r="V401" t="s">
        <v>1660</v>
      </c>
      <c r="AG401" s="1463"/>
      <c r="AH401" s="1463"/>
      <c r="AI401" s="1463"/>
      <c r="AJ401" s="1463"/>
    </row>
    <row r="402" spans="1:36" ht="13" customHeight="1">
      <c r="D402" s="3" t="s">
        <v>1657</v>
      </c>
      <c r="S402" s="1423" t="s">
        <v>590</v>
      </c>
      <c r="T402" s="1423"/>
      <c r="U402" s="1423"/>
      <c r="V402" t="s">
        <v>1662</v>
      </c>
      <c r="AE402" s="1514"/>
      <c r="AF402" s="1514"/>
      <c r="AG402" s="1514"/>
      <c r="AH402" s="1514"/>
      <c r="AI402" s="1514"/>
      <c r="AJ402" s="1514"/>
    </row>
    <row r="403" spans="1:36" ht="13" customHeight="1">
      <c r="D403" s="3" t="s">
        <v>1658</v>
      </c>
      <c r="K403" s="1515"/>
      <c r="L403" s="1515"/>
      <c r="M403" s="1515"/>
      <c r="N403" s="1515"/>
      <c r="O403" s="1515"/>
      <c r="P403" s="1515"/>
      <c r="Q403" s="1515"/>
      <c r="R403" s="1515"/>
      <c r="S403" s="1515"/>
      <c r="T403" s="1515"/>
      <c r="U403" s="1515"/>
      <c r="V403" s="1515"/>
      <c r="W403" s="1515"/>
      <c r="X403" s="1515"/>
      <c r="Y403" s="1515"/>
      <c r="Z403" s="1515"/>
      <c r="AA403" s="1515"/>
      <c r="AB403" s="1515"/>
      <c r="AC403" s="1515"/>
      <c r="AD403" s="1515"/>
      <c r="AE403" s="1515"/>
      <c r="AF403" s="1515"/>
      <c r="AG403" s="1515"/>
      <c r="AH403" s="1515"/>
      <c r="AI403" s="1515"/>
      <c r="AJ403" s="1515"/>
    </row>
    <row r="404" spans="1:36" ht="13" customHeight="1">
      <c r="D404" s="3" t="s">
        <v>1661</v>
      </c>
      <c r="K404" s="1515"/>
      <c r="L404" s="1515"/>
      <c r="M404" s="1515"/>
      <c r="N404" s="1515"/>
      <c r="O404" s="1515"/>
      <c r="P404" s="1515"/>
      <c r="Q404" s="1515"/>
      <c r="R404" s="1515"/>
      <c r="S404" s="1515"/>
      <c r="T404" s="1515"/>
      <c r="U404" s="1515"/>
      <c r="V404" s="1515"/>
      <c r="W404" s="1515"/>
      <c r="X404" s="1515"/>
      <c r="Y404" s="1515"/>
      <c r="Z404" s="1515"/>
      <c r="AA404" s="1515"/>
      <c r="AB404" s="1515"/>
      <c r="AC404" s="1515"/>
      <c r="AD404" s="1515"/>
      <c r="AE404" s="1515"/>
      <c r="AF404" s="1515"/>
      <c r="AG404" s="1515"/>
      <c r="AH404" s="1515"/>
      <c r="AI404" s="1515"/>
      <c r="AJ404" s="1515"/>
    </row>
    <row r="405" spans="1:36" ht="13" customHeight="1">
      <c r="D405" s="3" t="s">
        <v>1664</v>
      </c>
      <c r="E405" s="478"/>
      <c r="F405" s="478"/>
      <c r="G405" s="478"/>
      <c r="H405" s="478"/>
      <c r="I405" s="478"/>
      <c r="J405" s="478"/>
      <c r="K405" s="478"/>
      <c r="L405" s="478"/>
      <c r="M405" s="478"/>
      <c r="N405" s="478"/>
      <c r="O405" s="478"/>
      <c r="P405" s="478"/>
      <c r="Q405" s="478"/>
      <c r="R405" s="478"/>
      <c r="S405" s="1462" t="s">
        <v>1183</v>
      </c>
      <c r="T405" s="1462"/>
      <c r="U405" s="1462"/>
      <c r="V405" s="1462"/>
      <c r="W405" s="1462"/>
      <c r="X405" s="1462"/>
      <c r="Y405" s="1462"/>
      <c r="Z405" s="1462"/>
      <c r="AA405" s="1462"/>
      <c r="AB405" s="1462"/>
      <c r="AC405" s="1462"/>
      <c r="AD405" s="1462"/>
      <c r="AE405" s="1462"/>
      <c r="AF405" s="1462"/>
      <c r="AG405" s="1462"/>
      <c r="AH405" s="1462"/>
      <c r="AI405" s="1462"/>
      <c r="AJ405" s="1462"/>
    </row>
    <row r="406" spans="1:36" ht="13" customHeight="1">
      <c r="D406" s="1276" t="s">
        <v>1663</v>
      </c>
      <c r="E406" s="1276"/>
      <c r="F406" s="1276"/>
      <c r="G406" s="1276"/>
      <c r="H406" s="1276"/>
      <c r="I406" s="1276"/>
      <c r="J406" s="1276"/>
      <c r="K406" s="1276"/>
      <c r="L406" s="1276"/>
      <c r="M406" s="1276"/>
      <c r="N406" s="1276"/>
      <c r="O406" s="1276"/>
      <c r="P406" s="1276"/>
      <c r="Q406" s="1276"/>
      <c r="R406" s="1276"/>
      <c r="S406" s="1276"/>
      <c r="T406" s="1276"/>
      <c r="U406" s="1276"/>
      <c r="V406" s="1276"/>
      <c r="W406" s="1276"/>
      <c r="X406" s="1276"/>
      <c r="Y406" s="1276"/>
      <c r="Z406" s="1276"/>
      <c r="AA406" s="1276"/>
      <c r="AB406" s="1276"/>
      <c r="AC406" s="1276"/>
      <c r="AD406" s="1276"/>
      <c r="AE406" s="1276"/>
      <c r="AF406" s="1276"/>
      <c r="AG406" s="1276"/>
      <c r="AH406" s="1276"/>
      <c r="AI406" s="1276"/>
      <c r="AJ406" s="1276"/>
    </row>
    <row r="407" spans="1:36" ht="13" customHeight="1">
      <c r="D407" s="1276"/>
      <c r="E407" s="1276"/>
      <c r="F407" s="1276"/>
      <c r="G407" s="1276"/>
      <c r="H407" s="1276"/>
      <c r="I407" s="1276"/>
      <c r="J407" s="1276"/>
      <c r="K407" s="1276"/>
      <c r="L407" s="1276"/>
      <c r="M407" s="1276"/>
      <c r="N407" s="1276"/>
      <c r="O407" s="1276"/>
      <c r="P407" s="1276"/>
      <c r="Q407" s="1276"/>
      <c r="R407" s="1276"/>
      <c r="S407" s="1276"/>
      <c r="T407" s="1276"/>
      <c r="U407" s="1276"/>
      <c r="V407" s="1276"/>
      <c r="W407" s="1276"/>
      <c r="X407" s="1276"/>
      <c r="Y407" s="1276"/>
      <c r="Z407" s="1276"/>
      <c r="AA407" s="1276"/>
      <c r="AB407" s="1276"/>
      <c r="AC407" s="1276"/>
      <c r="AD407" s="1276"/>
      <c r="AE407" s="1276"/>
      <c r="AF407" s="1276"/>
      <c r="AG407" s="1276"/>
      <c r="AH407" s="1276"/>
      <c r="AI407" s="1276"/>
      <c r="AJ407" s="1276"/>
    </row>
    <row r="408" spans="1:36" ht="13" customHeight="1">
      <c r="AG408" s="457"/>
      <c r="AH408" s="457"/>
      <c r="AI408" s="457"/>
      <c r="AJ408" s="457"/>
    </row>
    <row r="409" spans="1:36" ht="13" customHeight="1">
      <c r="A409" s="2" t="s">
        <v>588</v>
      </c>
      <c r="B409" s="2"/>
      <c r="C409" s="2" t="s">
        <v>111</v>
      </c>
    </row>
    <row r="410" spans="1:36" ht="13" customHeight="1">
      <c r="B410" s="2"/>
      <c r="C410" s="2"/>
      <c r="D410" s="2" t="s">
        <v>1203</v>
      </c>
      <c r="I410" s="1491" t="s">
        <v>2659</v>
      </c>
      <c r="J410" s="1491"/>
      <c r="K410" s="1491"/>
      <c r="L410" s="1491"/>
      <c r="M410" s="1491"/>
      <c r="N410" s="1491"/>
      <c r="O410" s="1491"/>
      <c r="P410" s="1491"/>
      <c r="Q410" s="1491"/>
      <c r="R410" s="1491"/>
      <c r="S410" s="1491"/>
      <c r="T410" s="1491"/>
      <c r="U410" s="1491"/>
      <c r="V410" s="1491"/>
      <c r="W410" s="1491"/>
      <c r="X410" s="1491"/>
      <c r="Y410" s="1491"/>
      <c r="Z410" s="1491"/>
      <c r="AA410" s="1491"/>
      <c r="AB410" s="1491"/>
      <c r="AC410" s="1491"/>
      <c r="AD410" s="1491"/>
      <c r="AE410" s="1491"/>
    </row>
    <row r="411" spans="1:36" ht="13" customHeight="1">
      <c r="E411" t="s">
        <v>106</v>
      </c>
      <c r="R411" s="1446" t="s">
        <v>544</v>
      </c>
      <c r="S411" s="1446"/>
      <c r="AC411" s="27" t="s">
        <v>569</v>
      </c>
      <c r="AD411" s="1374">
        <v>3</v>
      </c>
      <c r="AE411" s="1374"/>
    </row>
    <row r="412" spans="1:36" ht="13" customHeight="1">
      <c r="E412" t="s">
        <v>107</v>
      </c>
      <c r="R412" s="1446" t="s">
        <v>590</v>
      </c>
      <c r="S412" s="1446"/>
      <c r="AC412" s="27" t="s">
        <v>569</v>
      </c>
      <c r="AD412" s="1374"/>
      <c r="AE412" s="1374"/>
    </row>
    <row r="413" spans="1:36" ht="13" customHeight="1">
      <c r="E413" t="s">
        <v>108</v>
      </c>
      <c r="S413" s="1446" t="s">
        <v>590</v>
      </c>
      <c r="T413" s="1446"/>
    </row>
    <row r="414" spans="1:36" ht="13" customHeight="1">
      <c r="E414" t="s">
        <v>169</v>
      </c>
      <c r="H414" s="1582" t="s">
        <v>333</v>
      </c>
      <c r="I414" s="1582"/>
      <c r="J414" s="1582"/>
      <c r="K414" s="1582"/>
      <c r="L414" s="1582"/>
      <c r="M414" s="1582"/>
      <c r="N414" s="1582"/>
      <c r="O414" s="1582"/>
      <c r="P414" s="1582"/>
      <c r="Q414" s="1582"/>
      <c r="R414" s="1582"/>
      <c r="S414" s="1582"/>
      <c r="T414" s="1582"/>
      <c r="U414" s="1582"/>
      <c r="V414" s="1582"/>
      <c r="W414" s="1582"/>
      <c r="X414" s="1582"/>
      <c r="Y414" s="1582"/>
      <c r="Z414" s="1582"/>
      <c r="AA414" s="1582"/>
      <c r="AB414" s="1582"/>
      <c r="AC414" s="1582"/>
      <c r="AD414" s="1582"/>
      <c r="AE414" s="1582"/>
    </row>
    <row r="415" spans="1:36" ht="13" customHeight="1">
      <c r="H415" s="1583"/>
      <c r="I415" s="1583"/>
      <c r="J415" s="1583"/>
      <c r="K415" s="1583"/>
      <c r="L415" s="1583"/>
      <c r="M415" s="1583"/>
      <c r="N415" s="1583"/>
      <c r="O415" s="1583"/>
      <c r="P415" s="1583"/>
      <c r="Q415" s="1583"/>
      <c r="R415" s="1583"/>
      <c r="S415" s="1583"/>
      <c r="T415" s="1583"/>
      <c r="U415" s="1583"/>
      <c r="V415" s="1583"/>
      <c r="W415" s="1583"/>
      <c r="X415" s="1583"/>
      <c r="Y415" s="1583"/>
      <c r="Z415" s="1583"/>
      <c r="AA415" s="1583"/>
      <c r="AB415" s="1583"/>
      <c r="AC415" s="1583"/>
      <c r="AD415" s="1583"/>
      <c r="AE415" s="1583"/>
    </row>
    <row r="416" spans="1:36" ht="13" customHeight="1"/>
    <row r="417" spans="1:39" ht="13" customHeight="1">
      <c r="A417" s="2" t="s">
        <v>589</v>
      </c>
      <c r="B417" s="2"/>
      <c r="C417" s="2"/>
      <c r="D417" s="2" t="s">
        <v>114</v>
      </c>
      <c r="AF417" s="2" t="s">
        <v>956</v>
      </c>
    </row>
    <row r="418" spans="1:39" ht="13" customHeight="1">
      <c r="E418" s="1451"/>
      <c r="F418" s="1451"/>
      <c r="G418" s="1451"/>
      <c r="H418" s="13" t="s">
        <v>115</v>
      </c>
      <c r="I418" s="1451"/>
      <c r="J418" s="1451"/>
      <c r="K418" s="1451"/>
      <c r="L418" t="s">
        <v>116</v>
      </c>
      <c r="N418" s="27" t="s">
        <v>574</v>
      </c>
      <c r="P418" s="1585">
        <v>1.1499999999999999</v>
      </c>
      <c r="Q418" s="1585"/>
      <c r="R418" s="1585"/>
      <c r="S418" t="s">
        <v>117</v>
      </c>
      <c r="W418" s="1459">
        <f>IF(E418&gt;0,(E418*I418),(P418*43560))</f>
        <v>50093.999999999993</v>
      </c>
      <c r="X418" s="1459"/>
      <c r="Y418" s="1459"/>
      <c r="Z418" t="s">
        <v>118</v>
      </c>
      <c r="AF418" s="1520">
        <f>IFERROR(IF(P418&gt;0,(AG437/P418),(AG437/(W418/43560))),0)</f>
        <v>53.04347826086957</v>
      </c>
      <c r="AG418" s="1520"/>
      <c r="AH418" s="1520"/>
      <c r="AM418" s="3"/>
    </row>
    <row r="419" spans="1:39" ht="13" customHeight="1">
      <c r="E419" t="s">
        <v>51</v>
      </c>
    </row>
    <row r="420" spans="1:39" ht="13" customHeight="1">
      <c r="E420" s="1513"/>
      <c r="F420" s="1513"/>
      <c r="G420" s="1513"/>
      <c r="H420" s="1513"/>
      <c r="I420" s="1513"/>
      <c r="J420" s="1513"/>
      <c r="K420" s="1513"/>
      <c r="L420" s="1513"/>
      <c r="M420" s="1513"/>
      <c r="N420" s="1513"/>
      <c r="O420" s="1513"/>
      <c r="P420" s="1513"/>
      <c r="Q420" s="1513"/>
      <c r="R420" s="1513"/>
      <c r="S420" s="1513"/>
      <c r="T420" s="1513"/>
      <c r="U420" s="1513"/>
      <c r="V420" s="1513"/>
      <c r="W420" s="1513"/>
      <c r="X420" s="1513"/>
      <c r="Y420" s="1513"/>
      <c r="Z420" s="1513"/>
      <c r="AA420" s="1513"/>
      <c r="AB420" s="1513"/>
      <c r="AC420" s="1513"/>
      <c r="AD420" s="1513"/>
      <c r="AE420" s="1513"/>
      <c r="AF420" s="1513"/>
      <c r="AG420" s="1513"/>
      <c r="AH420" s="1513"/>
      <c r="AI420" s="1513"/>
      <c r="AJ420" s="1513"/>
    </row>
    <row r="421" spans="1:39" ht="13" customHeight="1">
      <c r="E421" s="118" t="s">
        <v>1735</v>
      </c>
      <c r="F421" s="1014"/>
      <c r="G421" s="1014"/>
      <c r="H421" s="1014"/>
      <c r="I421" s="1518">
        <v>1.1499999999999999</v>
      </c>
      <c r="J421" s="1518"/>
      <c r="K421" s="1518"/>
      <c r="L421" s="1014"/>
      <c r="M421" s="118"/>
      <c r="N421" s="1014"/>
      <c r="O421" s="1014"/>
      <c r="P421" s="1584">
        <f>(DU755+DU778+DU800)/I421</f>
        <v>53.913043478260875</v>
      </c>
      <c r="Q421" s="1584"/>
      <c r="R421" s="1584"/>
      <c r="S421" s="118" t="s">
        <v>1736</v>
      </c>
      <c r="T421" s="1014"/>
      <c r="U421" s="1014"/>
      <c r="V421" s="1014"/>
      <c r="W421" s="1014"/>
      <c r="X421" s="1014"/>
      <c r="Y421" s="1014"/>
      <c r="Z421" s="1014"/>
      <c r="AA421" s="1014"/>
      <c r="AB421" s="1014"/>
      <c r="AC421" s="1014"/>
      <c r="AD421" s="1014"/>
      <c r="AE421" s="1014"/>
      <c r="AF421" s="1014"/>
      <c r="AG421" s="1014"/>
      <c r="AH421" s="1014"/>
      <c r="AI421" s="1014"/>
      <c r="AJ421" s="1014"/>
    </row>
    <row r="422" spans="1:39" ht="13" customHeight="1"/>
    <row r="423" spans="1:39" ht="13" customHeight="1">
      <c r="A423" s="2" t="s">
        <v>591</v>
      </c>
      <c r="B423" s="2"/>
      <c r="C423" s="2"/>
      <c r="D423" s="2" t="s">
        <v>120</v>
      </c>
    </row>
    <row r="424" spans="1:39" ht="13" customHeight="1">
      <c r="E424" t="s">
        <v>121</v>
      </c>
      <c r="P424" s="1446">
        <v>1</v>
      </c>
      <c r="Q424" s="1446"/>
      <c r="S424" t="s">
        <v>188</v>
      </c>
      <c r="AE424" s="1446">
        <v>1</v>
      </c>
      <c r="AF424" s="1446"/>
    </row>
    <row r="425" spans="1:39" ht="13" customHeight="1">
      <c r="E425" t="s">
        <v>189</v>
      </c>
      <c r="P425" s="1446">
        <v>0</v>
      </c>
      <c r="Q425" s="1446"/>
      <c r="S425" t="s">
        <v>131</v>
      </c>
      <c r="AE425" s="1446" t="s">
        <v>590</v>
      </c>
      <c r="AF425" s="1446"/>
    </row>
    <row r="426" spans="1:39" ht="13" customHeight="1">
      <c r="F426" s="28" t="s">
        <v>132</v>
      </c>
    </row>
    <row r="427" spans="1:39" ht="13" customHeight="1">
      <c r="F427" s="1452"/>
      <c r="G427" s="1452"/>
      <c r="H427" s="1452"/>
      <c r="I427" s="1452"/>
      <c r="J427" s="1452"/>
      <c r="K427" s="1452"/>
      <c r="L427" s="1452"/>
      <c r="M427" s="1452"/>
      <c r="N427" s="1452"/>
      <c r="O427" s="1452"/>
      <c r="P427" s="1452"/>
      <c r="Q427" s="1452"/>
      <c r="R427" s="1452"/>
      <c r="S427" s="1452"/>
      <c r="T427" s="1452"/>
      <c r="U427" s="1452"/>
      <c r="V427" s="1452"/>
      <c r="W427" s="1452"/>
      <c r="X427" s="1452"/>
      <c r="Y427" s="1452"/>
      <c r="Z427" s="1452"/>
      <c r="AA427" s="1452"/>
      <c r="AB427" s="1452"/>
      <c r="AC427" s="1452"/>
      <c r="AD427" s="1452"/>
      <c r="AE427" s="1452"/>
      <c r="AF427" s="1452"/>
      <c r="AG427" s="1452"/>
      <c r="AH427" s="1452"/>
    </row>
    <row r="428" spans="1:39" ht="13" customHeight="1">
      <c r="F428" s="1453"/>
      <c r="G428" s="1453"/>
      <c r="H428" s="1453"/>
      <c r="I428" s="1453"/>
      <c r="J428" s="1453"/>
      <c r="K428" s="1453"/>
      <c r="L428" s="1453"/>
      <c r="M428" s="1453"/>
      <c r="N428" s="1453"/>
      <c r="O428" s="1453"/>
      <c r="P428" s="1453"/>
      <c r="Q428" s="1453"/>
      <c r="R428" s="1453"/>
      <c r="S428" s="1453"/>
      <c r="T428" s="1453"/>
      <c r="U428" s="1453"/>
      <c r="V428" s="1453"/>
      <c r="W428" s="1453"/>
      <c r="X428" s="1453"/>
      <c r="Y428" s="1453"/>
      <c r="Z428" s="1453"/>
      <c r="AA428" s="1453"/>
      <c r="AB428" s="1453"/>
      <c r="AC428" s="1453"/>
      <c r="AD428" s="1453"/>
      <c r="AE428" s="1453"/>
      <c r="AF428" s="1453"/>
      <c r="AG428" s="1453"/>
      <c r="AH428" s="1453"/>
    </row>
    <row r="429" spans="1:39" ht="13" customHeight="1">
      <c r="E429" t="s">
        <v>607</v>
      </c>
      <c r="P429" s="1"/>
      <c r="Q429" s="1446" t="s">
        <v>544</v>
      </c>
      <c r="R429" s="1446"/>
    </row>
    <row r="430" spans="1:39" ht="13" customHeight="1">
      <c r="F430" t="s">
        <v>608</v>
      </c>
      <c r="P430" s="1"/>
      <c r="Q430" s="1"/>
      <c r="AF430" s="1446" t="s">
        <v>590</v>
      </c>
      <c r="AG430" s="1457"/>
    </row>
    <row r="431" spans="1:39" ht="13" customHeight="1"/>
    <row r="432" spans="1:39" ht="13" customHeight="1">
      <c r="A432" s="2"/>
      <c r="B432" s="2"/>
      <c r="C432" s="2"/>
      <c r="E432" s="4" t="s">
        <v>307</v>
      </c>
      <c r="Z432" s="1446" t="s">
        <v>668</v>
      </c>
      <c r="AA432" s="1446"/>
    </row>
    <row r="433" spans="1:55" ht="13" customHeight="1">
      <c r="F433" s="39" t="s">
        <v>44</v>
      </c>
      <c r="G433" s="40"/>
      <c r="H433" s="40"/>
      <c r="I433" s="40"/>
      <c r="J433" s="40"/>
      <c r="K433" s="40"/>
      <c r="L433" s="40"/>
      <c r="M433" s="40"/>
      <c r="N433" s="40"/>
      <c r="O433" s="40"/>
      <c r="P433" s="40"/>
      <c r="Q433" s="40"/>
      <c r="R433" s="40"/>
      <c r="S433" s="40"/>
      <c r="T433" s="40"/>
      <c r="U433" s="40"/>
      <c r="V433" s="40"/>
      <c r="W433" s="40"/>
      <c r="AB433" s="40"/>
    </row>
    <row r="434" spans="1:55" ht="13" customHeight="1">
      <c r="F434" t="s">
        <v>706</v>
      </c>
      <c r="G434" s="40"/>
      <c r="I434" s="40"/>
      <c r="J434" s="40"/>
      <c r="K434" s="40"/>
      <c r="L434" s="40"/>
      <c r="M434" s="40"/>
      <c r="N434" s="40"/>
      <c r="O434" s="28"/>
      <c r="P434" s="40"/>
      <c r="Q434" s="40"/>
      <c r="R434" s="40"/>
      <c r="S434" s="40"/>
      <c r="T434" s="40"/>
      <c r="U434" s="40"/>
      <c r="V434" s="40"/>
      <c r="W434" s="40"/>
      <c r="Z434" s="1446" t="s">
        <v>590</v>
      </c>
      <c r="AA434" s="1446"/>
    </row>
    <row r="435" spans="1:55" ht="13" customHeight="1"/>
    <row r="436" spans="1:55" ht="13" customHeight="1">
      <c r="A436" s="2" t="s">
        <v>466</v>
      </c>
      <c r="B436" s="2"/>
      <c r="C436" s="2"/>
      <c r="D436" s="2" t="s">
        <v>763</v>
      </c>
      <c r="AF436" s="48"/>
    </row>
    <row r="437" spans="1:55" ht="13" customHeight="1">
      <c r="D437" s="1454" t="s">
        <v>43</v>
      </c>
      <c r="E437" s="1455"/>
      <c r="F437" s="1455"/>
      <c r="G437" s="1455"/>
      <c r="H437" s="1455"/>
      <c r="I437" s="1455"/>
      <c r="J437" s="1455"/>
      <c r="K437" s="1455"/>
      <c r="L437" s="1455"/>
      <c r="M437" s="1455"/>
      <c r="N437" s="1455"/>
      <c r="O437" s="1455"/>
      <c r="P437" s="1455"/>
      <c r="Q437" s="1455"/>
      <c r="R437" s="1455"/>
      <c r="S437" s="1455"/>
      <c r="T437" s="1455"/>
      <c r="U437" s="1455"/>
      <c r="V437" s="1455"/>
      <c r="W437" s="1455"/>
      <c r="X437" s="1455"/>
      <c r="Y437" s="1455"/>
      <c r="Z437" s="1455"/>
      <c r="AA437" s="1455"/>
      <c r="AB437" s="1455"/>
      <c r="AC437" s="1455"/>
      <c r="AD437" s="1455"/>
      <c r="AE437" s="1455"/>
      <c r="AF437" s="1456"/>
      <c r="AG437" s="1395">
        <v>61</v>
      </c>
      <c r="AH437" s="1395"/>
      <c r="AI437" s="1395"/>
      <c r="AJ437" s="1395"/>
    </row>
    <row r="438" spans="1:55" ht="13" customHeight="1">
      <c r="D438" s="1375" t="s">
        <v>1221</v>
      </c>
      <c r="E438" s="1376"/>
      <c r="F438" s="1376"/>
      <c r="G438" s="1376"/>
      <c r="H438" s="1376"/>
      <c r="I438" s="1376"/>
      <c r="J438" s="1376"/>
      <c r="K438" s="1376"/>
      <c r="L438" s="1376"/>
      <c r="M438" s="1376"/>
      <c r="N438" s="1376"/>
      <c r="O438" s="1376"/>
      <c r="P438" s="1376"/>
      <c r="Q438" s="1376"/>
      <c r="R438" s="1376"/>
      <c r="S438" s="1376"/>
      <c r="T438" s="1376"/>
      <c r="U438" s="1376"/>
      <c r="V438" s="1376"/>
      <c r="W438" s="1376"/>
      <c r="X438" s="1376"/>
      <c r="Y438" s="1376"/>
      <c r="Z438" s="1376"/>
      <c r="AA438" s="1376"/>
      <c r="AB438" s="1376"/>
      <c r="AC438" s="1376"/>
      <c r="AD438" s="1376"/>
      <c r="AE438" s="1376"/>
      <c r="AF438" s="1377"/>
      <c r="AG438" s="1460">
        <v>0</v>
      </c>
      <c r="AH438" s="1461"/>
      <c r="AI438" s="1461"/>
      <c r="AJ438" s="1461"/>
    </row>
    <row r="439" spans="1:55" ht="13" customHeight="1">
      <c r="D439" s="1375" t="s">
        <v>1030</v>
      </c>
      <c r="E439" s="1376"/>
      <c r="F439" s="1376"/>
      <c r="G439" s="1376"/>
      <c r="H439" s="1376"/>
      <c r="I439" s="1376"/>
      <c r="J439" s="1376"/>
      <c r="K439" s="1376"/>
      <c r="L439" s="1376"/>
      <c r="M439" s="1376"/>
      <c r="N439" s="1376"/>
      <c r="O439" s="1376"/>
      <c r="P439" s="1376"/>
      <c r="Q439" s="1376"/>
      <c r="R439" s="1376"/>
      <c r="S439" s="1376"/>
      <c r="T439" s="1376"/>
      <c r="U439" s="1376"/>
      <c r="V439" s="1376"/>
      <c r="W439" s="1376"/>
      <c r="X439" s="1376"/>
      <c r="Y439" s="1376"/>
      <c r="Z439" s="1376"/>
      <c r="AA439" s="1376"/>
      <c r="AB439" s="1376"/>
      <c r="AC439" s="1376"/>
      <c r="AD439" s="1376"/>
      <c r="AE439" s="1376"/>
      <c r="AF439" s="1377"/>
      <c r="AG439" s="1395">
        <v>60</v>
      </c>
      <c r="AH439" s="1395"/>
      <c r="AI439" s="1395"/>
      <c r="AJ439" s="1395"/>
    </row>
    <row r="440" spans="1:55" ht="13" customHeight="1">
      <c r="D440" s="1375" t="s">
        <v>1031</v>
      </c>
      <c r="E440" s="1376"/>
      <c r="F440" s="1376"/>
      <c r="G440" s="1376"/>
      <c r="H440" s="1376"/>
      <c r="I440" s="1376"/>
      <c r="J440" s="1376"/>
      <c r="K440" s="1376"/>
      <c r="L440" s="1376"/>
      <c r="M440" s="1376"/>
      <c r="N440" s="1376"/>
      <c r="O440" s="1376"/>
      <c r="P440" s="1376"/>
      <c r="Q440" s="1376"/>
      <c r="R440" s="1376"/>
      <c r="S440" s="1376"/>
      <c r="T440" s="1376"/>
      <c r="U440" s="1376"/>
      <c r="V440" s="1376"/>
      <c r="W440" s="1376"/>
      <c r="X440" s="1376"/>
      <c r="Y440" s="1376"/>
      <c r="Z440" s="1376"/>
      <c r="AA440" s="1376"/>
      <c r="AB440" s="1376"/>
      <c r="AC440" s="1376"/>
      <c r="AD440" s="1376"/>
      <c r="AE440" s="1376"/>
      <c r="AF440" s="1377"/>
      <c r="AG440" s="1395">
        <v>60</v>
      </c>
      <c r="AH440" s="1395"/>
      <c r="AI440" s="1395"/>
      <c r="AJ440" s="1395"/>
    </row>
    <row r="441" spans="1:55" ht="13" customHeight="1">
      <c r="D441" s="1375" t="s">
        <v>1033</v>
      </c>
      <c r="E441" s="1376"/>
      <c r="F441" s="1376"/>
      <c r="G441" s="1376"/>
      <c r="H441" s="1376"/>
      <c r="I441" s="1376"/>
      <c r="J441" s="1376"/>
      <c r="K441" s="1376"/>
      <c r="L441" s="1376"/>
      <c r="M441" s="1376"/>
      <c r="N441" s="1376"/>
      <c r="O441" s="1376"/>
      <c r="P441" s="1376"/>
      <c r="Q441" s="1376"/>
      <c r="R441" s="1376"/>
      <c r="S441" s="1376"/>
      <c r="T441" s="1376"/>
      <c r="U441" s="1376"/>
      <c r="V441" s="1376"/>
      <c r="W441" s="1376"/>
      <c r="X441" s="1376"/>
      <c r="Y441" s="1376"/>
      <c r="Z441" s="1376"/>
      <c r="AA441" s="1376"/>
      <c r="AB441" s="1376"/>
      <c r="AC441" s="1376"/>
      <c r="AD441" s="1376"/>
      <c r="AE441" s="1376"/>
      <c r="AF441" s="1377"/>
      <c r="AG441" s="1372">
        <f>IF(ISERROR(AG440/AG439),0,AG440/AG439)</f>
        <v>1</v>
      </c>
      <c r="AH441" s="1372"/>
      <c r="AI441" s="1372"/>
      <c r="AJ441" s="1372"/>
    </row>
    <row r="442" spans="1:55" ht="13" customHeight="1">
      <c r="D442" s="1375" t="s">
        <v>1032</v>
      </c>
      <c r="E442" s="1376"/>
      <c r="F442" s="1376"/>
      <c r="G442" s="1376"/>
      <c r="H442" s="1376"/>
      <c r="I442" s="1376"/>
      <c r="J442" s="1376"/>
      <c r="K442" s="1376"/>
      <c r="L442" s="1376"/>
      <c r="M442" s="1376"/>
      <c r="N442" s="1376"/>
      <c r="O442" s="1376"/>
      <c r="P442" s="1376"/>
      <c r="Q442" s="1376"/>
      <c r="R442" s="1376"/>
      <c r="S442" s="1376"/>
      <c r="T442" s="1376"/>
      <c r="U442" s="1376"/>
      <c r="V442" s="1376"/>
      <c r="W442" s="1376"/>
      <c r="X442" s="1376"/>
      <c r="Y442" s="1376"/>
      <c r="Z442" s="1376"/>
      <c r="AA442" s="1376"/>
      <c r="AB442" s="1376"/>
      <c r="AC442" s="1376"/>
      <c r="AD442" s="1376"/>
      <c r="AE442" s="1376"/>
      <c r="AF442" s="1377"/>
      <c r="AG442" s="1371">
        <v>38914</v>
      </c>
      <c r="AH442" s="1371"/>
      <c r="AI442" s="1371"/>
      <c r="AJ442" s="1371"/>
    </row>
    <row r="443" spans="1:55" ht="13" customHeight="1">
      <c r="D443" s="1375" t="s">
        <v>1034</v>
      </c>
      <c r="E443" s="1376"/>
      <c r="F443" s="1376"/>
      <c r="G443" s="1376"/>
      <c r="H443" s="1376"/>
      <c r="I443" s="1376"/>
      <c r="J443" s="1376"/>
      <c r="K443" s="1376"/>
      <c r="L443" s="1376"/>
      <c r="M443" s="1376"/>
      <c r="N443" s="1376"/>
      <c r="O443" s="1376"/>
      <c r="P443" s="1376"/>
      <c r="Q443" s="1376"/>
      <c r="R443" s="1376"/>
      <c r="S443" s="1376"/>
      <c r="T443" s="1376"/>
      <c r="U443" s="1376"/>
      <c r="V443" s="1376"/>
      <c r="W443" s="1376"/>
      <c r="X443" s="1376"/>
      <c r="Y443" s="1376"/>
      <c r="Z443" s="1376"/>
      <c r="AA443" s="1376"/>
      <c r="AB443" s="1376"/>
      <c r="AC443" s="1376"/>
      <c r="AD443" s="1376"/>
      <c r="AE443" s="1376"/>
      <c r="AF443" s="1377"/>
      <c r="AG443" s="1371">
        <v>38914</v>
      </c>
      <c r="AH443" s="1371"/>
      <c r="AI443" s="1371"/>
      <c r="AJ443" s="1371"/>
    </row>
    <row r="444" spans="1:55" ht="13" customHeight="1">
      <c r="D444" s="1375" t="s">
        <v>1035</v>
      </c>
      <c r="E444" s="1376"/>
      <c r="F444" s="1376"/>
      <c r="G444" s="1376"/>
      <c r="H444" s="1376"/>
      <c r="I444" s="1376"/>
      <c r="J444" s="1376"/>
      <c r="K444" s="1376"/>
      <c r="L444" s="1376"/>
      <c r="M444" s="1376"/>
      <c r="N444" s="1376"/>
      <c r="O444" s="1376"/>
      <c r="P444" s="1376"/>
      <c r="Q444" s="1376"/>
      <c r="R444" s="1376"/>
      <c r="S444" s="1376"/>
      <c r="T444" s="1376"/>
      <c r="U444" s="1376"/>
      <c r="V444" s="1376"/>
      <c r="W444" s="1376"/>
      <c r="X444" s="1376"/>
      <c r="Y444" s="1376"/>
      <c r="Z444" s="1376"/>
      <c r="AA444" s="1376"/>
      <c r="AB444" s="1376"/>
      <c r="AC444" s="1376"/>
      <c r="AD444" s="1376"/>
      <c r="AE444" s="1376"/>
      <c r="AF444" s="1377"/>
      <c r="AG444" s="1372">
        <f>IF(ISERROR(AG443/AG442),0,AG443/AG442)</f>
        <v>1</v>
      </c>
      <c r="AH444" s="1372"/>
      <c r="AI444" s="1372"/>
      <c r="AJ444" s="1372"/>
    </row>
    <row r="445" spans="1:55" ht="13" customHeight="1">
      <c r="D445" s="1375" t="s">
        <v>1036</v>
      </c>
      <c r="E445" s="1376"/>
      <c r="F445" s="1376"/>
      <c r="G445" s="1376"/>
      <c r="H445" s="1376"/>
      <c r="I445" s="1376"/>
      <c r="J445" s="1376"/>
      <c r="K445" s="1376"/>
      <c r="L445" s="1376"/>
      <c r="M445" s="1376"/>
      <c r="N445" s="1376"/>
      <c r="O445" s="1376"/>
      <c r="P445" s="1376"/>
      <c r="Q445" s="1376"/>
      <c r="R445" s="1376"/>
      <c r="S445" s="1376"/>
      <c r="T445" s="1376"/>
      <c r="U445" s="1376"/>
      <c r="V445" s="1376"/>
      <c r="W445" s="1376"/>
      <c r="X445" s="1376"/>
      <c r="Y445" s="1376"/>
      <c r="Z445" s="1376"/>
      <c r="AA445" s="1376"/>
      <c r="AB445" s="1376"/>
      <c r="AC445" s="1376"/>
      <c r="AD445" s="1376"/>
      <c r="AE445" s="1376"/>
      <c r="AF445" s="1377"/>
      <c r="AG445" s="1372">
        <f>MIN(IF(AG441&gt;AG444,AG444,AG441),1)</f>
        <v>1</v>
      </c>
      <c r="AH445" s="1372"/>
      <c r="AI445" s="1372"/>
      <c r="AJ445" s="1372"/>
    </row>
    <row r="446" spans="1:55" ht="13" customHeight="1">
      <c r="D446" s="1375" t="s">
        <v>2088</v>
      </c>
      <c r="E446" s="1455"/>
      <c r="F446" s="1455"/>
      <c r="G446" s="1455"/>
      <c r="H446" s="1455"/>
      <c r="I446" s="1455"/>
      <c r="J446" s="1455"/>
      <c r="K446" s="1455"/>
      <c r="L446" s="1455"/>
      <c r="M446" s="1455"/>
      <c r="N446" s="1455"/>
      <c r="O446" s="1455"/>
      <c r="P446" s="1455"/>
      <c r="Q446" s="1455"/>
      <c r="R446" s="1455"/>
      <c r="S446" s="1455"/>
      <c r="T446" s="1455"/>
      <c r="U446" s="1455"/>
      <c r="V446" s="1455"/>
      <c r="W446" s="1455"/>
      <c r="X446" s="1455"/>
      <c r="Y446" s="1455"/>
      <c r="Z446" s="1455"/>
      <c r="AA446" s="1455"/>
      <c r="AB446" s="1455"/>
      <c r="AC446" s="1455"/>
      <c r="AD446" s="1455"/>
      <c r="AE446" s="1455"/>
      <c r="AF446" s="1456"/>
      <c r="AG446" s="1371">
        <v>2078</v>
      </c>
      <c r="AH446" s="1371"/>
      <c r="AI446" s="1371"/>
      <c r="AJ446" s="1371"/>
      <c r="AZ446" s="34"/>
      <c r="BA446" s="34"/>
      <c r="BB446" s="34"/>
      <c r="BC446" s="34"/>
    </row>
    <row r="447" spans="1:55" ht="13" customHeight="1">
      <c r="D447" s="1454" t="s">
        <v>568</v>
      </c>
      <c r="E447" s="1455"/>
      <c r="F447" s="1455"/>
      <c r="G447" s="1455"/>
      <c r="H447" s="1455"/>
      <c r="I447" s="1455"/>
      <c r="J447" s="1455"/>
      <c r="K447" s="1455"/>
      <c r="L447" s="1455"/>
      <c r="M447" s="1455"/>
      <c r="N447" s="1455"/>
      <c r="O447" s="1455"/>
      <c r="P447" s="1455"/>
      <c r="Q447" s="1455"/>
      <c r="R447" s="1455"/>
      <c r="S447" s="1455"/>
      <c r="T447" s="1455"/>
      <c r="U447" s="1455"/>
      <c r="V447" s="1455"/>
      <c r="W447" s="1455"/>
      <c r="X447" s="1455"/>
      <c r="Y447" s="1455"/>
      <c r="Z447" s="1455"/>
      <c r="AA447" s="1455"/>
      <c r="AB447" s="1455"/>
      <c r="AC447" s="1455"/>
      <c r="AD447" s="1455"/>
      <c r="AE447" s="1455"/>
      <c r="AF447" s="1456"/>
      <c r="AG447" s="1371">
        <v>0</v>
      </c>
      <c r="AH447" s="1371"/>
      <c r="AI447" s="1371"/>
      <c r="AJ447" s="1371"/>
      <c r="AZ447" s="3"/>
      <c r="BA447" s="3"/>
      <c r="BB447" s="3"/>
      <c r="BC447" s="3"/>
    </row>
    <row r="448" spans="1:55" ht="13" customHeight="1">
      <c r="D448" s="1375" t="s">
        <v>1204</v>
      </c>
      <c r="E448" s="1455"/>
      <c r="F448" s="1455"/>
      <c r="G448" s="1455"/>
      <c r="H448" s="1455"/>
      <c r="I448" s="1455"/>
      <c r="J448" s="1455"/>
      <c r="K448" s="1455"/>
      <c r="L448" s="1455"/>
      <c r="M448" s="1455"/>
      <c r="N448" s="1455"/>
      <c r="O448" s="1455"/>
      <c r="P448" s="1455"/>
      <c r="Q448" s="1455"/>
      <c r="R448" s="1455"/>
      <c r="S448" s="1455"/>
      <c r="T448" s="1455"/>
      <c r="U448" s="1455"/>
      <c r="V448" s="1455"/>
      <c r="W448" s="1455"/>
      <c r="X448" s="1455"/>
      <c r="Y448" s="1455"/>
      <c r="Z448" s="1455"/>
      <c r="AA448" s="1455"/>
      <c r="AB448" s="1455"/>
      <c r="AC448" s="1455"/>
      <c r="AD448" s="1455"/>
      <c r="AE448" s="1455"/>
      <c r="AF448" s="1456"/>
      <c r="AG448" s="1371">
        <v>13500</v>
      </c>
      <c r="AH448" s="1371"/>
      <c r="AI448" s="1371"/>
      <c r="AJ448" s="1371"/>
      <c r="AZ448" s="3"/>
      <c r="BA448" s="3"/>
      <c r="BB448" s="3"/>
      <c r="BC448" s="3"/>
    </row>
    <row r="449" spans="1:55" ht="13" customHeight="1">
      <c r="D449" s="1375" t="s">
        <v>1037</v>
      </c>
      <c r="E449" s="1455"/>
      <c r="F449" s="1455"/>
      <c r="G449" s="1455"/>
      <c r="H449" s="1455"/>
      <c r="I449" s="1455"/>
      <c r="J449" s="1455"/>
      <c r="K449" s="1455"/>
      <c r="L449" s="1455"/>
      <c r="M449" s="1455"/>
      <c r="N449" s="1455"/>
      <c r="O449" s="1455"/>
      <c r="P449" s="1455"/>
      <c r="Q449" s="1455"/>
      <c r="R449" s="1455"/>
      <c r="S449" s="1455"/>
      <c r="T449" s="1455"/>
      <c r="U449" s="1455"/>
      <c r="V449" s="1455"/>
      <c r="W449" s="1455"/>
      <c r="X449" s="1455"/>
      <c r="Y449" s="1455"/>
      <c r="Z449" s="1455"/>
      <c r="AA449" s="1455"/>
      <c r="AB449" s="1455"/>
      <c r="AC449" s="1455"/>
      <c r="AD449" s="1455"/>
      <c r="AE449" s="1455"/>
      <c r="AF449" s="1456"/>
      <c r="AG449" s="1371">
        <v>0</v>
      </c>
      <c r="AH449" s="1371"/>
      <c r="AI449" s="1371"/>
      <c r="AJ449" s="1371"/>
      <c r="BB449" s="3"/>
      <c r="BC449" s="3"/>
    </row>
    <row r="450" spans="1:55" ht="13" customHeight="1">
      <c r="D450" s="1570" t="s">
        <v>1038</v>
      </c>
      <c r="E450" s="1571"/>
      <c r="F450" s="1571"/>
      <c r="G450" s="1571"/>
      <c r="H450" s="1571"/>
      <c r="I450" s="1571"/>
      <c r="J450" s="1571"/>
      <c r="K450" s="1571"/>
      <c r="L450" s="1571"/>
      <c r="M450" s="1571"/>
      <c r="N450" s="1571"/>
      <c r="O450" s="1571"/>
      <c r="P450" s="1571"/>
      <c r="Q450" s="1571"/>
      <c r="R450" s="1571"/>
      <c r="S450" s="1571"/>
      <c r="T450" s="1571"/>
      <c r="U450" s="1571"/>
      <c r="V450" s="1571"/>
      <c r="W450" s="1571"/>
      <c r="X450" s="1571"/>
      <c r="Y450" s="1571"/>
      <c r="Z450" s="1571"/>
      <c r="AA450" s="1571"/>
      <c r="AB450" s="1571"/>
      <c r="AC450" s="1571"/>
      <c r="AD450" s="1571"/>
      <c r="AE450" s="1571"/>
      <c r="AF450" s="1572"/>
      <c r="AG450" s="1519">
        <f>AG442+AG446+AG448+AG449</f>
        <v>54492</v>
      </c>
      <c r="AH450" s="1519"/>
      <c r="AI450" s="1519"/>
      <c r="AJ450" s="1519"/>
      <c r="AZ450" s="3"/>
      <c r="BA450" s="3"/>
      <c r="BB450" s="3"/>
      <c r="BC450" s="3"/>
    </row>
    <row r="451" spans="1:55" ht="13" customHeight="1">
      <c r="D451" s="1579" t="s">
        <v>1205</v>
      </c>
      <c r="E451" s="1579"/>
      <c r="F451" s="1579"/>
      <c r="G451" s="1579"/>
      <c r="H451" s="1579"/>
      <c r="I451" s="1579"/>
      <c r="J451" s="1579"/>
      <c r="K451" s="1579"/>
      <c r="L451" s="1579"/>
      <c r="M451" s="1579"/>
      <c r="N451" s="1579"/>
      <c r="O451" s="1579"/>
      <c r="P451" s="1579"/>
      <c r="Q451" s="1579"/>
      <c r="R451" s="1579"/>
      <c r="S451" s="1579"/>
      <c r="T451" s="1579"/>
      <c r="U451" s="1579"/>
      <c r="V451" s="1579"/>
      <c r="W451" s="1579"/>
      <c r="X451" s="1579"/>
      <c r="Y451" s="1579"/>
      <c r="Z451" s="1579"/>
      <c r="AA451" s="1579"/>
      <c r="AB451" s="1579"/>
      <c r="AC451" s="1579"/>
      <c r="AD451" s="1579"/>
      <c r="AE451" s="1579"/>
      <c r="AF451" s="1579"/>
      <c r="AG451" s="1579"/>
      <c r="AH451" s="1579"/>
      <c r="AI451" s="1579"/>
      <c r="AJ451" s="1579"/>
      <c r="AZ451" s="3"/>
      <c r="BA451" s="3"/>
      <c r="BB451" s="3"/>
      <c r="BC451" s="3"/>
    </row>
    <row r="452" spans="1:55" ht="13" customHeight="1">
      <c r="D452" s="1580"/>
      <c r="E452" s="1580"/>
      <c r="F452" s="1580"/>
      <c r="G452" s="1580"/>
      <c r="H452" s="1580"/>
      <c r="I452" s="1580"/>
      <c r="J452" s="1580"/>
      <c r="K452" s="1580"/>
      <c r="L452" s="1580"/>
      <c r="M452" s="1580"/>
      <c r="N452" s="1580"/>
      <c r="O452" s="1580"/>
      <c r="P452" s="1580"/>
      <c r="Q452" s="1580"/>
      <c r="R452" s="1580"/>
      <c r="S452" s="1580"/>
      <c r="T452" s="1580"/>
      <c r="U452" s="1580"/>
      <c r="V452" s="1580"/>
      <c r="W452" s="1580"/>
      <c r="X452" s="1580"/>
      <c r="Y452" s="1580"/>
      <c r="Z452" s="1580"/>
      <c r="AA452" s="1580"/>
      <c r="AB452" s="1580"/>
      <c r="AC452" s="1580"/>
      <c r="AD452" s="1580"/>
      <c r="AE452" s="1580"/>
      <c r="AF452" s="1580"/>
      <c r="AG452" s="1580"/>
      <c r="AH452" s="1580"/>
      <c r="AI452" s="1580"/>
      <c r="AJ452" s="1580"/>
      <c r="AZ452" s="3"/>
      <c r="BA452" s="3"/>
      <c r="BB452" s="3"/>
      <c r="BC452" s="3"/>
    </row>
    <row r="453" spans="1:55" ht="13" customHeight="1">
      <c r="D453" s="532"/>
      <c r="E453" s="177"/>
      <c r="F453" s="177"/>
      <c r="G453" s="177"/>
      <c r="H453" s="177"/>
      <c r="I453" s="177"/>
      <c r="J453" s="177"/>
      <c r="K453" s="177"/>
      <c r="L453" s="177"/>
      <c r="M453" s="177"/>
      <c r="N453" s="177"/>
      <c r="O453" s="177"/>
      <c r="P453" s="177"/>
      <c r="Q453" s="177"/>
      <c r="R453" s="177"/>
      <c r="S453" s="177"/>
      <c r="T453" s="177"/>
      <c r="U453" s="177"/>
      <c r="V453" s="177"/>
      <c r="W453" s="177"/>
      <c r="X453" s="177"/>
      <c r="Y453" s="177"/>
      <c r="Z453" s="177"/>
      <c r="AA453" s="177"/>
      <c r="AB453" s="177"/>
      <c r="AC453" s="177"/>
      <c r="AD453" s="177"/>
      <c r="AE453" s="177"/>
      <c r="AF453" s="177"/>
      <c r="AG453" s="177"/>
      <c r="AH453" s="177"/>
      <c r="AI453" s="177"/>
      <c r="AJ453" s="183"/>
      <c r="AZ453" s="3"/>
      <c r="BA453" s="3" t="str">
        <f>N575</f>
        <v>Yes</v>
      </c>
      <c r="BB453" s="3"/>
      <c r="BC453" s="3"/>
    </row>
    <row r="454" spans="1:55" ht="13" customHeight="1">
      <c r="D454" s="206" t="s">
        <v>813</v>
      </c>
      <c r="E454" s="177"/>
      <c r="F454" s="177"/>
      <c r="G454" s="177"/>
      <c r="H454" s="177"/>
      <c r="I454" s="177"/>
      <c r="J454" s="177"/>
      <c r="K454" s="177"/>
      <c r="L454" s="177"/>
      <c r="M454" s="177"/>
      <c r="N454" s="177"/>
      <c r="O454" s="177"/>
      <c r="P454" s="177"/>
      <c r="Q454" s="177"/>
      <c r="R454" s="177"/>
      <c r="S454" s="177"/>
      <c r="T454" s="177"/>
      <c r="U454" s="177"/>
      <c r="V454" s="177"/>
      <c r="W454" s="177"/>
      <c r="X454" s="177"/>
      <c r="Y454" s="177"/>
      <c r="Z454" s="177"/>
      <c r="AA454" s="177"/>
      <c r="AB454" s="177"/>
      <c r="AC454" s="1383">
        <f>IF(AG437=0,"",'Sources and Uses Budget'!B105/Application!AG437)</f>
        <v>574619.5409836066</v>
      </c>
      <c r="AD454" s="1383"/>
      <c r="AE454" s="1383"/>
      <c r="AF454" s="1383"/>
      <c r="AG454" s="177"/>
      <c r="AH454" s="177"/>
      <c r="AI454" s="177"/>
      <c r="AJ454" s="183"/>
      <c r="AZ454" s="3"/>
      <c r="BA454" s="3" t="str">
        <f>AG575</f>
        <v>No</v>
      </c>
      <c r="BB454" s="3"/>
      <c r="BC454" s="3"/>
    </row>
    <row r="455" spans="1:55" ht="13" customHeight="1">
      <c r="D455" s="206" t="s">
        <v>814</v>
      </c>
      <c r="E455" s="177"/>
      <c r="F455" s="177"/>
      <c r="G455" s="177"/>
      <c r="H455" s="177"/>
      <c r="I455" s="177"/>
      <c r="J455" s="177"/>
      <c r="K455" s="177"/>
      <c r="L455" s="177"/>
      <c r="M455" s="177"/>
      <c r="N455" s="177"/>
      <c r="O455" s="177"/>
      <c r="P455" s="177"/>
      <c r="Q455" s="177"/>
      <c r="R455" s="177"/>
      <c r="S455" s="177"/>
      <c r="T455" s="177"/>
      <c r="U455" s="177"/>
      <c r="V455" s="177"/>
      <c r="W455" s="177"/>
      <c r="X455" s="177"/>
      <c r="Y455" s="177"/>
      <c r="Z455" s="177"/>
      <c r="AA455" s="177"/>
      <c r="AB455" s="177"/>
      <c r="AC455" s="1383">
        <f>IF(AG437=0,"",'Sources and Uses Budget'!C105/Application!AG437)</f>
        <v>574619.5409836066</v>
      </c>
      <c r="AD455" s="1383"/>
      <c r="AE455" s="1383"/>
      <c r="AF455" s="1383"/>
      <c r="AG455" s="177"/>
      <c r="AH455" s="177"/>
      <c r="AI455" s="177"/>
      <c r="AJ455" s="183"/>
      <c r="AZ455" s="3"/>
      <c r="BA455" s="3"/>
      <c r="BB455" s="3"/>
      <c r="BC455" s="3"/>
    </row>
    <row r="456" spans="1:55" ht="13" customHeight="1">
      <c r="D456" s="206" t="s">
        <v>862</v>
      </c>
      <c r="E456" s="177"/>
      <c r="F456" s="177"/>
      <c r="G456" s="177"/>
      <c r="H456" s="177"/>
      <c r="I456" s="177"/>
      <c r="J456" s="177"/>
      <c r="K456" s="177"/>
      <c r="L456" s="177"/>
      <c r="M456" s="177"/>
      <c r="N456" s="177"/>
      <c r="O456" s="177"/>
      <c r="P456" s="177"/>
      <c r="Q456" s="177"/>
      <c r="R456" s="177"/>
      <c r="S456" s="177"/>
      <c r="T456" s="177"/>
      <c r="U456" s="177"/>
      <c r="V456" s="177"/>
      <c r="W456" s="177"/>
      <c r="X456" s="177"/>
      <c r="Y456" s="177"/>
      <c r="Z456" s="177"/>
      <c r="AA456" s="177"/>
      <c r="AB456" s="177"/>
      <c r="AC456" s="1383">
        <f>IF(AG437=0,"",('Sources and Uses Budget'!$S$107+'Sources and Uses Budget'!$T$107)/Application!AG437)</f>
        <v>443959.2295081967</v>
      </c>
      <c r="AD456" s="1383"/>
      <c r="AE456" s="1383"/>
      <c r="AF456" s="1383"/>
      <c r="AG456" s="177"/>
      <c r="AH456" s="177"/>
      <c r="AI456" s="177"/>
      <c r="AJ456" s="183"/>
      <c r="AZ456" s="3"/>
      <c r="BA456" s="3"/>
      <c r="BB456" s="3"/>
      <c r="BC456" s="3"/>
    </row>
    <row r="457" spans="1:55" ht="13" customHeight="1">
      <c r="D457" s="177"/>
      <c r="E457" s="177"/>
      <c r="F457" s="1384" t="str">
        <f>IFERROR(IF(AC454&gt;650000,"Please provide a justification of cost per unit in Tab 12 for all projects with per unit costs of greater than $650,000.",""),"")</f>
        <v/>
      </c>
      <c r="G457" s="1384"/>
      <c r="H457" s="1384"/>
      <c r="I457" s="1384"/>
      <c r="J457" s="1384"/>
      <c r="K457" s="1384"/>
      <c r="L457" s="1384"/>
      <c r="M457" s="1384"/>
      <c r="N457" s="1384"/>
      <c r="O457" s="1384"/>
      <c r="P457" s="1384"/>
      <c r="Q457" s="1384"/>
      <c r="R457" s="1384"/>
      <c r="S457" s="1384"/>
      <c r="T457" s="1384"/>
      <c r="U457" s="1384"/>
      <c r="V457" s="1384"/>
      <c r="W457" s="1384"/>
      <c r="X457" s="1384"/>
      <c r="Y457" s="1384"/>
      <c r="Z457" s="1384"/>
      <c r="AA457" s="1384"/>
      <c r="AB457" s="1384"/>
      <c r="AC457" s="516"/>
      <c r="AD457" s="177"/>
      <c r="AE457" s="177"/>
      <c r="AF457" s="177"/>
      <c r="AG457" s="177"/>
      <c r="AH457" s="177"/>
      <c r="AI457" s="177"/>
      <c r="AJ457" s="183"/>
      <c r="AZ457" s="3"/>
      <c r="BA457" s="3"/>
      <c r="BB457" s="3"/>
      <c r="BC457" s="3"/>
    </row>
    <row r="458" spans="1:55" ht="13" customHeight="1">
      <c r="A458" s="2"/>
      <c r="D458" s="2"/>
      <c r="E458" s="177"/>
      <c r="F458" s="1384"/>
      <c r="G458" s="1384"/>
      <c r="H458" s="1384"/>
      <c r="I458" s="1384"/>
      <c r="J458" s="1384"/>
      <c r="K458" s="1384"/>
      <c r="L458" s="1384"/>
      <c r="M458" s="1384"/>
      <c r="N458" s="1384"/>
      <c r="O458" s="1384"/>
      <c r="P458" s="1384"/>
      <c r="Q458" s="1384"/>
      <c r="R458" s="1384"/>
      <c r="S458" s="1384"/>
      <c r="T458" s="1384"/>
      <c r="U458" s="1384"/>
      <c r="V458" s="1384"/>
      <c r="W458" s="1384"/>
      <c r="X458" s="1384"/>
      <c r="Y458" s="1384"/>
      <c r="Z458" s="1384"/>
      <c r="AA458" s="1384"/>
      <c r="AB458" s="1384"/>
      <c r="AC458" s="177"/>
      <c r="AD458" s="177"/>
      <c r="AE458" s="177"/>
      <c r="AF458" s="177"/>
      <c r="AG458" s="177"/>
      <c r="AH458" s="177"/>
      <c r="AI458" s="177"/>
      <c r="AJ458" s="183"/>
      <c r="AZ458" s="3"/>
      <c r="BA458" s="3"/>
      <c r="BB458" s="3"/>
      <c r="BC458" s="3"/>
    </row>
    <row r="459" spans="1:55" ht="13" customHeight="1">
      <c r="A459" s="2" t="s">
        <v>612</v>
      </c>
      <c r="D459" s="2" t="s">
        <v>247</v>
      </c>
      <c r="E459" s="177"/>
      <c r="F459" s="177"/>
      <c r="G459" s="177"/>
      <c r="H459" s="177"/>
      <c r="I459" s="177"/>
      <c r="J459" s="177"/>
      <c r="K459" s="177"/>
      <c r="L459" s="177"/>
      <c r="M459" s="177"/>
      <c r="N459" s="177"/>
      <c r="O459" s="177"/>
      <c r="P459" s="177"/>
      <c r="Q459" s="177"/>
      <c r="R459" s="177"/>
      <c r="S459" s="177"/>
      <c r="T459" s="177"/>
      <c r="U459" s="177"/>
      <c r="V459" s="177"/>
      <c r="W459" s="177"/>
      <c r="X459" s="177"/>
      <c r="Y459" s="177"/>
      <c r="Z459" s="177"/>
      <c r="AA459" s="177"/>
      <c r="AB459" s="177"/>
      <c r="AC459" s="177"/>
      <c r="AD459" s="177"/>
      <c r="AE459" s="177"/>
      <c r="AF459" s="177"/>
      <c r="AG459" s="177"/>
      <c r="AH459" s="177"/>
      <c r="AI459" s="177"/>
      <c r="AJ459" s="183"/>
      <c r="AZ459" s="3"/>
      <c r="BA459" s="3"/>
      <c r="BB459" s="3"/>
      <c r="BC459" s="3"/>
    </row>
    <row r="460" spans="1:55" ht="13" customHeight="1">
      <c r="D460" s="184" t="s">
        <v>1875</v>
      </c>
      <c r="E460" s="177"/>
      <c r="F460" s="177"/>
      <c r="G460" s="177"/>
      <c r="H460" s="177"/>
      <c r="I460" s="177"/>
      <c r="J460" s="177"/>
      <c r="K460" s="177"/>
      <c r="L460" s="177"/>
      <c r="M460" s="177"/>
      <c r="N460" s="177"/>
      <c r="O460" s="177"/>
      <c r="P460" s="177"/>
      <c r="Q460" s="177"/>
      <c r="R460" s="177"/>
      <c r="S460" s="177"/>
      <c r="T460" s="177"/>
      <c r="U460" s="177"/>
      <c r="V460" s="177"/>
      <c r="W460" s="177"/>
      <c r="X460" s="177"/>
      <c r="Y460" s="177"/>
      <c r="Z460" s="177"/>
      <c r="AA460" s="177"/>
      <c r="AB460" s="177"/>
      <c r="AC460" s="177"/>
      <c r="AD460" s="177"/>
      <c r="AE460" s="177"/>
      <c r="AF460" s="177"/>
      <c r="AG460" s="177"/>
      <c r="AH460" s="177"/>
      <c r="AI460" s="177"/>
      <c r="AJ460" s="183"/>
      <c r="AZ460" s="3"/>
      <c r="BA460" s="3"/>
      <c r="BB460" s="3"/>
      <c r="BC460" s="3"/>
    </row>
    <row r="461" spans="1:55" ht="13" customHeight="1">
      <c r="D461" s="184" t="s">
        <v>1876</v>
      </c>
      <c r="E461" s="177"/>
      <c r="F461" s="177"/>
      <c r="G461" s="177"/>
      <c r="H461" s="177"/>
      <c r="I461" s="177"/>
      <c r="J461" s="177"/>
      <c r="K461" s="177"/>
      <c r="L461" s="177"/>
      <c r="M461" s="177"/>
      <c r="N461" s="177"/>
      <c r="O461" s="177"/>
      <c r="P461" s="177"/>
      <c r="Q461" s="177"/>
      <c r="R461" s="177"/>
      <c r="S461" s="177"/>
      <c r="T461" s="177"/>
      <c r="U461" s="177"/>
      <c r="V461" s="177"/>
      <c r="W461" s="177"/>
      <c r="X461" s="177"/>
      <c r="Y461" s="177"/>
      <c r="Z461" s="177"/>
      <c r="AA461" s="177"/>
      <c r="AB461" s="177"/>
      <c r="AC461" s="177"/>
      <c r="AD461" s="177"/>
      <c r="AE461" s="177"/>
      <c r="AF461" s="177"/>
      <c r="AG461" s="177"/>
      <c r="AH461" s="177"/>
      <c r="AI461" s="177"/>
      <c r="AJ461" s="183"/>
      <c r="AZ461" s="3"/>
      <c r="BA461" s="3" t="str">
        <f>N583</f>
        <v>Yes</v>
      </c>
      <c r="BB461" s="3"/>
      <c r="BC461" s="3"/>
    </row>
    <row r="462" spans="1:55" ht="13" customHeight="1">
      <c r="D462" s="184" t="s">
        <v>1877</v>
      </c>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AG583</f>
        <v>Yes</v>
      </c>
      <c r="BB462" s="3"/>
      <c r="BC462" s="3"/>
    </row>
    <row r="463" spans="1:55" ht="13" customHeight="1">
      <c r="D463" s="532"/>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77"/>
      <c r="AD463" s="177"/>
      <c r="AE463" s="177"/>
      <c r="AF463" s="177"/>
      <c r="AG463" s="177"/>
      <c r="AH463" s="177"/>
      <c r="AI463" s="177"/>
      <c r="AJ463" s="183"/>
      <c r="AZ463" s="3"/>
      <c r="BA463" s="3"/>
      <c r="BB463" s="3"/>
      <c r="BC463" s="3"/>
    </row>
    <row r="464" spans="1:55" ht="13" customHeight="1">
      <c r="A464" s="3"/>
      <c r="B464" s="3"/>
      <c r="C464" s="3"/>
      <c r="D464" s="185" t="s">
        <v>691</v>
      </c>
      <c r="E464" s="184"/>
      <c r="F464" s="184"/>
      <c r="G464" s="184"/>
      <c r="H464" s="184"/>
      <c r="I464" s="184"/>
      <c r="J464" s="184"/>
      <c r="K464" s="184"/>
      <c r="L464" s="184"/>
      <c r="M464" s="184"/>
      <c r="N464" s="184"/>
      <c r="O464" s="184"/>
      <c r="P464" s="184"/>
      <c r="Q464" s="184"/>
      <c r="R464" s="184"/>
      <c r="S464" s="184"/>
      <c r="T464" s="184"/>
      <c r="U464" s="184"/>
      <c r="V464" s="184"/>
      <c r="W464" s="184"/>
      <c r="X464" s="184"/>
      <c r="Y464" s="184"/>
      <c r="Z464" s="184"/>
      <c r="AA464" s="184"/>
      <c r="AB464" s="184"/>
      <c r="AC464" s="184"/>
      <c r="AD464" s="177"/>
      <c r="AE464" s="177"/>
      <c r="AF464" s="177"/>
      <c r="AG464" s="177"/>
      <c r="AH464" s="177"/>
      <c r="AI464" s="177"/>
      <c r="AJ464" s="183"/>
      <c r="AZ464" s="3"/>
      <c r="BA464" s="3"/>
      <c r="BB464" s="3"/>
      <c r="BC464" s="3"/>
    </row>
    <row r="465" spans="1:55" ht="13" customHeight="1">
      <c r="A465" s="3"/>
      <c r="B465" s="3"/>
      <c r="C465" s="3"/>
      <c r="D465" s="1394" t="s">
        <v>2100</v>
      </c>
      <c r="E465" s="1386"/>
      <c r="F465" s="1386"/>
      <c r="G465" s="1386"/>
      <c r="H465" s="1386"/>
      <c r="I465" s="1386"/>
      <c r="J465" s="1386"/>
      <c r="K465" s="1386"/>
      <c r="L465" s="1386"/>
      <c r="M465" s="1386"/>
      <c r="N465" s="1386"/>
      <c r="O465" s="1386"/>
      <c r="P465" s="1386"/>
      <c r="Q465" s="1386"/>
      <c r="R465" s="1386"/>
      <c r="S465" s="1386"/>
      <c r="T465" s="1386"/>
      <c r="U465" s="1386"/>
      <c r="V465" s="1387"/>
      <c r="W465" s="1399">
        <v>0</v>
      </c>
      <c r="X465" s="1400"/>
      <c r="Y465" s="1401"/>
      <c r="Z465" s="184"/>
      <c r="AA465" s="184"/>
      <c r="AB465" s="184"/>
      <c r="AC465" s="184"/>
      <c r="AD465" s="177"/>
      <c r="AE465" s="177"/>
      <c r="AF465" s="177"/>
      <c r="AG465" s="177"/>
      <c r="AH465" s="177"/>
      <c r="AI465" s="177"/>
      <c r="AJ465" s="183"/>
      <c r="AZ465" s="3"/>
      <c r="BA465" s="3"/>
      <c r="BB465" s="3"/>
      <c r="BC465" s="3"/>
    </row>
    <row r="466" spans="1:55" ht="13" customHeight="1">
      <c r="A466" s="3"/>
      <c r="B466" s="3"/>
      <c r="C466" s="3"/>
      <c r="D466" s="1385" t="s">
        <v>692</v>
      </c>
      <c r="E466" s="1386"/>
      <c r="F466" s="1386"/>
      <c r="G466" s="1386"/>
      <c r="H466" s="1386"/>
      <c r="I466" s="1386"/>
      <c r="J466" s="1386"/>
      <c r="K466" s="1386"/>
      <c r="L466" s="1386"/>
      <c r="M466" s="1386"/>
      <c r="N466" s="1386"/>
      <c r="O466" s="1386"/>
      <c r="P466" s="1386"/>
      <c r="Q466" s="1386"/>
      <c r="R466" s="1386"/>
      <c r="S466" s="1386"/>
      <c r="T466" s="1386"/>
      <c r="U466" s="1386"/>
      <c r="V466" s="1387"/>
      <c r="W466" s="1399">
        <v>0</v>
      </c>
      <c r="X466" s="1400"/>
      <c r="Y466" s="1401"/>
      <c r="Z466" s="184"/>
      <c r="AA466" s="184"/>
      <c r="AB466" s="184"/>
      <c r="AC466" s="184"/>
      <c r="AD466" s="177"/>
      <c r="AE466" s="177"/>
      <c r="AF466" s="177"/>
      <c r="AG466" s="177"/>
      <c r="AH466" s="177"/>
      <c r="AI466" s="177"/>
      <c r="AJ466" s="183"/>
      <c r="AZ466" s="3"/>
      <c r="BA466" s="3"/>
      <c r="BB466" s="3"/>
      <c r="BC466" s="3"/>
    </row>
    <row r="467" spans="1:55" ht="13" customHeight="1">
      <c r="A467" s="3"/>
      <c r="B467" s="3"/>
      <c r="C467" s="3"/>
      <c r="D467" s="1385" t="s">
        <v>693</v>
      </c>
      <c r="E467" s="1386"/>
      <c r="F467" s="1386"/>
      <c r="G467" s="1386"/>
      <c r="H467" s="1386"/>
      <c r="I467" s="1386"/>
      <c r="J467" s="1386"/>
      <c r="K467" s="1386"/>
      <c r="L467" s="1386"/>
      <c r="M467" s="1386"/>
      <c r="N467" s="1386"/>
      <c r="O467" s="1386"/>
      <c r="P467" s="1386"/>
      <c r="Q467" s="1386"/>
      <c r="R467" s="1386"/>
      <c r="S467" s="1386"/>
      <c r="T467" s="1386"/>
      <c r="U467" s="1386"/>
      <c r="V467" s="1387"/>
      <c r="W467" s="1399">
        <v>0</v>
      </c>
      <c r="X467" s="1400"/>
      <c r="Y467" s="1401"/>
      <c r="Z467" s="184"/>
      <c r="AA467" s="184"/>
      <c r="AB467" s="184"/>
      <c r="AC467" s="184"/>
      <c r="AD467" s="177"/>
      <c r="AE467" s="177"/>
      <c r="AF467" s="177"/>
      <c r="AG467" s="177"/>
      <c r="AH467" s="177"/>
      <c r="AI467" s="177"/>
      <c r="AJ467" s="183"/>
      <c r="AZ467" s="3"/>
      <c r="BA467" s="3"/>
      <c r="BB467" s="3"/>
      <c r="BC467" s="3"/>
    </row>
    <row r="468" spans="1:55" ht="13" customHeight="1">
      <c r="A468" s="3"/>
      <c r="B468" s="3"/>
      <c r="C468" s="3"/>
      <c r="D468" s="1385" t="s">
        <v>694</v>
      </c>
      <c r="E468" s="1386"/>
      <c r="F468" s="1386"/>
      <c r="G468" s="1386"/>
      <c r="H468" s="1386"/>
      <c r="I468" s="1386"/>
      <c r="J468" s="1386"/>
      <c r="K468" s="1386"/>
      <c r="L468" s="1386"/>
      <c r="M468" s="1386"/>
      <c r="N468" s="1386"/>
      <c r="O468" s="1386"/>
      <c r="P468" s="1386"/>
      <c r="Q468" s="1386"/>
      <c r="R468" s="1386"/>
      <c r="S468" s="1386"/>
      <c r="T468" s="1386"/>
      <c r="U468" s="1386"/>
      <c r="V468" s="1387"/>
      <c r="W468" s="1399">
        <v>0</v>
      </c>
      <c r="X468" s="1400"/>
      <c r="Y468" s="1401"/>
      <c r="Z468" s="184"/>
      <c r="AA468" s="184"/>
      <c r="AB468" s="184"/>
      <c r="AC468" s="184"/>
      <c r="AD468" s="177"/>
      <c r="AE468" s="177"/>
      <c r="AF468" s="177"/>
      <c r="AG468" s="177"/>
      <c r="AH468" s="177"/>
      <c r="AI468" s="177"/>
      <c r="AJ468" s="183"/>
      <c r="AZ468" s="3"/>
      <c r="BA468" s="3"/>
      <c r="BB468" s="3"/>
      <c r="BC468" s="3"/>
    </row>
    <row r="469" spans="1:55" ht="13" customHeight="1">
      <c r="A469" s="3"/>
      <c r="B469" s="3"/>
      <c r="C469" s="3"/>
      <c r="D469" s="1385" t="s">
        <v>880</v>
      </c>
      <c r="E469" s="1386"/>
      <c r="F469" s="1386"/>
      <c r="G469" s="1386"/>
      <c r="H469" s="1386"/>
      <c r="I469" s="1386"/>
      <c r="J469" s="1386"/>
      <c r="K469" s="1386"/>
      <c r="L469" s="1386"/>
      <c r="M469" s="1386"/>
      <c r="N469" s="1386"/>
      <c r="O469" s="1386"/>
      <c r="P469" s="1386"/>
      <c r="Q469" s="1386"/>
      <c r="R469" s="1386"/>
      <c r="S469" s="1386"/>
      <c r="T469" s="1386"/>
      <c r="U469" s="1386"/>
      <c r="V469" s="1387"/>
      <c r="W469" s="1399">
        <v>0</v>
      </c>
      <c r="X469" s="1400"/>
      <c r="Y469" s="1401"/>
      <c r="Z469" s="184"/>
      <c r="AA469" s="184"/>
      <c r="AB469" s="184"/>
      <c r="AC469" s="184"/>
      <c r="AD469" s="177"/>
      <c r="AE469" s="177"/>
      <c r="AF469" s="177"/>
      <c r="AG469" s="177"/>
      <c r="AH469" s="177"/>
      <c r="AI469" s="177"/>
      <c r="AJ469" s="183"/>
      <c r="AZ469" s="3"/>
      <c r="BA469" s="3" t="str">
        <f>N591</f>
        <v>Yes</v>
      </c>
      <c r="BB469" s="3"/>
      <c r="BC469" s="3"/>
    </row>
    <row r="470" spans="1:55" ht="13" customHeight="1">
      <c r="A470" s="3"/>
      <c r="B470" s="3"/>
      <c r="C470" s="3"/>
      <c r="D470" s="1385" t="s">
        <v>695</v>
      </c>
      <c r="E470" s="1386"/>
      <c r="F470" s="1386"/>
      <c r="G470" s="1386"/>
      <c r="H470" s="1386"/>
      <c r="I470" s="1386"/>
      <c r="J470" s="1386"/>
      <c r="K470" s="1386"/>
      <c r="L470" s="1386"/>
      <c r="M470" s="1386"/>
      <c r="N470" s="1386"/>
      <c r="O470" s="1386"/>
      <c r="P470" s="1386"/>
      <c r="Q470" s="1386"/>
      <c r="R470" s="1386"/>
      <c r="S470" s="1386"/>
      <c r="T470" s="1386"/>
      <c r="U470" s="1386"/>
      <c r="V470" s="1387"/>
      <c r="W470" s="1399">
        <v>0</v>
      </c>
      <c r="X470" s="1400"/>
      <c r="Y470" s="1401"/>
      <c r="Z470" s="184"/>
      <c r="AA470" s="184"/>
      <c r="AB470" s="184"/>
      <c r="AC470" s="184"/>
      <c r="AD470" s="177"/>
      <c r="AE470" s="177"/>
      <c r="AF470" s="177"/>
      <c r="AG470" s="177"/>
      <c r="AH470" s="177"/>
      <c r="AI470" s="177"/>
      <c r="AJ470" s="183"/>
      <c r="AZ470" s="3"/>
      <c r="BA470" s="3" t="str">
        <f>AG591</f>
        <v>Yes</v>
      </c>
      <c r="BB470" s="3"/>
      <c r="BC470" s="3"/>
    </row>
    <row r="471" spans="1:55" ht="13" customHeight="1">
      <c r="A471" s="3"/>
      <c r="B471" s="3"/>
      <c r="C471" s="3"/>
      <c r="D471" s="1385" t="s">
        <v>1011</v>
      </c>
      <c r="E471" s="1386"/>
      <c r="F471" s="1386"/>
      <c r="G471" s="1386"/>
      <c r="H471" s="1386"/>
      <c r="I471" s="1386"/>
      <c r="J471" s="1386"/>
      <c r="K471" s="1386"/>
      <c r="L471" s="1386"/>
      <c r="M471" s="1386"/>
      <c r="N471" s="1386"/>
      <c r="O471" s="1386"/>
      <c r="P471" s="1386"/>
      <c r="Q471" s="1386"/>
      <c r="R471" s="1386"/>
      <c r="S471" s="1386"/>
      <c r="T471" s="1386"/>
      <c r="U471" s="1386"/>
      <c r="V471" s="1387"/>
      <c r="W471" s="1399">
        <v>0</v>
      </c>
      <c r="X471" s="1400"/>
      <c r="Y471" s="1401"/>
      <c r="Z471" s="184"/>
      <c r="AA471" s="184"/>
      <c r="AB471" s="184"/>
      <c r="AC471" s="184"/>
      <c r="AD471" s="177"/>
      <c r="AE471" s="177"/>
      <c r="AF471" s="177"/>
      <c r="AG471" s="177"/>
      <c r="AH471" s="177"/>
      <c r="AI471" s="177"/>
      <c r="AJ471" s="183"/>
      <c r="AZ471" s="3"/>
      <c r="BA471" s="3"/>
      <c r="BB471" s="3"/>
      <c r="BC471" s="3"/>
    </row>
    <row r="472" spans="1:55" ht="13" customHeight="1">
      <c r="A472" s="3"/>
      <c r="B472" s="3"/>
      <c r="C472" s="3"/>
      <c r="D472" s="1394" t="s">
        <v>2191</v>
      </c>
      <c r="E472" s="1437"/>
      <c r="F472" s="1437"/>
      <c r="G472" s="1437"/>
      <c r="H472" s="1437"/>
      <c r="I472" s="1437"/>
      <c r="J472" s="1437"/>
      <c r="K472" s="1437"/>
      <c r="L472" s="1437"/>
      <c r="M472" s="1437"/>
      <c r="N472" s="1437"/>
      <c r="O472" s="1437"/>
      <c r="P472" s="1437"/>
      <c r="Q472" s="1437"/>
      <c r="R472" s="1437"/>
      <c r="S472" s="1437"/>
      <c r="T472" s="1437"/>
      <c r="U472" s="1437"/>
      <c r="V472" s="1438"/>
      <c r="W472" s="1399">
        <v>0</v>
      </c>
      <c r="X472" s="1400"/>
      <c r="Y472" s="1401"/>
      <c r="Z472" s="184"/>
      <c r="AA472" s="184"/>
      <c r="AB472" s="184"/>
      <c r="AC472" s="184"/>
      <c r="AD472" s="177"/>
      <c r="AE472" s="177"/>
      <c r="AF472" s="177"/>
      <c r="AG472" s="177"/>
      <c r="AH472" s="177"/>
      <c r="AI472" s="177"/>
      <c r="AJ472" s="183"/>
      <c r="AZ472" s="3"/>
      <c r="BA472" s="3"/>
      <c r="BB472" s="3"/>
      <c r="BC472" s="3"/>
    </row>
    <row r="473" spans="1:55" ht="13" customHeight="1">
      <c r="A473" s="3"/>
      <c r="B473" s="3"/>
      <c r="C473" s="3"/>
      <c r="D473" s="1394" t="s">
        <v>1653</v>
      </c>
      <c r="E473" s="1386"/>
      <c r="F473" s="1386"/>
      <c r="G473" s="1386"/>
      <c r="H473" s="1386"/>
      <c r="I473" s="1386"/>
      <c r="J473" s="1386"/>
      <c r="K473" s="1386"/>
      <c r="L473" s="1386"/>
      <c r="M473" s="1386"/>
      <c r="N473" s="1386"/>
      <c r="O473" s="1386"/>
      <c r="P473" s="1386"/>
      <c r="Q473" s="1386"/>
      <c r="R473" s="1386"/>
      <c r="S473" s="1386"/>
      <c r="T473" s="1386"/>
      <c r="U473" s="1386"/>
      <c r="V473" s="1387"/>
      <c r="W473" s="1399">
        <v>10</v>
      </c>
      <c r="X473" s="1400"/>
      <c r="Y473" s="1401"/>
      <c r="Z473" s="184"/>
      <c r="AA473" s="184"/>
      <c r="AB473" s="184"/>
      <c r="AC473" s="184"/>
      <c r="AD473" s="177"/>
      <c r="AE473" s="177"/>
      <c r="AF473" s="177"/>
      <c r="AG473" s="177"/>
      <c r="AH473" s="177"/>
      <c r="AI473" s="177"/>
      <c r="AJ473" s="183"/>
      <c r="AZ473" s="3"/>
      <c r="BA473" s="3"/>
      <c r="BB473" s="3"/>
      <c r="BC473" s="3"/>
    </row>
    <row r="474" spans="1:55" ht="13" customHeight="1">
      <c r="A474" s="3"/>
      <c r="B474" s="3"/>
      <c r="C474" s="3"/>
      <c r="D474" s="244" t="s">
        <v>169</v>
      </c>
      <c r="E474" s="245"/>
      <c r="F474" s="246"/>
      <c r="G474" s="1586"/>
      <c r="H474" s="1587"/>
      <c r="I474" s="1587"/>
      <c r="J474" s="1587"/>
      <c r="K474" s="1587"/>
      <c r="L474" s="1587"/>
      <c r="M474" s="1587"/>
      <c r="N474" s="1587"/>
      <c r="O474" s="1587"/>
      <c r="P474" s="1587"/>
      <c r="Q474" s="1587"/>
      <c r="R474" s="1587"/>
      <c r="S474" s="1587"/>
      <c r="T474" s="1587"/>
      <c r="U474" s="1587"/>
      <c r="V474" s="1588"/>
      <c r="W474" s="1399">
        <v>0</v>
      </c>
      <c r="X474" s="1400"/>
      <c r="Y474" s="1401"/>
      <c r="Z474" s="184"/>
      <c r="AA474" s="184"/>
      <c r="AB474" s="184"/>
      <c r="AC474" s="184"/>
      <c r="AD474" s="177"/>
      <c r="AE474" s="177"/>
      <c r="AF474" s="177"/>
      <c r="AG474" s="177"/>
      <c r="AH474" s="177"/>
      <c r="AI474" s="177"/>
      <c r="AJ474" s="183"/>
      <c r="AZ474" s="3"/>
      <c r="BA474" s="3"/>
      <c r="BB474" s="3"/>
      <c r="BC474" s="3"/>
    </row>
    <row r="475" spans="1:55" ht="13" customHeight="1">
      <c r="A475" s="3"/>
      <c r="B475" s="3"/>
      <c r="C475" s="3"/>
      <c r="D475" s="247" t="s">
        <v>881</v>
      </c>
      <c r="E475" s="248"/>
      <c r="F475" s="248"/>
      <c r="G475" s="185"/>
      <c r="H475" s="185"/>
      <c r="I475" s="185"/>
      <c r="J475" s="185"/>
      <c r="K475" s="185"/>
      <c r="L475" s="185"/>
      <c r="M475" s="185"/>
      <c r="N475" s="185"/>
      <c r="O475" s="185"/>
      <c r="P475" s="185"/>
      <c r="Q475" s="185"/>
      <c r="R475" s="185"/>
      <c r="S475" s="185"/>
      <c r="T475" s="185"/>
      <c r="U475" s="185"/>
      <c r="V475" s="185"/>
      <c r="W475" s="249"/>
      <c r="X475" s="249"/>
      <c r="Y475" s="250"/>
      <c r="Z475" s="184"/>
      <c r="AA475" s="184"/>
      <c r="AB475" s="184"/>
      <c r="AC475" s="184"/>
      <c r="AD475" s="177"/>
      <c r="AE475" s="177"/>
      <c r="AF475" s="177"/>
      <c r="AG475" s="177"/>
      <c r="AH475" s="177"/>
      <c r="AI475" s="177"/>
      <c r="AJ475" s="183"/>
      <c r="AZ475" s="3"/>
      <c r="BA475" s="3"/>
      <c r="BB475" s="3"/>
      <c r="BC475" s="3"/>
    </row>
    <row r="476" spans="1:55" ht="13" customHeight="1">
      <c r="A476" s="3"/>
      <c r="B476" s="3"/>
      <c r="C476" s="3"/>
      <c r="D476" s="251" t="s">
        <v>2660</v>
      </c>
      <c r="E476" s="252"/>
      <c r="F476" s="252"/>
      <c r="G476" s="252"/>
      <c r="H476" s="252"/>
      <c r="I476" s="252"/>
      <c r="J476" s="252"/>
      <c r="K476" s="252"/>
      <c r="L476" s="252"/>
      <c r="M476" s="252"/>
      <c r="N476" s="252"/>
      <c r="O476" s="252"/>
      <c r="P476" s="252"/>
      <c r="Q476" s="252"/>
      <c r="R476" s="252"/>
      <c r="S476" s="252"/>
      <c r="T476" s="252"/>
      <c r="U476" s="252"/>
      <c r="V476" s="252"/>
      <c r="W476" s="253"/>
      <c r="X476" s="253"/>
      <c r="Y476" s="254"/>
      <c r="Z476" s="184"/>
      <c r="AA476" s="184"/>
      <c r="AB476" s="184"/>
      <c r="AC476" s="184"/>
      <c r="AD476" s="177"/>
      <c r="AE476" s="177"/>
      <c r="AF476" s="177"/>
      <c r="AG476" s="177"/>
      <c r="AH476" s="177"/>
      <c r="AI476" s="177"/>
      <c r="AJ476" s="183"/>
      <c r="AZ476" s="3"/>
      <c r="BA476" s="3"/>
      <c r="BB476" s="3"/>
      <c r="BC476" s="3"/>
    </row>
    <row r="477" spans="1:55" ht="13" customHeight="1">
      <c r="A477" s="3"/>
      <c r="B477" s="3"/>
      <c r="C477" s="3"/>
      <c r="D477" s="251"/>
      <c r="E477" s="252"/>
      <c r="F477" s="252"/>
      <c r="G477" s="252"/>
      <c r="H477" s="252"/>
      <c r="I477" s="252"/>
      <c r="J477" s="252"/>
      <c r="K477" s="252"/>
      <c r="L477" s="252"/>
      <c r="M477" s="252"/>
      <c r="N477" s="252"/>
      <c r="O477" s="252"/>
      <c r="P477" s="252"/>
      <c r="Q477" s="252"/>
      <c r="R477" s="252"/>
      <c r="S477" s="252"/>
      <c r="T477" s="252"/>
      <c r="U477" s="252"/>
      <c r="V477" s="252"/>
      <c r="W477" s="253"/>
      <c r="X477" s="253"/>
      <c r="Y477" s="254"/>
      <c r="Z477" s="184"/>
      <c r="AA477" s="184"/>
      <c r="AB477" s="184"/>
      <c r="AC477" s="184"/>
      <c r="AD477" s="177"/>
      <c r="AE477" s="177"/>
      <c r="AF477" s="177"/>
      <c r="AG477" s="177"/>
      <c r="AH477" s="177"/>
      <c r="AI477" s="177"/>
      <c r="AJ477" s="183"/>
      <c r="AZ477" s="3"/>
      <c r="BA477" s="3"/>
      <c r="BB477" s="3"/>
      <c r="BC477" s="3"/>
    </row>
    <row r="478" spans="1:55" ht="13" customHeight="1">
      <c r="A478" s="3"/>
      <c r="B478" s="3"/>
      <c r="C478" s="3"/>
      <c r="D478" s="251"/>
      <c r="E478" s="252"/>
      <c r="F478" s="252"/>
      <c r="G478" s="252"/>
      <c r="H478" s="252"/>
      <c r="I478" s="252"/>
      <c r="J478" s="252"/>
      <c r="K478" s="252"/>
      <c r="L478" s="252"/>
      <c r="M478" s="252"/>
      <c r="N478" s="252"/>
      <c r="O478" s="252"/>
      <c r="P478" s="252"/>
      <c r="Q478" s="252"/>
      <c r="R478" s="252"/>
      <c r="S478" s="252"/>
      <c r="T478" s="252"/>
      <c r="U478" s="252"/>
      <c r="V478" s="252"/>
      <c r="W478" s="253"/>
      <c r="X478" s="253"/>
      <c r="Y478" s="254"/>
      <c r="Z478" s="184"/>
      <c r="AA478" s="184"/>
      <c r="AB478" s="184"/>
      <c r="AC478" s="184"/>
      <c r="AD478" s="177"/>
      <c r="AE478" s="177"/>
      <c r="AF478" s="177"/>
      <c r="AG478" s="177"/>
      <c r="AH478" s="177"/>
      <c r="AI478" s="177"/>
      <c r="AJ478" s="183"/>
      <c r="AZ478" s="3"/>
      <c r="BA478" s="3" t="str">
        <f>N599</f>
        <v>Yes</v>
      </c>
      <c r="BB478" s="3"/>
      <c r="BC478" s="3"/>
    </row>
    <row r="479" spans="1:55" ht="13" customHeight="1">
      <c r="AU479" s="95"/>
      <c r="AV479" s="95"/>
      <c r="AW479" s="95"/>
      <c r="AX479" s="95"/>
      <c r="AY479" s="95"/>
      <c r="AZ479" s="3"/>
      <c r="BA479" s="3" t="str">
        <f>AG599</f>
        <v>Yes</v>
      </c>
      <c r="BB479" s="3"/>
      <c r="BC479" s="3"/>
    </row>
    <row r="480" spans="1:55" ht="13" customHeight="1">
      <c r="A480" s="1549" t="s">
        <v>809</v>
      </c>
      <c r="B480" s="1549"/>
      <c r="C480" s="1549"/>
      <c r="D480" s="1549"/>
      <c r="E480" s="1549"/>
      <c r="F480" s="1549"/>
      <c r="G480" s="1549"/>
      <c r="H480" s="1549"/>
      <c r="I480" s="1549"/>
      <c r="J480" s="1549"/>
      <c r="K480" s="1549"/>
      <c r="L480" s="1549"/>
      <c r="M480" s="1549"/>
      <c r="N480" s="1549"/>
      <c r="O480" s="1549"/>
      <c r="P480" s="1549"/>
      <c r="Q480" s="1549"/>
      <c r="R480" s="1549"/>
      <c r="S480" s="1549"/>
      <c r="T480" s="1549"/>
      <c r="U480" s="1549"/>
      <c r="V480" s="1549"/>
      <c r="W480" s="1549"/>
      <c r="X480" s="1549"/>
      <c r="Y480" s="1549"/>
      <c r="Z480" s="1549"/>
      <c r="AA480" s="1549"/>
      <c r="AB480" s="1549"/>
      <c r="AC480" s="1549"/>
      <c r="AD480" s="1549"/>
      <c r="AE480" s="1549"/>
      <c r="AF480" s="1549"/>
      <c r="AG480" s="1549"/>
      <c r="AH480" s="1549"/>
      <c r="AI480" s="1549"/>
      <c r="AJ480" s="1549"/>
      <c r="AK480" s="1549"/>
      <c r="AL480" s="1549"/>
      <c r="AM480" s="1549"/>
      <c r="AN480" s="1549"/>
      <c r="AO480" s="1549"/>
      <c r="AP480" s="1549"/>
      <c r="AQ480" s="1549"/>
      <c r="AR480" s="1549"/>
      <c r="AS480" s="1549"/>
      <c r="AT480" s="1549"/>
      <c r="AU480" s="95"/>
      <c r="AV480" s="95"/>
      <c r="AW480" s="95"/>
      <c r="AX480" s="95"/>
      <c r="AY480" s="95"/>
      <c r="AZ480" s="3"/>
      <c r="BB480" s="3"/>
      <c r="BC480" s="3"/>
    </row>
    <row r="481" spans="1:55" ht="13" customHeight="1">
      <c r="A481" s="1549"/>
      <c r="B481" s="1549"/>
      <c r="C481" s="1549"/>
      <c r="D481" s="1549"/>
      <c r="E481" s="1549"/>
      <c r="F481" s="1549"/>
      <c r="G481" s="1549"/>
      <c r="H481" s="1549"/>
      <c r="I481" s="1549"/>
      <c r="J481" s="1549"/>
      <c r="K481" s="1549"/>
      <c r="L481" s="1549"/>
      <c r="M481" s="1549"/>
      <c r="N481" s="1549"/>
      <c r="O481" s="1549"/>
      <c r="P481" s="1549"/>
      <c r="Q481" s="1549"/>
      <c r="R481" s="1549"/>
      <c r="S481" s="1549"/>
      <c r="T481" s="1549"/>
      <c r="U481" s="1549"/>
      <c r="V481" s="1549"/>
      <c r="W481" s="1549"/>
      <c r="X481" s="1549"/>
      <c r="Y481" s="1549"/>
      <c r="Z481" s="1549"/>
      <c r="AA481" s="1549"/>
      <c r="AB481" s="1549"/>
      <c r="AC481" s="1549"/>
      <c r="AD481" s="1549"/>
      <c r="AE481" s="1549"/>
      <c r="AF481" s="1549"/>
      <c r="AG481" s="1549"/>
      <c r="AH481" s="1549"/>
      <c r="AI481" s="1549"/>
      <c r="AJ481" s="1549"/>
      <c r="AK481" s="1549"/>
      <c r="AL481" s="1549"/>
      <c r="AM481" s="1549"/>
      <c r="AN481" s="1549"/>
      <c r="AO481" s="1549"/>
      <c r="AP481" s="1549"/>
      <c r="AQ481" s="1549"/>
      <c r="AR481" s="1549"/>
      <c r="AS481" s="1549"/>
      <c r="AT481" s="1549"/>
      <c r="AZ481" s="3"/>
      <c r="BB481" s="3"/>
      <c r="BC481" s="3"/>
    </row>
    <row r="482" spans="1:55" ht="13" customHeight="1">
      <c r="AZ482" s="3"/>
      <c r="BB482" s="3"/>
      <c r="BC482" s="3"/>
    </row>
    <row r="483" spans="1:55" ht="13" customHeight="1">
      <c r="A483" s="2" t="s">
        <v>318</v>
      </c>
      <c r="C483" s="2" t="s">
        <v>807</v>
      </c>
      <c r="AZ483" s="3"/>
      <c r="BB483" s="3"/>
      <c r="BC483" s="3"/>
    </row>
    <row r="484" spans="1:55" ht="13" customHeight="1">
      <c r="AZ484" s="3"/>
      <c r="BB484" s="3"/>
      <c r="BC484" s="3"/>
    </row>
    <row r="485" spans="1:55" ht="13" customHeight="1">
      <c r="B485" s="45"/>
      <c r="C485" s="5"/>
      <c r="D485" s="5"/>
      <c r="E485" s="5"/>
      <c r="F485" s="5"/>
      <c r="G485" s="5"/>
      <c r="H485" s="5"/>
      <c r="I485" s="5"/>
      <c r="J485" s="5"/>
      <c r="K485" s="5"/>
      <c r="L485" s="5"/>
      <c r="M485" s="5"/>
      <c r="N485" s="5"/>
      <c r="O485" s="5"/>
      <c r="P485" s="46"/>
      <c r="Q485" s="1396" t="s">
        <v>392</v>
      </c>
      <c r="R485" s="1397"/>
      <c r="S485" s="1397"/>
      <c r="T485" s="1397"/>
      <c r="U485" s="1397"/>
      <c r="V485" s="1397"/>
      <c r="W485" s="1397"/>
      <c r="X485" s="1397"/>
      <c r="Y485" s="1397"/>
      <c r="Z485" s="1397"/>
      <c r="AA485" s="1397"/>
      <c r="AB485" s="1397"/>
      <c r="AC485" s="1397"/>
      <c r="AD485" s="1397"/>
      <c r="AE485" s="1397"/>
      <c r="AF485" s="1397"/>
      <c r="AG485" s="1397"/>
      <c r="AH485" s="1397"/>
      <c r="AI485" s="1397"/>
      <c r="AJ485" s="1397"/>
      <c r="AK485" s="1398"/>
      <c r="AZ485" s="3"/>
      <c r="BB485" s="3"/>
      <c r="BC485" s="3"/>
    </row>
    <row r="486" spans="1:55" ht="13" customHeight="1">
      <c r="B486" s="45" t="s">
        <v>393</v>
      </c>
      <c r="C486" s="5"/>
      <c r="D486" s="5"/>
      <c r="E486" s="5"/>
      <c r="F486" s="5"/>
      <c r="G486" s="5"/>
      <c r="H486" s="5"/>
      <c r="I486" s="5"/>
      <c r="J486" s="5"/>
      <c r="K486" s="5"/>
      <c r="L486" s="5"/>
      <c r="M486" s="5"/>
      <c r="N486" s="5"/>
      <c r="O486" s="5"/>
      <c r="P486" s="5"/>
      <c r="Q486" s="1381" t="s">
        <v>2661</v>
      </c>
      <c r="R486" s="1351"/>
      <c r="S486" s="1351"/>
      <c r="T486" s="1351"/>
      <c r="U486" s="1351"/>
      <c r="V486" s="1351"/>
      <c r="W486" s="1351"/>
      <c r="X486" s="1351"/>
      <c r="Y486" s="1351"/>
      <c r="Z486" s="1351"/>
      <c r="AA486" s="1351"/>
      <c r="AB486" s="1351"/>
      <c r="AC486" s="1351"/>
      <c r="AD486" s="1351"/>
      <c r="AE486" s="1351"/>
      <c r="AF486" s="1351"/>
      <c r="AG486" s="1351"/>
      <c r="AH486" s="1351"/>
      <c r="AI486" s="1351"/>
      <c r="AJ486" s="1351"/>
      <c r="AK486" s="1382"/>
      <c r="AZ486" s="3"/>
      <c r="BB486" s="3"/>
      <c r="BC486" s="3"/>
    </row>
    <row r="487" spans="1:55" ht="13" customHeight="1">
      <c r="B487" s="45" t="s">
        <v>394</v>
      </c>
      <c r="C487" s="5"/>
      <c r="D487" s="5"/>
      <c r="E487" s="5"/>
      <c r="F487" s="5"/>
      <c r="G487" s="5"/>
      <c r="H487" s="5"/>
      <c r="I487" s="5"/>
      <c r="J487" s="5"/>
      <c r="K487" s="5"/>
      <c r="L487" s="5"/>
      <c r="M487" s="5"/>
      <c r="N487" s="5"/>
      <c r="O487" s="5"/>
      <c r="P487" s="5"/>
      <c r="Q487" s="1381" t="s">
        <v>2688</v>
      </c>
      <c r="R487" s="1351"/>
      <c r="S487" s="1351"/>
      <c r="T487" s="1351"/>
      <c r="U487" s="1351"/>
      <c r="V487" s="1351"/>
      <c r="W487" s="1351"/>
      <c r="X487" s="1351"/>
      <c r="Y487" s="1351"/>
      <c r="Z487" s="1351"/>
      <c r="AA487" s="1351"/>
      <c r="AB487" s="1351"/>
      <c r="AC487" s="1351"/>
      <c r="AD487" s="1351"/>
      <c r="AE487" s="1351"/>
      <c r="AF487" s="1351"/>
      <c r="AG487" s="1351"/>
      <c r="AH487" s="1351"/>
      <c r="AI487" s="1351"/>
      <c r="AJ487" s="1351"/>
      <c r="AK487" s="1382"/>
      <c r="AZ487" s="3"/>
      <c r="BB487" s="3"/>
      <c r="BC487" s="3"/>
    </row>
    <row r="488" spans="1:55" ht="13" customHeight="1">
      <c r="B488" s="45" t="s">
        <v>395</v>
      </c>
      <c r="C488" s="5"/>
      <c r="D488" s="5"/>
      <c r="E488" s="5"/>
      <c r="F488" s="5"/>
      <c r="G488" s="5"/>
      <c r="H488" s="5"/>
      <c r="I488" s="5"/>
      <c r="J488" s="5"/>
      <c r="K488" s="5"/>
      <c r="L488" s="5"/>
      <c r="M488" s="5"/>
      <c r="N488" s="5"/>
      <c r="O488" s="5"/>
      <c r="P488" s="5"/>
      <c r="Q488" s="1381" t="s">
        <v>2689</v>
      </c>
      <c r="R488" s="1351"/>
      <c r="S488" s="1351"/>
      <c r="T488" s="1351"/>
      <c r="U488" s="1351"/>
      <c r="V488" s="1351"/>
      <c r="W488" s="1351"/>
      <c r="X488" s="1351"/>
      <c r="Y488" s="1351"/>
      <c r="Z488" s="1351"/>
      <c r="AA488" s="1351"/>
      <c r="AB488" s="1351"/>
      <c r="AC488" s="1351"/>
      <c r="AD488" s="1351"/>
      <c r="AE488" s="1351"/>
      <c r="AF488" s="1351"/>
      <c r="AG488" s="1351"/>
      <c r="AH488" s="1351"/>
      <c r="AI488" s="1351"/>
      <c r="AJ488" s="1351"/>
      <c r="AK488" s="1382"/>
      <c r="AZ488" s="3"/>
      <c r="BA488" s="3"/>
      <c r="BB488" s="3"/>
      <c r="BC488" s="3"/>
    </row>
    <row r="489" spans="1:55" ht="13" customHeight="1">
      <c r="B489" s="1412" t="s">
        <v>396</v>
      </c>
      <c r="C489" s="1413"/>
      <c r="D489" s="1413"/>
      <c r="E489" s="1413"/>
      <c r="F489" s="1413"/>
      <c r="G489" s="1413"/>
      <c r="H489" s="1413"/>
      <c r="I489" s="1413"/>
      <c r="J489" s="1413"/>
      <c r="K489" s="1413"/>
      <c r="L489" s="1413"/>
      <c r="M489" s="1413"/>
      <c r="N489" s="1413"/>
      <c r="O489" s="1413"/>
      <c r="P489" s="1414"/>
      <c r="Q489" s="1418" t="s">
        <v>544</v>
      </c>
      <c r="R489" s="1419"/>
      <c r="S489" s="1261" t="s">
        <v>2690</v>
      </c>
      <c r="T489" s="1265"/>
      <c r="U489" s="1265"/>
      <c r="V489" s="1265"/>
      <c r="W489" s="1265"/>
      <c r="X489" s="1265"/>
      <c r="Y489" s="1265"/>
      <c r="Z489" s="1265"/>
      <c r="AA489" s="1265"/>
      <c r="AB489" s="1265"/>
      <c r="AC489" s="1265"/>
      <c r="AD489" s="1265"/>
      <c r="AE489" s="1265"/>
      <c r="AF489" s="1265"/>
      <c r="AG489" s="1265"/>
      <c r="AH489" s="1265"/>
      <c r="AI489" s="1265"/>
      <c r="AJ489" s="1265"/>
      <c r="AK489" s="1266"/>
      <c r="AZ489" s="3"/>
      <c r="BA489" s="3"/>
      <c r="BB489" s="3"/>
      <c r="BC489" s="3"/>
    </row>
    <row r="490" spans="1:55" ht="13" customHeight="1">
      <c r="B490" s="1415"/>
      <c r="C490" s="1416"/>
      <c r="D490" s="1416"/>
      <c r="E490" s="1416"/>
      <c r="F490" s="1416"/>
      <c r="G490" s="1416"/>
      <c r="H490" s="1416"/>
      <c r="I490" s="1416"/>
      <c r="J490" s="1416"/>
      <c r="K490" s="1416"/>
      <c r="L490" s="1416"/>
      <c r="M490" s="1416"/>
      <c r="N490" s="1416"/>
      <c r="O490" s="1416"/>
      <c r="P490" s="1417"/>
      <c r="Q490" s="1420"/>
      <c r="R490" s="1421"/>
      <c r="S490" s="1267"/>
      <c r="T490" s="1264"/>
      <c r="U490" s="1264"/>
      <c r="V490" s="1264"/>
      <c r="W490" s="1264"/>
      <c r="X490" s="1264"/>
      <c r="Y490" s="1264"/>
      <c r="Z490" s="1264"/>
      <c r="AA490" s="1264"/>
      <c r="AB490" s="1264"/>
      <c r="AC490" s="1264"/>
      <c r="AD490" s="1264"/>
      <c r="AE490" s="1264"/>
      <c r="AF490" s="1264"/>
      <c r="AG490" s="1264"/>
      <c r="AH490" s="1264"/>
      <c r="AI490" s="1264"/>
      <c r="AJ490" s="1264"/>
      <c r="AK490" s="1268"/>
      <c r="AZ490" s="3"/>
      <c r="BA490" s="3"/>
      <c r="BB490" s="3"/>
      <c r="BC490" s="3"/>
    </row>
    <row r="491" spans="1:55" ht="13" customHeight="1">
      <c r="B491" s="896" t="s">
        <v>1670</v>
      </c>
      <c r="C491" s="874"/>
      <c r="D491" s="874"/>
      <c r="E491" s="874"/>
      <c r="F491" s="874"/>
      <c r="G491" s="874"/>
      <c r="H491" s="874"/>
      <c r="I491" s="874"/>
      <c r="J491" s="874"/>
      <c r="K491" s="874"/>
      <c r="L491" s="874"/>
      <c r="M491" s="874"/>
      <c r="N491" s="874"/>
      <c r="O491" s="874"/>
      <c r="P491" s="874"/>
      <c r="Q491" s="1388" t="s">
        <v>2691</v>
      </c>
      <c r="R491" s="1389"/>
      <c r="S491" s="1389"/>
      <c r="T491" s="1389"/>
      <c r="U491" s="1389"/>
      <c r="V491" s="1389"/>
      <c r="W491" s="1389"/>
      <c r="X491" s="1389"/>
      <c r="Y491" s="1389"/>
      <c r="Z491" s="1389"/>
      <c r="AA491" s="1389"/>
      <c r="AB491" s="1389"/>
      <c r="AC491" s="1389"/>
      <c r="AD491" s="1389"/>
      <c r="AE491" s="1389"/>
      <c r="AF491" s="1389"/>
      <c r="AG491" s="1389"/>
      <c r="AH491" s="1389"/>
      <c r="AI491" s="1389"/>
      <c r="AJ491" s="1389"/>
      <c r="AK491" s="1390"/>
      <c r="AZ491" s="3"/>
      <c r="BA491" s="3"/>
      <c r="BB491" s="3"/>
      <c r="BC491" s="3"/>
    </row>
    <row r="492" spans="1:55" ht="13" customHeight="1">
      <c r="B492" s="45" t="s">
        <v>397</v>
      </c>
      <c r="C492" s="5"/>
      <c r="D492" s="5"/>
      <c r="E492" s="5"/>
      <c r="F492" s="5"/>
      <c r="G492" s="5"/>
      <c r="H492" s="5"/>
      <c r="I492" s="5"/>
      <c r="J492" s="5"/>
      <c r="K492" s="5"/>
      <c r="L492" s="5"/>
      <c r="M492" s="5"/>
      <c r="N492" s="5"/>
      <c r="O492" s="5"/>
      <c r="P492" s="5"/>
      <c r="Q492" s="1381" t="s">
        <v>2692</v>
      </c>
      <c r="R492" s="1351"/>
      <c r="S492" s="1351"/>
      <c r="T492" s="1351"/>
      <c r="U492" s="1351"/>
      <c r="V492" s="1351"/>
      <c r="W492" s="1351"/>
      <c r="X492" s="1351"/>
      <c r="Y492" s="1351"/>
      <c r="Z492" s="1351"/>
      <c r="AA492" s="1351"/>
      <c r="AB492" s="1351"/>
      <c r="AC492" s="1351"/>
      <c r="AD492" s="1351"/>
      <c r="AE492" s="1351"/>
      <c r="AF492" s="1351"/>
      <c r="AG492" s="1351"/>
      <c r="AH492" s="1351"/>
      <c r="AI492" s="1351"/>
      <c r="AJ492" s="1351"/>
      <c r="AK492" s="1382"/>
      <c r="AZ492" s="3"/>
      <c r="BA492" s="3"/>
      <c r="BB492" s="3"/>
      <c r="BC492" s="3"/>
    </row>
    <row r="493" spans="1:55" ht="13" customHeight="1">
      <c r="B493" s="45" t="s">
        <v>398</v>
      </c>
      <c r="C493" s="5"/>
      <c r="D493" s="5"/>
      <c r="E493" s="5"/>
      <c r="F493" s="5"/>
      <c r="G493" s="5"/>
      <c r="H493" s="5"/>
      <c r="I493" s="5"/>
      <c r="J493" s="5"/>
      <c r="K493" s="5"/>
      <c r="L493" s="5"/>
      <c r="M493" s="5"/>
      <c r="N493" s="5"/>
      <c r="O493" s="5"/>
      <c r="P493" s="5"/>
      <c r="Q493" s="1381" t="s">
        <v>2692</v>
      </c>
      <c r="R493" s="1351"/>
      <c r="S493" s="1351"/>
      <c r="T493" s="1351"/>
      <c r="U493" s="1351"/>
      <c r="V493" s="1351"/>
      <c r="W493" s="1351"/>
      <c r="X493" s="1351"/>
      <c r="Y493" s="1351"/>
      <c r="Z493" s="1351"/>
      <c r="AA493" s="1351"/>
      <c r="AB493" s="1351"/>
      <c r="AC493" s="1351"/>
      <c r="AD493" s="1351"/>
      <c r="AE493" s="1351"/>
      <c r="AF493" s="1351"/>
      <c r="AG493" s="1351"/>
      <c r="AH493" s="1351"/>
      <c r="AI493" s="1351"/>
      <c r="AJ493" s="1351"/>
      <c r="AK493" s="1382"/>
      <c r="AZ493" s="3"/>
      <c r="BA493" s="3"/>
      <c r="BB493" s="3"/>
      <c r="BC493" s="3"/>
    </row>
    <row r="494" spans="1:55" ht="13" customHeight="1">
      <c r="B494" s="121" t="s">
        <v>1667</v>
      </c>
      <c r="C494" s="5"/>
      <c r="D494" s="5"/>
      <c r="E494" s="5"/>
      <c r="F494" s="5"/>
      <c r="G494" s="5"/>
      <c r="H494" s="5"/>
      <c r="I494" s="5"/>
      <c r="J494" s="5"/>
      <c r="K494" s="5"/>
      <c r="L494" s="5"/>
      <c r="M494" s="5"/>
      <c r="N494" s="5"/>
      <c r="O494" s="5"/>
      <c r="P494" s="5"/>
      <c r="Q494" s="1381">
        <v>31</v>
      </c>
      <c r="R494" s="1351"/>
      <c r="S494" s="1351"/>
      <c r="T494" s="1351"/>
      <c r="U494" s="1351"/>
      <c r="V494" s="1351"/>
      <c r="W494" s="1351"/>
      <c r="X494" s="1351"/>
      <c r="Y494" s="1351"/>
      <c r="Z494" s="1351"/>
      <c r="AA494" s="1351"/>
      <c r="AB494" s="1351"/>
      <c r="AC494" s="1351"/>
      <c r="AD494" s="1351"/>
      <c r="AE494" s="1351"/>
      <c r="AF494" s="1351"/>
      <c r="AG494" s="1351"/>
      <c r="AH494" s="1351"/>
      <c r="AI494" s="1351"/>
      <c r="AJ494" s="1351"/>
      <c r="AK494" s="1382"/>
      <c r="AZ494" s="3"/>
      <c r="BA494" s="3"/>
      <c r="BB494" s="3"/>
      <c r="BC494" s="3"/>
    </row>
    <row r="495" spans="1:55" ht="13" customHeight="1">
      <c r="B495" s="121" t="s">
        <v>1668</v>
      </c>
      <c r="C495" s="5"/>
      <c r="D495" s="5"/>
      <c r="E495" s="5"/>
      <c r="F495" s="5"/>
      <c r="G495" s="5"/>
      <c r="H495" s="5"/>
      <c r="I495" s="5"/>
      <c r="J495" s="5"/>
      <c r="K495" s="5"/>
      <c r="L495" s="5"/>
      <c r="M495" s="1391"/>
      <c r="N495" s="1392"/>
      <c r="O495" s="1392"/>
      <c r="P495" s="1393"/>
      <c r="Q495" s="121" t="s">
        <v>1669</v>
      </c>
      <c r="R495" s="5"/>
      <c r="S495" s="5"/>
      <c r="T495" s="5"/>
      <c r="U495" s="5"/>
      <c r="V495" s="5"/>
      <c r="W495" s="5"/>
      <c r="X495" s="5"/>
      <c r="Y495" s="5"/>
      <c r="Z495" s="5"/>
      <c r="AA495" s="5"/>
      <c r="AB495" s="5"/>
      <c r="AC495" s="5"/>
      <c r="AD495" s="5"/>
      <c r="AE495" s="5"/>
      <c r="AF495" s="5"/>
      <c r="AG495" s="5"/>
      <c r="AH495" s="1391">
        <v>31</v>
      </c>
      <c r="AI495" s="1392"/>
      <c r="AJ495" s="1392"/>
      <c r="AK495" s="1393"/>
      <c r="AZ495" s="3"/>
      <c r="BA495" s="3"/>
      <c r="BB495" s="3"/>
      <c r="BC495" s="3"/>
    </row>
    <row r="496" spans="1:55" ht="13" customHeight="1">
      <c r="B496" s="513"/>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row>
    <row r="497" spans="1:66" ht="13" customHeight="1">
      <c r="A497" s="2" t="s">
        <v>575</v>
      </c>
      <c r="C497" s="2" t="s">
        <v>399</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row>
    <row r="498" spans="1:66" ht="13" customHeight="1">
      <c r="B498" s="529"/>
      <c r="C498" s="513"/>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row>
    <row r="499" spans="1:66" ht="13"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396" t="s">
        <v>400</v>
      </c>
      <c r="AD499" s="1397"/>
      <c r="AE499" s="1397"/>
      <c r="AF499" s="1397"/>
      <c r="AG499" s="1397"/>
      <c r="AH499" s="1397"/>
      <c r="AI499" s="1397"/>
      <c r="AJ499" s="1397"/>
      <c r="AK499" s="1398"/>
      <c r="AZ499" s="3"/>
      <c r="BA499" s="3"/>
      <c r="BB499" s="3"/>
      <c r="BC499" s="3"/>
      <c r="BD499" s="3"/>
      <c r="BE499" s="3"/>
      <c r="BF499" s="3"/>
      <c r="BG499" s="3"/>
      <c r="BH499" s="3"/>
      <c r="BI499" s="3"/>
      <c r="BJ499" s="3"/>
      <c r="BK499" s="3"/>
      <c r="BL499" s="3"/>
      <c r="BM499" s="3"/>
      <c r="BN499" s="3"/>
    </row>
    <row r="500" spans="1:66" ht="13"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396" t="s">
        <v>401</v>
      </c>
      <c r="AD500" s="1397"/>
      <c r="AE500" s="1397"/>
      <c r="AF500" s="1397"/>
      <c r="AG500" s="50" t="s">
        <v>402</v>
      </c>
      <c r="AH500" s="1397" t="s">
        <v>403</v>
      </c>
      <c r="AI500" s="1397"/>
      <c r="AJ500" s="1397"/>
      <c r="AK500" s="1398"/>
      <c r="AZ500" s="3"/>
      <c r="BA500" s="3"/>
      <c r="BB500" s="3"/>
      <c r="BC500" s="3"/>
      <c r="BD500" s="3"/>
      <c r="BE500" s="3"/>
      <c r="BF500" s="3"/>
      <c r="BG500" s="3"/>
      <c r="BH500" s="3"/>
      <c r="BI500" s="3"/>
      <c r="BJ500" s="3"/>
      <c r="BK500" s="3"/>
      <c r="BL500" s="3"/>
      <c r="BM500" s="3"/>
      <c r="BN500" s="3"/>
    </row>
    <row r="501" spans="1:66" ht="13" customHeight="1">
      <c r="B501" s="1425" t="s">
        <v>404</v>
      </c>
      <c r="C501" s="1426"/>
      <c r="D501" s="1426"/>
      <c r="E501" s="1426"/>
      <c r="F501" s="1426"/>
      <c r="G501" s="1426"/>
      <c r="H501" s="1427"/>
      <c r="I501" s="42" t="s">
        <v>405</v>
      </c>
      <c r="J501" s="42"/>
      <c r="K501" s="42"/>
      <c r="L501" s="42"/>
      <c r="M501" s="42"/>
      <c r="N501" s="42"/>
      <c r="O501" s="42"/>
      <c r="P501" s="42"/>
      <c r="Q501" s="42"/>
      <c r="R501" s="42"/>
      <c r="S501" s="42"/>
      <c r="T501" s="42"/>
      <c r="U501" s="42"/>
      <c r="V501" s="42"/>
      <c r="W501" s="42"/>
      <c r="AC501" s="1373">
        <v>10</v>
      </c>
      <c r="AD501" s="1374"/>
      <c r="AE501" s="1374"/>
      <c r="AF501" s="1374"/>
      <c r="AG501" s="13" t="s">
        <v>402</v>
      </c>
      <c r="AH501" s="1407">
        <v>1998</v>
      </c>
      <c r="AI501" s="1407"/>
      <c r="AJ501" s="1407"/>
      <c r="AK501" s="1408"/>
      <c r="AZ501" s="3"/>
      <c r="BA501" s="3"/>
      <c r="BB501" s="3"/>
      <c r="BC501" s="3"/>
      <c r="BD501" s="3"/>
      <c r="BE501" s="3"/>
      <c r="BF501" s="3"/>
      <c r="BG501" s="3"/>
      <c r="BH501" s="3"/>
      <c r="BI501" s="3"/>
      <c r="BJ501" s="3"/>
      <c r="BK501" s="3"/>
      <c r="BL501" s="3"/>
      <c r="BM501" s="3"/>
      <c r="BN501" s="3"/>
    </row>
    <row r="502" spans="1:66" ht="13" customHeight="1">
      <c r="B502" s="1428"/>
      <c r="C502" s="1429"/>
      <c r="D502" s="1429"/>
      <c r="E502" s="1429"/>
      <c r="F502" s="1429"/>
      <c r="G502" s="1429"/>
      <c r="H502" s="1430"/>
      <c r="I502" s="48" t="s">
        <v>406</v>
      </c>
      <c r="J502" s="48"/>
      <c r="K502" s="48"/>
      <c r="L502" s="48"/>
      <c r="M502" s="48"/>
      <c r="N502" s="48"/>
      <c r="O502" s="48"/>
      <c r="P502" s="48"/>
      <c r="Q502" s="48"/>
      <c r="R502" s="48"/>
      <c r="S502" s="48"/>
      <c r="T502" s="48"/>
      <c r="U502" s="48"/>
      <c r="V502" s="48"/>
      <c r="W502" s="48"/>
      <c r="X502" s="48"/>
      <c r="Y502" s="48"/>
      <c r="Z502" s="48"/>
      <c r="AA502" s="48"/>
      <c r="AB502" s="48"/>
      <c r="AC502" s="1373" t="s">
        <v>590</v>
      </c>
      <c r="AD502" s="1374"/>
      <c r="AE502" s="1374"/>
      <c r="AF502" s="1374"/>
      <c r="AG502" s="38" t="s">
        <v>402</v>
      </c>
      <c r="AH502" s="1407"/>
      <c r="AI502" s="1407"/>
      <c r="AJ502" s="1407"/>
      <c r="AK502" s="1408"/>
      <c r="AZ502" s="3"/>
      <c r="BA502" s="3"/>
      <c r="BB502" s="3"/>
      <c r="BC502" s="3"/>
      <c r="BD502" s="3"/>
      <c r="BE502" s="3"/>
      <c r="BF502" s="3"/>
      <c r="BG502" s="3"/>
      <c r="BH502" s="3"/>
      <c r="BI502" s="3"/>
      <c r="BJ502" s="3"/>
      <c r="BK502" s="3"/>
      <c r="BL502" s="3"/>
      <c r="BM502" s="3"/>
      <c r="BN502" s="3"/>
    </row>
    <row r="503" spans="1:66" ht="13" customHeight="1">
      <c r="B503" s="1425" t="s">
        <v>407</v>
      </c>
      <c r="C503" s="1426"/>
      <c r="D503" s="1426"/>
      <c r="E503" s="1426"/>
      <c r="F503" s="1426"/>
      <c r="G503" s="1426"/>
      <c r="H503" s="1427"/>
      <c r="I503" s="42" t="s">
        <v>408</v>
      </c>
      <c r="J503" s="42"/>
      <c r="K503" s="42"/>
      <c r="L503" s="42"/>
      <c r="M503" s="42"/>
      <c r="N503" s="42"/>
      <c r="O503" s="42"/>
      <c r="P503" s="42"/>
      <c r="Q503" s="42"/>
      <c r="R503" s="42"/>
      <c r="S503" s="42"/>
      <c r="T503" s="42"/>
      <c r="U503" s="42"/>
      <c r="V503" s="42"/>
      <c r="W503" s="42"/>
      <c r="AC503" s="1373">
        <v>10</v>
      </c>
      <c r="AD503" s="1374"/>
      <c r="AE503" s="1374"/>
      <c r="AF503" s="1374"/>
      <c r="AG503" s="13" t="s">
        <v>402</v>
      </c>
      <c r="AH503" s="1407">
        <v>1998</v>
      </c>
      <c r="AI503" s="1407"/>
      <c r="AJ503" s="1407"/>
      <c r="AK503" s="1408"/>
      <c r="AZ503" s="3"/>
      <c r="BA503" s="3"/>
      <c r="BB503" s="3"/>
      <c r="BC503" s="3"/>
      <c r="BD503" s="3"/>
      <c r="BE503" s="3"/>
      <c r="BF503" s="3"/>
      <c r="BG503" s="3"/>
      <c r="BH503" s="3"/>
      <c r="BI503" s="3"/>
      <c r="BJ503" s="3"/>
      <c r="BK503" s="3"/>
      <c r="BL503" s="3"/>
      <c r="BM503" s="3"/>
      <c r="BN503" s="3"/>
    </row>
    <row r="504" spans="1:66" ht="13" customHeight="1">
      <c r="B504" s="1428"/>
      <c r="C504" s="1429"/>
      <c r="D504" s="1429"/>
      <c r="E504" s="1429"/>
      <c r="F504" s="1429"/>
      <c r="G504" s="1429"/>
      <c r="H504" s="1430"/>
      <c r="I504" t="s">
        <v>409</v>
      </c>
      <c r="AC504" s="1373">
        <v>10</v>
      </c>
      <c r="AD504" s="1374"/>
      <c r="AE504" s="1374"/>
      <c r="AF504" s="1374"/>
      <c r="AG504" s="13" t="s">
        <v>402</v>
      </c>
      <c r="AH504" s="1407">
        <v>1998</v>
      </c>
      <c r="AI504" s="1407"/>
      <c r="AJ504" s="1407"/>
      <c r="AK504" s="1408"/>
      <c r="AZ504" s="3"/>
      <c r="BA504" s="3"/>
      <c r="BB504" s="3"/>
      <c r="BC504" s="3"/>
      <c r="BD504" s="3"/>
      <c r="BE504" s="3"/>
      <c r="BF504" s="3"/>
      <c r="BG504" s="3"/>
      <c r="BH504" s="3"/>
      <c r="BI504" s="3"/>
      <c r="BJ504" s="3"/>
      <c r="BK504" s="3"/>
      <c r="BL504" s="3"/>
      <c r="BM504" s="3"/>
      <c r="BN504" s="3"/>
    </row>
    <row r="505" spans="1:66" ht="13" customHeight="1">
      <c r="B505" s="1428"/>
      <c r="C505" s="1429"/>
      <c r="D505" s="1429"/>
      <c r="E505" s="1429"/>
      <c r="F505" s="1429"/>
      <c r="G505" s="1429"/>
      <c r="H505" s="1430"/>
      <c r="I505" t="s">
        <v>410</v>
      </c>
      <c r="AC505" s="1373" t="s">
        <v>590</v>
      </c>
      <c r="AD505" s="1374"/>
      <c r="AE505" s="1374"/>
      <c r="AF505" s="1374"/>
      <c r="AG505" s="13" t="s">
        <v>402</v>
      </c>
      <c r="AH505" s="1407"/>
      <c r="AI505" s="1407"/>
      <c r="AJ505" s="1407"/>
      <c r="AK505" s="1408"/>
      <c r="AZ505" s="3"/>
      <c r="BA505" s="3"/>
      <c r="BB505" s="3"/>
      <c r="BC505" s="3"/>
      <c r="BD505" s="3"/>
      <c r="BE505" s="3"/>
      <c r="BF505" s="3"/>
      <c r="BG505" s="3"/>
      <c r="BH505" s="3"/>
      <c r="BI505" s="3"/>
      <c r="BJ505" s="3"/>
      <c r="BK505" s="3"/>
      <c r="BL505" s="3"/>
      <c r="BM505" s="3"/>
      <c r="BN505" s="3"/>
    </row>
    <row r="506" spans="1:66" ht="13" customHeight="1">
      <c r="B506" s="1428"/>
      <c r="C506" s="1429"/>
      <c r="D506" s="1429"/>
      <c r="E506" s="1429"/>
      <c r="F506" s="1429"/>
      <c r="G506" s="1429"/>
      <c r="H506" s="1430"/>
      <c r="I506" t="s">
        <v>411</v>
      </c>
      <c r="AC506" s="1373" t="s">
        <v>590</v>
      </c>
      <c r="AD506" s="1374"/>
      <c r="AE506" s="1374"/>
      <c r="AF506" s="1374"/>
      <c r="AG506" s="13" t="s">
        <v>402</v>
      </c>
      <c r="AH506" s="1407"/>
      <c r="AI506" s="1407"/>
      <c r="AJ506" s="1407"/>
      <c r="AK506" s="1408"/>
      <c r="AZ506" s="3"/>
      <c r="BA506" s="3"/>
      <c r="BB506" s="3"/>
      <c r="BC506" s="3"/>
      <c r="BD506" s="3"/>
      <c r="BE506" s="3"/>
      <c r="BF506" s="3"/>
      <c r="BG506" s="3"/>
      <c r="BH506" s="3"/>
      <c r="BI506" s="3"/>
      <c r="BJ506" s="3"/>
      <c r="BK506" s="3"/>
      <c r="BL506" s="3"/>
      <c r="BM506" s="3"/>
      <c r="BN506" s="3"/>
    </row>
    <row r="507" spans="1:66" ht="13" customHeight="1">
      <c r="B507" s="1428"/>
      <c r="C507" s="1429"/>
      <c r="D507" s="1429"/>
      <c r="E507" s="1429"/>
      <c r="F507" s="1429"/>
      <c r="G507" s="1429"/>
      <c r="H507" s="1430"/>
      <c r="I507" s="3" t="s">
        <v>412</v>
      </c>
      <c r="AC507" s="1365">
        <v>9</v>
      </c>
      <c r="AD507" s="1366"/>
      <c r="AE507" s="1366"/>
      <c r="AF507" s="1366"/>
      <c r="AG507" s="13" t="s">
        <v>402</v>
      </c>
      <c r="AH507" s="1407">
        <v>2025</v>
      </c>
      <c r="AI507" s="1407"/>
      <c r="AJ507" s="1407"/>
      <c r="AK507" s="1408"/>
      <c r="AZ507" s="3"/>
      <c r="BA507" s="3"/>
      <c r="BB507" s="3"/>
      <c r="BC507" s="3"/>
      <c r="BD507" s="3"/>
      <c r="BE507" s="3"/>
      <c r="BF507" s="3"/>
      <c r="BG507" s="3"/>
      <c r="BH507" s="3"/>
      <c r="BI507" s="3"/>
      <c r="BJ507" s="3"/>
      <c r="BK507" s="3"/>
      <c r="BL507" s="3"/>
      <c r="BM507" s="3"/>
      <c r="BN507" s="3"/>
    </row>
    <row r="508" spans="1:66" ht="13" customHeight="1">
      <c r="B508" s="1428"/>
      <c r="C508" s="1429"/>
      <c r="D508" s="1429"/>
      <c r="E508" s="1429"/>
      <c r="F508" s="1429"/>
      <c r="G508" s="1429"/>
      <c r="H508" s="1430"/>
      <c r="I508" s="897" t="s">
        <v>169</v>
      </c>
      <c r="J508" s="48"/>
      <c r="K508" s="48"/>
      <c r="L508" s="1422" t="s">
        <v>333</v>
      </c>
      <c r="M508" s="1423"/>
      <c r="N508" s="1423"/>
      <c r="O508" s="1423"/>
      <c r="P508" s="1423"/>
      <c r="Q508" s="1423"/>
      <c r="R508" s="1423"/>
      <c r="S508" s="1423"/>
      <c r="T508" s="1423"/>
      <c r="U508" s="1423"/>
      <c r="V508" s="1423"/>
      <c r="W508" s="1423"/>
      <c r="X508" s="1423"/>
      <c r="Y508" s="1423"/>
      <c r="Z508" s="1423"/>
      <c r="AA508" s="1423"/>
      <c r="AB508" s="1578"/>
      <c r="AC508" s="1373" t="s">
        <v>590</v>
      </c>
      <c r="AD508" s="1374"/>
      <c r="AE508" s="1374"/>
      <c r="AF508" s="1374"/>
      <c r="AG508" s="38" t="s">
        <v>402</v>
      </c>
      <c r="AH508" s="1407"/>
      <c r="AI508" s="1407"/>
      <c r="AJ508" s="1407"/>
      <c r="AK508" s="1408"/>
      <c r="AZ508" s="3"/>
      <c r="BA508" s="3"/>
      <c r="BB508" s="3"/>
      <c r="BC508" s="3"/>
      <c r="BD508" s="3"/>
      <c r="BE508" s="3"/>
      <c r="BF508" s="3"/>
      <c r="BG508" s="3"/>
      <c r="BH508" s="3"/>
      <c r="BI508" s="3"/>
      <c r="BJ508" s="3"/>
      <c r="BK508" s="3"/>
      <c r="BL508" s="3"/>
      <c r="BM508" s="3"/>
      <c r="BN508" s="3"/>
    </row>
    <row r="509" spans="1:66" ht="13" customHeight="1">
      <c r="B509" s="872"/>
      <c r="C509" s="130"/>
      <c r="D509" s="130"/>
      <c r="E509" s="130"/>
      <c r="F509" s="130"/>
      <c r="G509" s="130"/>
      <c r="H509" s="873"/>
      <c r="I509" s="3" t="s">
        <v>1674</v>
      </c>
      <c r="AC509" s="1395" t="s">
        <v>544</v>
      </c>
      <c r="AD509" s="1395"/>
      <c r="AE509" s="1395"/>
      <c r="AF509" s="1395"/>
      <c r="AG509" s="13"/>
      <c r="AH509" s="1409"/>
      <c r="AI509" s="1409"/>
      <c r="AJ509" s="1409"/>
      <c r="AK509" s="1410"/>
      <c r="AZ509" s="3"/>
      <c r="BA509" s="3"/>
      <c r="BB509" s="3"/>
      <c r="BC509" s="3"/>
      <c r="BD509" s="3"/>
      <c r="BE509" s="3"/>
      <c r="BF509" s="3"/>
      <c r="BG509" s="3"/>
      <c r="BH509" s="3"/>
      <c r="BI509" s="3"/>
      <c r="BJ509" s="3"/>
      <c r="BK509" s="3"/>
      <c r="BL509" s="3"/>
      <c r="BM509" s="3"/>
      <c r="BN509" s="3"/>
    </row>
    <row r="510" spans="1:66" ht="13" customHeight="1">
      <c r="B510" s="872"/>
      <c r="C510" s="130"/>
      <c r="D510" s="130"/>
      <c r="E510" s="130"/>
      <c r="F510" s="130"/>
      <c r="G510" s="130"/>
      <c r="H510" s="873"/>
      <c r="I510" t="s">
        <v>1671</v>
      </c>
      <c r="AC510" s="1365">
        <v>2</v>
      </c>
      <c r="AD510" s="1366"/>
      <c r="AE510" s="1366"/>
      <c r="AF510" s="1367"/>
      <c r="AG510" s="13"/>
      <c r="AH510" s="1409"/>
      <c r="AI510" s="1409"/>
      <c r="AJ510" s="1409"/>
      <c r="AK510" s="1410"/>
      <c r="AZ510" s="3"/>
      <c r="BA510" s="3"/>
      <c r="BB510" s="3"/>
      <c r="BC510" s="3"/>
      <c r="BD510" s="3"/>
      <c r="BE510" s="3"/>
      <c r="BF510" s="3"/>
      <c r="BG510" s="3"/>
      <c r="BH510" s="3"/>
      <c r="BI510" s="3"/>
      <c r="BJ510" s="3"/>
      <c r="BK510" s="3"/>
      <c r="BL510" s="3"/>
      <c r="BM510" s="3"/>
      <c r="BN510" s="3"/>
    </row>
    <row r="511" spans="1:66" ht="13" customHeight="1">
      <c r="B511" s="872"/>
      <c r="C511" s="130"/>
      <c r="D511" s="130"/>
      <c r="E511" s="130"/>
      <c r="F511" s="130"/>
      <c r="G511" s="130"/>
      <c r="H511" s="873"/>
      <c r="I511" t="s">
        <v>1672</v>
      </c>
      <c r="AC511" s="891"/>
      <c r="AD511" s="892"/>
      <c r="AE511" s="892"/>
      <c r="AF511" s="893"/>
      <c r="AG511" s="13"/>
      <c r="AH511" s="1"/>
      <c r="AI511" s="1"/>
      <c r="AJ511" s="1"/>
      <c r="AK511" s="1007"/>
      <c r="AZ511" s="3"/>
      <c r="BA511" s="3"/>
      <c r="BB511" s="3"/>
      <c r="BC511" s="3"/>
      <c r="BD511" s="3"/>
      <c r="BE511" s="3"/>
      <c r="BF511" s="3"/>
      <c r="BG511" s="3"/>
      <c r="BH511" s="3"/>
      <c r="BI511" s="3"/>
      <c r="BJ511" s="3"/>
      <c r="BK511" s="3"/>
      <c r="BL511" s="3"/>
      <c r="BM511" s="3"/>
      <c r="BN511" s="3"/>
    </row>
    <row r="512" spans="1:66" ht="13" customHeight="1">
      <c r="B512" s="872"/>
      <c r="C512" s="130"/>
      <c r="D512" s="130"/>
      <c r="E512" s="130"/>
      <c r="F512" s="130"/>
      <c r="G512" s="130"/>
      <c r="H512" s="873"/>
      <c r="I512" s="898" t="s">
        <v>1673</v>
      </c>
      <c r="J512" s="48"/>
      <c r="K512" s="48"/>
      <c r="L512" s="48"/>
      <c r="M512" s="48"/>
      <c r="N512" s="48"/>
      <c r="O512" s="48"/>
      <c r="P512" s="48"/>
      <c r="Q512" s="48"/>
      <c r="R512" s="48"/>
      <c r="S512" s="48"/>
      <c r="T512" s="48"/>
      <c r="U512" s="48"/>
      <c r="V512" s="48"/>
      <c r="W512" s="48"/>
      <c r="X512" s="48"/>
      <c r="Y512" s="48"/>
      <c r="Z512" s="48"/>
      <c r="AA512" s="48"/>
      <c r="AB512" s="48"/>
      <c r="AC512" s="1573">
        <v>0.5</v>
      </c>
      <c r="AD512" s="1574"/>
      <c r="AE512" s="1574"/>
      <c r="AF512" s="1575"/>
      <c r="AG512" s="38"/>
      <c r="AH512" s="1589"/>
      <c r="AI512" s="1589"/>
      <c r="AJ512" s="1589"/>
      <c r="AK512" s="1590"/>
      <c r="AZ512" s="3"/>
      <c r="BA512" s="3"/>
      <c r="BB512" s="3"/>
      <c r="BC512" s="3"/>
      <c r="BD512" s="3"/>
      <c r="BE512" s="3"/>
      <c r="BF512" s="3"/>
      <c r="BG512" s="3"/>
      <c r="BH512" s="3"/>
      <c r="BI512" s="3"/>
      <c r="BJ512" s="3"/>
      <c r="BK512" s="3"/>
      <c r="BL512" s="3"/>
      <c r="BM512" s="3"/>
      <c r="BN512" s="3" t="s">
        <v>1183</v>
      </c>
    </row>
    <row r="513" spans="2:66" ht="13" customHeight="1">
      <c r="B513" s="872"/>
      <c r="C513" s="130"/>
      <c r="D513" s="130"/>
      <c r="E513" s="130"/>
      <c r="F513" s="130"/>
      <c r="G513" s="130"/>
      <c r="H513" s="873"/>
      <c r="I513" s="3"/>
      <c r="L513" s="8"/>
      <c r="M513" s="8"/>
      <c r="N513" s="8"/>
      <c r="O513" s="8"/>
      <c r="P513" s="8"/>
      <c r="Q513" s="8"/>
      <c r="R513" s="8"/>
      <c r="S513" s="8"/>
      <c r="T513" s="8"/>
      <c r="U513" s="8"/>
      <c r="V513" s="8"/>
      <c r="W513" s="8"/>
      <c r="X513" s="1008"/>
      <c r="Y513" s="1008"/>
      <c r="Z513" s="1008"/>
      <c r="AA513" s="1008"/>
      <c r="AB513" s="1015"/>
      <c r="AC513" s="1867" t="s">
        <v>401</v>
      </c>
      <c r="AD513" s="1576"/>
      <c r="AE513" s="1576"/>
      <c r="AF513" s="1576"/>
      <c r="AG513" s="38" t="s">
        <v>402</v>
      </c>
      <c r="AH513" s="1576" t="s">
        <v>403</v>
      </c>
      <c r="AI513" s="1576"/>
      <c r="AJ513" s="1576"/>
      <c r="AK513" s="1577"/>
      <c r="AZ513" s="3"/>
      <c r="BA513" s="3"/>
      <c r="BB513" s="3"/>
      <c r="BC513" s="3"/>
      <c r="BD513" s="3"/>
      <c r="BE513" s="3"/>
      <c r="BF513" s="3"/>
      <c r="BG513" s="3"/>
      <c r="BH513" s="3"/>
      <c r="BI513" s="3"/>
      <c r="BJ513" s="3"/>
      <c r="BK513" s="3"/>
      <c r="BL513" s="3"/>
      <c r="BM513" s="3"/>
      <c r="BN513" s="3" t="s">
        <v>2105</v>
      </c>
    </row>
    <row r="514" spans="2:66" ht="13" customHeight="1">
      <c r="B514" s="1425" t="s">
        <v>413</v>
      </c>
      <c r="C514" s="1426"/>
      <c r="D514" s="1426"/>
      <c r="E514" s="1426"/>
      <c r="F514" s="1426"/>
      <c r="G514" s="1426"/>
      <c r="H514" s="1427"/>
      <c r="I514" s="42" t="s">
        <v>414</v>
      </c>
      <c r="J514" s="42"/>
      <c r="K514" s="42"/>
      <c r="L514" s="42"/>
      <c r="M514" s="42"/>
      <c r="N514" s="42"/>
      <c r="O514" s="42"/>
      <c r="P514" s="42"/>
      <c r="Q514" s="42"/>
      <c r="R514" s="42"/>
      <c r="S514" s="42"/>
      <c r="T514" s="42"/>
      <c r="U514" s="42"/>
      <c r="V514" s="42"/>
      <c r="W514" s="42"/>
      <c r="AC514" s="1373">
        <v>1</v>
      </c>
      <c r="AD514" s="1374"/>
      <c r="AE514" s="1374"/>
      <c r="AF514" s="1374"/>
      <c r="AG514" s="13" t="s">
        <v>402</v>
      </c>
      <c r="AH514" s="1407">
        <v>2025</v>
      </c>
      <c r="AI514" s="1407"/>
      <c r="AJ514" s="1407"/>
      <c r="AK514" s="1408"/>
      <c r="AZ514" s="3"/>
      <c r="BA514" s="3"/>
      <c r="BB514" s="3"/>
      <c r="BC514" s="3"/>
      <c r="BD514" s="3"/>
      <c r="BE514" s="3"/>
      <c r="BF514" s="3"/>
      <c r="BG514" s="3"/>
      <c r="BH514" s="3"/>
      <c r="BI514" s="3"/>
      <c r="BJ514" s="3"/>
      <c r="BK514" s="3"/>
      <c r="BL514" s="3"/>
      <c r="BM514" s="3"/>
      <c r="BN514" s="3" t="s">
        <v>2106</v>
      </c>
    </row>
    <row r="515" spans="2:66" ht="13" customHeight="1">
      <c r="B515" s="1428"/>
      <c r="C515" s="1429"/>
      <c r="D515" s="1429"/>
      <c r="E515" s="1429"/>
      <c r="F515" s="1429"/>
      <c r="G515" s="1429"/>
      <c r="H515" s="1430"/>
      <c r="I515" t="s">
        <v>415</v>
      </c>
      <c r="AC515" s="1373">
        <v>1</v>
      </c>
      <c r="AD515" s="1374"/>
      <c r="AE515" s="1374"/>
      <c r="AF515" s="1374"/>
      <c r="AG515" s="13" t="s">
        <v>402</v>
      </c>
      <c r="AH515" s="1407">
        <v>2025</v>
      </c>
      <c r="AI515" s="1407"/>
      <c r="AJ515" s="1407"/>
      <c r="AK515" s="1408"/>
      <c r="AZ515" s="3"/>
      <c r="BA515" s="3"/>
      <c r="BB515" s="3"/>
      <c r="BC515" s="3"/>
      <c r="BD515" s="3"/>
      <c r="BE515" s="3"/>
      <c r="BF515" s="3"/>
      <c r="BG515" s="3"/>
      <c r="BH515" s="3"/>
      <c r="BI515" s="3"/>
      <c r="BJ515" s="3"/>
      <c r="BK515" s="3"/>
      <c r="BL515" s="3"/>
      <c r="BM515" s="3"/>
      <c r="BN515" s="3" t="s">
        <v>2107</v>
      </c>
    </row>
    <row r="516" spans="2:66" ht="13" customHeight="1">
      <c r="B516" s="1428"/>
      <c r="C516" s="1429"/>
      <c r="D516" s="1429"/>
      <c r="E516" s="1429"/>
      <c r="F516" s="1429"/>
      <c r="G516" s="1429"/>
      <c r="H516" s="1430"/>
      <c r="I516" s="48" t="s">
        <v>416</v>
      </c>
      <c r="J516" s="48"/>
      <c r="K516" s="48"/>
      <c r="L516" s="48"/>
      <c r="M516" s="48"/>
      <c r="N516" s="48"/>
      <c r="O516" s="48"/>
      <c r="P516" s="48"/>
      <c r="Q516" s="48"/>
      <c r="R516" s="48"/>
      <c r="S516" s="48"/>
      <c r="T516" s="48"/>
      <c r="U516" s="48"/>
      <c r="V516" s="48"/>
      <c r="W516" s="48"/>
      <c r="X516" s="48"/>
      <c r="Y516" s="48"/>
      <c r="Z516" s="48"/>
      <c r="AA516" s="48"/>
      <c r="AB516" s="48"/>
      <c r="AC516" s="1690">
        <v>9</v>
      </c>
      <c r="AD516" s="1374"/>
      <c r="AE516" s="1374"/>
      <c r="AF516" s="1374"/>
      <c r="AG516" s="38" t="s">
        <v>402</v>
      </c>
      <c r="AH516" s="1407">
        <v>2025</v>
      </c>
      <c r="AI516" s="1407"/>
      <c r="AJ516" s="1407"/>
      <c r="AK516" s="1408"/>
      <c r="AZ516" s="3"/>
      <c r="BA516" s="3"/>
      <c r="BB516" s="3"/>
      <c r="BC516" s="3"/>
      <c r="BD516" s="3"/>
      <c r="BE516" s="3"/>
      <c r="BF516" s="3"/>
      <c r="BG516" s="3"/>
      <c r="BH516" s="3"/>
      <c r="BI516" s="3"/>
      <c r="BJ516" s="3"/>
      <c r="BK516" s="3"/>
      <c r="BL516" s="3"/>
      <c r="BM516" s="3"/>
      <c r="BN516" s="3" t="s">
        <v>2108</v>
      </c>
    </row>
    <row r="517" spans="2:66" ht="13" customHeight="1">
      <c r="B517" s="1425" t="s">
        <v>417</v>
      </c>
      <c r="C517" s="1426"/>
      <c r="D517" s="1426"/>
      <c r="E517" s="1426"/>
      <c r="F517" s="1426"/>
      <c r="G517" s="1426"/>
      <c r="H517" s="1427"/>
      <c r="I517" s="42" t="s">
        <v>414</v>
      </c>
      <c r="J517" s="42"/>
      <c r="K517" s="42"/>
      <c r="L517" s="42"/>
      <c r="M517" s="42"/>
      <c r="N517" s="42"/>
      <c r="O517" s="42"/>
      <c r="P517" s="42"/>
      <c r="Q517" s="42"/>
      <c r="R517" s="42"/>
      <c r="S517" s="42"/>
      <c r="T517" s="42"/>
      <c r="U517" s="42"/>
      <c r="V517" s="42"/>
      <c r="W517" s="42"/>
      <c r="X517" s="42"/>
      <c r="Y517" s="42"/>
      <c r="Z517" s="42"/>
      <c r="AA517" s="42"/>
      <c r="AB517" s="42"/>
      <c r="AC517" s="1365">
        <v>1</v>
      </c>
      <c r="AD517" s="1366"/>
      <c r="AE517" s="1366"/>
      <c r="AF517" s="1366"/>
      <c r="AG517" s="129" t="s">
        <v>402</v>
      </c>
      <c r="AH517" s="1407">
        <v>2025</v>
      </c>
      <c r="AI517" s="1407"/>
      <c r="AJ517" s="1407"/>
      <c r="AK517" s="1408"/>
      <c r="AZ517" s="3"/>
      <c r="BB517" s="3"/>
      <c r="BC517" s="3"/>
      <c r="BD517" s="3"/>
      <c r="BE517" s="3"/>
      <c r="BF517" s="3"/>
      <c r="BG517" s="3"/>
      <c r="BH517" s="3"/>
      <c r="BI517" s="3"/>
      <c r="BJ517" s="3"/>
      <c r="BK517" s="3"/>
      <c r="BL517" s="3"/>
      <c r="BM517" s="3"/>
      <c r="BN517" s="3" t="s">
        <v>2109</v>
      </c>
    </row>
    <row r="518" spans="2:66" ht="13" customHeight="1">
      <c r="B518" s="1428"/>
      <c r="C518" s="1429"/>
      <c r="D518" s="1429"/>
      <c r="E518" s="1429"/>
      <c r="F518" s="1429"/>
      <c r="G518" s="1429"/>
      <c r="H518" s="1430"/>
      <c r="I518" t="s">
        <v>415</v>
      </c>
      <c r="AC518" s="1373">
        <v>1</v>
      </c>
      <c r="AD518" s="1374"/>
      <c r="AE518" s="1374"/>
      <c r="AF518" s="1374"/>
      <c r="AG518" s="13" t="s">
        <v>402</v>
      </c>
      <c r="AH518" s="1407">
        <v>2025</v>
      </c>
      <c r="AI518" s="1407"/>
      <c r="AJ518" s="1407"/>
      <c r="AK518" s="1408"/>
      <c r="BB518" s="3"/>
      <c r="BC518" s="3"/>
      <c r="BD518" s="3"/>
      <c r="BE518" s="3"/>
      <c r="BF518" s="3"/>
      <c r="BG518" s="3"/>
      <c r="BH518" s="3"/>
      <c r="BI518" s="3"/>
      <c r="BJ518" s="3"/>
      <c r="BK518" s="3"/>
      <c r="BL518" s="3"/>
      <c r="BM518" s="3"/>
      <c r="BN518" s="3" t="s">
        <v>2110</v>
      </c>
    </row>
    <row r="519" spans="2:66" ht="13" customHeight="1">
      <c r="B519" s="1431"/>
      <c r="C519" s="1432"/>
      <c r="D519" s="1432"/>
      <c r="E519" s="1432"/>
      <c r="F519" s="1432"/>
      <c r="G519" s="1432"/>
      <c r="H519" s="1433"/>
      <c r="I519" s="48" t="s">
        <v>416</v>
      </c>
      <c r="J519" s="48"/>
      <c r="K519" s="48"/>
      <c r="L519" s="48"/>
      <c r="M519" s="48"/>
      <c r="N519" s="48"/>
      <c r="O519" s="48"/>
      <c r="P519" s="48"/>
      <c r="Q519" s="48"/>
      <c r="R519" s="48"/>
      <c r="S519" s="48"/>
      <c r="T519" s="48"/>
      <c r="U519" s="48"/>
      <c r="V519" s="48"/>
      <c r="W519" s="48"/>
      <c r="X519" s="48"/>
      <c r="Y519" s="48"/>
      <c r="Z519" s="48"/>
      <c r="AA519" s="48"/>
      <c r="AB519" s="48"/>
      <c r="AC519" s="1373">
        <v>5</v>
      </c>
      <c r="AD519" s="1374"/>
      <c r="AE519" s="1374"/>
      <c r="AF519" s="1374"/>
      <c r="AG519" s="38" t="s">
        <v>402</v>
      </c>
      <c r="AH519" s="1407">
        <v>2027</v>
      </c>
      <c r="AI519" s="1407"/>
      <c r="AJ519" s="1407"/>
      <c r="AK519" s="1408"/>
      <c r="BB519" s="3"/>
      <c r="BC519" s="3"/>
      <c r="BD519" s="3"/>
      <c r="BE519" s="3"/>
      <c r="BF519" s="3"/>
      <c r="BG519" s="3"/>
      <c r="BH519" s="3"/>
      <c r="BI519" s="3"/>
      <c r="BJ519" s="3"/>
      <c r="BK519" s="3"/>
      <c r="BL519" s="3"/>
      <c r="BM519" s="3"/>
      <c r="BN519" s="3" t="s">
        <v>2111</v>
      </c>
    </row>
    <row r="520" spans="2:66" ht="13" customHeight="1">
      <c r="B520" s="1425" t="s">
        <v>418</v>
      </c>
      <c r="C520" s="1426"/>
      <c r="D520" s="1426"/>
      <c r="E520" s="1426"/>
      <c r="F520" s="1426"/>
      <c r="G520" s="1426"/>
      <c r="H520" s="1427"/>
      <c r="I520" s="41" t="s">
        <v>419</v>
      </c>
      <c r="J520" s="42"/>
      <c r="K520" s="42"/>
      <c r="L520" s="42"/>
      <c r="M520" s="42"/>
      <c r="N520" s="42"/>
      <c r="O520" s="1422"/>
      <c r="P520" s="1423"/>
      <c r="Q520" s="1423"/>
      <c r="R520" s="1423"/>
      <c r="S520" s="1423"/>
      <c r="T520" s="1423"/>
      <c r="U520" s="1423"/>
      <c r="V520" s="1423"/>
      <c r="W520" s="1423"/>
      <c r="X520" s="1423"/>
      <c r="Y520" s="1423"/>
      <c r="Z520" s="1423"/>
      <c r="AA520" s="1423"/>
      <c r="AB520" s="58"/>
      <c r="AC520" s="1365" t="s">
        <v>590</v>
      </c>
      <c r="AD520" s="1366"/>
      <c r="AE520" s="1366"/>
      <c r="AF520" s="1366"/>
      <c r="AG520" s="129" t="s">
        <v>402</v>
      </c>
      <c r="AH520" s="1407"/>
      <c r="AI520" s="1407"/>
      <c r="AJ520" s="1407"/>
      <c r="AK520" s="1408"/>
      <c r="AZ520" s="3"/>
      <c r="BB520" s="3"/>
      <c r="BC520" s="3"/>
      <c r="BD520" s="3"/>
      <c r="BE520" s="3"/>
      <c r="BF520" s="3"/>
      <c r="BG520" s="3"/>
      <c r="BH520" s="3"/>
      <c r="BI520" s="3"/>
      <c r="BJ520" s="3"/>
      <c r="BK520" s="3"/>
      <c r="BL520" s="3"/>
      <c r="BM520" s="3"/>
      <c r="BN520" s="3" t="s">
        <v>2112</v>
      </c>
    </row>
    <row r="521" spans="2:66" ht="13" customHeight="1">
      <c r="B521" s="1428"/>
      <c r="C521" s="1429"/>
      <c r="D521" s="1429"/>
      <c r="E521" s="1429"/>
      <c r="F521" s="1429"/>
      <c r="G521" s="1429"/>
      <c r="H521" s="1430"/>
      <c r="I521" s="114" t="s">
        <v>420</v>
      </c>
      <c r="AB521" s="65"/>
      <c r="AC521" s="1373" t="s">
        <v>590</v>
      </c>
      <c r="AD521" s="1374"/>
      <c r="AE521" s="1374"/>
      <c r="AF521" s="1374"/>
      <c r="AG521" s="13" t="s">
        <v>402</v>
      </c>
      <c r="AH521" s="1407"/>
      <c r="AI521" s="1407"/>
      <c r="AJ521" s="1407"/>
      <c r="AK521" s="1408"/>
      <c r="AZ521" s="3"/>
      <c r="BB521" s="3"/>
      <c r="BC521" s="3"/>
      <c r="BD521" s="3"/>
      <c r="BE521" s="3"/>
      <c r="BF521" s="3"/>
      <c r="BG521" s="3"/>
      <c r="BH521" s="3"/>
      <c r="BI521" s="3"/>
      <c r="BJ521" s="3"/>
      <c r="BK521" s="3"/>
      <c r="BL521" s="3"/>
      <c r="BM521" s="3"/>
      <c r="BN521" s="3" t="s">
        <v>2113</v>
      </c>
    </row>
    <row r="522" spans="2:66" ht="13" customHeight="1">
      <c r="B522" s="1428"/>
      <c r="C522" s="1429"/>
      <c r="D522" s="1429"/>
      <c r="E522" s="1429"/>
      <c r="F522" s="1429"/>
      <c r="G522" s="1429"/>
      <c r="H522" s="1430"/>
      <c r="I522" s="47" t="s">
        <v>421</v>
      </c>
      <c r="J522" s="48"/>
      <c r="K522" s="48"/>
      <c r="L522" s="48"/>
      <c r="M522" s="48"/>
      <c r="N522" s="48"/>
      <c r="O522" s="48"/>
      <c r="P522" s="48"/>
      <c r="Q522" s="48"/>
      <c r="R522" s="48"/>
      <c r="S522" s="48"/>
      <c r="T522" s="48"/>
      <c r="U522" s="48"/>
      <c r="V522" s="48"/>
      <c r="W522" s="48"/>
      <c r="X522" s="48"/>
      <c r="Y522" s="48"/>
      <c r="Z522" s="48"/>
      <c r="AA522" s="48"/>
      <c r="AB522" s="49"/>
      <c r="AC522" s="1373" t="s">
        <v>590</v>
      </c>
      <c r="AD522" s="1374"/>
      <c r="AE522" s="1374"/>
      <c r="AF522" s="1374"/>
      <c r="AG522" s="38" t="s">
        <v>402</v>
      </c>
      <c r="AH522" s="1407"/>
      <c r="AI522" s="1407"/>
      <c r="AJ522" s="1407"/>
      <c r="AK522" s="1408"/>
      <c r="AZ522" s="3"/>
      <c r="BA522" s="3"/>
      <c r="BB522" s="3"/>
      <c r="BC522" s="3"/>
      <c r="BD522" s="3"/>
      <c r="BE522" s="3"/>
      <c r="BF522" s="3"/>
      <c r="BG522" s="3"/>
      <c r="BH522" s="3"/>
      <c r="BI522" s="3"/>
      <c r="BJ522" s="3"/>
      <c r="BK522" s="3"/>
      <c r="BL522" s="3"/>
      <c r="BM522" s="3"/>
      <c r="BN522" s="3" t="s">
        <v>2114</v>
      </c>
    </row>
    <row r="523" spans="2:66" ht="13" customHeight="1">
      <c r="B523" s="1428"/>
      <c r="C523" s="1429"/>
      <c r="D523" s="1429"/>
      <c r="E523" s="1429"/>
      <c r="F523" s="1429"/>
      <c r="G523" s="1429"/>
      <c r="H523" s="1430"/>
      <c r="I523" s="42" t="s">
        <v>422</v>
      </c>
      <c r="J523" s="42"/>
      <c r="K523" s="42"/>
      <c r="L523" s="42"/>
      <c r="M523" s="42"/>
      <c r="N523" s="42"/>
      <c r="O523" s="1422" t="s">
        <v>333</v>
      </c>
      <c r="P523" s="1423"/>
      <c r="Q523" s="1423"/>
      <c r="R523" s="1423"/>
      <c r="S523" s="1423"/>
      <c r="T523" s="1423"/>
      <c r="U523" s="1423"/>
      <c r="V523" s="1423"/>
      <c r="W523" s="1423"/>
      <c r="X523" s="1423"/>
      <c r="Y523" s="1423"/>
      <c r="Z523" s="1423"/>
      <c r="AA523" s="1423"/>
      <c r="AC523" s="1373" t="s">
        <v>590</v>
      </c>
      <c r="AD523" s="1374"/>
      <c r="AE523" s="1374"/>
      <c r="AF523" s="1374"/>
      <c r="AG523" s="13" t="s">
        <v>402</v>
      </c>
      <c r="AH523" s="1407"/>
      <c r="AI523" s="1407"/>
      <c r="AJ523" s="1407"/>
      <c r="AK523" s="1408"/>
      <c r="AZ523" s="3"/>
      <c r="BA523" s="3"/>
      <c r="BB523" s="3"/>
      <c r="BC523" s="3"/>
      <c r="BD523" s="3"/>
      <c r="BE523" s="3"/>
      <c r="BF523" s="3"/>
      <c r="BG523" s="3"/>
      <c r="BH523" s="3"/>
      <c r="BI523" s="3"/>
      <c r="BJ523" s="3"/>
      <c r="BK523" s="3"/>
      <c r="BL523" s="3"/>
      <c r="BM523" s="3"/>
      <c r="BN523" s="3" t="s">
        <v>2115</v>
      </c>
    </row>
    <row r="524" spans="2:66" ht="13" customHeight="1">
      <c r="B524" s="1428"/>
      <c r="C524" s="1429"/>
      <c r="D524" s="1429"/>
      <c r="E524" s="1429"/>
      <c r="F524" s="1429"/>
      <c r="G524" s="1429"/>
      <c r="H524" s="1430"/>
      <c r="I524" t="s">
        <v>420</v>
      </c>
      <c r="AC524" s="1373" t="s">
        <v>590</v>
      </c>
      <c r="AD524" s="1374"/>
      <c r="AE524" s="1374"/>
      <c r="AF524" s="1374"/>
      <c r="AG524" s="13" t="s">
        <v>402</v>
      </c>
      <c r="AH524" s="1407"/>
      <c r="AI524" s="1407"/>
      <c r="AJ524" s="1407"/>
      <c r="AK524" s="1408"/>
      <c r="AZ524" s="3"/>
      <c r="BA524" s="3"/>
      <c r="BB524" s="3"/>
      <c r="BC524" s="3"/>
      <c r="BD524" s="3"/>
      <c r="BE524" s="3"/>
      <c r="BF524" s="3"/>
      <c r="BG524" s="3"/>
      <c r="BH524" s="3"/>
      <c r="BI524" s="3"/>
      <c r="BJ524" s="3"/>
      <c r="BK524" s="3"/>
      <c r="BL524" s="3"/>
      <c r="BM524" s="3"/>
      <c r="BN524" s="3" t="s">
        <v>2116</v>
      </c>
    </row>
    <row r="525" spans="2:66" ht="13" customHeight="1">
      <c r="B525" s="1428"/>
      <c r="C525" s="1429"/>
      <c r="D525" s="1429"/>
      <c r="E525" s="1429"/>
      <c r="F525" s="1429"/>
      <c r="G525" s="1429"/>
      <c r="H525" s="1430"/>
      <c r="I525" s="48" t="s">
        <v>421</v>
      </c>
      <c r="J525" s="48"/>
      <c r="K525" s="48"/>
      <c r="L525" s="48"/>
      <c r="M525" s="48"/>
      <c r="N525" s="48"/>
      <c r="O525" s="48"/>
      <c r="P525" s="48"/>
      <c r="Q525" s="48"/>
      <c r="R525" s="48"/>
      <c r="S525" s="48"/>
      <c r="T525" s="48"/>
      <c r="U525" s="48"/>
      <c r="V525" s="48"/>
      <c r="W525" s="48"/>
      <c r="X525" s="48"/>
      <c r="Y525" s="48"/>
      <c r="Z525" s="48"/>
      <c r="AA525" s="48"/>
      <c r="AB525" s="48"/>
      <c r="AC525" s="1373" t="s">
        <v>590</v>
      </c>
      <c r="AD525" s="1374"/>
      <c r="AE525" s="1374"/>
      <c r="AF525" s="1374"/>
      <c r="AG525" s="38" t="s">
        <v>402</v>
      </c>
      <c r="AH525" s="1407"/>
      <c r="AI525" s="1407"/>
      <c r="AJ525" s="1407"/>
      <c r="AK525" s="1408"/>
      <c r="AZ525" s="3"/>
      <c r="BA525" s="3"/>
      <c r="BB525" s="3"/>
      <c r="BC525" s="3"/>
      <c r="BD525" s="3"/>
      <c r="BE525" s="3"/>
      <c r="BF525" s="3"/>
      <c r="BG525" s="3"/>
      <c r="BH525" s="3"/>
      <c r="BI525" s="3"/>
      <c r="BJ525" s="3"/>
      <c r="BK525" s="3"/>
      <c r="BL525" s="3"/>
      <c r="BM525" s="3"/>
      <c r="BN525" s="3" t="s">
        <v>2117</v>
      </c>
    </row>
    <row r="526" spans="2:66" ht="13" customHeight="1">
      <c r="B526" s="1428"/>
      <c r="C526" s="1429"/>
      <c r="D526" s="1429"/>
      <c r="E526" s="1429"/>
      <c r="F526" s="1429"/>
      <c r="G526" s="1429"/>
      <c r="H526" s="1430"/>
      <c r="I526" s="42" t="s">
        <v>422</v>
      </c>
      <c r="J526" s="42"/>
      <c r="K526" s="42"/>
      <c r="L526" s="42"/>
      <c r="M526" s="42"/>
      <c r="N526" s="42"/>
      <c r="O526" s="1422" t="s">
        <v>333</v>
      </c>
      <c r="P526" s="1423"/>
      <c r="Q526" s="1423"/>
      <c r="R526" s="1423"/>
      <c r="S526" s="1423"/>
      <c r="T526" s="1423"/>
      <c r="U526" s="1423"/>
      <c r="V526" s="1423"/>
      <c r="W526" s="1423"/>
      <c r="X526" s="1423"/>
      <c r="Y526" s="1423"/>
      <c r="Z526" s="1423"/>
      <c r="AA526" s="1423"/>
      <c r="AC526" s="1373" t="s">
        <v>590</v>
      </c>
      <c r="AD526" s="1374"/>
      <c r="AE526" s="1374"/>
      <c r="AF526" s="1374"/>
      <c r="AG526" s="13" t="s">
        <v>402</v>
      </c>
      <c r="AH526" s="1407"/>
      <c r="AI526" s="1407"/>
      <c r="AJ526" s="1407"/>
      <c r="AK526" s="1408"/>
      <c r="AZ526" s="3"/>
      <c r="BA526" s="3"/>
      <c r="BB526" s="3"/>
      <c r="BC526" s="3"/>
      <c r="BD526" s="3"/>
      <c r="BE526" s="3"/>
      <c r="BF526" s="3"/>
      <c r="BG526" s="3"/>
      <c r="BH526" s="3"/>
      <c r="BI526" s="3"/>
      <c r="BJ526" s="3"/>
      <c r="BK526" s="3"/>
      <c r="BL526" s="3"/>
      <c r="BM526" s="3"/>
      <c r="BN526" s="3" t="s">
        <v>2118</v>
      </c>
    </row>
    <row r="527" spans="2:66" ht="13" customHeight="1">
      <c r="B527" s="1428"/>
      <c r="C527" s="1429"/>
      <c r="D527" s="1429"/>
      <c r="E527" s="1429"/>
      <c r="F527" s="1429"/>
      <c r="G527" s="1429"/>
      <c r="H527" s="1430"/>
      <c r="I527" t="s">
        <v>420</v>
      </c>
      <c r="AC527" s="1373" t="s">
        <v>590</v>
      </c>
      <c r="AD527" s="1374"/>
      <c r="AE527" s="1374"/>
      <c r="AF527" s="1374"/>
      <c r="AG527" s="13" t="s">
        <v>402</v>
      </c>
      <c r="AH527" s="1407"/>
      <c r="AI527" s="1407"/>
      <c r="AJ527" s="1407"/>
      <c r="AK527" s="1408"/>
      <c r="AZ527" s="3"/>
      <c r="BA527" s="3"/>
      <c r="BB527" s="3"/>
      <c r="BC527" s="3"/>
      <c r="BD527" s="3"/>
      <c r="BE527" s="3"/>
      <c r="BF527" s="3"/>
      <c r="BG527" s="3"/>
      <c r="BH527" s="3"/>
      <c r="BI527" s="3"/>
      <c r="BJ527" s="3"/>
      <c r="BK527" s="3"/>
      <c r="BL527" s="3"/>
      <c r="BM527" s="3"/>
      <c r="BN527" s="3" t="s">
        <v>2119</v>
      </c>
    </row>
    <row r="528" spans="2:66" ht="13" customHeight="1">
      <c r="B528" s="1428"/>
      <c r="C528" s="1429"/>
      <c r="D528" s="1429"/>
      <c r="E528" s="1429"/>
      <c r="F528" s="1429"/>
      <c r="G528" s="1429"/>
      <c r="H528" s="1430"/>
      <c r="I528" s="48" t="s">
        <v>421</v>
      </c>
      <c r="J528" s="48"/>
      <c r="K528" s="48"/>
      <c r="L528" s="48"/>
      <c r="M528" s="48"/>
      <c r="N528" s="48"/>
      <c r="O528" s="48"/>
      <c r="P528" s="48"/>
      <c r="Q528" s="48"/>
      <c r="R528" s="48"/>
      <c r="S528" s="48"/>
      <c r="T528" s="48"/>
      <c r="U528" s="48"/>
      <c r="V528" s="48"/>
      <c r="W528" s="48"/>
      <c r="X528" s="48"/>
      <c r="Y528" s="48"/>
      <c r="Z528" s="48"/>
      <c r="AA528" s="48"/>
      <c r="AB528" s="48"/>
      <c r="AC528" s="1373" t="s">
        <v>590</v>
      </c>
      <c r="AD528" s="1374"/>
      <c r="AE528" s="1374"/>
      <c r="AF528" s="1374"/>
      <c r="AG528" s="38" t="s">
        <v>402</v>
      </c>
      <c r="AH528" s="1407"/>
      <c r="AI528" s="1407"/>
      <c r="AJ528" s="1407"/>
      <c r="AK528" s="1408"/>
      <c r="AZ528" s="3"/>
      <c r="BA528" s="3"/>
      <c r="BB528" s="3"/>
      <c r="BC528" s="3"/>
      <c r="BD528" s="3"/>
      <c r="BE528" s="3"/>
      <c r="BF528" s="3"/>
      <c r="BG528" s="3"/>
      <c r="BH528" s="3"/>
      <c r="BI528" s="3"/>
      <c r="BJ528" s="3"/>
      <c r="BK528" s="3"/>
      <c r="BL528" s="3"/>
      <c r="BM528" s="3"/>
      <c r="BN528" s="3" t="s">
        <v>2120</v>
      </c>
    </row>
    <row r="529" spans="1:66" ht="13" customHeight="1">
      <c r="B529" s="1428"/>
      <c r="C529" s="1429"/>
      <c r="D529" s="1429"/>
      <c r="E529" s="1429"/>
      <c r="F529" s="1429"/>
      <c r="G529" s="1429"/>
      <c r="H529" s="1430"/>
      <c r="I529" s="42" t="s">
        <v>422</v>
      </c>
      <c r="J529" s="42"/>
      <c r="K529" s="42"/>
      <c r="L529" s="42"/>
      <c r="M529" s="42"/>
      <c r="N529" s="42"/>
      <c r="O529" s="1422" t="s">
        <v>333</v>
      </c>
      <c r="P529" s="1423"/>
      <c r="Q529" s="1423"/>
      <c r="R529" s="1423"/>
      <c r="S529" s="1423"/>
      <c r="T529" s="1423"/>
      <c r="U529" s="1423"/>
      <c r="V529" s="1423"/>
      <c r="W529" s="1423"/>
      <c r="X529" s="1423"/>
      <c r="Y529" s="1423"/>
      <c r="Z529" s="1423"/>
      <c r="AA529" s="1423"/>
      <c r="AC529" s="1373" t="s">
        <v>590</v>
      </c>
      <c r="AD529" s="1374"/>
      <c r="AE529" s="1374"/>
      <c r="AF529" s="1374"/>
      <c r="AG529" s="13" t="s">
        <v>402</v>
      </c>
      <c r="AH529" s="1407"/>
      <c r="AI529" s="1407"/>
      <c r="AJ529" s="1407"/>
      <c r="AK529" s="1408"/>
      <c r="AZ529" s="3"/>
      <c r="BA529" s="3"/>
      <c r="BB529" s="3"/>
      <c r="BC529" s="3"/>
      <c r="BD529" s="3"/>
      <c r="BE529" s="3"/>
      <c r="BF529" s="3"/>
      <c r="BG529" s="3"/>
      <c r="BH529" s="3"/>
      <c r="BI529" s="3"/>
      <c r="BJ529" s="3"/>
      <c r="BK529" s="3"/>
      <c r="BL529" s="3"/>
      <c r="BM529" s="3"/>
      <c r="BN529" s="3" t="s">
        <v>2121</v>
      </c>
    </row>
    <row r="530" spans="1:66" ht="13" customHeight="1">
      <c r="B530" s="1428"/>
      <c r="C530" s="1429"/>
      <c r="D530" s="1429"/>
      <c r="E530" s="1429"/>
      <c r="F530" s="1429"/>
      <c r="G530" s="1429"/>
      <c r="H530" s="1430"/>
      <c r="I530" t="s">
        <v>420</v>
      </c>
      <c r="AC530" s="1373" t="s">
        <v>590</v>
      </c>
      <c r="AD530" s="1374"/>
      <c r="AE530" s="1374"/>
      <c r="AF530" s="1374"/>
      <c r="AG530" s="13" t="s">
        <v>402</v>
      </c>
      <c r="AH530" s="1407"/>
      <c r="AI530" s="1407"/>
      <c r="AJ530" s="1407"/>
      <c r="AK530" s="1408"/>
      <c r="AZ530" s="3"/>
      <c r="BA530" s="3"/>
      <c r="BB530" s="3"/>
      <c r="BC530" s="3"/>
      <c r="BD530" s="3"/>
      <c r="BE530" s="3"/>
      <c r="BF530" s="3"/>
      <c r="BG530" s="3"/>
      <c r="BH530" s="3"/>
      <c r="BI530" s="3"/>
      <c r="BJ530" s="3"/>
      <c r="BK530" s="3"/>
      <c r="BL530" s="3"/>
      <c r="BM530" s="3"/>
      <c r="BN530" s="3" t="s">
        <v>2122</v>
      </c>
    </row>
    <row r="531" spans="1:66" ht="13" customHeight="1">
      <c r="B531" s="1428"/>
      <c r="C531" s="1429"/>
      <c r="D531" s="1429"/>
      <c r="E531" s="1429"/>
      <c r="F531" s="1429"/>
      <c r="G531" s="1429"/>
      <c r="H531" s="1430"/>
      <c r="I531" s="48" t="s">
        <v>421</v>
      </c>
      <c r="J531" s="48"/>
      <c r="K531" s="48"/>
      <c r="L531" s="48"/>
      <c r="M531" s="48"/>
      <c r="N531" s="48"/>
      <c r="O531" s="48"/>
      <c r="P531" s="48"/>
      <c r="Q531" s="48"/>
      <c r="R531" s="48"/>
      <c r="S531" s="48"/>
      <c r="T531" s="48"/>
      <c r="U531" s="48"/>
      <c r="V531" s="48"/>
      <c r="W531" s="48"/>
      <c r="X531" s="48"/>
      <c r="Y531" s="48"/>
      <c r="Z531" s="48"/>
      <c r="AA531" s="48"/>
      <c r="AB531" s="48"/>
      <c r="AC531" s="1373" t="s">
        <v>590</v>
      </c>
      <c r="AD531" s="1374"/>
      <c r="AE531" s="1374"/>
      <c r="AF531" s="1374"/>
      <c r="AG531" s="38" t="s">
        <v>402</v>
      </c>
      <c r="AH531" s="1407"/>
      <c r="AI531" s="1407"/>
      <c r="AJ531" s="1407"/>
      <c r="AK531" s="1408"/>
      <c r="AZ531" s="3"/>
      <c r="BA531" s="3"/>
      <c r="BB531" s="3"/>
      <c r="BC531" s="3"/>
      <c r="BD531" s="3"/>
      <c r="BE531" s="3"/>
      <c r="BF531" s="3"/>
      <c r="BG531" s="3"/>
      <c r="BH531" s="3"/>
      <c r="BI531" s="3"/>
      <c r="BJ531" s="3"/>
      <c r="BK531" s="3"/>
      <c r="BL531" s="3"/>
      <c r="BM531" s="3"/>
      <c r="BN531" s="3" t="s">
        <v>2123</v>
      </c>
    </row>
    <row r="532" spans="1:66" ht="13" customHeight="1">
      <c r="B532" s="1428"/>
      <c r="C532" s="1429"/>
      <c r="D532" s="1429"/>
      <c r="E532" s="1429"/>
      <c r="F532" s="1429"/>
      <c r="G532" s="1429"/>
      <c r="H532" s="1430"/>
      <c r="I532" s="42" t="s">
        <v>422</v>
      </c>
      <c r="J532" s="42"/>
      <c r="K532" s="42"/>
      <c r="L532" s="42"/>
      <c r="M532" s="42"/>
      <c r="N532" s="42"/>
      <c r="O532" s="1422" t="s">
        <v>333</v>
      </c>
      <c r="P532" s="1423"/>
      <c r="Q532" s="1423"/>
      <c r="R532" s="1423"/>
      <c r="S532" s="1423"/>
      <c r="T532" s="1423"/>
      <c r="U532" s="1423"/>
      <c r="V532" s="1423"/>
      <c r="W532" s="1423"/>
      <c r="X532" s="1423"/>
      <c r="Y532" s="1423"/>
      <c r="Z532" s="1423"/>
      <c r="AA532" s="1423"/>
      <c r="AC532" s="1373" t="s">
        <v>590</v>
      </c>
      <c r="AD532" s="1374"/>
      <c r="AE532" s="1374"/>
      <c r="AF532" s="1374"/>
      <c r="AG532" s="13" t="s">
        <v>402</v>
      </c>
      <c r="AH532" s="1407"/>
      <c r="AI532" s="1407"/>
      <c r="AJ532" s="1407"/>
      <c r="AK532" s="1408"/>
      <c r="AZ532" s="3"/>
      <c r="BA532" s="3"/>
      <c r="BB532" s="3"/>
      <c r="BC532" s="3"/>
      <c r="BD532" s="3"/>
      <c r="BE532" s="3"/>
      <c r="BF532" s="3"/>
      <c r="BG532" s="3"/>
      <c r="BH532" s="3"/>
      <c r="BI532" s="3"/>
      <c r="BJ532" s="3"/>
      <c r="BK532" s="3"/>
      <c r="BL532" s="3"/>
      <c r="BM532" s="3"/>
      <c r="BN532" s="3" t="s">
        <v>2124</v>
      </c>
    </row>
    <row r="533" spans="1:66" ht="13" customHeight="1">
      <c r="B533" s="1428"/>
      <c r="C533" s="1429"/>
      <c r="D533" s="1429"/>
      <c r="E533" s="1429"/>
      <c r="F533" s="1429"/>
      <c r="G533" s="1429"/>
      <c r="H533" s="1430"/>
      <c r="I533" t="s">
        <v>420</v>
      </c>
      <c r="AC533" s="1373" t="s">
        <v>590</v>
      </c>
      <c r="AD533" s="1374"/>
      <c r="AE533" s="1374"/>
      <c r="AF533" s="1374"/>
      <c r="AG533" s="38" t="s">
        <v>402</v>
      </c>
      <c r="AH533" s="1407"/>
      <c r="AI533" s="1407"/>
      <c r="AJ533" s="1407"/>
      <c r="AK533" s="1408"/>
      <c r="AZ533" s="3"/>
      <c r="BA533" s="3"/>
      <c r="BB533" s="3"/>
      <c r="BC533" s="3"/>
      <c r="BD533" s="3"/>
      <c r="BE533" s="3"/>
      <c r="BF533" s="3"/>
      <c r="BG533" s="3"/>
      <c r="BH533" s="3"/>
      <c r="BI533" s="3"/>
      <c r="BJ533" s="3"/>
      <c r="BK533" s="3"/>
      <c r="BL533" s="3"/>
      <c r="BM533" s="3"/>
      <c r="BN533" s="3" t="s">
        <v>2125</v>
      </c>
    </row>
    <row r="534" spans="1:66" ht="13" customHeight="1">
      <c r="B534" s="1428"/>
      <c r="C534" s="1429"/>
      <c r="D534" s="1429"/>
      <c r="E534" s="1429"/>
      <c r="F534" s="1429"/>
      <c r="G534" s="1429"/>
      <c r="H534" s="1430"/>
      <c r="I534" s="48" t="s">
        <v>421</v>
      </c>
      <c r="J534" s="48"/>
      <c r="K534" s="48"/>
      <c r="L534" s="48"/>
      <c r="M534" s="48"/>
      <c r="N534" s="48"/>
      <c r="O534" s="48"/>
      <c r="P534" s="48"/>
      <c r="Q534" s="48"/>
      <c r="R534" s="48"/>
      <c r="S534" s="48"/>
      <c r="T534" s="48"/>
      <c r="U534" s="48"/>
      <c r="V534" s="48"/>
      <c r="W534" s="48"/>
      <c r="X534" s="48"/>
      <c r="Y534" s="48"/>
      <c r="Z534" s="48"/>
      <c r="AA534" s="48"/>
      <c r="AB534" s="48"/>
      <c r="AC534" s="1373" t="s">
        <v>590</v>
      </c>
      <c r="AD534" s="1374"/>
      <c r="AE534" s="1374"/>
      <c r="AF534" s="1374"/>
      <c r="AG534" s="13" t="s">
        <v>402</v>
      </c>
      <c r="AH534" s="1407"/>
      <c r="AI534" s="1407"/>
      <c r="AJ534" s="1407"/>
      <c r="AK534" s="1408"/>
      <c r="AZ534" s="3"/>
      <c r="BA534" s="3"/>
      <c r="BB534" s="3"/>
      <c r="BC534" s="3"/>
      <c r="BD534" s="3"/>
      <c r="BE534" s="3"/>
      <c r="BF534" s="3"/>
      <c r="BG534" s="3"/>
      <c r="BH534" s="3"/>
      <c r="BI534" s="3"/>
      <c r="BJ534" s="3"/>
      <c r="BK534" s="3"/>
      <c r="BL534" s="3"/>
      <c r="BM534" s="3"/>
      <c r="BN534" s="3" t="s">
        <v>2126</v>
      </c>
    </row>
    <row r="535" spans="1:66" ht="13" customHeight="1">
      <c r="B535" s="1428"/>
      <c r="C535" s="1429"/>
      <c r="D535" s="1429"/>
      <c r="E535" s="1429"/>
      <c r="F535" s="1429"/>
      <c r="G535" s="1429"/>
      <c r="H535" s="1430"/>
      <c r="I535" s="42" t="s">
        <v>422</v>
      </c>
      <c r="J535" s="42"/>
      <c r="K535" s="42"/>
      <c r="L535" s="42"/>
      <c r="M535" s="42"/>
      <c r="N535" s="42"/>
      <c r="O535" s="1422" t="s">
        <v>333</v>
      </c>
      <c r="P535" s="1423"/>
      <c r="Q535" s="1423"/>
      <c r="R535" s="1423"/>
      <c r="S535" s="1423"/>
      <c r="T535" s="1423"/>
      <c r="U535" s="1423"/>
      <c r="V535" s="1423"/>
      <c r="W535" s="1423"/>
      <c r="X535" s="1423"/>
      <c r="Y535" s="1423"/>
      <c r="Z535" s="1423"/>
      <c r="AA535" s="1423"/>
      <c r="AC535" s="1373" t="s">
        <v>590</v>
      </c>
      <c r="AD535" s="1374"/>
      <c r="AE535" s="1374"/>
      <c r="AF535" s="1374"/>
      <c r="AG535" s="38" t="s">
        <v>402</v>
      </c>
      <c r="AH535" s="1407"/>
      <c r="AI535" s="1407"/>
      <c r="AJ535" s="1407"/>
      <c r="AK535" s="1408"/>
      <c r="AZ535" s="3"/>
      <c r="BA535" s="3"/>
      <c r="BB535" s="3"/>
      <c r="BC535" s="3"/>
      <c r="BD535" s="3"/>
      <c r="BE535" s="3"/>
      <c r="BF535" s="3"/>
      <c r="BG535" s="3"/>
      <c r="BH535" s="3"/>
      <c r="BI535" s="3"/>
      <c r="BJ535" s="3"/>
      <c r="BK535" s="3"/>
      <c r="BL535" s="3"/>
      <c r="BM535" s="3"/>
      <c r="BN535" s="3" t="s">
        <v>2127</v>
      </c>
    </row>
    <row r="536" spans="1:66" ht="13" customHeight="1">
      <c r="B536" s="1428"/>
      <c r="C536" s="1429"/>
      <c r="D536" s="1429"/>
      <c r="E536" s="1429"/>
      <c r="F536" s="1429"/>
      <c r="G536" s="1429"/>
      <c r="H536" s="1430"/>
      <c r="I536" t="s">
        <v>420</v>
      </c>
      <c r="AC536" s="1373" t="s">
        <v>590</v>
      </c>
      <c r="AD536" s="1374"/>
      <c r="AE536" s="1374"/>
      <c r="AF536" s="1374"/>
      <c r="AG536" s="13" t="s">
        <v>402</v>
      </c>
      <c r="AH536" s="1407"/>
      <c r="AI536" s="1407"/>
      <c r="AJ536" s="1407"/>
      <c r="AK536" s="1408"/>
      <c r="AZ536" s="3"/>
      <c r="BA536" s="3"/>
      <c r="BB536" s="3"/>
      <c r="BC536" s="3"/>
      <c r="BD536" s="3"/>
      <c r="BE536" s="3"/>
      <c r="BF536" s="3"/>
      <c r="BG536" s="3"/>
      <c r="BH536" s="3"/>
      <c r="BI536" s="3"/>
      <c r="BJ536" s="3"/>
      <c r="BK536" s="3"/>
      <c r="BL536" s="3"/>
      <c r="BM536" s="3"/>
      <c r="BN536" s="3" t="s">
        <v>2128</v>
      </c>
    </row>
    <row r="537" spans="1:66" ht="13" customHeight="1">
      <c r="B537" s="1428"/>
      <c r="C537" s="1429"/>
      <c r="D537" s="1429"/>
      <c r="E537" s="1429"/>
      <c r="F537" s="1429"/>
      <c r="G537" s="1429"/>
      <c r="H537" s="1430"/>
      <c r="I537" s="48" t="s">
        <v>421</v>
      </c>
      <c r="J537" s="48"/>
      <c r="K537" s="48"/>
      <c r="L537" s="48"/>
      <c r="M537" s="48"/>
      <c r="N537" s="48"/>
      <c r="O537" s="48"/>
      <c r="P537" s="48"/>
      <c r="Q537" s="48"/>
      <c r="R537" s="48"/>
      <c r="S537" s="48"/>
      <c r="T537" s="48"/>
      <c r="U537" s="48"/>
      <c r="V537" s="48"/>
      <c r="W537" s="48"/>
      <c r="X537" s="48"/>
      <c r="Y537" s="48"/>
      <c r="Z537" s="48"/>
      <c r="AA537" s="48"/>
      <c r="AB537" s="48"/>
      <c r="AC537" s="1373" t="s">
        <v>590</v>
      </c>
      <c r="AD537" s="1374"/>
      <c r="AE537" s="1374"/>
      <c r="AF537" s="1374"/>
      <c r="AG537" s="38" t="s">
        <v>402</v>
      </c>
      <c r="AH537" s="1407"/>
      <c r="AI537" s="1407"/>
      <c r="AJ537" s="1407"/>
      <c r="AK537" s="1408"/>
      <c r="AZ537" s="3"/>
      <c r="BA537" s="3"/>
      <c r="BB537" s="3"/>
      <c r="BC537" s="3"/>
      <c r="BD537" s="3"/>
      <c r="BE537" s="3"/>
      <c r="BF537" s="3"/>
      <c r="BG537" s="3"/>
      <c r="BH537" s="3"/>
      <c r="BI537" s="3"/>
      <c r="BJ537" s="3"/>
      <c r="BK537" s="3"/>
      <c r="BL537" s="3"/>
      <c r="BM537" s="3"/>
      <c r="BN537" s="3" t="s">
        <v>2129</v>
      </c>
    </row>
    <row r="538" spans="1:66" ht="13" customHeight="1">
      <c r="B538" s="1428"/>
      <c r="C538" s="1429"/>
      <c r="D538" s="1429"/>
      <c r="E538" s="1429"/>
      <c r="F538" s="1429"/>
      <c r="G538" s="1429"/>
      <c r="H538" s="1430"/>
      <c r="I538" s="42" t="s">
        <v>561</v>
      </c>
      <c r="J538" s="42"/>
      <c r="K538" s="42"/>
      <c r="L538" s="42"/>
      <c r="M538" s="42"/>
      <c r="N538" s="42"/>
      <c r="O538" s="42"/>
      <c r="P538" s="42"/>
      <c r="Q538" s="42"/>
      <c r="R538" s="42"/>
      <c r="S538" s="42"/>
      <c r="T538" s="42"/>
      <c r="U538" s="42"/>
      <c r="V538" s="42"/>
      <c r="W538" s="42"/>
      <c r="AC538" s="1373" t="s">
        <v>590</v>
      </c>
      <c r="AD538" s="1374"/>
      <c r="AE538" s="1374"/>
      <c r="AF538" s="1374"/>
      <c r="AG538" s="38" t="s">
        <v>402</v>
      </c>
      <c r="AH538" s="1407"/>
      <c r="AI538" s="1407"/>
      <c r="AJ538" s="1407"/>
      <c r="AK538" s="1408"/>
      <c r="AZ538" s="3"/>
      <c r="BA538" s="3"/>
      <c r="BB538" s="3"/>
      <c r="BC538" s="3"/>
      <c r="BD538" s="3"/>
      <c r="BE538" s="3"/>
      <c r="BF538" s="3"/>
      <c r="BG538" s="3"/>
      <c r="BH538" s="3"/>
      <c r="BI538" s="3"/>
      <c r="BJ538" s="3"/>
      <c r="BK538" s="3"/>
      <c r="BL538" s="3"/>
      <c r="BM538" s="3"/>
      <c r="BN538" s="3"/>
    </row>
    <row r="539" spans="1:66" ht="13" customHeight="1">
      <c r="B539" s="1428"/>
      <c r="C539" s="1429"/>
      <c r="D539" s="1429"/>
      <c r="E539" s="1429"/>
      <c r="F539" s="1429"/>
      <c r="G539" s="1429"/>
      <c r="H539" s="1430"/>
      <c r="I539" t="s">
        <v>562</v>
      </c>
      <c r="AC539" s="1373">
        <v>9</v>
      </c>
      <c r="AD539" s="1374"/>
      <c r="AE539" s="1374"/>
      <c r="AF539" s="1374"/>
      <c r="AG539" s="13" t="s">
        <v>402</v>
      </c>
      <c r="AH539" s="1407">
        <v>2025</v>
      </c>
      <c r="AI539" s="1407"/>
      <c r="AJ539" s="1407"/>
      <c r="AK539" s="1408"/>
      <c r="AZ539" s="3"/>
      <c r="BA539" s="3"/>
      <c r="BB539" s="3"/>
      <c r="BC539" s="3"/>
      <c r="BD539" s="3"/>
      <c r="BE539" s="3"/>
      <c r="BF539" s="3"/>
      <c r="BG539" s="3"/>
      <c r="BH539" s="3"/>
      <c r="BI539" s="3"/>
      <c r="BJ539" s="3"/>
      <c r="BK539" s="3"/>
      <c r="BL539" s="3"/>
      <c r="BM539" s="3"/>
      <c r="BN539" s="3"/>
    </row>
    <row r="540" spans="1:66" ht="13" customHeight="1">
      <c r="B540" s="1428"/>
      <c r="C540" s="1429"/>
      <c r="D540" s="1429"/>
      <c r="E540" s="1429"/>
      <c r="F540" s="1429"/>
      <c r="G540" s="1429"/>
      <c r="H540" s="1430"/>
      <c r="I540" t="s">
        <v>563</v>
      </c>
      <c r="AC540" s="1373">
        <v>11</v>
      </c>
      <c r="AD540" s="1374"/>
      <c r="AE540" s="1374"/>
      <c r="AF540" s="1374"/>
      <c r="AG540" s="38" t="s">
        <v>402</v>
      </c>
      <c r="AH540" s="1407">
        <v>2026</v>
      </c>
      <c r="AI540" s="1407"/>
      <c r="AJ540" s="1407"/>
      <c r="AK540" s="1408"/>
      <c r="AZ540" s="3"/>
      <c r="BA540" s="3"/>
      <c r="BB540" s="3"/>
      <c r="BC540" s="3"/>
      <c r="BD540" s="3"/>
      <c r="BE540" s="3"/>
      <c r="BF540" s="3"/>
      <c r="BG540" s="3"/>
      <c r="BH540" s="3"/>
      <c r="BI540" s="3"/>
      <c r="BJ540" s="3"/>
      <c r="BK540" s="3"/>
      <c r="BL540" s="3"/>
      <c r="BM540" s="3"/>
      <c r="BN540" s="3"/>
    </row>
    <row r="541" spans="1:66" ht="13" customHeight="1">
      <c r="B541" s="1428"/>
      <c r="C541" s="1429"/>
      <c r="D541" s="1429"/>
      <c r="E541" s="1429"/>
      <c r="F541" s="1429"/>
      <c r="G541" s="1429"/>
      <c r="H541" s="1430"/>
      <c r="I541" t="s">
        <v>564</v>
      </c>
      <c r="AC541" s="1373">
        <v>11</v>
      </c>
      <c r="AD541" s="1374"/>
      <c r="AE541" s="1374"/>
      <c r="AF541" s="1374"/>
      <c r="AG541" s="38" t="s">
        <v>402</v>
      </c>
      <c r="AH541" s="1407">
        <v>2026</v>
      </c>
      <c r="AI541" s="1407"/>
      <c r="AJ541" s="1407"/>
      <c r="AK541" s="1408"/>
      <c r="AZ541" s="3"/>
      <c r="BA541" s="3"/>
      <c r="BB541" s="3"/>
      <c r="BC541" s="3"/>
      <c r="BD541" s="3"/>
      <c r="BE541" s="3"/>
      <c r="BF541" s="3"/>
      <c r="BG541" s="3"/>
      <c r="BH541" s="3"/>
      <c r="BI541" s="3"/>
      <c r="BJ541" s="3"/>
      <c r="BK541" s="3"/>
      <c r="BL541" s="3"/>
      <c r="BM541" s="3"/>
      <c r="BN541" s="3"/>
    </row>
    <row r="542" spans="1:66" ht="13" customHeight="1">
      <c r="B542" s="1431"/>
      <c r="C542" s="1432"/>
      <c r="D542" s="1432"/>
      <c r="E542" s="1432"/>
      <c r="F542" s="1432"/>
      <c r="G542" s="1432"/>
      <c r="H542" s="1433"/>
      <c r="I542" s="48" t="s">
        <v>450</v>
      </c>
      <c r="J542" s="48"/>
      <c r="K542" s="48"/>
      <c r="L542" s="48"/>
      <c r="M542" s="48"/>
      <c r="N542" s="48"/>
      <c r="O542" s="48"/>
      <c r="P542" s="48"/>
      <c r="Q542" s="48"/>
      <c r="R542" s="48"/>
      <c r="S542" s="48"/>
      <c r="T542" s="48"/>
      <c r="U542" s="48"/>
      <c r="V542" s="48"/>
      <c r="W542" s="48"/>
      <c r="X542" s="48"/>
      <c r="Y542" s="48"/>
      <c r="Z542" s="48"/>
      <c r="AA542" s="48"/>
      <c r="AB542" s="48"/>
      <c r="AC542" s="1373">
        <v>1</v>
      </c>
      <c r="AD542" s="1374"/>
      <c r="AE542" s="1374"/>
      <c r="AF542" s="1374"/>
      <c r="AG542" s="38" t="s">
        <v>402</v>
      </c>
      <c r="AH542" s="1407">
        <v>2026</v>
      </c>
      <c r="AI542" s="1407"/>
      <c r="AJ542" s="1407"/>
      <c r="AK542" s="1408"/>
      <c r="BB542" s="3"/>
      <c r="BC542" s="3"/>
      <c r="BD542" s="3"/>
      <c r="BE542" s="3"/>
      <c r="BF542" s="3"/>
      <c r="BG542" s="3"/>
      <c r="BH542" s="3" t="s">
        <v>112</v>
      </c>
      <c r="BI542" s="3" t="str">
        <f>N649</f>
        <v>Yes</v>
      </c>
      <c r="BJ542" s="3"/>
      <c r="BK542" s="3"/>
      <c r="BL542" s="3"/>
      <c r="BM542" s="3"/>
      <c r="BN542" s="3"/>
    </row>
    <row r="543" spans="1:66" ht="13" customHeight="1">
      <c r="B543" s="533"/>
      <c r="C543" s="130"/>
      <c r="D543" s="130"/>
      <c r="E543" s="130"/>
      <c r="F543" s="130"/>
      <c r="G543" s="130"/>
      <c r="H543" s="130"/>
      <c r="AB543" s="130"/>
      <c r="AU543" s="900"/>
      <c r="AV543" s="900"/>
      <c r="AW543" s="900"/>
      <c r="AX543" s="900"/>
      <c r="AY543" s="900"/>
      <c r="BB543" s="3"/>
      <c r="BC543" s="3"/>
      <c r="BD543" s="3"/>
      <c r="BE543" s="3"/>
      <c r="BF543" s="3"/>
      <c r="BG543" s="3"/>
      <c r="BH543" s="3" t="s">
        <v>113</v>
      </c>
      <c r="BI543" s="3" t="str">
        <f>AG649</f>
        <v>Yes</v>
      </c>
      <c r="BJ543" s="3"/>
      <c r="BK543" s="3"/>
      <c r="BL543" s="3"/>
      <c r="BM543" s="3"/>
      <c r="BN543" s="3"/>
    </row>
    <row r="544" spans="1:66" ht="13" customHeight="1">
      <c r="A544" s="1280" t="s">
        <v>542</v>
      </c>
      <c r="B544" s="1280"/>
      <c r="C544" s="1280"/>
      <c r="D544" s="1280"/>
      <c r="E544" s="1280"/>
      <c r="F544" s="1280"/>
      <c r="G544" s="1280"/>
      <c r="H544" s="1280"/>
      <c r="I544" s="1280"/>
      <c r="J544" s="1280"/>
      <c r="K544" s="1280"/>
      <c r="L544" s="1280"/>
      <c r="M544" s="1280"/>
      <c r="N544" s="1280"/>
      <c r="O544" s="1280"/>
      <c r="P544" s="1280"/>
      <c r="Q544" s="1280"/>
      <c r="R544" s="1280"/>
      <c r="S544" s="1280"/>
      <c r="T544" s="1280"/>
      <c r="U544" s="1280"/>
      <c r="V544" s="1280"/>
      <c r="W544" s="1280"/>
      <c r="X544" s="1280"/>
      <c r="Y544" s="1280"/>
      <c r="Z544" s="1280"/>
      <c r="AA544" s="1280"/>
      <c r="AB544" s="1280"/>
      <c r="AC544" s="1280"/>
      <c r="AD544" s="1280"/>
      <c r="AE544" s="1280"/>
      <c r="AF544" s="1280"/>
      <c r="AG544" s="1280"/>
      <c r="AH544" s="1280"/>
      <c r="AI544" s="1280"/>
      <c r="AJ544" s="1280"/>
      <c r="AK544" s="1280"/>
      <c r="AL544" s="1280"/>
      <c r="AM544" s="1280"/>
      <c r="AN544" s="1280"/>
      <c r="AO544" s="1280"/>
      <c r="AP544" s="1280"/>
      <c r="AQ544" s="1280"/>
      <c r="AR544" s="1280"/>
      <c r="AS544" s="1280"/>
      <c r="AT544" s="1280"/>
      <c r="AU544" s="900"/>
      <c r="AV544" s="900"/>
      <c r="AW544" s="900"/>
      <c r="AX544" s="900"/>
      <c r="AY544" s="900"/>
      <c r="BB544" s="3"/>
      <c r="BC544" s="3"/>
      <c r="BD544" s="3"/>
      <c r="BE544" s="3"/>
      <c r="BF544" s="3"/>
      <c r="BG544" s="3"/>
      <c r="BH544" s="3"/>
      <c r="BI544" s="3"/>
      <c r="BJ544" s="3"/>
      <c r="BK544" s="3"/>
      <c r="BL544" s="3"/>
      <c r="BM544" s="3"/>
      <c r="BN544" s="3"/>
    </row>
    <row r="545" spans="1:61" ht="13" customHeight="1">
      <c r="A545" s="1280"/>
      <c r="B545" s="1280"/>
      <c r="C545" s="1280"/>
      <c r="D545" s="1280"/>
      <c r="E545" s="1280"/>
      <c r="F545" s="1280"/>
      <c r="G545" s="1280"/>
      <c r="H545" s="1280"/>
      <c r="I545" s="1280"/>
      <c r="J545" s="1280"/>
      <c r="K545" s="1280"/>
      <c r="L545" s="1280"/>
      <c r="M545" s="1280"/>
      <c r="N545" s="1280"/>
      <c r="O545" s="1280"/>
      <c r="P545" s="1280"/>
      <c r="Q545" s="1280"/>
      <c r="R545" s="1280"/>
      <c r="S545" s="1280"/>
      <c r="T545" s="1280"/>
      <c r="U545" s="1280"/>
      <c r="V545" s="1280"/>
      <c r="W545" s="1280"/>
      <c r="X545" s="1280"/>
      <c r="Y545" s="1280"/>
      <c r="Z545" s="1280"/>
      <c r="AA545" s="1280"/>
      <c r="AB545" s="1280"/>
      <c r="AC545" s="1280"/>
      <c r="AD545" s="1280"/>
      <c r="AE545" s="1280"/>
      <c r="AF545" s="1280"/>
      <c r="AG545" s="1280"/>
      <c r="AH545" s="1280"/>
      <c r="AI545" s="1280"/>
      <c r="AJ545" s="1280"/>
      <c r="AK545" s="1280"/>
      <c r="AL545" s="1280"/>
      <c r="AM545" s="1280"/>
      <c r="AN545" s="1280"/>
      <c r="AO545" s="1280"/>
      <c r="AP545" s="1280"/>
      <c r="AQ545" s="1280"/>
      <c r="AR545" s="1280"/>
      <c r="AS545" s="1280"/>
      <c r="AT545" s="1280"/>
      <c r="BB545" s="3"/>
      <c r="BC545" s="3"/>
      <c r="BD545" s="3"/>
      <c r="BE545" s="3"/>
      <c r="BF545" s="3"/>
      <c r="BG545" s="3"/>
      <c r="BH545" s="3"/>
      <c r="BI545" s="3"/>
    </row>
    <row r="546" spans="1:61" ht="13" customHeight="1">
      <c r="BB546" s="3"/>
      <c r="BC546" s="3"/>
      <c r="BD546" s="3"/>
      <c r="BE546" s="3"/>
      <c r="BF546" s="3"/>
      <c r="BG546" s="3"/>
      <c r="BH546" s="3"/>
      <c r="BI546" s="3"/>
    </row>
    <row r="547" spans="1:61" ht="13" customHeight="1">
      <c r="A547" s="2" t="s">
        <v>318</v>
      </c>
      <c r="B547" s="2"/>
      <c r="C547" s="2" t="s">
        <v>451</v>
      </c>
      <c r="BB547" s="3"/>
      <c r="BC547" s="3"/>
      <c r="BD547" s="3"/>
      <c r="BE547" s="3"/>
      <c r="BF547" s="3"/>
      <c r="BG547" s="3"/>
      <c r="BH547" s="3"/>
      <c r="BI547" s="3"/>
    </row>
    <row r="548" spans="1:61" ht="13" customHeight="1">
      <c r="A548" s="2"/>
      <c r="B548" s="2"/>
      <c r="C548" s="2"/>
      <c r="BB548" s="3"/>
      <c r="BC548" s="3"/>
      <c r="BD548" s="3"/>
      <c r="BE548" s="3"/>
      <c r="BF548" s="3"/>
      <c r="BG548" s="3"/>
      <c r="BH548" s="3"/>
      <c r="BI548" s="3"/>
    </row>
    <row r="549" spans="1:61" ht="13" customHeight="1">
      <c r="A549" s="2"/>
      <c r="B549" s="2"/>
      <c r="C549" s="2"/>
      <c r="D549" s="2" t="s">
        <v>2101</v>
      </c>
      <c r="AC549" s="98"/>
      <c r="BB549" s="3"/>
      <c r="BC549" s="3"/>
      <c r="BD549" s="3"/>
      <c r="BE549" s="3"/>
      <c r="BF549" s="3"/>
      <c r="BG549" s="3"/>
      <c r="BH549" s="3"/>
      <c r="BI549" s="3"/>
    </row>
    <row r="550" spans="1:61" ht="13" customHeight="1">
      <c r="B550" s="513"/>
      <c r="BB550" s="3"/>
      <c r="BC550" s="3"/>
      <c r="BD550" s="3"/>
      <c r="BE550" s="3"/>
      <c r="BF550" s="3"/>
      <c r="BG550" s="3"/>
      <c r="BH550" s="3" t="s">
        <v>119</v>
      </c>
      <c r="BI550" s="3" t="str">
        <f>N657</f>
        <v>Yes</v>
      </c>
    </row>
    <row r="551" spans="1:61" ht="13" customHeight="1">
      <c r="B551" s="1425" t="s">
        <v>2103</v>
      </c>
      <c r="C551" s="1426"/>
      <c r="D551" s="1426"/>
      <c r="E551" s="1426"/>
      <c r="F551" s="1426"/>
      <c r="G551" s="1426"/>
      <c r="H551" s="1426"/>
      <c r="I551" s="1426"/>
      <c r="J551" s="1426"/>
      <c r="K551" s="1426"/>
      <c r="L551" s="1427"/>
      <c r="M551" s="1425" t="s">
        <v>2104</v>
      </c>
      <c r="N551" s="1426"/>
      <c r="O551" s="1426"/>
      <c r="P551" s="1427"/>
      <c r="Q551" s="1425" t="s">
        <v>2130</v>
      </c>
      <c r="R551" s="1426"/>
      <c r="S551" s="1427"/>
      <c r="T551" s="1425" t="s">
        <v>2131</v>
      </c>
      <c r="U551" s="1426"/>
      <c r="V551" s="1427"/>
      <c r="W551" s="1425" t="s">
        <v>452</v>
      </c>
      <c r="X551" s="1426"/>
      <c r="Y551" s="1427"/>
      <c r="Z551" s="1425" t="s">
        <v>1851</v>
      </c>
      <c r="AA551" s="1426"/>
      <c r="AB551" s="1426"/>
      <c r="AC551" s="1426"/>
      <c r="AD551" s="1427"/>
      <c r="AE551" s="1425" t="s">
        <v>1675</v>
      </c>
      <c r="AF551" s="1426"/>
      <c r="AG551" s="1426"/>
      <c r="AH551" s="1427"/>
      <c r="AI551" s="1425" t="s">
        <v>1676</v>
      </c>
      <c r="AJ551" s="1426"/>
      <c r="AK551" s="1426"/>
      <c r="AL551" s="1427"/>
      <c r="AM551" s="1425" t="s">
        <v>453</v>
      </c>
      <c r="AN551" s="1426"/>
      <c r="AO551" s="1426"/>
      <c r="AP551" s="1426"/>
      <c r="AQ551" s="1426"/>
      <c r="AR551" s="1426"/>
      <c r="AS551" s="1427"/>
      <c r="BB551" s="3"/>
      <c r="BC551" s="3"/>
      <c r="BD551" s="3"/>
      <c r="BE551" s="3"/>
      <c r="BF551" s="3"/>
      <c r="BG551" s="3"/>
      <c r="BH551" s="3" t="s">
        <v>580</v>
      </c>
      <c r="BI551" s="3" t="str">
        <f>AG657</f>
        <v>Yes</v>
      </c>
    </row>
    <row r="552" spans="1:61" ht="13" customHeight="1">
      <c r="B552" s="1428"/>
      <c r="C552" s="1429"/>
      <c r="D552" s="1429"/>
      <c r="E552" s="1429"/>
      <c r="F552" s="1429"/>
      <c r="G552" s="1429"/>
      <c r="H552" s="1429"/>
      <c r="I552" s="1429"/>
      <c r="J552" s="1429"/>
      <c r="K552" s="1429"/>
      <c r="L552" s="1430"/>
      <c r="M552" s="1428"/>
      <c r="N552" s="1429"/>
      <c r="O552" s="1429"/>
      <c r="P552" s="1430"/>
      <c r="Q552" s="1428"/>
      <c r="R552" s="1429"/>
      <c r="S552" s="1430"/>
      <c r="T552" s="1428"/>
      <c r="U552" s="1429"/>
      <c r="V552" s="1430"/>
      <c r="W552" s="1428"/>
      <c r="X552" s="1429"/>
      <c r="Y552" s="1430"/>
      <c r="Z552" s="1428"/>
      <c r="AA552" s="1429"/>
      <c r="AB552" s="1429"/>
      <c r="AC552" s="1429"/>
      <c r="AD552" s="1430"/>
      <c r="AE552" s="1428"/>
      <c r="AF552" s="1429"/>
      <c r="AG552" s="1429"/>
      <c r="AH552" s="1430"/>
      <c r="AI552" s="1428"/>
      <c r="AJ552" s="1429"/>
      <c r="AK552" s="1429"/>
      <c r="AL552" s="1430"/>
      <c r="AM552" s="1428"/>
      <c r="AN552" s="1429"/>
      <c r="AO552" s="1429"/>
      <c r="AP552" s="1429"/>
      <c r="AQ552" s="1429"/>
      <c r="AR552" s="1429"/>
      <c r="AS552" s="1430"/>
      <c r="AU552" s="1149"/>
      <c r="BB552" s="3"/>
      <c r="BC552" s="3"/>
      <c r="BD552" s="3"/>
      <c r="BE552" s="3"/>
      <c r="BF552" s="3"/>
      <c r="BG552" s="3"/>
      <c r="BH552" s="3"/>
      <c r="BI552" s="3"/>
    </row>
    <row r="553" spans="1:61" ht="13" customHeight="1">
      <c r="B553" s="1431"/>
      <c r="C553" s="1432"/>
      <c r="D553" s="1432"/>
      <c r="E553" s="1432"/>
      <c r="F553" s="1432"/>
      <c r="G553" s="1432"/>
      <c r="H553" s="1432"/>
      <c r="I553" s="1432"/>
      <c r="J553" s="1432"/>
      <c r="K553" s="1432"/>
      <c r="L553" s="1433"/>
      <c r="M553" s="1431"/>
      <c r="N553" s="1432"/>
      <c r="O553" s="1432"/>
      <c r="P553" s="1433"/>
      <c r="Q553" s="1431"/>
      <c r="R553" s="1432"/>
      <c r="S553" s="1433"/>
      <c r="T553" s="1431"/>
      <c r="U553" s="1432"/>
      <c r="V553" s="1433"/>
      <c r="W553" s="1431"/>
      <c r="X553" s="1432"/>
      <c r="Y553" s="1433"/>
      <c r="Z553" s="1431"/>
      <c r="AA553" s="1432"/>
      <c r="AB553" s="1432"/>
      <c r="AC553" s="1432"/>
      <c r="AD553" s="1433"/>
      <c r="AE553" s="1431"/>
      <c r="AF553" s="1432"/>
      <c r="AG553" s="1432"/>
      <c r="AH553" s="1433"/>
      <c r="AI553" s="1431"/>
      <c r="AJ553" s="1432"/>
      <c r="AK553" s="1432"/>
      <c r="AL553" s="1433"/>
      <c r="AM553" s="1431"/>
      <c r="AN553" s="1432"/>
      <c r="AO553" s="1432"/>
      <c r="AP553" s="1432"/>
      <c r="AQ553" s="1432"/>
      <c r="AR553" s="1432"/>
      <c r="AS553" s="1433"/>
      <c r="AU553" s="1149"/>
      <c r="BB553" s="3"/>
      <c r="BC553" s="3"/>
      <c r="BD553" s="3"/>
      <c r="BE553" s="3"/>
      <c r="BF553" s="3"/>
      <c r="BG553" s="3"/>
      <c r="BH553" s="3"/>
      <c r="BI553" s="3"/>
    </row>
    <row r="554" spans="1:61" ht="13" customHeight="1">
      <c r="B554" s="51" t="s">
        <v>112</v>
      </c>
      <c r="C554" s="1424" t="s">
        <v>2666</v>
      </c>
      <c r="D554" s="1424"/>
      <c r="E554" s="1424"/>
      <c r="F554" s="1424"/>
      <c r="G554" s="1424"/>
      <c r="H554" s="1424"/>
      <c r="I554" s="1424"/>
      <c r="J554" s="1424"/>
      <c r="K554" s="1424"/>
      <c r="L554" s="1424"/>
      <c r="M554" s="1424" t="s">
        <v>2120</v>
      </c>
      <c r="N554" s="1424"/>
      <c r="O554" s="1424"/>
      <c r="P554" s="1424"/>
      <c r="Q554" s="1405">
        <v>24</v>
      </c>
      <c r="R554" s="1405"/>
      <c r="S554" s="1406"/>
      <c r="T554" s="1411"/>
      <c r="U554" s="1405"/>
      <c r="V554" s="1406"/>
      <c r="W554" s="1442">
        <v>6.8500000000000005E-2</v>
      </c>
      <c r="X554" s="1443"/>
      <c r="Y554" s="1444"/>
      <c r="Z554" s="1467" t="s">
        <v>2720</v>
      </c>
      <c r="AA554" s="1467"/>
      <c r="AB554" s="1467"/>
      <c r="AC554" s="1467"/>
      <c r="AD554" s="1467"/>
      <c r="AE554" s="1434">
        <v>1</v>
      </c>
      <c r="AF554" s="1435"/>
      <c r="AG554" s="1435"/>
      <c r="AH554" s="1436"/>
      <c r="AI554" s="1439"/>
      <c r="AJ554" s="1440"/>
      <c r="AK554" s="1440"/>
      <c r="AL554" s="1441"/>
      <c r="AM554" s="1378">
        <v>16812000</v>
      </c>
      <c r="AN554" s="1379"/>
      <c r="AO554" s="1379"/>
      <c r="AP554" s="1379"/>
      <c r="AQ554" s="1379"/>
      <c r="AR554" s="1379"/>
      <c r="AS554" s="1380"/>
      <c r="AT554" s="1150"/>
      <c r="AU554" s="1149"/>
      <c r="BB554" s="3"/>
      <c r="BC554" s="3"/>
      <c r="BD554" s="3"/>
      <c r="BE554" s="3"/>
      <c r="BF554" s="3"/>
      <c r="BG554" s="3"/>
      <c r="BH554" s="3"/>
      <c r="BI554" s="3"/>
    </row>
    <row r="555" spans="1:61" ht="13" customHeight="1">
      <c r="B555" s="52" t="s">
        <v>113</v>
      </c>
      <c r="C555" s="1445" t="s">
        <v>2662</v>
      </c>
      <c r="D555" s="1445"/>
      <c r="E555" s="1445"/>
      <c r="F555" s="1445"/>
      <c r="G555" s="1445"/>
      <c r="H555" s="1445"/>
      <c r="I555" s="1445"/>
      <c r="J555" s="1445"/>
      <c r="K555" s="1445"/>
      <c r="L555" s="1445"/>
      <c r="M555" s="1424" t="s">
        <v>2111</v>
      </c>
      <c r="N555" s="1424"/>
      <c r="O555" s="1424"/>
      <c r="P555" s="1424"/>
      <c r="Q555" s="1411"/>
      <c r="R555" s="1405"/>
      <c r="S555" s="1406"/>
      <c r="T555" s="1411"/>
      <c r="U555" s="1405"/>
      <c r="V555" s="1406"/>
      <c r="W555" s="1442"/>
      <c r="X555" s="1443"/>
      <c r="Y555" s="1444"/>
      <c r="Z555" s="1467" t="s">
        <v>590</v>
      </c>
      <c r="AA555" s="1467"/>
      <c r="AB555" s="1467"/>
      <c r="AC555" s="1467"/>
      <c r="AD555" s="1467"/>
      <c r="AE555" s="1434"/>
      <c r="AF555" s="1435"/>
      <c r="AG555" s="1435"/>
      <c r="AH555" s="1436"/>
      <c r="AI555" s="1439"/>
      <c r="AJ555" s="1440"/>
      <c r="AK555" s="1440"/>
      <c r="AL555" s="1441"/>
      <c r="AM555" s="1378">
        <v>961980</v>
      </c>
      <c r="AN555" s="1379"/>
      <c r="AO555" s="1379"/>
      <c r="AP555" s="1379"/>
      <c r="AQ555" s="1379"/>
      <c r="AR555" s="1379"/>
      <c r="AS555" s="1380"/>
      <c r="AT555" s="1150" t="str">
        <f>IF(AND(NOT(C554=""),C555="",NOT(C556="")),"!","")</f>
        <v/>
      </c>
      <c r="AU555" s="1149"/>
      <c r="BB555" s="3"/>
      <c r="BC555" s="3"/>
      <c r="BD555" s="3"/>
      <c r="BE555" s="3"/>
      <c r="BF555" s="3"/>
      <c r="BG555" s="3"/>
      <c r="BH555" s="3"/>
      <c r="BI555" s="3"/>
    </row>
    <row r="556" spans="1:61" ht="13" customHeight="1">
      <c r="B556" s="52" t="s">
        <v>119</v>
      </c>
      <c r="C556" s="1445" t="s">
        <v>2663</v>
      </c>
      <c r="D556" s="1445"/>
      <c r="E556" s="1445"/>
      <c r="F556" s="1445"/>
      <c r="G556" s="1445"/>
      <c r="H556" s="1445"/>
      <c r="I556" s="1445"/>
      <c r="J556" s="1445"/>
      <c r="K556" s="1445"/>
      <c r="L556" s="1445"/>
      <c r="M556" s="1424" t="s">
        <v>2117</v>
      </c>
      <c r="N556" s="1424"/>
      <c r="O556" s="1424"/>
      <c r="P556" s="1424"/>
      <c r="Q556" s="1411">
        <v>660</v>
      </c>
      <c r="R556" s="1405"/>
      <c r="S556" s="1406"/>
      <c r="T556" s="1411"/>
      <c r="U556" s="1405"/>
      <c r="V556" s="1406"/>
      <c r="W556" s="1442">
        <v>4.53E-2</v>
      </c>
      <c r="X556" s="1443"/>
      <c r="Y556" s="1444"/>
      <c r="Z556" s="1467" t="s">
        <v>2721</v>
      </c>
      <c r="AA556" s="1467"/>
      <c r="AB556" s="1467"/>
      <c r="AC556" s="1467"/>
      <c r="AD556" s="1467"/>
      <c r="AE556" s="1434">
        <v>2</v>
      </c>
      <c r="AF556" s="1435"/>
      <c r="AG556" s="1435"/>
      <c r="AH556" s="1436"/>
      <c r="AI556" s="1439"/>
      <c r="AJ556" s="1440"/>
      <c r="AK556" s="1440"/>
      <c r="AL556" s="1441"/>
      <c r="AM556" s="1378">
        <v>11490674</v>
      </c>
      <c r="AN556" s="1379"/>
      <c r="AO556" s="1379"/>
      <c r="AP556" s="1379"/>
      <c r="AQ556" s="1379"/>
      <c r="AR556" s="1379"/>
      <c r="AS556" s="1380"/>
      <c r="AT556" s="1150" t="str">
        <f>IF(AND(NOT(C555=""),C556="",NOT(C557="")),"!","")</f>
        <v/>
      </c>
      <c r="AU556" s="1149"/>
      <c r="BB556" s="3"/>
      <c r="BC556" s="3"/>
      <c r="BD556" s="3"/>
      <c r="BE556" s="3"/>
      <c r="BF556" s="3"/>
      <c r="BG556" s="3"/>
      <c r="BH556" s="3"/>
      <c r="BI556" s="3"/>
    </row>
    <row r="557" spans="1:61" ht="13" customHeight="1">
      <c r="B557" s="52" t="s">
        <v>580</v>
      </c>
      <c r="C557" s="1445" t="s">
        <v>2664</v>
      </c>
      <c r="D557" s="1445"/>
      <c r="E557" s="1445"/>
      <c r="F557" s="1445"/>
      <c r="G557" s="1445"/>
      <c r="H557" s="1445"/>
      <c r="I557" s="1445"/>
      <c r="J557" s="1445"/>
      <c r="K557" s="1445"/>
      <c r="L557" s="1445"/>
      <c r="M557" s="1424" t="s">
        <v>2105</v>
      </c>
      <c r="N557" s="1424"/>
      <c r="O557" s="1424"/>
      <c r="P557" s="1424"/>
      <c r="Q557" s="1411"/>
      <c r="R557" s="1405"/>
      <c r="S557" s="1406"/>
      <c r="T557" s="1411"/>
      <c r="U557" s="1405"/>
      <c r="V557" s="1406"/>
      <c r="W557" s="1442"/>
      <c r="X557" s="1443"/>
      <c r="Y557" s="1444"/>
      <c r="Z557" s="1467" t="s">
        <v>590</v>
      </c>
      <c r="AA557" s="1467"/>
      <c r="AB557" s="1467"/>
      <c r="AC557" s="1467"/>
      <c r="AD557" s="1467"/>
      <c r="AE557" s="1434"/>
      <c r="AF557" s="1435"/>
      <c r="AG557" s="1435"/>
      <c r="AH557" s="1436"/>
      <c r="AI557" s="1439"/>
      <c r="AJ557" s="1440"/>
      <c r="AK557" s="1440"/>
      <c r="AL557" s="1441"/>
      <c r="AM557" s="1378">
        <v>1087527</v>
      </c>
      <c r="AN557" s="1379"/>
      <c r="AO557" s="1379"/>
      <c r="AP557" s="1379"/>
      <c r="AQ557" s="1379"/>
      <c r="AR557" s="1379"/>
      <c r="AS557" s="1380"/>
      <c r="AT557" s="1150" t="str">
        <f>IF(AND(NOT(C556=""),C557="",NOT(C558="")),"!","")</f>
        <v/>
      </c>
      <c r="AU557" s="1149"/>
      <c r="BB557" s="3"/>
      <c r="BC557" s="3"/>
      <c r="BD557" s="3"/>
      <c r="BE557" s="3"/>
      <c r="BF557" s="3"/>
      <c r="BG557" s="3"/>
      <c r="BH557" s="3"/>
      <c r="BI557" s="3"/>
    </row>
    <row r="558" spans="1:61" ht="13" customHeight="1">
      <c r="B558" s="52" t="s">
        <v>762</v>
      </c>
      <c r="C558" s="1445" t="s">
        <v>2323</v>
      </c>
      <c r="D558" s="1445"/>
      <c r="E558" s="1445"/>
      <c r="F558" s="1445"/>
      <c r="G558" s="1445"/>
      <c r="H558" s="1445"/>
      <c r="I558" s="1445"/>
      <c r="J558" s="1445"/>
      <c r="K558" s="1445"/>
      <c r="L558" s="1445"/>
      <c r="M558" s="1424" t="s">
        <v>2107</v>
      </c>
      <c r="N558" s="1424"/>
      <c r="O558" s="1424"/>
      <c r="P558" s="1424"/>
      <c r="Q558" s="1411"/>
      <c r="R558" s="1405"/>
      <c r="S558" s="1406"/>
      <c r="T558" s="1411"/>
      <c r="U558" s="1405"/>
      <c r="V558" s="1406"/>
      <c r="W558" s="1442"/>
      <c r="X558" s="1443"/>
      <c r="Y558" s="1444"/>
      <c r="Z558" s="1467" t="s">
        <v>590</v>
      </c>
      <c r="AA558" s="1467"/>
      <c r="AB558" s="1467"/>
      <c r="AC558" s="1467"/>
      <c r="AD558" s="1467"/>
      <c r="AE558" s="1434"/>
      <c r="AF558" s="1435"/>
      <c r="AG558" s="1435"/>
      <c r="AH558" s="1436"/>
      <c r="AI558" s="1439"/>
      <c r="AJ558" s="1440"/>
      <c r="AK558" s="1440"/>
      <c r="AL558" s="1441"/>
      <c r="AM558" s="1378">
        <v>1604121</v>
      </c>
      <c r="AN558" s="1379"/>
      <c r="AO558" s="1379"/>
      <c r="AP558" s="1379"/>
      <c r="AQ558" s="1379"/>
      <c r="AR558" s="1379"/>
      <c r="AS558" s="1380"/>
      <c r="AT558" s="1150" t="str">
        <f t="shared" ref="AT558:AT565" si="0">IF(AND(NOT(C557=""),C558="",NOT(C559="")),"!","")</f>
        <v/>
      </c>
      <c r="AU558" s="1149"/>
      <c r="BB558" s="3"/>
      <c r="BC558" s="3"/>
      <c r="BD558" s="3"/>
      <c r="BE558" s="3"/>
      <c r="BF558" s="3"/>
      <c r="BG558" s="3"/>
      <c r="BH558" s="3" t="s">
        <v>762</v>
      </c>
      <c r="BI558" s="3" t="str">
        <f>N665</f>
        <v>Yes</v>
      </c>
    </row>
    <row r="559" spans="1:61" ht="13" customHeight="1">
      <c r="B559" s="52" t="s">
        <v>583</v>
      </c>
      <c r="C559" s="1445" t="s">
        <v>2665</v>
      </c>
      <c r="D559" s="1445"/>
      <c r="E559" s="1445"/>
      <c r="F559" s="1445"/>
      <c r="G559" s="1445"/>
      <c r="H559" s="1445"/>
      <c r="I559" s="1445"/>
      <c r="J559" s="1445"/>
      <c r="K559" s="1445"/>
      <c r="L559" s="1445"/>
      <c r="M559" s="1424" t="s">
        <v>2124</v>
      </c>
      <c r="N559" s="1424"/>
      <c r="O559" s="1424"/>
      <c r="P559" s="1424"/>
      <c r="Q559" s="1411"/>
      <c r="R559" s="1405"/>
      <c r="S559" s="1406"/>
      <c r="T559" s="1411"/>
      <c r="U559" s="1405"/>
      <c r="V559" s="1406"/>
      <c r="W559" s="1442"/>
      <c r="X559" s="1443"/>
      <c r="Y559" s="1444"/>
      <c r="Z559" s="1467" t="s">
        <v>590</v>
      </c>
      <c r="AA559" s="1467"/>
      <c r="AB559" s="1467"/>
      <c r="AC559" s="1467"/>
      <c r="AD559" s="1467"/>
      <c r="AE559" s="1434"/>
      <c r="AF559" s="1435"/>
      <c r="AG559" s="1435"/>
      <c r="AH559" s="1436"/>
      <c r="AI559" s="1439"/>
      <c r="AJ559" s="1440"/>
      <c r="AK559" s="1440"/>
      <c r="AL559" s="1441"/>
      <c r="AM559" s="1378">
        <v>950864</v>
      </c>
      <c r="AN559" s="1379"/>
      <c r="AO559" s="1379"/>
      <c r="AP559" s="1379"/>
      <c r="AQ559" s="1379"/>
      <c r="AR559" s="1379"/>
      <c r="AS559" s="1380"/>
      <c r="AT559" s="1150" t="str">
        <f t="shared" si="0"/>
        <v/>
      </c>
      <c r="AU559" s="1149"/>
      <c r="BB559" s="3"/>
      <c r="BC559" s="3"/>
      <c r="BD559" s="3"/>
      <c r="BE559" s="3"/>
      <c r="BF559" s="3"/>
      <c r="BG559" s="3"/>
      <c r="BH559" s="3" t="s">
        <v>583</v>
      </c>
      <c r="BI559" s="3" t="str">
        <f>AG665</f>
        <v>Yes</v>
      </c>
    </row>
    <row r="560" spans="1:61" ht="13" customHeight="1">
      <c r="B560" s="52" t="s">
        <v>454</v>
      </c>
      <c r="C560" s="1445" t="s">
        <v>2318</v>
      </c>
      <c r="D560" s="1445"/>
      <c r="E560" s="1445"/>
      <c r="F560" s="1445"/>
      <c r="G560" s="1445"/>
      <c r="H560" s="1445"/>
      <c r="I560" s="1445"/>
      <c r="J560" s="1445"/>
      <c r="K560" s="1445"/>
      <c r="L560" s="1445"/>
      <c r="M560" s="1424" t="s">
        <v>2110</v>
      </c>
      <c r="N560" s="1424"/>
      <c r="O560" s="1424"/>
      <c r="P560" s="1424"/>
      <c r="Q560" s="1411"/>
      <c r="R560" s="1405"/>
      <c r="S560" s="1406"/>
      <c r="T560" s="1411"/>
      <c r="U560" s="1405"/>
      <c r="V560" s="1406"/>
      <c r="W560" s="1442"/>
      <c r="X560" s="1443"/>
      <c r="Y560" s="1444"/>
      <c r="Z560" s="1467" t="s">
        <v>590</v>
      </c>
      <c r="AA560" s="1467"/>
      <c r="AB560" s="1467"/>
      <c r="AC560" s="1467"/>
      <c r="AD560" s="1467"/>
      <c r="AE560" s="1434"/>
      <c r="AF560" s="1435"/>
      <c r="AG560" s="1435"/>
      <c r="AH560" s="1436"/>
      <c r="AI560" s="1439"/>
      <c r="AJ560" s="1440"/>
      <c r="AK560" s="1440"/>
      <c r="AL560" s="1441"/>
      <c r="AM560" s="1378">
        <v>100</v>
      </c>
      <c r="AN560" s="1379"/>
      <c r="AO560" s="1379"/>
      <c r="AP560" s="1379"/>
      <c r="AQ560" s="1379"/>
      <c r="AR560" s="1379"/>
      <c r="AS560" s="1380"/>
      <c r="AT560" s="1150" t="str">
        <f t="shared" si="0"/>
        <v/>
      </c>
      <c r="AU560" s="1149"/>
      <c r="BB560" s="3"/>
      <c r="BC560" s="3"/>
      <c r="BD560" s="3"/>
      <c r="BE560" s="3"/>
      <c r="BF560" s="3"/>
      <c r="BG560" s="3"/>
      <c r="BH560" s="3"/>
      <c r="BI560" s="3"/>
    </row>
    <row r="561" spans="1:61" ht="13" customHeight="1">
      <c r="B561" s="52" t="s">
        <v>455</v>
      </c>
      <c r="C561" s="1445" t="s">
        <v>2722</v>
      </c>
      <c r="D561" s="1445"/>
      <c r="E561" s="1445"/>
      <c r="F561" s="1445"/>
      <c r="G561" s="1445"/>
      <c r="H561" s="1445"/>
      <c r="I561" s="1445"/>
      <c r="J561" s="1445"/>
      <c r="K561" s="1445"/>
      <c r="L561" s="1445"/>
      <c r="M561" s="1424" t="s">
        <v>2106</v>
      </c>
      <c r="N561" s="1424"/>
      <c r="O561" s="1424"/>
      <c r="P561" s="1424"/>
      <c r="Q561" s="1411"/>
      <c r="R561" s="1405"/>
      <c r="S561" s="1406"/>
      <c r="T561" s="1411"/>
      <c r="U561" s="1405"/>
      <c r="V561" s="1406"/>
      <c r="W561" s="1442"/>
      <c r="X561" s="1443"/>
      <c r="Y561" s="1444"/>
      <c r="Z561" s="1467" t="s">
        <v>590</v>
      </c>
      <c r="AA561" s="1467"/>
      <c r="AB561" s="1467"/>
      <c r="AC561" s="1467"/>
      <c r="AD561" s="1467"/>
      <c r="AE561" s="1434"/>
      <c r="AF561" s="1435"/>
      <c r="AG561" s="1435"/>
      <c r="AH561" s="1436"/>
      <c r="AI561" s="1439"/>
      <c r="AJ561" s="1440"/>
      <c r="AK561" s="1440"/>
      <c r="AL561" s="1441"/>
      <c r="AM561" s="1378">
        <v>2144526</v>
      </c>
      <c r="AN561" s="1379"/>
      <c r="AO561" s="1379"/>
      <c r="AP561" s="1379"/>
      <c r="AQ561" s="1379"/>
      <c r="AR561" s="1379"/>
      <c r="AS561" s="1380"/>
      <c r="AT561" s="1150" t="str">
        <f t="shared" si="0"/>
        <v/>
      </c>
      <c r="AU561" s="1149"/>
      <c r="BB561" s="3"/>
      <c r="BC561" s="3"/>
      <c r="BD561" s="3"/>
      <c r="BE561" s="3"/>
      <c r="BF561" s="3"/>
      <c r="BG561" s="3"/>
      <c r="BH561" s="3"/>
      <c r="BI561" s="3"/>
    </row>
    <row r="562" spans="1:61" ht="13" customHeight="1">
      <c r="B562" s="52" t="s">
        <v>460</v>
      </c>
      <c r="C562" s="1445"/>
      <c r="D562" s="1445"/>
      <c r="E562" s="1445"/>
      <c r="F562" s="1445"/>
      <c r="G562" s="1445"/>
      <c r="H562" s="1445"/>
      <c r="I562" s="1445"/>
      <c r="J562" s="1445"/>
      <c r="K562" s="1445"/>
      <c r="L562" s="1445"/>
      <c r="M562" s="1424" t="s">
        <v>1183</v>
      </c>
      <c r="N562" s="1424"/>
      <c r="O562" s="1424"/>
      <c r="P562" s="1424"/>
      <c r="Q562" s="1411"/>
      <c r="R562" s="1405"/>
      <c r="S562" s="1406"/>
      <c r="T562" s="1411"/>
      <c r="U562" s="1405"/>
      <c r="V562" s="1406"/>
      <c r="W562" s="1442"/>
      <c r="X562" s="1443"/>
      <c r="Y562" s="1444"/>
      <c r="Z562" s="1467" t="s">
        <v>1183</v>
      </c>
      <c r="AA562" s="1467"/>
      <c r="AB562" s="1467"/>
      <c r="AC562" s="1467"/>
      <c r="AD562" s="1467"/>
      <c r="AE562" s="1434"/>
      <c r="AF562" s="1435"/>
      <c r="AG562" s="1435"/>
      <c r="AH562" s="1436"/>
      <c r="AI562" s="1439"/>
      <c r="AJ562" s="1440"/>
      <c r="AK562" s="1440"/>
      <c r="AL562" s="1441"/>
      <c r="AM562" s="1378"/>
      <c r="AN562" s="1379"/>
      <c r="AO562" s="1379"/>
      <c r="AP562" s="1379"/>
      <c r="AQ562" s="1379"/>
      <c r="AR562" s="1379"/>
      <c r="AS562" s="1380"/>
      <c r="AT562" s="1150" t="str">
        <f t="shared" si="0"/>
        <v/>
      </c>
      <c r="AU562" s="1149"/>
      <c r="BB562" s="3"/>
      <c r="BC562" s="3"/>
      <c r="BD562" s="3"/>
      <c r="BE562" s="3"/>
      <c r="BF562" s="3"/>
      <c r="BG562" s="3"/>
      <c r="BH562" s="3"/>
      <c r="BI562" s="3"/>
    </row>
    <row r="563" spans="1:61" ht="13" customHeight="1">
      <c r="B563" s="52" t="s">
        <v>645</v>
      </c>
      <c r="C563" s="1445"/>
      <c r="D563" s="1445"/>
      <c r="E563" s="1445"/>
      <c r="F563" s="1445"/>
      <c r="G563" s="1445"/>
      <c r="H563" s="1445"/>
      <c r="I563" s="1445"/>
      <c r="J563" s="1445"/>
      <c r="K563" s="1445"/>
      <c r="L563" s="1445"/>
      <c r="M563" s="1424" t="s">
        <v>1183</v>
      </c>
      <c r="N563" s="1424"/>
      <c r="O563" s="1424"/>
      <c r="P563" s="1424"/>
      <c r="Q563" s="1411"/>
      <c r="R563" s="1405"/>
      <c r="S563" s="1406"/>
      <c r="T563" s="1411"/>
      <c r="U563" s="1405"/>
      <c r="V563" s="1406"/>
      <c r="W563" s="1442"/>
      <c r="X563" s="1443"/>
      <c r="Y563" s="1444"/>
      <c r="Z563" s="1467" t="s">
        <v>1183</v>
      </c>
      <c r="AA563" s="1467"/>
      <c r="AB563" s="1467"/>
      <c r="AC563" s="1467"/>
      <c r="AD563" s="1467"/>
      <c r="AE563" s="1434"/>
      <c r="AF563" s="1435"/>
      <c r="AG563" s="1435"/>
      <c r="AH563" s="1436"/>
      <c r="AI563" s="1439"/>
      <c r="AJ563" s="1440"/>
      <c r="AK563" s="1440"/>
      <c r="AL563" s="1441"/>
      <c r="AM563" s="1378"/>
      <c r="AN563" s="1379"/>
      <c r="AO563" s="1379"/>
      <c r="AP563" s="1379"/>
      <c r="AQ563" s="1379"/>
      <c r="AR563" s="1379"/>
      <c r="AS563" s="1380"/>
      <c r="AT563" s="1150" t="str">
        <f t="shared" si="0"/>
        <v/>
      </c>
      <c r="BB563" s="3"/>
      <c r="BC563" s="3"/>
      <c r="BD563" s="3"/>
      <c r="BE563" s="3"/>
      <c r="BF563" s="3"/>
      <c r="BG563" s="3"/>
      <c r="BH563" s="3"/>
      <c r="BI563" s="3"/>
    </row>
    <row r="564" spans="1:61" ht="13" customHeight="1">
      <c r="B564" s="52" t="s">
        <v>361</v>
      </c>
      <c r="C564" s="1445"/>
      <c r="D564" s="1445"/>
      <c r="E564" s="1445"/>
      <c r="F564" s="1445"/>
      <c r="G564" s="1445"/>
      <c r="H564" s="1445"/>
      <c r="I564" s="1445"/>
      <c r="J564" s="1445"/>
      <c r="K564" s="1445"/>
      <c r="L564" s="1445"/>
      <c r="M564" s="1424" t="s">
        <v>1183</v>
      </c>
      <c r="N564" s="1424"/>
      <c r="O564" s="1424"/>
      <c r="P564" s="1424"/>
      <c r="Q564" s="1411"/>
      <c r="R564" s="1405"/>
      <c r="S564" s="1406"/>
      <c r="T564" s="1411"/>
      <c r="U564" s="1405"/>
      <c r="V564" s="1406"/>
      <c r="W564" s="1442"/>
      <c r="X564" s="1443"/>
      <c r="Y564" s="1444"/>
      <c r="Z564" s="1467" t="s">
        <v>1183</v>
      </c>
      <c r="AA564" s="1467"/>
      <c r="AB564" s="1467"/>
      <c r="AC564" s="1467"/>
      <c r="AD564" s="1467"/>
      <c r="AE564" s="1434"/>
      <c r="AF564" s="1435"/>
      <c r="AG564" s="1435"/>
      <c r="AH564" s="1436"/>
      <c r="AI564" s="1439"/>
      <c r="AJ564" s="1440"/>
      <c r="AK564" s="1440"/>
      <c r="AL564" s="1441"/>
      <c r="AM564" s="1378"/>
      <c r="AN564" s="1379"/>
      <c r="AO564" s="1379"/>
      <c r="AP564" s="1379"/>
      <c r="AQ564" s="1379"/>
      <c r="AR564" s="1379"/>
      <c r="AS564" s="1380"/>
      <c r="AT564" s="1150" t="str">
        <f t="shared" si="0"/>
        <v/>
      </c>
      <c r="BB564" s="3"/>
      <c r="BC564" s="3"/>
      <c r="BD564" s="3"/>
      <c r="BE564" s="3"/>
      <c r="BF564" s="3"/>
      <c r="BG564" s="3"/>
      <c r="BH564" s="3"/>
      <c r="BI564" s="3"/>
    </row>
    <row r="565" spans="1:61" ht="13" customHeight="1">
      <c r="B565" s="52" t="s">
        <v>362</v>
      </c>
      <c r="C565" s="1445"/>
      <c r="D565" s="1445"/>
      <c r="E565" s="1445"/>
      <c r="F565" s="1445"/>
      <c r="G565" s="1445"/>
      <c r="H565" s="1445"/>
      <c r="I565" s="1445"/>
      <c r="J565" s="1445"/>
      <c r="K565" s="1445"/>
      <c r="L565" s="1445"/>
      <c r="M565" s="1424" t="s">
        <v>1183</v>
      </c>
      <c r="N565" s="1424"/>
      <c r="O565" s="1424"/>
      <c r="P565" s="1424"/>
      <c r="Q565" s="1411"/>
      <c r="R565" s="1405"/>
      <c r="S565" s="1406"/>
      <c r="T565" s="1411"/>
      <c r="U565" s="1405"/>
      <c r="V565" s="1406"/>
      <c r="W565" s="1442"/>
      <c r="X565" s="1443"/>
      <c r="Y565" s="1444"/>
      <c r="Z565" s="1467" t="s">
        <v>1183</v>
      </c>
      <c r="AA565" s="1467"/>
      <c r="AB565" s="1467"/>
      <c r="AC565" s="1467"/>
      <c r="AD565" s="1467"/>
      <c r="AE565" s="1434"/>
      <c r="AF565" s="1435"/>
      <c r="AG565" s="1435"/>
      <c r="AH565" s="1436"/>
      <c r="AI565" s="1439"/>
      <c r="AJ565" s="1440"/>
      <c r="AK565" s="1440"/>
      <c r="AL565" s="1441"/>
      <c r="AM565" s="1378"/>
      <c r="AN565" s="1379"/>
      <c r="AO565" s="1379"/>
      <c r="AP565" s="1379"/>
      <c r="AQ565" s="1379"/>
      <c r="AR565" s="1379"/>
      <c r="AS565" s="1380"/>
      <c r="AT565" s="1150" t="str">
        <f t="shared" si="0"/>
        <v/>
      </c>
      <c r="BB565" s="3"/>
      <c r="BC565" s="3"/>
      <c r="BD565" s="3"/>
      <c r="BE565" s="3"/>
      <c r="BF565" s="3"/>
      <c r="BG565" s="3"/>
      <c r="BH565" s="3"/>
      <c r="BI565" s="3"/>
    </row>
    <row r="566" spans="1:61" ht="13" customHeight="1">
      <c r="B566" s="1492" t="s">
        <v>127</v>
      </c>
      <c r="C566" s="1493"/>
      <c r="D566" s="1493"/>
      <c r="E566" s="1493"/>
      <c r="F566" s="1493"/>
      <c r="G566" s="1493"/>
      <c r="H566" s="1493"/>
      <c r="I566" s="1493"/>
      <c r="J566" s="1493"/>
      <c r="K566" s="1493"/>
      <c r="L566" s="1493"/>
      <c r="M566" s="1493"/>
      <c r="N566" s="1493"/>
      <c r="O566" s="1493"/>
      <c r="P566" s="1493"/>
      <c r="Q566" s="1493"/>
      <c r="R566" s="1493"/>
      <c r="S566" s="1493"/>
      <c r="T566" s="1493"/>
      <c r="U566" s="1494"/>
      <c r="V566" s="1493"/>
      <c r="W566" s="1493"/>
      <c r="X566" s="1493"/>
      <c r="Y566" s="1493"/>
      <c r="Z566" s="1493"/>
      <c r="AA566" s="1493"/>
      <c r="AB566" s="1493"/>
      <c r="AC566" s="1493"/>
      <c r="AD566" s="1493"/>
      <c r="AE566" s="1493"/>
      <c r="AF566" s="1493"/>
      <c r="AG566" s="1493"/>
      <c r="AH566" s="1493"/>
      <c r="AI566" s="1493"/>
      <c r="AJ566" s="1493"/>
      <c r="AK566" s="1493"/>
      <c r="AL566" s="1495"/>
      <c r="AM566" s="1505">
        <f>SUM(AM554:AS565)</f>
        <v>35051792</v>
      </c>
      <c r="AN566" s="1506"/>
      <c r="AO566" s="1506"/>
      <c r="AP566" s="1506"/>
      <c r="AQ566" s="1506"/>
      <c r="AR566" s="1506"/>
      <c r="AS566" s="1507"/>
      <c r="BB566" s="3"/>
      <c r="BC566" s="3"/>
      <c r="BD566" s="3"/>
      <c r="BE566" s="3"/>
      <c r="BF566" s="3"/>
      <c r="BG566" s="3"/>
      <c r="BH566" s="3" t="s">
        <v>454</v>
      </c>
      <c r="BI566" s="3" t="str">
        <f>N673</f>
        <v>Yes</v>
      </c>
    </row>
    <row r="567" spans="1:61" ht="13"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455</v>
      </c>
      <c r="BI567" s="3" t="str">
        <f>AG673</f>
        <v>Yes</v>
      </c>
    </row>
    <row r="568" spans="1:61" ht="13" customHeight="1">
      <c r="A568" s="55" t="s">
        <v>112</v>
      </c>
      <c r="B568" t="s">
        <v>462</v>
      </c>
      <c r="G568" s="1476" t="str">
        <f>C554</f>
        <v>Citibank</v>
      </c>
      <c r="H568" s="1476"/>
      <c r="I568" s="1476"/>
      <c r="J568" s="1476"/>
      <c r="K568" s="1476"/>
      <c r="L568" s="1476"/>
      <c r="M568" s="1476"/>
      <c r="N568" s="1476"/>
      <c r="O568" s="1476"/>
      <c r="P568" s="1476"/>
      <c r="Q568" s="1476"/>
      <c r="R568" s="1476"/>
      <c r="S568" s="8"/>
      <c r="T568" s="55" t="s">
        <v>113</v>
      </c>
      <c r="U568" t="s">
        <v>462</v>
      </c>
      <c r="Z568" s="1476" t="str">
        <f>C555</f>
        <v>Tax Credit Equity</v>
      </c>
      <c r="AA568" s="1476"/>
      <c r="AB568" s="1476"/>
      <c r="AC568" s="1476"/>
      <c r="AD568" s="1476"/>
      <c r="AE568" s="1476"/>
      <c r="AF568" s="1476"/>
      <c r="AG568" s="1476"/>
      <c r="AH568" s="1476"/>
      <c r="AI568" s="1476"/>
      <c r="AJ568" s="1476"/>
      <c r="AK568" s="1476"/>
      <c r="BB568" s="3"/>
      <c r="BC568" s="3"/>
      <c r="BD568" s="3"/>
      <c r="BE568" s="3"/>
      <c r="BF568" s="3"/>
      <c r="BG568" s="3"/>
      <c r="BH568" s="3"/>
      <c r="BI568" s="3"/>
    </row>
    <row r="569" spans="1:61" ht="13" customHeight="1">
      <c r="A569" s="22"/>
      <c r="B569" t="s">
        <v>85</v>
      </c>
      <c r="G569" s="1491" t="s">
        <v>2693</v>
      </c>
      <c r="H569" s="1352"/>
      <c r="I569" s="1352"/>
      <c r="J569" s="1352"/>
      <c r="K569" s="1352"/>
      <c r="L569" s="1352"/>
      <c r="M569" s="1352"/>
      <c r="N569" s="1352"/>
      <c r="O569" s="1352"/>
      <c r="P569" s="1352"/>
      <c r="Q569" s="1352"/>
      <c r="R569" s="1352"/>
      <c r="S569" s="8"/>
      <c r="T569" s="22"/>
      <c r="U569" t="s">
        <v>85</v>
      </c>
      <c r="Z569" s="1491" t="s">
        <v>2654</v>
      </c>
      <c r="AA569" s="1352"/>
      <c r="AB569" s="1352"/>
      <c r="AC569" s="1352"/>
      <c r="AD569" s="1352"/>
      <c r="AE569" s="1352"/>
      <c r="AF569" s="1352"/>
      <c r="AG569" s="1352"/>
      <c r="AH569" s="1352"/>
      <c r="AI569" s="1352"/>
      <c r="AJ569" s="1352"/>
      <c r="AK569" s="1352"/>
      <c r="BB569" s="3"/>
      <c r="BC569" s="3"/>
      <c r="BD569" s="3"/>
      <c r="BE569" s="3"/>
      <c r="BF569" s="3"/>
      <c r="BG569" s="3"/>
      <c r="BH569" s="3"/>
      <c r="BI569" s="3"/>
    </row>
    <row r="570" spans="1:61" ht="13" customHeight="1">
      <c r="A570" s="22"/>
      <c r="B570" t="s">
        <v>579</v>
      </c>
      <c r="G570" s="1491" t="s">
        <v>2694</v>
      </c>
      <c r="H570" s="1352"/>
      <c r="I570" s="1352"/>
      <c r="J570" s="1352"/>
      <c r="K570" s="1352"/>
      <c r="L570" s="1352"/>
      <c r="M570" s="1352"/>
      <c r="N570" s="1352"/>
      <c r="O570" s="1352"/>
      <c r="P570" s="1352"/>
      <c r="Q570" s="1352"/>
      <c r="R570" s="1352"/>
      <c r="T570" s="22"/>
      <c r="U570" t="s">
        <v>579</v>
      </c>
      <c r="Z570" s="1458" t="s">
        <v>2654</v>
      </c>
      <c r="AA570" s="1351"/>
      <c r="AB570" s="1351"/>
      <c r="AC570" s="1351"/>
      <c r="AD570" s="1351"/>
      <c r="AE570" s="1351"/>
      <c r="AF570" s="1351"/>
      <c r="AG570" s="1351"/>
      <c r="AH570" s="1351"/>
      <c r="AI570" s="1351"/>
      <c r="AJ570" s="1351"/>
      <c r="AK570" s="1351"/>
      <c r="BB570" s="3"/>
      <c r="BC570" s="3"/>
      <c r="BD570" s="3"/>
      <c r="BE570" s="3"/>
      <c r="BF570" s="3"/>
      <c r="BG570" s="3"/>
      <c r="BH570" s="3"/>
      <c r="BI570" s="3"/>
    </row>
    <row r="571" spans="1:61" ht="13" customHeight="1">
      <c r="A571" s="22"/>
      <c r="B571" t="s">
        <v>17</v>
      </c>
      <c r="G571" s="1491" t="s">
        <v>2695</v>
      </c>
      <c r="H571" s="1352"/>
      <c r="I571" s="1352"/>
      <c r="J571" s="1352"/>
      <c r="K571" s="1352"/>
      <c r="L571" s="1352"/>
      <c r="M571" s="1352"/>
      <c r="N571" s="1352"/>
      <c r="O571" s="1352"/>
      <c r="P571" s="1352"/>
      <c r="Q571" s="1352"/>
      <c r="R571" s="1352"/>
      <c r="S571" s="8"/>
      <c r="T571" s="22"/>
      <c r="U571" t="s">
        <v>17</v>
      </c>
      <c r="Z571" s="1458" t="s">
        <v>2654</v>
      </c>
      <c r="AA571" s="1351"/>
      <c r="AB571" s="1351"/>
      <c r="AC571" s="1351"/>
      <c r="AD571" s="1351"/>
      <c r="AE571" s="1351"/>
      <c r="AF571" s="1351"/>
      <c r="AG571" s="1351"/>
      <c r="AH571" s="1351"/>
      <c r="AI571" s="1351"/>
      <c r="AJ571" s="1351"/>
      <c r="AK571" s="1351"/>
      <c r="BB571" s="3"/>
      <c r="BC571" s="3"/>
      <c r="BD571" s="3"/>
      <c r="BE571" s="3"/>
      <c r="BF571" s="3"/>
      <c r="BG571" s="3"/>
      <c r="BH571" s="3"/>
      <c r="BI571" s="3"/>
    </row>
    <row r="572" spans="1:61" ht="13" customHeight="1">
      <c r="A572" s="22"/>
      <c r="B572" t="s">
        <v>315</v>
      </c>
      <c r="G572" s="1531">
        <v>6503031847</v>
      </c>
      <c r="H572" s="1531"/>
      <c r="I572" s="1531"/>
      <c r="J572" s="1531"/>
      <c r="K572" s="1531"/>
      <c r="L572" s="1531"/>
      <c r="O572" s="33" t="s">
        <v>205</v>
      </c>
      <c r="P572" s="1490"/>
      <c r="Q572" s="1490"/>
      <c r="R572" s="1490"/>
      <c r="S572" s="10"/>
      <c r="T572" s="22"/>
      <c r="U572" t="s">
        <v>315</v>
      </c>
      <c r="Z572" s="1269" t="s">
        <v>2654</v>
      </c>
      <c r="AA572" s="1262"/>
      <c r="AB572" s="1262"/>
      <c r="AC572" s="1262"/>
      <c r="AD572" s="1262"/>
      <c r="AE572" s="1262"/>
      <c r="AH572" s="33" t="s">
        <v>205</v>
      </c>
      <c r="AI572" s="1490"/>
      <c r="AJ572" s="1490"/>
      <c r="AK572" s="1490"/>
      <c r="BB572" s="3"/>
      <c r="BC572" s="3"/>
      <c r="BD572" s="3"/>
      <c r="BE572" s="3"/>
      <c r="BF572" s="3"/>
      <c r="BG572" s="3"/>
      <c r="BH572" s="3"/>
      <c r="BI572" s="3"/>
    </row>
    <row r="573" spans="1:61" ht="13" customHeight="1">
      <c r="A573" s="22"/>
      <c r="B573" t="s">
        <v>18</v>
      </c>
      <c r="H573" s="1491" t="s">
        <v>2696</v>
      </c>
      <c r="I573" s="1352"/>
      <c r="J573" s="1352"/>
      <c r="K573" s="1352"/>
      <c r="L573" s="1352"/>
      <c r="M573" s="1352"/>
      <c r="N573" s="1352"/>
      <c r="O573" s="1352"/>
      <c r="P573" s="1352"/>
      <c r="Q573" s="1352"/>
      <c r="R573" s="1352"/>
      <c r="S573" s="8"/>
      <c r="T573" s="22"/>
      <c r="U573" t="s">
        <v>18</v>
      </c>
      <c r="AA573" s="1352" t="s">
        <v>2662</v>
      </c>
      <c r="AB573" s="1352"/>
      <c r="AC573" s="1352"/>
      <c r="AD573" s="1352"/>
      <c r="AE573" s="1352"/>
      <c r="AF573" s="1352"/>
      <c r="AG573" s="1352"/>
      <c r="AH573" s="1352"/>
      <c r="AI573" s="1352"/>
      <c r="AJ573" s="1352"/>
      <c r="AK573" s="1352"/>
      <c r="BB573" s="3"/>
      <c r="BC573" s="3"/>
      <c r="BD573" s="3"/>
      <c r="BE573" s="3"/>
      <c r="BF573" s="3"/>
      <c r="BG573" s="3"/>
      <c r="BH573" s="3"/>
      <c r="BI573" s="3"/>
    </row>
    <row r="574" spans="1:61" ht="13" customHeight="1">
      <c r="A574" s="22"/>
      <c r="B574" s="321" t="s">
        <v>1184</v>
      </c>
      <c r="H574" s="8"/>
      <c r="I574" s="8"/>
      <c r="J574" s="8"/>
      <c r="K574" s="8"/>
      <c r="L574" s="8"/>
      <c r="M574" s="1866" t="s">
        <v>2697</v>
      </c>
      <c r="N574" s="1659"/>
      <c r="O574" s="1659"/>
      <c r="P574" s="1659"/>
      <c r="Q574" s="1659"/>
      <c r="R574" s="1659"/>
      <c r="S574" s="8"/>
      <c r="T574" s="22"/>
      <c r="U574" s="321" t="s">
        <v>1184</v>
      </c>
      <c r="AA574" s="8"/>
      <c r="AB574" s="8"/>
      <c r="AC574" s="8"/>
      <c r="AD574" s="8"/>
      <c r="AE574" s="8"/>
      <c r="AF574" s="1659"/>
      <c r="AG574" s="1659"/>
      <c r="AH574" s="1659"/>
      <c r="AI574" s="1659"/>
      <c r="AJ574" s="1659"/>
      <c r="AK574" s="1659"/>
      <c r="BB574" s="3"/>
      <c r="BC574" s="3"/>
      <c r="BD574" s="3"/>
      <c r="BE574" s="3"/>
      <c r="BF574" s="3"/>
      <c r="BG574" s="3"/>
      <c r="BH574" s="3"/>
      <c r="BI574" s="3"/>
    </row>
    <row r="575" spans="1:61" ht="13" customHeight="1">
      <c r="A575" s="22"/>
      <c r="B575" t="s">
        <v>20</v>
      </c>
      <c r="N575" s="1446" t="s">
        <v>544</v>
      </c>
      <c r="O575" s="1446"/>
      <c r="T575" s="22"/>
      <c r="U575" t="s">
        <v>20</v>
      </c>
      <c r="AG575" s="1446" t="s">
        <v>668</v>
      </c>
      <c r="AH575" s="1446"/>
      <c r="BB575" s="3"/>
      <c r="BC575" s="3"/>
      <c r="BD575" s="3"/>
      <c r="BE575" s="3"/>
      <c r="BF575" s="3"/>
      <c r="BG575" s="3"/>
      <c r="BH575" s="3"/>
      <c r="BI575" s="3"/>
    </row>
    <row r="576" spans="1:61" ht="13" customHeight="1">
      <c r="A576" s="22"/>
      <c r="T576" s="22"/>
      <c r="BB576" s="3"/>
      <c r="BC576" s="3"/>
      <c r="BD576" s="3"/>
      <c r="BE576" s="3"/>
      <c r="BF576" s="3"/>
      <c r="BG576" s="3"/>
      <c r="BH576" s="3"/>
      <c r="BI576" s="3"/>
    </row>
    <row r="577" spans="1:55" ht="13" customHeight="1">
      <c r="A577" s="55" t="s">
        <v>119</v>
      </c>
      <c r="B577" t="s">
        <v>462</v>
      </c>
      <c r="G577" s="1476" t="str">
        <f>C556</f>
        <v>Seller Note</v>
      </c>
      <c r="H577" s="1476"/>
      <c r="I577" s="1476"/>
      <c r="J577" s="1476"/>
      <c r="K577" s="1476"/>
      <c r="L577" s="1476"/>
      <c r="M577" s="1476"/>
      <c r="N577" s="1476"/>
      <c r="O577" s="1476"/>
      <c r="P577" s="1476"/>
      <c r="Q577" s="1476"/>
      <c r="R577" s="1476"/>
      <c r="T577" s="55" t="s">
        <v>580</v>
      </c>
      <c r="U577" t="s">
        <v>462</v>
      </c>
      <c r="Z577" s="1476" t="str">
        <f>C557</f>
        <v>Seller Note Accrued Interest</v>
      </c>
      <c r="AA577" s="1476"/>
      <c r="AB577" s="1476"/>
      <c r="AC577" s="1476"/>
      <c r="AD577" s="1476"/>
      <c r="AE577" s="1476"/>
      <c r="AF577" s="1476"/>
      <c r="AG577" s="1476"/>
      <c r="AH577" s="1476"/>
      <c r="AI577" s="1476"/>
      <c r="AJ577" s="1476"/>
      <c r="AK577" s="1476"/>
      <c r="BB577" s="3"/>
      <c r="BC577" s="3"/>
    </row>
    <row r="578" spans="1:55" ht="13" customHeight="1">
      <c r="A578" s="22"/>
      <c r="B578" t="s">
        <v>85</v>
      </c>
      <c r="G578" s="1352" t="s">
        <v>2618</v>
      </c>
      <c r="H578" s="1352"/>
      <c r="I578" s="1352"/>
      <c r="J578" s="1352"/>
      <c r="K578" s="1352"/>
      <c r="L578" s="1352"/>
      <c r="M578" s="1352"/>
      <c r="N578" s="1352"/>
      <c r="O578" s="1352"/>
      <c r="P578" s="1352"/>
      <c r="Q578" s="1352"/>
      <c r="R578" s="1352"/>
      <c r="T578" s="22"/>
      <c r="U578" t="s">
        <v>85</v>
      </c>
      <c r="Z578" s="1352" t="s">
        <v>2618</v>
      </c>
      <c r="AA578" s="1352"/>
      <c r="AB578" s="1352"/>
      <c r="AC578" s="1352"/>
      <c r="AD578" s="1352"/>
      <c r="AE578" s="1352"/>
      <c r="AF578" s="1352"/>
      <c r="AG578" s="1352"/>
      <c r="AH578" s="1352"/>
      <c r="AI578" s="1352"/>
      <c r="AJ578" s="1352"/>
      <c r="AK578" s="1352"/>
      <c r="BB578" s="3"/>
      <c r="BC578" s="3"/>
    </row>
    <row r="579" spans="1:55" ht="13" customHeight="1">
      <c r="A579" s="22"/>
      <c r="B579" t="s">
        <v>579</v>
      </c>
      <c r="G579" s="1351" t="s">
        <v>2698</v>
      </c>
      <c r="H579" s="1351"/>
      <c r="I579" s="1351"/>
      <c r="J579" s="1351"/>
      <c r="K579" s="1351"/>
      <c r="L579" s="1351"/>
      <c r="M579" s="1351"/>
      <c r="N579" s="1351"/>
      <c r="O579" s="1351"/>
      <c r="P579" s="1351"/>
      <c r="Q579" s="1351"/>
      <c r="R579" s="1351"/>
      <c r="T579" s="22"/>
      <c r="U579" t="s">
        <v>579</v>
      </c>
      <c r="Z579" s="1351" t="s">
        <v>2698</v>
      </c>
      <c r="AA579" s="1351"/>
      <c r="AB579" s="1351"/>
      <c r="AC579" s="1351"/>
      <c r="AD579" s="1351"/>
      <c r="AE579" s="1351"/>
      <c r="AF579" s="1351"/>
      <c r="AG579" s="1351"/>
      <c r="AH579" s="1351"/>
      <c r="AI579" s="1351"/>
      <c r="AJ579" s="1351"/>
      <c r="AK579" s="1351"/>
      <c r="BB579" s="3"/>
      <c r="BC579" s="3"/>
    </row>
    <row r="580" spans="1:55" ht="13" customHeight="1">
      <c r="A580" s="22"/>
      <c r="B580" t="s">
        <v>17</v>
      </c>
      <c r="G580" s="1351" t="s">
        <v>2699</v>
      </c>
      <c r="H580" s="1351"/>
      <c r="I580" s="1351"/>
      <c r="J580" s="1351"/>
      <c r="K580" s="1351"/>
      <c r="L580" s="1351"/>
      <c r="M580" s="1351"/>
      <c r="N580" s="1351"/>
      <c r="O580" s="1351"/>
      <c r="P580" s="1351"/>
      <c r="Q580" s="1351"/>
      <c r="R580" s="1351"/>
      <c r="T580" s="22"/>
      <c r="U580" t="s">
        <v>17</v>
      </c>
      <c r="Z580" s="1351" t="s">
        <v>2699</v>
      </c>
      <c r="AA580" s="1351"/>
      <c r="AB580" s="1351"/>
      <c r="AC580" s="1351"/>
      <c r="AD580" s="1351"/>
      <c r="AE580" s="1351"/>
      <c r="AF580" s="1351"/>
      <c r="AG580" s="1351"/>
      <c r="AH580" s="1351"/>
      <c r="AI580" s="1351"/>
      <c r="AJ580" s="1351"/>
      <c r="AK580" s="1351"/>
      <c r="BB580" s="3"/>
      <c r="BC580" s="3"/>
    </row>
    <row r="581" spans="1:55" ht="13" customHeight="1">
      <c r="A581" s="22"/>
      <c r="B581" t="s">
        <v>315</v>
      </c>
      <c r="G581" s="1448">
        <v>8182470420</v>
      </c>
      <c r="H581" s="1448"/>
      <c r="I581" s="1448"/>
      <c r="J581" s="1448"/>
      <c r="K581" s="1448"/>
      <c r="L581" s="1448"/>
      <c r="O581" s="33" t="s">
        <v>205</v>
      </c>
      <c r="P581" s="1490"/>
      <c r="Q581" s="1490"/>
      <c r="R581" s="1490"/>
      <c r="T581" s="22"/>
      <c r="U581" t="s">
        <v>315</v>
      </c>
      <c r="Z581" s="1448">
        <v>8182470420</v>
      </c>
      <c r="AA581" s="1448"/>
      <c r="AB581" s="1448"/>
      <c r="AC581" s="1448"/>
      <c r="AD581" s="1448"/>
      <c r="AE581" s="1448"/>
      <c r="AH581" s="33" t="s">
        <v>205</v>
      </c>
      <c r="AI581" s="1490"/>
      <c r="AJ581" s="1490"/>
      <c r="AK581" s="1490"/>
      <c r="BB581" s="3"/>
      <c r="BC581" s="3"/>
    </row>
    <row r="582" spans="1:55" ht="13" customHeight="1">
      <c r="A582" s="22"/>
      <c r="B582" t="s">
        <v>18</v>
      </c>
      <c r="H582" s="1352" t="s">
        <v>2700</v>
      </c>
      <c r="I582" s="1352"/>
      <c r="J582" s="1352"/>
      <c r="K582" s="1352"/>
      <c r="L582" s="1352"/>
      <c r="M582" s="1352"/>
      <c r="N582" s="1352"/>
      <c r="O582" s="1352"/>
      <c r="P582" s="1352"/>
      <c r="Q582" s="1352"/>
      <c r="R582" s="1352"/>
      <c r="T582" s="22"/>
      <c r="U582" t="s">
        <v>18</v>
      </c>
      <c r="AA582" s="1352" t="s">
        <v>2700</v>
      </c>
      <c r="AB582" s="1352"/>
      <c r="AC582" s="1352"/>
      <c r="AD582" s="1352"/>
      <c r="AE582" s="1352"/>
      <c r="AF582" s="1352"/>
      <c r="AG582" s="1352"/>
      <c r="AH582" s="1352"/>
      <c r="AI582" s="1352"/>
      <c r="AJ582" s="1352"/>
      <c r="AK582" s="1352"/>
      <c r="BB582" s="3"/>
      <c r="BC582" s="3"/>
    </row>
    <row r="583" spans="1:55" ht="13" customHeight="1">
      <c r="A583" s="22"/>
      <c r="B583" t="s">
        <v>20</v>
      </c>
      <c r="N583" s="1446" t="s">
        <v>544</v>
      </c>
      <c r="O583" s="1446"/>
      <c r="T583" s="22"/>
      <c r="U583" t="s">
        <v>20</v>
      </c>
      <c r="AG583" s="1446" t="s">
        <v>544</v>
      </c>
      <c r="AH583" s="1446"/>
      <c r="BB583" s="3"/>
      <c r="BC583" s="3"/>
    </row>
    <row r="584" spans="1:55" ht="13" customHeight="1">
      <c r="A584" s="22"/>
      <c r="T584" s="22"/>
      <c r="BB584" s="3"/>
      <c r="BC584" s="3"/>
    </row>
    <row r="585" spans="1:55" ht="13" customHeight="1">
      <c r="A585" s="55" t="s">
        <v>762</v>
      </c>
      <c r="B585" t="s">
        <v>462</v>
      </c>
      <c r="G585" s="1476" t="str">
        <f>C558</f>
        <v>Deferred Developer Fee</v>
      </c>
      <c r="H585" s="1476"/>
      <c r="I585" s="1476"/>
      <c r="J585" s="1476"/>
      <c r="K585" s="1476"/>
      <c r="L585" s="1476"/>
      <c r="M585" s="1476"/>
      <c r="N585" s="1476"/>
      <c r="O585" s="1476"/>
      <c r="P585" s="1476"/>
      <c r="Q585" s="1476"/>
      <c r="R585" s="1476"/>
      <c r="T585" s="55" t="s">
        <v>583</v>
      </c>
      <c r="U585" t="s">
        <v>462</v>
      </c>
      <c r="Z585" s="1476" t="str">
        <f>C559</f>
        <v>Existing Reserves</v>
      </c>
      <c r="AA585" s="1476"/>
      <c r="AB585" s="1476"/>
      <c r="AC585" s="1476"/>
      <c r="AD585" s="1476"/>
      <c r="AE585" s="1476"/>
      <c r="AF585" s="1476"/>
      <c r="AG585" s="1476"/>
      <c r="AH585" s="1476"/>
      <c r="AI585" s="1476"/>
      <c r="AJ585" s="1476"/>
      <c r="AK585" s="1476"/>
      <c r="BB585" s="3"/>
      <c r="BC585" s="3"/>
    </row>
    <row r="586" spans="1:55" ht="13" customHeight="1">
      <c r="A586" s="22"/>
      <c r="B586" t="s">
        <v>85</v>
      </c>
      <c r="G586" s="1352" t="s">
        <v>2618</v>
      </c>
      <c r="H586" s="1352"/>
      <c r="I586" s="1352"/>
      <c r="J586" s="1352"/>
      <c r="K586" s="1352"/>
      <c r="L586" s="1352"/>
      <c r="M586" s="1352"/>
      <c r="N586" s="1352"/>
      <c r="O586" s="1352"/>
      <c r="P586" s="1352"/>
      <c r="Q586" s="1352"/>
      <c r="R586" s="1352"/>
      <c r="T586" s="22"/>
      <c r="U586" t="s">
        <v>85</v>
      </c>
      <c r="Z586" s="1352" t="s">
        <v>2618</v>
      </c>
      <c r="AA586" s="1352"/>
      <c r="AB586" s="1352"/>
      <c r="AC586" s="1352"/>
      <c r="AD586" s="1352"/>
      <c r="AE586" s="1352"/>
      <c r="AF586" s="1352"/>
      <c r="AG586" s="1352"/>
      <c r="AH586" s="1352"/>
      <c r="AI586" s="1352"/>
      <c r="AJ586" s="1352"/>
      <c r="AK586" s="1352"/>
      <c r="BB586" s="3"/>
      <c r="BC586" s="3"/>
    </row>
    <row r="587" spans="1:55" ht="13" customHeight="1">
      <c r="A587" s="22"/>
      <c r="B587" t="s">
        <v>579</v>
      </c>
      <c r="G587" s="1352" t="s">
        <v>2698</v>
      </c>
      <c r="H587" s="1352"/>
      <c r="I587" s="1352"/>
      <c r="J587" s="1352"/>
      <c r="K587" s="1352"/>
      <c r="L587" s="1352"/>
      <c r="M587" s="1352"/>
      <c r="N587" s="1352"/>
      <c r="O587" s="1352"/>
      <c r="P587" s="1352"/>
      <c r="Q587" s="1352"/>
      <c r="R587" s="1352"/>
      <c r="T587" s="22"/>
      <c r="U587" t="s">
        <v>579</v>
      </c>
      <c r="Z587" s="1351" t="s">
        <v>2698</v>
      </c>
      <c r="AA587" s="1351"/>
      <c r="AB587" s="1351"/>
      <c r="AC587" s="1351"/>
      <c r="AD587" s="1351"/>
      <c r="AE587" s="1351"/>
      <c r="AF587" s="1351"/>
      <c r="AG587" s="1351"/>
      <c r="AH587" s="1351"/>
      <c r="AI587" s="1351"/>
      <c r="AJ587" s="1351"/>
      <c r="AK587" s="1351"/>
      <c r="BB587" s="3"/>
      <c r="BC587" s="3"/>
    </row>
    <row r="588" spans="1:55" ht="13" customHeight="1">
      <c r="A588" s="22"/>
      <c r="B588" t="s">
        <v>17</v>
      </c>
      <c r="G588" s="1352" t="s">
        <v>2699</v>
      </c>
      <c r="H588" s="1352"/>
      <c r="I588" s="1352"/>
      <c r="J588" s="1352"/>
      <c r="K588" s="1352"/>
      <c r="L588" s="1352"/>
      <c r="M588" s="1352"/>
      <c r="N588" s="1352"/>
      <c r="O588" s="1352"/>
      <c r="P588" s="1352"/>
      <c r="Q588" s="1352"/>
      <c r="R588" s="1352"/>
      <c r="T588" s="22"/>
      <c r="U588" t="s">
        <v>17</v>
      </c>
      <c r="Z588" s="1351" t="s">
        <v>2699</v>
      </c>
      <c r="AA588" s="1351"/>
      <c r="AB588" s="1351"/>
      <c r="AC588" s="1351"/>
      <c r="AD588" s="1351"/>
      <c r="AE588" s="1351"/>
      <c r="AF588" s="1351"/>
      <c r="AG588" s="1351"/>
      <c r="AH588" s="1351"/>
      <c r="AI588" s="1351"/>
      <c r="AJ588" s="1351"/>
      <c r="AK588" s="1351"/>
    </row>
    <row r="589" spans="1:55" ht="13" customHeight="1">
      <c r="A589" s="22"/>
      <c r="B589" t="s">
        <v>315</v>
      </c>
      <c r="G589" s="1448">
        <v>8182470420</v>
      </c>
      <c r="H589" s="1448"/>
      <c r="I589" s="1448"/>
      <c r="J589" s="1448"/>
      <c r="K589" s="1448"/>
      <c r="L589" s="1448"/>
      <c r="O589" s="33" t="s">
        <v>205</v>
      </c>
      <c r="P589" s="1490"/>
      <c r="Q589" s="1490"/>
      <c r="R589" s="1490"/>
      <c r="T589" s="22"/>
      <c r="U589" t="s">
        <v>315</v>
      </c>
      <c r="Z589" s="1448">
        <v>8182470420</v>
      </c>
      <c r="AA589" s="1448"/>
      <c r="AB589" s="1448"/>
      <c r="AC589" s="1448"/>
      <c r="AD589" s="1448"/>
      <c r="AE589" s="1448"/>
      <c r="AH589" s="33" t="s">
        <v>205</v>
      </c>
      <c r="AI589" s="1490"/>
      <c r="AJ589" s="1490"/>
      <c r="AK589" s="1490"/>
      <c r="AZ589" s="3"/>
      <c r="BA589" s="3"/>
      <c r="BB589" s="3"/>
      <c r="BC589" s="3"/>
    </row>
    <row r="590" spans="1:55" ht="13" customHeight="1">
      <c r="A590" s="22"/>
      <c r="B590" t="s">
        <v>18</v>
      </c>
      <c r="H590" s="1352" t="s">
        <v>2701</v>
      </c>
      <c r="I590" s="1352"/>
      <c r="J590" s="1352"/>
      <c r="K590" s="1352"/>
      <c r="L590" s="1352"/>
      <c r="M590" s="1352"/>
      <c r="N590" s="1352"/>
      <c r="O590" s="1352"/>
      <c r="P590" s="1352"/>
      <c r="Q590" s="1352"/>
      <c r="R590" s="1352"/>
      <c r="T590" s="22"/>
      <c r="U590" t="s">
        <v>18</v>
      </c>
      <c r="AA590" s="1352" t="s">
        <v>2665</v>
      </c>
      <c r="AB590" s="1352"/>
      <c r="AC590" s="1352"/>
      <c r="AD590" s="1352"/>
      <c r="AE590" s="1352"/>
      <c r="AF590" s="1352"/>
      <c r="AG590" s="1352"/>
      <c r="AH590" s="1352"/>
      <c r="AI590" s="1352"/>
      <c r="AJ590" s="1352"/>
      <c r="AK590" s="1352"/>
      <c r="AZ590" s="3"/>
      <c r="BA590" s="3"/>
      <c r="BB590" s="3"/>
      <c r="BC590" s="3"/>
    </row>
    <row r="591" spans="1:55" ht="13" customHeight="1">
      <c r="A591" s="22"/>
      <c r="B591" t="s">
        <v>20</v>
      </c>
      <c r="N591" s="1446" t="s">
        <v>544</v>
      </c>
      <c r="O591" s="1446"/>
      <c r="T591" s="22"/>
      <c r="U591" t="s">
        <v>20</v>
      </c>
      <c r="AG591" s="1446" t="s">
        <v>544</v>
      </c>
      <c r="AH591" s="1446"/>
      <c r="AZ591" s="3"/>
      <c r="BA591" s="3"/>
      <c r="BB591" s="3"/>
      <c r="BC591" s="3"/>
    </row>
    <row r="592" spans="1:55" ht="13" customHeight="1">
      <c r="A592" s="22"/>
      <c r="T592" s="22"/>
      <c r="AZ592" s="3"/>
      <c r="BA592" s="3"/>
      <c r="BB592" s="3"/>
      <c r="BC592" s="3"/>
    </row>
    <row r="593" spans="1:55" ht="13" customHeight="1">
      <c r="A593" s="55" t="s">
        <v>454</v>
      </c>
      <c r="B593" t="s">
        <v>462</v>
      </c>
      <c r="G593" s="1476" t="str">
        <f>C560</f>
        <v>GP Contribution</v>
      </c>
      <c r="H593" s="1476"/>
      <c r="I593" s="1476"/>
      <c r="J593" s="1476"/>
      <c r="K593" s="1476"/>
      <c r="L593" s="1476"/>
      <c r="M593" s="1476"/>
      <c r="N593" s="1476"/>
      <c r="O593" s="1476"/>
      <c r="P593" s="1476"/>
      <c r="Q593" s="1476"/>
      <c r="R593" s="1476"/>
      <c r="T593" s="55" t="s">
        <v>455</v>
      </c>
      <c r="U593" t="s">
        <v>462</v>
      </c>
      <c r="Z593" s="1476" t="str">
        <f>C561</f>
        <v>Costs Deferred Unitl Conversion</v>
      </c>
      <c r="AA593" s="1476"/>
      <c r="AB593" s="1476"/>
      <c r="AC593" s="1476"/>
      <c r="AD593" s="1476"/>
      <c r="AE593" s="1476"/>
      <c r="AF593" s="1476"/>
      <c r="AG593" s="1476"/>
      <c r="AH593" s="1476"/>
      <c r="AI593" s="1476"/>
      <c r="AJ593" s="1476"/>
      <c r="AK593" s="1476"/>
      <c r="AZ593" s="3"/>
      <c r="BA593" s="3"/>
      <c r="BB593" s="3"/>
      <c r="BC593" s="3"/>
    </row>
    <row r="594" spans="1:55" s="4" customFormat="1" ht="13" customHeight="1">
      <c r="A594" s="22"/>
      <c r="B594" t="s">
        <v>85</v>
      </c>
      <c r="C594"/>
      <c r="D594"/>
      <c r="E594"/>
      <c r="F594"/>
      <c r="G594" s="1352" t="str">
        <f>+G586</f>
        <v>1900 Huntington Drive</v>
      </c>
      <c r="H594" s="1352"/>
      <c r="I594" s="1352"/>
      <c r="J594" s="1352"/>
      <c r="K594" s="1352"/>
      <c r="L594" s="1352"/>
      <c r="M594" s="1352"/>
      <c r="N594" s="1352"/>
      <c r="O594" s="1352"/>
      <c r="P594" s="1352"/>
      <c r="Q594" s="1352"/>
      <c r="R594" s="1352"/>
      <c r="S594"/>
      <c r="T594" s="22"/>
      <c r="U594" t="s">
        <v>85</v>
      </c>
      <c r="V594"/>
      <c r="W594"/>
      <c r="X594"/>
      <c r="Y594"/>
      <c r="Z594" s="1352" t="str">
        <f>+G594</f>
        <v>1900 Huntington Drive</v>
      </c>
      <c r="AA594" s="1352"/>
      <c r="AB594" s="1352"/>
      <c r="AC594" s="1352"/>
      <c r="AD594" s="1352"/>
      <c r="AE594" s="1352"/>
      <c r="AF594" s="1352"/>
      <c r="AG594" s="1352"/>
      <c r="AH594" s="1352"/>
      <c r="AI594" s="1352"/>
      <c r="AJ594" s="1352"/>
      <c r="AK594" s="1352"/>
      <c r="AL594"/>
      <c r="AM594"/>
      <c r="AN594"/>
      <c r="AO594"/>
      <c r="AP594"/>
      <c r="AQ594"/>
      <c r="AR594"/>
      <c r="AS594"/>
      <c r="AT594"/>
      <c r="AU594"/>
      <c r="AV594"/>
      <c r="AW594"/>
      <c r="AX594"/>
      <c r="AY594"/>
      <c r="AZ594" s="3"/>
      <c r="BA594" s="3"/>
      <c r="BB594" s="3"/>
      <c r="BC594" s="3"/>
    </row>
    <row r="595" spans="1:55" s="4" customFormat="1" ht="13" customHeight="1">
      <c r="A595" s="22"/>
      <c r="B595" t="s">
        <v>579</v>
      </c>
      <c r="C595"/>
      <c r="D595"/>
      <c r="E595"/>
      <c r="F595"/>
      <c r="G595" s="1352" t="str">
        <f>+G587</f>
        <v>Duarte CA  91010</v>
      </c>
      <c r="H595" s="1352"/>
      <c r="I595" s="1352"/>
      <c r="J595" s="1352"/>
      <c r="K595" s="1352"/>
      <c r="L595" s="1352"/>
      <c r="M595" s="1352"/>
      <c r="N595" s="1352"/>
      <c r="O595" s="1352"/>
      <c r="P595" s="1352"/>
      <c r="Q595" s="1352"/>
      <c r="R595" s="1352"/>
      <c r="S595"/>
      <c r="T595" s="22"/>
      <c r="U595" t="s">
        <v>579</v>
      </c>
      <c r="V595"/>
      <c r="W595"/>
      <c r="X595"/>
      <c r="Y595"/>
      <c r="Z595" s="1351" t="str">
        <f>+G595</f>
        <v>Duarte CA  91010</v>
      </c>
      <c r="AA595" s="1351"/>
      <c r="AB595" s="1351"/>
      <c r="AC595" s="1351"/>
      <c r="AD595" s="1351"/>
      <c r="AE595" s="1351"/>
      <c r="AF595" s="1351"/>
      <c r="AG595" s="1351"/>
      <c r="AH595" s="1351"/>
      <c r="AI595" s="1351"/>
      <c r="AJ595" s="1351"/>
      <c r="AK595" s="1351"/>
      <c r="AL595"/>
      <c r="AM595"/>
      <c r="AN595"/>
      <c r="AO595"/>
      <c r="AP595"/>
      <c r="AQ595"/>
      <c r="AR595"/>
      <c r="AS595"/>
      <c r="AT595"/>
      <c r="AU595"/>
      <c r="AV595"/>
      <c r="AW595"/>
      <c r="AX595"/>
      <c r="AY595"/>
      <c r="AZ595" s="3"/>
      <c r="BA595" s="3"/>
      <c r="BB595" s="3"/>
      <c r="BC595" s="3"/>
    </row>
    <row r="596" spans="1:55" s="4" customFormat="1" ht="13" customHeight="1">
      <c r="A596" s="22"/>
      <c r="B596" t="s">
        <v>17</v>
      </c>
      <c r="C596"/>
      <c r="D596"/>
      <c r="E596"/>
      <c r="F596"/>
      <c r="G596" s="1352" t="str">
        <f>+G588</f>
        <v>Beth Burke</v>
      </c>
      <c r="H596" s="1352"/>
      <c r="I596" s="1352"/>
      <c r="J596" s="1352"/>
      <c r="K596" s="1352"/>
      <c r="L596" s="1352"/>
      <c r="M596" s="1352"/>
      <c r="N596" s="1352"/>
      <c r="O596" s="1352"/>
      <c r="P596" s="1352"/>
      <c r="Q596" s="1352"/>
      <c r="R596" s="1352"/>
      <c r="S596"/>
      <c r="T596" s="22"/>
      <c r="U596" t="s">
        <v>17</v>
      </c>
      <c r="V596"/>
      <c r="W596"/>
      <c r="X596"/>
      <c r="Y596"/>
      <c r="Z596" s="1351" t="str">
        <f>+G596</f>
        <v>Beth Burke</v>
      </c>
      <c r="AA596" s="1351"/>
      <c r="AB596" s="1351"/>
      <c r="AC596" s="1351"/>
      <c r="AD596" s="1351"/>
      <c r="AE596" s="1351"/>
      <c r="AF596" s="1351"/>
      <c r="AG596" s="1351"/>
      <c r="AH596" s="1351"/>
      <c r="AI596" s="1351"/>
      <c r="AJ596" s="1351"/>
      <c r="AK596" s="1351"/>
      <c r="AL596"/>
      <c r="AM596"/>
      <c r="AN596"/>
      <c r="AO596"/>
      <c r="AP596"/>
      <c r="AQ596"/>
      <c r="AR596"/>
      <c r="AS596"/>
      <c r="AT596"/>
      <c r="AU596"/>
      <c r="AV596"/>
      <c r="AW596"/>
      <c r="AX596"/>
      <c r="AY596"/>
      <c r="BB596" s="3"/>
      <c r="BC596" s="3"/>
    </row>
    <row r="597" spans="1:55" s="4" customFormat="1" ht="13" customHeight="1">
      <c r="A597" s="22"/>
      <c r="B597" t="s">
        <v>315</v>
      </c>
      <c r="C597"/>
      <c r="D597"/>
      <c r="E597"/>
      <c r="F597"/>
      <c r="G597" s="1448">
        <f>+G589</f>
        <v>8182470420</v>
      </c>
      <c r="H597" s="1448"/>
      <c r="I597" s="1448"/>
      <c r="J597" s="1448"/>
      <c r="K597" s="1448"/>
      <c r="L597" s="1448"/>
      <c r="M597"/>
      <c r="N597"/>
      <c r="O597" s="33" t="s">
        <v>205</v>
      </c>
      <c r="P597" s="1490"/>
      <c r="Q597" s="1490"/>
      <c r="R597" s="1490"/>
      <c r="S597"/>
      <c r="T597" s="22"/>
      <c r="U597" t="s">
        <v>315</v>
      </c>
      <c r="V597"/>
      <c r="W597"/>
      <c r="X597"/>
      <c r="Y597"/>
      <c r="Z597" s="1448">
        <f>+G597</f>
        <v>8182470420</v>
      </c>
      <c r="AA597" s="1448"/>
      <c r="AB597" s="1448"/>
      <c r="AC597" s="1448"/>
      <c r="AD597" s="1448"/>
      <c r="AE597" s="1448"/>
      <c r="AF597"/>
      <c r="AG597"/>
      <c r="AH597" s="33" t="s">
        <v>205</v>
      </c>
      <c r="AI597" s="1490"/>
      <c r="AJ597" s="1490"/>
      <c r="AK597" s="1490"/>
      <c r="AL597"/>
      <c r="AM597"/>
      <c r="AN597"/>
      <c r="AO597"/>
      <c r="AP597"/>
      <c r="AQ597"/>
      <c r="AR597"/>
      <c r="AS597"/>
      <c r="AT597"/>
      <c r="AU597"/>
      <c r="AV597"/>
      <c r="AW597"/>
      <c r="AX597"/>
      <c r="AY597"/>
      <c r="BB597" s="3"/>
      <c r="BC597" s="3"/>
    </row>
    <row r="598" spans="1:55" s="4" customFormat="1" ht="13" customHeight="1">
      <c r="A598" s="22"/>
      <c r="B598" t="s">
        <v>18</v>
      </c>
      <c r="C598"/>
      <c r="D598"/>
      <c r="E598"/>
      <c r="F598"/>
      <c r="G598"/>
      <c r="H598" s="1491" t="s">
        <v>2318</v>
      </c>
      <c r="I598" s="1352"/>
      <c r="J598" s="1352"/>
      <c r="K598" s="1352"/>
      <c r="L598" s="1352"/>
      <c r="M598" s="1352"/>
      <c r="N598" s="1352"/>
      <c r="O598" s="1352"/>
      <c r="P598" s="1352"/>
      <c r="Q598" s="1352"/>
      <c r="R598" s="1352"/>
      <c r="S598"/>
      <c r="T598" s="22"/>
      <c r="U598" t="s">
        <v>18</v>
      </c>
      <c r="V598"/>
      <c r="W598"/>
      <c r="X598"/>
      <c r="Y598"/>
      <c r="Z598"/>
      <c r="AA598" s="1491" t="s">
        <v>2723</v>
      </c>
      <c r="AB598" s="1352"/>
      <c r="AC598" s="1352"/>
      <c r="AD598" s="1352"/>
      <c r="AE598" s="1352"/>
      <c r="AF598" s="1352"/>
      <c r="AG598" s="1352"/>
      <c r="AH598" s="1352"/>
      <c r="AI598" s="1352"/>
      <c r="AJ598" s="1352"/>
      <c r="AK598" s="1352"/>
      <c r="AL598"/>
      <c r="AM598"/>
      <c r="AN598"/>
      <c r="AO598"/>
      <c r="AP598"/>
      <c r="AQ598"/>
      <c r="AR598"/>
      <c r="AS598"/>
      <c r="AT598"/>
      <c r="AU598"/>
      <c r="AV598"/>
      <c r="AW598"/>
      <c r="AX598"/>
      <c r="AY598"/>
      <c r="BB598" s="3"/>
      <c r="BC598" s="3"/>
    </row>
    <row r="599" spans="1:55" ht="13" customHeight="1">
      <c r="A599" s="22"/>
      <c r="B599" t="s">
        <v>20</v>
      </c>
      <c r="N599" s="1446" t="s">
        <v>544</v>
      </c>
      <c r="O599" s="1446"/>
      <c r="T599" s="22"/>
      <c r="U599" t="s">
        <v>20</v>
      </c>
      <c r="AG599" s="1446" t="s">
        <v>544</v>
      </c>
      <c r="AH599" s="1446"/>
      <c r="BB599" s="3"/>
      <c r="BC599" s="3"/>
    </row>
    <row r="600" spans="1:55" ht="13" customHeight="1">
      <c r="A600" s="22"/>
      <c r="T600" s="22"/>
      <c r="BB600" s="3"/>
      <c r="BC600" s="3"/>
    </row>
    <row r="601" spans="1:55" ht="13" customHeight="1">
      <c r="A601" s="55" t="s">
        <v>460</v>
      </c>
      <c r="B601" t="s">
        <v>462</v>
      </c>
      <c r="G601" s="1476">
        <f>C562</f>
        <v>0</v>
      </c>
      <c r="H601" s="1476"/>
      <c r="I601" s="1476"/>
      <c r="J601" s="1476"/>
      <c r="K601" s="1476"/>
      <c r="L601" s="1476"/>
      <c r="M601" s="1476"/>
      <c r="N601" s="1476"/>
      <c r="O601" s="1476"/>
      <c r="P601" s="1476"/>
      <c r="Q601" s="1476"/>
      <c r="R601" s="1476"/>
      <c r="T601" s="55" t="s">
        <v>645</v>
      </c>
      <c r="U601" t="s">
        <v>462</v>
      </c>
      <c r="Z601" s="1476">
        <f>C563</f>
        <v>0</v>
      </c>
      <c r="AA601" s="1476"/>
      <c r="AB601" s="1476"/>
      <c r="AC601" s="1476"/>
      <c r="AD601" s="1476"/>
      <c r="AE601" s="1476"/>
      <c r="AF601" s="1476"/>
      <c r="AG601" s="1476"/>
      <c r="AH601" s="1476"/>
      <c r="AI601" s="1476"/>
      <c r="AJ601" s="1476"/>
      <c r="AK601" s="1476"/>
      <c r="BB601" s="3"/>
      <c r="BC601" s="3"/>
    </row>
    <row r="602" spans="1:55" ht="13" customHeight="1">
      <c r="A602" s="22"/>
      <c r="B602" t="s">
        <v>85</v>
      </c>
      <c r="G602" s="1352"/>
      <c r="H602" s="1352"/>
      <c r="I602" s="1352"/>
      <c r="J602" s="1352"/>
      <c r="K602" s="1352"/>
      <c r="L602" s="1352"/>
      <c r="M602" s="1352"/>
      <c r="N602" s="1352"/>
      <c r="O602" s="1352"/>
      <c r="P602" s="1352"/>
      <c r="Q602" s="1352"/>
      <c r="R602" s="1352"/>
      <c r="T602" s="22"/>
      <c r="U602" t="s">
        <v>85</v>
      </c>
      <c r="Z602" s="1352"/>
      <c r="AA602" s="1352"/>
      <c r="AB602" s="1352"/>
      <c r="AC602" s="1352"/>
      <c r="AD602" s="1352"/>
      <c r="AE602" s="1352"/>
      <c r="AF602" s="1352"/>
      <c r="AG602" s="1352"/>
      <c r="AH602" s="1352"/>
      <c r="AI602" s="1352"/>
      <c r="AJ602" s="1352"/>
      <c r="AK602" s="1352"/>
      <c r="AZ602" s="3"/>
      <c r="BA602" s="3"/>
      <c r="BB602" s="3"/>
      <c r="BC602" s="3"/>
    </row>
    <row r="603" spans="1:55" ht="13" customHeight="1">
      <c r="A603" s="22"/>
      <c r="B603" t="s">
        <v>579</v>
      </c>
      <c r="G603" s="1352"/>
      <c r="H603" s="1352"/>
      <c r="I603" s="1352"/>
      <c r="J603" s="1352"/>
      <c r="K603" s="1352"/>
      <c r="L603" s="1352"/>
      <c r="M603" s="1352"/>
      <c r="N603" s="1352"/>
      <c r="O603" s="1352"/>
      <c r="P603" s="1352"/>
      <c r="Q603" s="1352"/>
      <c r="R603" s="1352"/>
      <c r="T603" s="22"/>
      <c r="U603" t="s">
        <v>579</v>
      </c>
      <c r="Z603" s="1351"/>
      <c r="AA603" s="1351"/>
      <c r="AB603" s="1351"/>
      <c r="AC603" s="1351"/>
      <c r="AD603" s="1351"/>
      <c r="AE603" s="1351"/>
      <c r="AF603" s="1351"/>
      <c r="AG603" s="1351"/>
      <c r="AH603" s="1351"/>
      <c r="AI603" s="1351"/>
      <c r="AJ603" s="1351"/>
      <c r="AK603" s="1351"/>
      <c r="AZ603" s="3"/>
      <c r="BA603" s="3"/>
      <c r="BB603" s="3"/>
      <c r="BC603" s="3"/>
    </row>
    <row r="604" spans="1:55" ht="13" customHeight="1">
      <c r="A604" s="22"/>
      <c r="B604" t="s">
        <v>17</v>
      </c>
      <c r="G604" s="1352"/>
      <c r="H604" s="1352"/>
      <c r="I604" s="1352"/>
      <c r="J604" s="1352"/>
      <c r="K604" s="1352"/>
      <c r="L604" s="1352"/>
      <c r="M604" s="1352"/>
      <c r="N604" s="1352"/>
      <c r="O604" s="1352"/>
      <c r="P604" s="1352"/>
      <c r="Q604" s="1352"/>
      <c r="R604" s="1352"/>
      <c r="T604" s="22"/>
      <c r="U604" t="s">
        <v>17</v>
      </c>
      <c r="Z604" s="1351"/>
      <c r="AA604" s="1351"/>
      <c r="AB604" s="1351"/>
      <c r="AC604" s="1351"/>
      <c r="AD604" s="1351"/>
      <c r="AE604" s="1351"/>
      <c r="AF604" s="1351"/>
      <c r="AG604" s="1351"/>
      <c r="AH604" s="1351"/>
      <c r="AI604" s="1351"/>
      <c r="AJ604" s="1351"/>
      <c r="AK604" s="1351"/>
      <c r="AZ604" s="3"/>
      <c r="BA604" s="3"/>
      <c r="BB604" s="3"/>
      <c r="BC604" s="3"/>
    </row>
    <row r="605" spans="1:55" s="4" customFormat="1" ht="13" customHeight="1">
      <c r="A605" s="22"/>
      <c r="B605" t="s">
        <v>315</v>
      </c>
      <c r="C605"/>
      <c r="D605"/>
      <c r="E605"/>
      <c r="F605"/>
      <c r="G605" s="1448"/>
      <c r="H605" s="1448"/>
      <c r="I605" s="1448"/>
      <c r="J605" s="1448"/>
      <c r="K605" s="1448"/>
      <c r="L605" s="1448"/>
      <c r="M605"/>
      <c r="N605"/>
      <c r="O605" s="33" t="s">
        <v>205</v>
      </c>
      <c r="P605" s="1490"/>
      <c r="Q605" s="1490"/>
      <c r="R605" s="1490"/>
      <c r="S605"/>
      <c r="T605" s="22"/>
      <c r="U605" t="s">
        <v>315</v>
      </c>
      <c r="V605"/>
      <c r="W605"/>
      <c r="X605"/>
      <c r="Y605"/>
      <c r="Z605" s="1448"/>
      <c r="AA605" s="1448"/>
      <c r="AB605" s="1448"/>
      <c r="AC605" s="1448"/>
      <c r="AD605" s="1448"/>
      <c r="AE605" s="1448"/>
      <c r="AF605"/>
      <c r="AG605"/>
      <c r="AH605" s="33" t="s">
        <v>205</v>
      </c>
      <c r="AI605" s="1490"/>
      <c r="AJ605" s="1490"/>
      <c r="AK605" s="1490"/>
      <c r="AL605"/>
      <c r="AM605"/>
      <c r="AN605"/>
      <c r="AO605"/>
      <c r="AP605"/>
      <c r="AQ605"/>
      <c r="AR605"/>
      <c r="AS605"/>
      <c r="AT605"/>
      <c r="AU605"/>
      <c r="AV605"/>
      <c r="AW605"/>
      <c r="AX605"/>
      <c r="AY605"/>
      <c r="AZ605" s="3"/>
      <c r="BA605" s="3"/>
      <c r="BB605" s="3"/>
      <c r="BC605" s="3"/>
    </row>
    <row r="606" spans="1:55" s="4" customFormat="1" ht="13" customHeight="1">
      <c r="A606" s="22"/>
      <c r="B606" t="s">
        <v>18</v>
      </c>
      <c r="C606"/>
      <c r="D606"/>
      <c r="E606"/>
      <c r="F606"/>
      <c r="G606"/>
      <c r="H606" s="1352"/>
      <c r="I606" s="1352"/>
      <c r="J606" s="1352"/>
      <c r="K606" s="1352"/>
      <c r="L606" s="1352"/>
      <c r="M606" s="1352"/>
      <c r="N606" s="1352"/>
      <c r="O606" s="1352"/>
      <c r="P606" s="1352"/>
      <c r="Q606" s="1352"/>
      <c r="R606" s="1352"/>
      <c r="S606"/>
      <c r="T606" s="22"/>
      <c r="U606" t="s">
        <v>18</v>
      </c>
      <c r="V606"/>
      <c r="W606"/>
      <c r="X606"/>
      <c r="Y606"/>
      <c r="Z606"/>
      <c r="AA606" s="1352"/>
      <c r="AB606" s="1352"/>
      <c r="AC606" s="1352"/>
      <c r="AD606" s="1352"/>
      <c r="AE606" s="1352"/>
      <c r="AF606" s="1352"/>
      <c r="AG606" s="1352"/>
      <c r="AH606" s="1352"/>
      <c r="AI606" s="1352"/>
      <c r="AJ606" s="1352"/>
      <c r="AK606" s="1352"/>
      <c r="AL606"/>
      <c r="AM606"/>
      <c r="AN606"/>
      <c r="AO606"/>
      <c r="AP606"/>
      <c r="AQ606"/>
      <c r="AR606"/>
      <c r="AS606"/>
      <c r="AT606"/>
      <c r="AU606"/>
      <c r="AV606"/>
      <c r="AW606"/>
      <c r="AX606"/>
      <c r="AY606"/>
      <c r="AZ606" s="3"/>
      <c r="BA606" s="3"/>
      <c r="BB606" s="3"/>
      <c r="BC606" s="3"/>
    </row>
    <row r="607" spans="1:55" s="4" customFormat="1" ht="13" customHeight="1">
      <c r="A607" s="22"/>
      <c r="B607" t="s">
        <v>20</v>
      </c>
      <c r="C607"/>
      <c r="D607"/>
      <c r="E607"/>
      <c r="F607"/>
      <c r="G607"/>
      <c r="H607"/>
      <c r="I607"/>
      <c r="J607"/>
      <c r="K607"/>
      <c r="L607"/>
      <c r="M607"/>
      <c r="N607" s="1446" t="s">
        <v>668</v>
      </c>
      <c r="O607" s="1446"/>
      <c r="P607"/>
      <c r="Q607"/>
      <c r="R607"/>
      <c r="S607"/>
      <c r="T607" s="22"/>
      <c r="U607" t="s">
        <v>20</v>
      </c>
      <c r="V607"/>
      <c r="W607"/>
      <c r="X607"/>
      <c r="Y607"/>
      <c r="Z607"/>
      <c r="AA607"/>
      <c r="AB607"/>
      <c r="AC607"/>
      <c r="AD607"/>
      <c r="AE607"/>
      <c r="AF607"/>
      <c r="AG607" s="1446" t="s">
        <v>668</v>
      </c>
      <c r="AH607" s="1446"/>
      <c r="AI607"/>
      <c r="AJ607"/>
      <c r="AK607"/>
      <c r="AL607"/>
      <c r="AM607"/>
      <c r="AN607"/>
      <c r="AO607"/>
      <c r="AP607"/>
      <c r="AQ607"/>
      <c r="AR607"/>
      <c r="AS607"/>
      <c r="AT607"/>
      <c r="AU607"/>
      <c r="AV607"/>
      <c r="AW607"/>
      <c r="AX607"/>
      <c r="AY607"/>
      <c r="AZ607" s="3"/>
      <c r="BA607" s="3"/>
      <c r="BB607" s="3"/>
      <c r="BC607" s="3"/>
    </row>
    <row r="608" spans="1:55" ht="13" customHeight="1">
      <c r="A608" s="22"/>
      <c r="T608" s="22"/>
      <c r="AZ608" s="3"/>
      <c r="BA608" s="3"/>
      <c r="BB608" s="3"/>
      <c r="BC608" s="3"/>
    </row>
    <row r="609" spans="1:55" ht="13" customHeight="1">
      <c r="A609" s="55" t="s">
        <v>361</v>
      </c>
      <c r="B609" t="s">
        <v>462</v>
      </c>
      <c r="G609" s="1476">
        <f>C564</f>
        <v>0</v>
      </c>
      <c r="H609" s="1476"/>
      <c r="I609" s="1476"/>
      <c r="J609" s="1476"/>
      <c r="K609" s="1476"/>
      <c r="L609" s="1476"/>
      <c r="M609" s="1476"/>
      <c r="N609" s="1476"/>
      <c r="O609" s="1476"/>
      <c r="P609" s="1476"/>
      <c r="Q609" s="1476"/>
      <c r="R609" s="1476"/>
      <c r="T609" s="55" t="s">
        <v>362</v>
      </c>
      <c r="U609" t="s">
        <v>462</v>
      </c>
      <c r="Z609" s="1476">
        <f>C565</f>
        <v>0</v>
      </c>
      <c r="AA609" s="1476"/>
      <c r="AB609" s="1476"/>
      <c r="AC609" s="1476"/>
      <c r="AD609" s="1476"/>
      <c r="AE609" s="1476"/>
      <c r="AF609" s="1476"/>
      <c r="AG609" s="1476"/>
      <c r="AH609" s="1476"/>
      <c r="AI609" s="1476"/>
      <c r="AJ609" s="1476"/>
      <c r="AK609" s="1476"/>
      <c r="AZ609" s="3"/>
      <c r="BA609" s="3"/>
      <c r="BB609" s="3"/>
      <c r="BC609" s="3"/>
    </row>
    <row r="610" spans="1:55" ht="13" customHeight="1">
      <c r="B610" t="s">
        <v>85</v>
      </c>
      <c r="G610" s="1352"/>
      <c r="H610" s="1352"/>
      <c r="I610" s="1352"/>
      <c r="J610" s="1352"/>
      <c r="K610" s="1352"/>
      <c r="L610" s="1352"/>
      <c r="M610" s="1352"/>
      <c r="N610" s="1352"/>
      <c r="O610" s="1352"/>
      <c r="P610" s="1352"/>
      <c r="Q610" s="1352"/>
      <c r="R610" s="1352"/>
      <c r="U610" t="s">
        <v>85</v>
      </c>
      <c r="Z610" s="1352"/>
      <c r="AA610" s="1352"/>
      <c r="AB610" s="1352"/>
      <c r="AC610" s="1352"/>
      <c r="AD610" s="1352"/>
      <c r="AE610" s="1352"/>
      <c r="AF610" s="1352"/>
      <c r="AG610" s="1352"/>
      <c r="AH610" s="1352"/>
      <c r="AI610" s="1352"/>
      <c r="AJ610" s="1352"/>
      <c r="AK610" s="1352"/>
      <c r="AZ610" s="3"/>
      <c r="BA610" s="3"/>
      <c r="BB610" s="3"/>
      <c r="BC610" s="3"/>
    </row>
    <row r="611" spans="1:55" ht="13" customHeight="1">
      <c r="B611" t="s">
        <v>579</v>
      </c>
      <c r="G611" s="1352"/>
      <c r="H611" s="1352"/>
      <c r="I611" s="1352"/>
      <c r="J611" s="1352"/>
      <c r="K611" s="1352"/>
      <c r="L611" s="1352"/>
      <c r="M611" s="1352"/>
      <c r="N611" s="1352"/>
      <c r="O611" s="1352"/>
      <c r="P611" s="1352"/>
      <c r="Q611" s="1352"/>
      <c r="R611" s="1352"/>
      <c r="U611" t="s">
        <v>579</v>
      </c>
      <c r="Z611" s="1351"/>
      <c r="AA611" s="1351"/>
      <c r="AB611" s="1351"/>
      <c r="AC611" s="1351"/>
      <c r="AD611" s="1351"/>
      <c r="AE611" s="1351"/>
      <c r="AF611" s="1351"/>
      <c r="AG611" s="1351"/>
      <c r="AH611" s="1351"/>
      <c r="AI611" s="1351"/>
      <c r="AJ611" s="1351"/>
      <c r="AK611" s="1351"/>
      <c r="AZ611" s="3"/>
      <c r="BA611" s="3"/>
      <c r="BB611" s="3"/>
      <c r="BC611" s="3"/>
    </row>
    <row r="612" spans="1:55" ht="13" customHeight="1">
      <c r="B612" t="s">
        <v>17</v>
      </c>
      <c r="G612" s="1352"/>
      <c r="H612" s="1352"/>
      <c r="I612" s="1352"/>
      <c r="J612" s="1352"/>
      <c r="K612" s="1352"/>
      <c r="L612" s="1352"/>
      <c r="M612" s="1352"/>
      <c r="N612" s="1352"/>
      <c r="O612" s="1352"/>
      <c r="P612" s="1352"/>
      <c r="Q612" s="1352"/>
      <c r="R612" s="1352"/>
      <c r="U612" t="s">
        <v>17</v>
      </c>
      <c r="Z612" s="1351"/>
      <c r="AA612" s="1351"/>
      <c r="AB612" s="1351"/>
      <c r="AC612" s="1351"/>
      <c r="AD612" s="1351"/>
      <c r="AE612" s="1351"/>
      <c r="AF612" s="1351"/>
      <c r="AG612" s="1351"/>
      <c r="AH612" s="1351"/>
      <c r="AI612" s="1351"/>
      <c r="AJ612" s="1351"/>
      <c r="AK612" s="1351"/>
      <c r="AZ612" s="3"/>
      <c r="BA612" s="3"/>
      <c r="BB612" s="3"/>
      <c r="BC612" s="3"/>
    </row>
    <row r="613" spans="1:55" ht="13" customHeight="1">
      <c r="B613" t="s">
        <v>315</v>
      </c>
      <c r="G613" s="1448"/>
      <c r="H613" s="1448"/>
      <c r="I613" s="1448"/>
      <c r="J613" s="1448"/>
      <c r="K613" s="1448"/>
      <c r="L613" s="1448"/>
      <c r="O613" s="33" t="s">
        <v>205</v>
      </c>
      <c r="P613" s="1490"/>
      <c r="Q613" s="1490"/>
      <c r="R613" s="1490"/>
      <c r="U613" t="s">
        <v>315</v>
      </c>
      <c r="Z613" s="1448"/>
      <c r="AA613" s="1448"/>
      <c r="AB613" s="1448"/>
      <c r="AC613" s="1448"/>
      <c r="AD613" s="1448"/>
      <c r="AE613" s="1448"/>
      <c r="AH613" s="33" t="s">
        <v>205</v>
      </c>
      <c r="AI613" s="1490"/>
      <c r="AJ613" s="1490"/>
      <c r="AK613" s="1490"/>
      <c r="AZ613" s="3"/>
      <c r="BA613" s="3"/>
      <c r="BB613" s="3"/>
      <c r="BC613" s="3"/>
    </row>
    <row r="614" spans="1:55" ht="13" customHeight="1">
      <c r="B614" t="s">
        <v>18</v>
      </c>
      <c r="H614" s="1352"/>
      <c r="I614" s="1352"/>
      <c r="J614" s="1352"/>
      <c r="K614" s="1352"/>
      <c r="L614" s="1352"/>
      <c r="M614" s="1352"/>
      <c r="N614" s="1352"/>
      <c r="O614" s="1352"/>
      <c r="P614" s="1352"/>
      <c r="Q614" s="1352"/>
      <c r="R614" s="1352"/>
      <c r="U614" t="s">
        <v>18</v>
      </c>
      <c r="AA614" s="1352"/>
      <c r="AB614" s="1352"/>
      <c r="AC614" s="1352"/>
      <c r="AD614" s="1352"/>
      <c r="AE614" s="1352"/>
      <c r="AF614" s="1352"/>
      <c r="AG614" s="1352"/>
      <c r="AH614" s="1352"/>
      <c r="AI614" s="1352"/>
      <c r="AJ614" s="1352"/>
      <c r="AK614" s="1352"/>
      <c r="AU614" s="900"/>
      <c r="AV614" s="900"/>
      <c r="AW614" s="900"/>
      <c r="AX614" s="900"/>
      <c r="AY614" s="900"/>
      <c r="AZ614" s="3"/>
      <c r="BA614" s="3"/>
      <c r="BB614" s="3"/>
      <c r="BC614" s="3"/>
    </row>
    <row r="615" spans="1:55" ht="13" customHeight="1">
      <c r="B615" t="s">
        <v>20</v>
      </c>
      <c r="N615" s="1446" t="s">
        <v>668</v>
      </c>
      <c r="O615" s="1446"/>
      <c r="U615" t="s">
        <v>20</v>
      </c>
      <c r="AG615" s="1446" t="s">
        <v>668</v>
      </c>
      <c r="AH615" s="1446"/>
      <c r="AU615" s="900"/>
      <c r="AV615" s="900"/>
      <c r="AW615" s="900"/>
      <c r="AX615" s="900"/>
      <c r="AY615" s="900"/>
      <c r="AZ615" s="3"/>
      <c r="BA615" s="3"/>
      <c r="BB615" s="3"/>
      <c r="BC615" s="3"/>
    </row>
    <row r="616" spans="1:55" ht="13" customHeight="1">
      <c r="AZ616" s="3"/>
      <c r="BA616" s="3"/>
      <c r="BB616" s="3"/>
      <c r="BC616" s="3"/>
    </row>
    <row r="617" spans="1:55" ht="13" customHeight="1">
      <c r="A617" s="1280" t="s">
        <v>543</v>
      </c>
      <c r="B617" s="1280"/>
      <c r="C617" s="1280"/>
      <c r="D617" s="1280"/>
      <c r="E617" s="1280"/>
      <c r="F617" s="1280"/>
      <c r="G617" s="1280"/>
      <c r="H617" s="1280"/>
      <c r="I617" s="1280"/>
      <c r="J617" s="1280"/>
      <c r="K617" s="1280"/>
      <c r="L617" s="1280"/>
      <c r="M617" s="1280"/>
      <c r="N617" s="1280"/>
      <c r="O617" s="1280"/>
      <c r="P617" s="1280"/>
      <c r="Q617" s="1280"/>
      <c r="R617" s="1280"/>
      <c r="S617" s="1280"/>
      <c r="T617" s="1280"/>
      <c r="U617" s="1280"/>
      <c r="V617" s="1280"/>
      <c r="W617" s="1280"/>
      <c r="X617" s="1280"/>
      <c r="Y617" s="1280"/>
      <c r="Z617" s="1280"/>
      <c r="AA617" s="1280"/>
      <c r="AB617" s="1280"/>
      <c r="AC617" s="1280"/>
      <c r="AD617" s="1280"/>
      <c r="AE617" s="1280"/>
      <c r="AF617" s="1280"/>
      <c r="AG617" s="1280"/>
      <c r="AH617" s="1280"/>
      <c r="AI617" s="1280"/>
      <c r="AJ617" s="1280"/>
      <c r="AK617" s="1280"/>
      <c r="AL617" s="1280"/>
      <c r="AM617" s="1280"/>
      <c r="AN617" s="1280"/>
      <c r="AO617" s="1280"/>
      <c r="AP617" s="1280"/>
      <c r="AQ617" s="1280"/>
      <c r="AR617" s="1280"/>
      <c r="AS617" s="1280"/>
      <c r="AT617" s="1280"/>
      <c r="AZ617" s="3"/>
      <c r="BA617" s="3"/>
      <c r="BB617" s="3"/>
      <c r="BC617" s="3"/>
    </row>
    <row r="618" spans="1:55" ht="13" customHeight="1">
      <c r="A618" s="1280"/>
      <c r="B618" s="1280"/>
      <c r="C618" s="1280"/>
      <c r="D618" s="1280"/>
      <c r="E618" s="1280"/>
      <c r="F618" s="1280"/>
      <c r="G618" s="1280"/>
      <c r="H618" s="1280"/>
      <c r="I618" s="1280"/>
      <c r="J618" s="1280"/>
      <c r="K618" s="1280"/>
      <c r="L618" s="1280"/>
      <c r="M618" s="1280"/>
      <c r="N618" s="1280"/>
      <c r="O618" s="1280"/>
      <c r="P618" s="1280"/>
      <c r="Q618" s="1280"/>
      <c r="R618" s="1280"/>
      <c r="S618" s="1280"/>
      <c r="T618" s="1280"/>
      <c r="U618" s="1280"/>
      <c r="V618" s="1280"/>
      <c r="W618" s="1280"/>
      <c r="X618" s="1280"/>
      <c r="Y618" s="1280"/>
      <c r="Z618" s="1280"/>
      <c r="AA618" s="1280"/>
      <c r="AB618" s="1280"/>
      <c r="AC618" s="1280"/>
      <c r="AD618" s="1280"/>
      <c r="AE618" s="1280"/>
      <c r="AF618" s="1280"/>
      <c r="AG618" s="1280"/>
      <c r="AH618" s="1280"/>
      <c r="AI618" s="1280"/>
      <c r="AJ618" s="1280"/>
      <c r="AK618" s="1280"/>
      <c r="AL618" s="1280"/>
      <c r="AM618" s="1280"/>
      <c r="AN618" s="1280"/>
      <c r="AO618" s="1280"/>
      <c r="AP618" s="1280"/>
      <c r="AQ618" s="1280"/>
      <c r="AR618" s="1280"/>
      <c r="AS618" s="1280"/>
      <c r="AT618" s="1280"/>
      <c r="AZ618" s="3"/>
      <c r="BA618" s="3"/>
      <c r="BB618" s="3"/>
      <c r="BC618" s="3"/>
    </row>
    <row r="619" spans="1:55" ht="13" customHeight="1">
      <c r="AZ619" s="3"/>
      <c r="BA619" s="3"/>
      <c r="BB619" s="3"/>
      <c r="BC619" s="3"/>
    </row>
    <row r="620" spans="1:55" ht="13" customHeight="1">
      <c r="A620" s="2" t="s">
        <v>318</v>
      </c>
      <c r="B620" s="2"/>
      <c r="C620" s="2" t="s">
        <v>21</v>
      </c>
      <c r="AZ620" s="3"/>
      <c r="BA620" s="3"/>
      <c r="BB620" s="3"/>
      <c r="BC620" s="3"/>
    </row>
    <row r="621" spans="1:55" ht="13" customHeight="1">
      <c r="A621" s="2"/>
      <c r="B621" s="2"/>
      <c r="C621" s="2"/>
      <c r="AZ621" s="3"/>
      <c r="BA621" s="3"/>
      <c r="BB621" s="3"/>
      <c r="BC621" s="3"/>
    </row>
    <row r="622" spans="1:55" ht="13" customHeight="1">
      <c r="C622" s="2" t="s">
        <v>2101</v>
      </c>
      <c r="AZ622" s="3"/>
      <c r="BA622" s="3"/>
      <c r="BB622" s="3"/>
      <c r="BC622" s="3"/>
    </row>
    <row r="623" spans="1:55" ht="13" customHeight="1">
      <c r="B623" s="513"/>
      <c r="C623" s="2"/>
      <c r="AU623" s="3"/>
      <c r="AZ623" s="3"/>
      <c r="BA623" s="3"/>
      <c r="BB623" s="3"/>
      <c r="BC623" s="3"/>
    </row>
    <row r="624" spans="1:55" ht="13" customHeight="1">
      <c r="B624" s="1477" t="s">
        <v>2103</v>
      </c>
      <c r="C624" s="1477"/>
      <c r="D624" s="1477"/>
      <c r="E624" s="1477"/>
      <c r="F624" s="1477"/>
      <c r="G624" s="1477"/>
      <c r="H624" s="1477"/>
      <c r="I624" s="1477"/>
      <c r="J624" s="1477"/>
      <c r="K624" s="1477"/>
      <c r="L624" s="1477"/>
      <c r="M624" s="1595" t="s">
        <v>2104</v>
      </c>
      <c r="N624" s="1595"/>
      <c r="O624" s="1595"/>
      <c r="P624" s="1595"/>
      <c r="Q624" s="1595" t="s">
        <v>1852</v>
      </c>
      <c r="R624" s="1595"/>
      <c r="S624" s="1595"/>
      <c r="T624" s="1595" t="s">
        <v>1850</v>
      </c>
      <c r="U624" s="1595"/>
      <c r="V624" s="1595"/>
      <c r="W624" s="1591" t="s">
        <v>452</v>
      </c>
      <c r="X624" s="1591"/>
      <c r="Y624" s="1591"/>
      <c r="Z624" s="1426" t="s">
        <v>2133</v>
      </c>
      <c r="AA624" s="1426"/>
      <c r="AB624" s="1427"/>
      <c r="AC624" s="1680" t="s">
        <v>1675</v>
      </c>
      <c r="AD624" s="1681"/>
      <c r="AE624" s="1682"/>
      <c r="AF624" s="1425" t="s">
        <v>1930</v>
      </c>
      <c r="AG624" s="1426"/>
      <c r="AH624" s="1426"/>
      <c r="AI624" s="1426"/>
      <c r="AJ624" s="1427"/>
      <c r="AK624" s="1671" t="s">
        <v>1931</v>
      </c>
      <c r="AL624" s="1672"/>
      <c r="AM624" s="1672"/>
      <c r="AN624" s="1673"/>
      <c r="AO624" s="1595" t="s">
        <v>453</v>
      </c>
      <c r="AP624" s="1595"/>
      <c r="AQ624" s="1595"/>
      <c r="AR624" s="1595"/>
      <c r="AS624" s="1595"/>
      <c r="AU624" s="3"/>
      <c r="AZ624" s="3"/>
      <c r="BA624" s="3"/>
      <c r="BB624" s="3"/>
      <c r="BC624" s="3"/>
    </row>
    <row r="625" spans="2:157" ht="13" customHeight="1">
      <c r="B625" s="1477"/>
      <c r="C625" s="1477"/>
      <c r="D625" s="1477"/>
      <c r="E625" s="1477"/>
      <c r="F625" s="1477"/>
      <c r="G625" s="1477"/>
      <c r="H625" s="1477"/>
      <c r="I625" s="1477"/>
      <c r="J625" s="1477"/>
      <c r="K625" s="1477"/>
      <c r="L625" s="1477"/>
      <c r="M625" s="1595"/>
      <c r="N625" s="1595"/>
      <c r="O625" s="1595"/>
      <c r="P625" s="1595"/>
      <c r="Q625" s="1595"/>
      <c r="R625" s="1595"/>
      <c r="S625" s="1595"/>
      <c r="T625" s="1595"/>
      <c r="U625" s="1595"/>
      <c r="V625" s="1595"/>
      <c r="W625" s="1591"/>
      <c r="X625" s="1591"/>
      <c r="Y625" s="1591"/>
      <c r="Z625" s="1429"/>
      <c r="AA625" s="1429"/>
      <c r="AB625" s="1430"/>
      <c r="AC625" s="1683"/>
      <c r="AD625" s="1684"/>
      <c r="AE625" s="1685"/>
      <c r="AF625" s="1428"/>
      <c r="AG625" s="1429"/>
      <c r="AH625" s="1429"/>
      <c r="AI625" s="1429"/>
      <c r="AJ625" s="1430"/>
      <c r="AK625" s="1674"/>
      <c r="AL625" s="1675"/>
      <c r="AM625" s="1675"/>
      <c r="AN625" s="1676"/>
      <c r="AO625" s="1595"/>
      <c r="AP625" s="1595"/>
      <c r="AQ625" s="1595"/>
      <c r="AR625" s="1595"/>
      <c r="AS625" s="1595"/>
      <c r="AU625" s="3"/>
      <c r="AZ625" s="3"/>
      <c r="BA625" s="3"/>
      <c r="BB625" s="3"/>
      <c r="BC625" s="3"/>
      <c r="BD625" s="3"/>
    </row>
    <row r="626" spans="2:157" ht="13" customHeight="1">
      <c r="B626" s="1477"/>
      <c r="C626" s="1477"/>
      <c r="D626" s="1477"/>
      <c r="E626" s="1477"/>
      <c r="F626" s="1477"/>
      <c r="G626" s="1477"/>
      <c r="H626" s="1477"/>
      <c r="I626" s="1477"/>
      <c r="J626" s="1477"/>
      <c r="K626" s="1477"/>
      <c r="L626" s="1477"/>
      <c r="M626" s="1595"/>
      <c r="N626" s="1595"/>
      <c r="O626" s="1595"/>
      <c r="P626" s="1595"/>
      <c r="Q626" s="1595"/>
      <c r="R626" s="1595"/>
      <c r="S626" s="1595"/>
      <c r="T626" s="1595"/>
      <c r="U626" s="1595"/>
      <c r="V626" s="1595"/>
      <c r="W626" s="1591"/>
      <c r="X626" s="1591"/>
      <c r="Y626" s="1591"/>
      <c r="Z626" s="1432"/>
      <c r="AA626" s="1432"/>
      <c r="AB626" s="1433"/>
      <c r="AC626" s="1686"/>
      <c r="AD626" s="1687"/>
      <c r="AE626" s="1688"/>
      <c r="AF626" s="1431"/>
      <c r="AG626" s="1432"/>
      <c r="AH626" s="1432"/>
      <c r="AI626" s="1432"/>
      <c r="AJ626" s="1433"/>
      <c r="AK626" s="1677"/>
      <c r="AL626" s="1678"/>
      <c r="AM626" s="1678"/>
      <c r="AN626" s="1679"/>
      <c r="AO626" s="1595"/>
      <c r="AP626" s="1595"/>
      <c r="AQ626" s="1595"/>
      <c r="AR626" s="1595"/>
      <c r="AS626" s="1595"/>
      <c r="AT626" s="3"/>
      <c r="AU626" s="3"/>
      <c r="AZ626" s="3"/>
      <c r="BA626" s="3"/>
      <c r="BB626" s="3"/>
      <c r="BC626" s="3"/>
      <c r="BD626" s="3"/>
    </row>
    <row r="627" spans="2:157" ht="13" customHeight="1">
      <c r="B627" s="51" t="s">
        <v>112</v>
      </c>
      <c r="C627" s="1468" t="s">
        <v>2666</v>
      </c>
      <c r="D627" s="1468"/>
      <c r="E627" s="1468"/>
      <c r="F627" s="1468"/>
      <c r="G627" s="1468"/>
      <c r="H627" s="1468"/>
      <c r="I627" s="1468"/>
      <c r="J627" s="1468"/>
      <c r="K627" s="1468"/>
      <c r="L627" s="1468"/>
      <c r="M627" s="1511" t="s">
        <v>2120</v>
      </c>
      <c r="N627" s="1511"/>
      <c r="O627" s="1511"/>
      <c r="P627" s="1511"/>
      <c r="Q627" s="1509">
        <v>216</v>
      </c>
      <c r="R627" s="1509"/>
      <c r="S627" s="1510"/>
      <c r="T627" s="1508">
        <v>420</v>
      </c>
      <c r="U627" s="1509"/>
      <c r="V627" s="1510"/>
      <c r="W627" s="1473">
        <v>6.3E-2</v>
      </c>
      <c r="X627" s="1474"/>
      <c r="Y627" s="1475"/>
      <c r="Z627" s="1464" t="s">
        <v>2132</v>
      </c>
      <c r="AA627" s="1465"/>
      <c r="AB627" s="1466"/>
      <c r="AC627" s="1391">
        <v>1</v>
      </c>
      <c r="AD627" s="1392"/>
      <c r="AE627" s="1393"/>
      <c r="AF627" s="1470">
        <v>488915</v>
      </c>
      <c r="AG627" s="1471"/>
      <c r="AH627" s="1471"/>
      <c r="AI627" s="1471"/>
      <c r="AJ627" s="1472"/>
      <c r="AK627" s="1592"/>
      <c r="AL627" s="1593"/>
      <c r="AM627" s="1593"/>
      <c r="AN627" s="1594"/>
      <c r="AO627" s="1646">
        <v>6900000</v>
      </c>
      <c r="AP627" s="1646"/>
      <c r="AQ627" s="1646"/>
      <c r="AR627" s="1646"/>
      <c r="AS627" s="1646"/>
      <c r="AT627" s="3"/>
      <c r="AU627" s="3"/>
      <c r="AZ627" s="3"/>
      <c r="BA627" s="3"/>
      <c r="BB627" s="3"/>
      <c r="BC627" s="3"/>
      <c r="BD627" s="3"/>
    </row>
    <row r="628" spans="2:157" ht="13" customHeight="1">
      <c r="B628" s="52" t="s">
        <v>113</v>
      </c>
      <c r="C628" s="1468" t="s">
        <v>2663</v>
      </c>
      <c r="D628" s="1468"/>
      <c r="E628" s="1468"/>
      <c r="F628" s="1468"/>
      <c r="G628" s="1468"/>
      <c r="H628" s="1468"/>
      <c r="I628" s="1468"/>
      <c r="J628" s="1468"/>
      <c r="K628" s="1468"/>
      <c r="L628" s="1468"/>
      <c r="M628" s="1511" t="s">
        <v>2117</v>
      </c>
      <c r="N628" s="1511"/>
      <c r="O628" s="1511"/>
      <c r="P628" s="1511"/>
      <c r="Q628" s="1508"/>
      <c r="R628" s="1509"/>
      <c r="S628" s="1510"/>
      <c r="T628" s="1508"/>
      <c r="U628" s="1509"/>
      <c r="V628" s="1510"/>
      <c r="W628" s="1473"/>
      <c r="X628" s="1474"/>
      <c r="Y628" s="1475"/>
      <c r="Z628" s="1464" t="s">
        <v>456</v>
      </c>
      <c r="AA628" s="1465"/>
      <c r="AB628" s="1466"/>
      <c r="AC628" s="1391">
        <v>2</v>
      </c>
      <c r="AD628" s="1392"/>
      <c r="AE628" s="1393"/>
      <c r="AF628" s="1470"/>
      <c r="AG628" s="1471"/>
      <c r="AH628" s="1471"/>
      <c r="AI628" s="1471"/>
      <c r="AJ628" s="1472"/>
      <c r="AK628" s="1592"/>
      <c r="AL628" s="1593"/>
      <c r="AM628" s="1593"/>
      <c r="AN628" s="1594"/>
      <c r="AO628" s="1478">
        <v>11490674</v>
      </c>
      <c r="AP628" s="1479"/>
      <c r="AQ628" s="1479"/>
      <c r="AR628" s="1479"/>
      <c r="AS628" s="1480"/>
      <c r="AT628" s="1150" t="str">
        <f>IF(AND(NOT(C627=""),C628="",NOT(C629="")),"!","")</f>
        <v/>
      </c>
      <c r="AU628" s="3"/>
      <c r="AZ628" s="3"/>
      <c r="BA628" s="3"/>
      <c r="BB628" s="3"/>
      <c r="BC628" s="3"/>
      <c r="BD628" s="3"/>
    </row>
    <row r="629" spans="2:157" ht="13" customHeight="1">
      <c r="B629" s="52" t="s">
        <v>119</v>
      </c>
      <c r="C629" s="1468" t="s">
        <v>2664</v>
      </c>
      <c r="D629" s="1468"/>
      <c r="E629" s="1468"/>
      <c r="F629" s="1468"/>
      <c r="G629" s="1468"/>
      <c r="H629" s="1468"/>
      <c r="I629" s="1468"/>
      <c r="J629" s="1468"/>
      <c r="K629" s="1468"/>
      <c r="L629" s="1468"/>
      <c r="M629" s="1511" t="s">
        <v>2105</v>
      </c>
      <c r="N629" s="1511"/>
      <c r="O629" s="1511"/>
      <c r="P629" s="1511"/>
      <c r="Q629" s="1508"/>
      <c r="R629" s="1509"/>
      <c r="S629" s="1510"/>
      <c r="T629" s="1508"/>
      <c r="U629" s="1509"/>
      <c r="V629" s="1510"/>
      <c r="W629" s="1473"/>
      <c r="X629" s="1474"/>
      <c r="Y629" s="1475"/>
      <c r="Z629" s="1464" t="s">
        <v>456</v>
      </c>
      <c r="AA629" s="1465"/>
      <c r="AB629" s="1466"/>
      <c r="AC629" s="1391"/>
      <c r="AD629" s="1392"/>
      <c r="AE629" s="1393"/>
      <c r="AF629" s="1470"/>
      <c r="AG629" s="1471"/>
      <c r="AH629" s="1471"/>
      <c r="AI629" s="1471"/>
      <c r="AJ629" s="1472"/>
      <c r="AK629" s="1592"/>
      <c r="AL629" s="1593"/>
      <c r="AM629" s="1593"/>
      <c r="AN629" s="1594"/>
      <c r="AO629" s="1478">
        <v>1087527</v>
      </c>
      <c r="AP629" s="1479"/>
      <c r="AQ629" s="1479"/>
      <c r="AR629" s="1479"/>
      <c r="AS629" s="1480"/>
      <c r="AT629" s="1150" t="str">
        <f t="shared" ref="AT629:AT638" si="1">IF(AND(NOT(C628=""),C629="",NOT(C630="")),"!","")</f>
        <v/>
      </c>
      <c r="AU629" s="3"/>
      <c r="AZ629" s="3"/>
      <c r="BA629" s="3"/>
      <c r="BB629" s="3"/>
      <c r="BC629" s="3"/>
      <c r="BD629" s="3"/>
    </row>
    <row r="630" spans="2:157" ht="13" customHeight="1">
      <c r="B630" s="52" t="s">
        <v>580</v>
      </c>
      <c r="C630" s="1468" t="s">
        <v>2724</v>
      </c>
      <c r="D630" s="1469"/>
      <c r="E630" s="1469"/>
      <c r="F630" s="1469"/>
      <c r="G630" s="1469"/>
      <c r="H630" s="1469"/>
      <c r="I630" s="1469"/>
      <c r="J630" s="1469"/>
      <c r="K630" s="1469"/>
      <c r="L630" s="1469"/>
      <c r="M630" s="1511" t="s">
        <v>2116</v>
      </c>
      <c r="N630" s="1511"/>
      <c r="O630" s="1511"/>
      <c r="P630" s="1511"/>
      <c r="Q630" s="1508"/>
      <c r="R630" s="1509"/>
      <c r="S630" s="1510"/>
      <c r="T630" s="1508"/>
      <c r="U630" s="1509"/>
      <c r="V630" s="1510"/>
      <c r="W630" s="1473"/>
      <c r="X630" s="1474"/>
      <c r="Y630" s="1475"/>
      <c r="Z630" s="1464" t="s">
        <v>456</v>
      </c>
      <c r="AA630" s="1465"/>
      <c r="AB630" s="1466"/>
      <c r="AC630" s="1391">
        <v>3</v>
      </c>
      <c r="AD630" s="1392"/>
      <c r="AE630" s="1393"/>
      <c r="AF630" s="1470"/>
      <c r="AG630" s="1471"/>
      <c r="AH630" s="1471"/>
      <c r="AI630" s="1471"/>
      <c r="AJ630" s="1472"/>
      <c r="AK630" s="1592"/>
      <c r="AL630" s="1593"/>
      <c r="AM630" s="1593"/>
      <c r="AN630" s="1594"/>
      <c r="AO630" s="1478">
        <v>1201426</v>
      </c>
      <c r="AP630" s="1479"/>
      <c r="AQ630" s="1479"/>
      <c r="AR630" s="1479"/>
      <c r="AS630" s="1480"/>
      <c r="AT630" s="1150" t="str">
        <f t="shared" si="1"/>
        <v/>
      </c>
      <c r="AU630" s="3"/>
      <c r="AZ630" s="3"/>
      <c r="BA630" s="3"/>
      <c r="BB630" s="3"/>
      <c r="BC630" s="3"/>
      <c r="BD630" s="3"/>
    </row>
    <row r="631" spans="2:157" ht="13" customHeight="1">
      <c r="B631" s="52" t="s">
        <v>762</v>
      </c>
      <c r="C631" s="1468" t="s">
        <v>2667</v>
      </c>
      <c r="D631" s="1469"/>
      <c r="E631" s="1469"/>
      <c r="F631" s="1469"/>
      <c r="G631" s="1469"/>
      <c r="H631" s="1469"/>
      <c r="I631" s="1469"/>
      <c r="J631" s="1469"/>
      <c r="K631" s="1469"/>
      <c r="L631" s="1469"/>
      <c r="M631" s="1511" t="s">
        <v>2122</v>
      </c>
      <c r="N631" s="1511"/>
      <c r="O631" s="1511"/>
      <c r="P631" s="1511"/>
      <c r="Q631" s="1508"/>
      <c r="R631" s="1509"/>
      <c r="S631" s="1510"/>
      <c r="T631" s="1508"/>
      <c r="U631" s="1509"/>
      <c r="V631" s="1510"/>
      <c r="W631" s="1473"/>
      <c r="X631" s="1474"/>
      <c r="Y631" s="1475"/>
      <c r="Z631" s="1464" t="s">
        <v>1183</v>
      </c>
      <c r="AA631" s="1465"/>
      <c r="AB631" s="1466"/>
      <c r="AC631" s="1391"/>
      <c r="AD631" s="1392"/>
      <c r="AE631" s="1393"/>
      <c r="AF631" s="1470"/>
      <c r="AG631" s="1471"/>
      <c r="AH631" s="1471"/>
      <c r="AI631" s="1471"/>
      <c r="AJ631" s="1472"/>
      <c r="AK631" s="1592"/>
      <c r="AL631" s="1593"/>
      <c r="AM631" s="1593"/>
      <c r="AN631" s="1594"/>
      <c r="AO631" s="1478">
        <v>577280</v>
      </c>
      <c r="AP631" s="1479"/>
      <c r="AQ631" s="1479"/>
      <c r="AR631" s="1479"/>
      <c r="AS631" s="1480"/>
      <c r="AT631" s="1150" t="str">
        <f t="shared" si="1"/>
        <v/>
      </c>
      <c r="AU631" s="3"/>
      <c r="AZ631" s="3"/>
      <c r="BA631" s="3"/>
      <c r="BB631" s="3"/>
      <c r="BC631" s="3"/>
      <c r="BD631" s="3"/>
    </row>
    <row r="632" spans="2:157" ht="13" customHeight="1">
      <c r="B632" s="52" t="s">
        <v>583</v>
      </c>
      <c r="C632" s="1468" t="s">
        <v>2323</v>
      </c>
      <c r="D632" s="1469"/>
      <c r="E632" s="1469"/>
      <c r="F632" s="1469"/>
      <c r="G632" s="1469"/>
      <c r="H632" s="1469"/>
      <c r="I632" s="1469"/>
      <c r="J632" s="1469"/>
      <c r="K632" s="1469"/>
      <c r="L632" s="1469"/>
      <c r="M632" s="1511" t="s">
        <v>2107</v>
      </c>
      <c r="N632" s="1511"/>
      <c r="O632" s="1511"/>
      <c r="P632" s="1511"/>
      <c r="Q632" s="1508"/>
      <c r="R632" s="1509"/>
      <c r="S632" s="1510"/>
      <c r="T632" s="1508"/>
      <c r="U632" s="1509"/>
      <c r="V632" s="1510"/>
      <c r="W632" s="1473"/>
      <c r="X632" s="1474"/>
      <c r="Y632" s="1475"/>
      <c r="Z632" s="1464" t="s">
        <v>456</v>
      </c>
      <c r="AA632" s="1465"/>
      <c r="AB632" s="1466"/>
      <c r="AC632" s="1391"/>
      <c r="AD632" s="1392"/>
      <c r="AE632" s="1393"/>
      <c r="AF632" s="1470"/>
      <c r="AG632" s="1471"/>
      <c r="AH632" s="1471"/>
      <c r="AI632" s="1471"/>
      <c r="AJ632" s="1472"/>
      <c r="AK632" s="1592"/>
      <c r="AL632" s="1593"/>
      <c r="AM632" s="1593"/>
      <c r="AN632" s="1594"/>
      <c r="AO632" s="1478">
        <v>1604121</v>
      </c>
      <c r="AP632" s="1479"/>
      <c r="AQ632" s="1479"/>
      <c r="AR632" s="1479"/>
      <c r="AS632" s="1480"/>
      <c r="AT632" s="1150" t="str">
        <f t="shared" si="1"/>
        <v/>
      </c>
      <c r="AU632" s="3"/>
      <c r="AZ632" s="3"/>
      <c r="BA632" s="3"/>
      <c r="BB632" s="3"/>
      <c r="BC632" s="3"/>
      <c r="BD632" s="3"/>
    </row>
    <row r="633" spans="2:157" ht="13" customHeight="1">
      <c r="B633" s="52" t="s">
        <v>454</v>
      </c>
      <c r="C633" s="1468" t="s">
        <v>2318</v>
      </c>
      <c r="D633" s="1469"/>
      <c r="E633" s="1469"/>
      <c r="F633" s="1469"/>
      <c r="G633" s="1469"/>
      <c r="H633" s="1469"/>
      <c r="I633" s="1469"/>
      <c r="J633" s="1469"/>
      <c r="K633" s="1469"/>
      <c r="L633" s="1469"/>
      <c r="M633" s="1511" t="s">
        <v>2123</v>
      </c>
      <c r="N633" s="1511"/>
      <c r="O633" s="1511"/>
      <c r="P633" s="1511"/>
      <c r="Q633" s="1508"/>
      <c r="R633" s="1509"/>
      <c r="S633" s="1510"/>
      <c r="T633" s="1508"/>
      <c r="U633" s="1509"/>
      <c r="V633" s="1510"/>
      <c r="W633" s="1473"/>
      <c r="X633" s="1474"/>
      <c r="Y633" s="1475"/>
      <c r="Z633" s="1464" t="s">
        <v>1183</v>
      </c>
      <c r="AA633" s="1465"/>
      <c r="AB633" s="1466"/>
      <c r="AC633" s="1391"/>
      <c r="AD633" s="1392"/>
      <c r="AE633" s="1393"/>
      <c r="AF633" s="1470"/>
      <c r="AG633" s="1471"/>
      <c r="AH633" s="1471"/>
      <c r="AI633" s="1471"/>
      <c r="AJ633" s="1472"/>
      <c r="AK633" s="1592"/>
      <c r="AL633" s="1593"/>
      <c r="AM633" s="1593"/>
      <c r="AN633" s="1594"/>
      <c r="AO633" s="1478">
        <v>100</v>
      </c>
      <c r="AP633" s="1479"/>
      <c r="AQ633" s="1479"/>
      <c r="AR633" s="1479"/>
      <c r="AS633" s="1480"/>
      <c r="AT633" s="1150" t="str">
        <f t="shared" si="1"/>
        <v/>
      </c>
      <c r="AU633" s="3"/>
      <c r="AV633" s="3"/>
      <c r="AW633" s="3"/>
      <c r="AX633" s="3"/>
      <c r="AY633" s="3"/>
      <c r="AZ633" s="3"/>
      <c r="BA633" s="3"/>
      <c r="BB633" s="3"/>
      <c r="BC633" s="3"/>
      <c r="BD633" s="3"/>
    </row>
    <row r="634" spans="2:157" ht="13" customHeight="1">
      <c r="B634" s="52" t="s">
        <v>455</v>
      </c>
      <c r="C634" s="1468" t="s">
        <v>2665</v>
      </c>
      <c r="D634" s="1469"/>
      <c r="E634" s="1469"/>
      <c r="F634" s="1469"/>
      <c r="G634" s="1469"/>
      <c r="H634" s="1469"/>
      <c r="I634" s="1469"/>
      <c r="J634" s="1469"/>
      <c r="K634" s="1469"/>
      <c r="L634" s="1469"/>
      <c r="M634" s="1511" t="s">
        <v>2124</v>
      </c>
      <c r="N634" s="1511"/>
      <c r="O634" s="1511"/>
      <c r="P634" s="1511"/>
      <c r="Q634" s="1508"/>
      <c r="R634" s="1509"/>
      <c r="S634" s="1510"/>
      <c r="T634" s="1508"/>
      <c r="U634" s="1509"/>
      <c r="V634" s="1510"/>
      <c r="W634" s="1473"/>
      <c r="X634" s="1474"/>
      <c r="Y634" s="1475"/>
      <c r="Z634" s="1464" t="s">
        <v>1183</v>
      </c>
      <c r="AA634" s="1465"/>
      <c r="AB634" s="1466"/>
      <c r="AC634" s="1391"/>
      <c r="AD634" s="1392"/>
      <c r="AE634" s="1393"/>
      <c r="AF634" s="1470"/>
      <c r="AG634" s="1471"/>
      <c r="AH634" s="1471"/>
      <c r="AI634" s="1471"/>
      <c r="AJ634" s="1472"/>
      <c r="AK634" s="1592"/>
      <c r="AL634" s="1593"/>
      <c r="AM634" s="1593"/>
      <c r="AN634" s="1594"/>
      <c r="AO634" s="1478">
        <v>950864</v>
      </c>
      <c r="AP634" s="1479"/>
      <c r="AQ634" s="1479"/>
      <c r="AR634" s="1479"/>
      <c r="AS634" s="1480"/>
      <c r="AT634" s="1150" t="str">
        <f t="shared" si="1"/>
        <v/>
      </c>
      <c r="AU634" s="3"/>
      <c r="AV634" s="3"/>
      <c r="AW634" s="3"/>
      <c r="AX634" s="3"/>
      <c r="AY634" s="3"/>
      <c r="AZ634" s="3"/>
      <c r="BA634" s="3" t="s">
        <v>1183</v>
      </c>
      <c r="BB634" s="3"/>
      <c r="BC634" s="3"/>
      <c r="BD634" s="3"/>
    </row>
    <row r="635" spans="2:157" ht="13" customHeight="1">
      <c r="B635" s="52" t="s">
        <v>460</v>
      </c>
      <c r="C635" s="1469"/>
      <c r="D635" s="1469"/>
      <c r="E635" s="1469"/>
      <c r="F635" s="1469"/>
      <c r="G635" s="1469"/>
      <c r="H635" s="1469"/>
      <c r="I635" s="1469"/>
      <c r="J635" s="1469"/>
      <c r="K635" s="1469"/>
      <c r="L635" s="1469"/>
      <c r="M635" s="1511" t="s">
        <v>1183</v>
      </c>
      <c r="N635" s="1511"/>
      <c r="O635" s="1511"/>
      <c r="P635" s="1511"/>
      <c r="Q635" s="1508"/>
      <c r="R635" s="1509"/>
      <c r="S635" s="1510"/>
      <c r="T635" s="1508"/>
      <c r="U635" s="1509"/>
      <c r="V635" s="1510"/>
      <c r="W635" s="1473"/>
      <c r="X635" s="1474"/>
      <c r="Y635" s="1475"/>
      <c r="Z635" s="1464" t="s">
        <v>1183</v>
      </c>
      <c r="AA635" s="1465"/>
      <c r="AB635" s="1466"/>
      <c r="AC635" s="1391"/>
      <c r="AD635" s="1392"/>
      <c r="AE635" s="1393"/>
      <c r="AF635" s="1470"/>
      <c r="AG635" s="1471"/>
      <c r="AH635" s="1471"/>
      <c r="AI635" s="1471"/>
      <c r="AJ635" s="1472"/>
      <c r="AK635" s="1592"/>
      <c r="AL635" s="1593"/>
      <c r="AM635" s="1593"/>
      <c r="AN635" s="1594"/>
      <c r="AO635" s="1478"/>
      <c r="AP635" s="1479"/>
      <c r="AQ635" s="1479"/>
      <c r="AR635" s="1479"/>
      <c r="AS635" s="1480"/>
      <c r="AT635" s="1150" t="str">
        <f t="shared" si="1"/>
        <v/>
      </c>
      <c r="AU635" s="3"/>
      <c r="AV635" s="3"/>
      <c r="AW635" s="3"/>
      <c r="AX635" s="3"/>
      <c r="AY635" s="3"/>
      <c r="AZ635" s="34"/>
      <c r="BA635" s="3" t="s">
        <v>457</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370" t="e">
        <f t="shared" ref="DX635:DX669" si="2">EZ718*(CP718/$CP$753)</f>
        <v>#VALUE!</v>
      </c>
      <c r="DY635" s="1370"/>
      <c r="DZ635" s="1370"/>
      <c r="EA635" s="1370"/>
      <c r="EB635" s="1370"/>
      <c r="EC635" s="1370">
        <f t="shared" ref="EC635:EC669" si="3">FE718*(CU718/$CU$753)</f>
        <v>375</v>
      </c>
      <c r="ED635" s="1370"/>
      <c r="EE635" s="1370"/>
      <c r="EF635" s="1370"/>
      <c r="EG635" s="1370"/>
      <c r="EH635" s="1370" t="e">
        <f t="shared" ref="EH635:EH669" si="4">FJ718*(CZ718/$CZ$753)</f>
        <v>#VALUE!</v>
      </c>
      <c r="EI635" s="1370"/>
      <c r="EJ635" s="1370"/>
      <c r="EK635" s="1370"/>
      <c r="EL635" s="1370"/>
      <c r="EM635" s="1370" t="e">
        <f t="shared" ref="EM635:EM669" si="5">FO718*(DE718/$DE$753)</f>
        <v>#VALUE!</v>
      </c>
      <c r="EN635" s="1370"/>
      <c r="EO635" s="1370"/>
      <c r="EP635" s="1370"/>
      <c r="EQ635" s="1370"/>
      <c r="ER635" s="1370" t="e">
        <f t="shared" ref="ER635:ER669" si="6">FT718*(DJ718/$DJ$753)</f>
        <v>#VALUE!</v>
      </c>
      <c r="ES635" s="1370"/>
      <c r="ET635" s="1370"/>
      <c r="EU635" s="1370"/>
      <c r="EV635" s="1370"/>
      <c r="EW635" s="1370" t="e">
        <f t="shared" ref="EW635:EW669" si="7">FY718*(DO718/$DO$753)</f>
        <v>#VALUE!</v>
      </c>
      <c r="EX635" s="1370"/>
      <c r="EY635" s="1370"/>
      <c r="EZ635" s="1370"/>
      <c r="FA635" s="1370"/>
    </row>
    <row r="636" spans="2:157" ht="13" customHeight="1">
      <c r="B636" s="52" t="s">
        <v>645</v>
      </c>
      <c r="C636" s="1469"/>
      <c r="D636" s="1469"/>
      <c r="E636" s="1469"/>
      <c r="F636" s="1469"/>
      <c r="G636" s="1469"/>
      <c r="H636" s="1469"/>
      <c r="I636" s="1469"/>
      <c r="J636" s="1469"/>
      <c r="K636" s="1469"/>
      <c r="L636" s="1469"/>
      <c r="M636" s="1511" t="s">
        <v>1183</v>
      </c>
      <c r="N636" s="1511"/>
      <c r="O636" s="1511"/>
      <c r="P636" s="1511"/>
      <c r="Q636" s="1508"/>
      <c r="R636" s="1509"/>
      <c r="S636" s="1510"/>
      <c r="T636" s="1508"/>
      <c r="U636" s="1509"/>
      <c r="V636" s="1510"/>
      <c r="W636" s="1473"/>
      <c r="X636" s="1474"/>
      <c r="Y636" s="1475"/>
      <c r="Z636" s="1464" t="s">
        <v>1183</v>
      </c>
      <c r="AA636" s="1465"/>
      <c r="AB636" s="1466"/>
      <c r="AC636" s="1391"/>
      <c r="AD636" s="1392"/>
      <c r="AE636" s="1393"/>
      <c r="AF636" s="1470"/>
      <c r="AG636" s="1471"/>
      <c r="AH636" s="1471"/>
      <c r="AI636" s="1471"/>
      <c r="AJ636" s="1472"/>
      <c r="AK636" s="1592"/>
      <c r="AL636" s="1593"/>
      <c r="AM636" s="1593"/>
      <c r="AN636" s="1594"/>
      <c r="AO636" s="1478"/>
      <c r="AP636" s="1479"/>
      <c r="AQ636" s="1479"/>
      <c r="AR636" s="1479"/>
      <c r="AS636" s="1480"/>
      <c r="AT636" s="1150" t="str">
        <f t="shared" si="1"/>
        <v/>
      </c>
      <c r="AV636" s="3"/>
      <c r="AW636" s="3"/>
      <c r="AX636" s="3"/>
      <c r="AY636" s="3"/>
      <c r="AZ636" s="34"/>
      <c r="BA636" s="3" t="s">
        <v>456</v>
      </c>
      <c r="BB636" s="34"/>
      <c r="BC636" s="34"/>
      <c r="BD636" s="34"/>
      <c r="BE636" s="34"/>
      <c r="BF636" s="34"/>
      <c r="BG636" s="34"/>
      <c r="BH636" s="34"/>
      <c r="BI636" s="34"/>
      <c r="BJ636" s="34"/>
      <c r="BK636" s="34"/>
      <c r="BL636" s="34"/>
      <c r="BM636" s="34"/>
      <c r="DA636" s="3"/>
      <c r="DB636" s="3"/>
      <c r="DC636" s="3"/>
      <c r="DD636" s="3"/>
      <c r="DE636" s="3"/>
      <c r="DF636" s="3"/>
      <c r="DX636" s="1370" t="e">
        <f t="shared" si="2"/>
        <v>#VALUE!</v>
      </c>
      <c r="DY636" s="1370"/>
      <c r="DZ636" s="1370"/>
      <c r="EA636" s="1370"/>
      <c r="EB636" s="1370"/>
      <c r="EC636" s="1370">
        <f t="shared" si="3"/>
        <v>635</v>
      </c>
      <c r="ED636" s="1370"/>
      <c r="EE636" s="1370"/>
      <c r="EF636" s="1370"/>
      <c r="EG636" s="1370"/>
      <c r="EH636" s="1370" t="e">
        <f t="shared" si="4"/>
        <v>#VALUE!</v>
      </c>
      <c r="EI636" s="1370"/>
      <c r="EJ636" s="1370"/>
      <c r="EK636" s="1370"/>
      <c r="EL636" s="1370"/>
      <c r="EM636" s="1370" t="e">
        <f t="shared" si="5"/>
        <v>#VALUE!</v>
      </c>
      <c r="EN636" s="1370"/>
      <c r="EO636" s="1370"/>
      <c r="EP636" s="1370"/>
      <c r="EQ636" s="1370"/>
      <c r="ER636" s="1370" t="e">
        <f t="shared" si="6"/>
        <v>#VALUE!</v>
      </c>
      <c r="ES636" s="1370"/>
      <c r="ET636" s="1370"/>
      <c r="EU636" s="1370"/>
      <c r="EV636" s="1370"/>
      <c r="EW636" s="1370" t="e">
        <f t="shared" si="7"/>
        <v>#VALUE!</v>
      </c>
      <c r="EX636" s="1370"/>
      <c r="EY636" s="1370"/>
      <c r="EZ636" s="1370"/>
      <c r="FA636" s="1370"/>
    </row>
    <row r="637" spans="2:157" ht="13" customHeight="1">
      <c r="B637" s="52" t="s">
        <v>361</v>
      </c>
      <c r="C637" s="1469"/>
      <c r="D637" s="1469"/>
      <c r="E637" s="1469"/>
      <c r="F637" s="1469"/>
      <c r="G637" s="1469"/>
      <c r="H637" s="1469"/>
      <c r="I637" s="1469"/>
      <c r="J637" s="1469"/>
      <c r="K637" s="1469"/>
      <c r="L637" s="1469"/>
      <c r="M637" s="1511" t="s">
        <v>1183</v>
      </c>
      <c r="N637" s="1511"/>
      <c r="O637" s="1511"/>
      <c r="P637" s="1511"/>
      <c r="Q637" s="1508"/>
      <c r="R637" s="1509"/>
      <c r="S637" s="1510"/>
      <c r="T637" s="1508"/>
      <c r="U637" s="1509"/>
      <c r="V637" s="1510"/>
      <c r="W637" s="1473"/>
      <c r="X637" s="1474"/>
      <c r="Y637" s="1475"/>
      <c r="Z637" s="1464" t="s">
        <v>1183</v>
      </c>
      <c r="AA637" s="1465"/>
      <c r="AB637" s="1466"/>
      <c r="AC637" s="1391"/>
      <c r="AD637" s="1392"/>
      <c r="AE637" s="1393"/>
      <c r="AF637" s="1470"/>
      <c r="AG637" s="1471"/>
      <c r="AH637" s="1471"/>
      <c r="AI637" s="1471"/>
      <c r="AJ637" s="1472"/>
      <c r="AK637" s="1592"/>
      <c r="AL637" s="1593"/>
      <c r="AM637" s="1593"/>
      <c r="AN637" s="1594"/>
      <c r="AO637" s="1478"/>
      <c r="AP637" s="1479"/>
      <c r="AQ637" s="1479"/>
      <c r="AR637" s="1479"/>
      <c r="AS637" s="1480"/>
      <c r="AT637" s="1150" t="str">
        <f t="shared" si="1"/>
        <v/>
      </c>
      <c r="AV637" s="3"/>
      <c r="AW637" s="3"/>
      <c r="AX637" s="3"/>
      <c r="AY637" s="3"/>
      <c r="AZ637" s="34"/>
      <c r="BA637" s="3" t="s">
        <v>2132</v>
      </c>
      <c r="BB637" s="34"/>
      <c r="BC637" s="34"/>
      <c r="BD637" s="34"/>
      <c r="BE637" s="34"/>
      <c r="BF637" s="34"/>
      <c r="BG637" s="34"/>
      <c r="BH637" s="34"/>
      <c r="BI637" s="34"/>
      <c r="BJ637" s="34"/>
      <c r="BK637" s="34"/>
      <c r="BL637" s="34"/>
      <c r="BM637" s="34"/>
      <c r="DA637" s="3"/>
      <c r="DB637" s="3"/>
      <c r="DC637" s="3"/>
      <c r="DD637" s="3"/>
      <c r="DE637" s="3"/>
      <c r="DF637" s="3"/>
      <c r="DX637" s="1370" t="e">
        <f t="shared" si="2"/>
        <v>#VALUE!</v>
      </c>
      <c r="DY637" s="1370"/>
      <c r="DZ637" s="1370"/>
      <c r="EA637" s="1370"/>
      <c r="EB637" s="1370"/>
      <c r="EC637" s="1370" t="e">
        <f t="shared" si="3"/>
        <v>#VALUE!</v>
      </c>
      <c r="ED637" s="1370"/>
      <c r="EE637" s="1370"/>
      <c r="EF637" s="1370"/>
      <c r="EG637" s="1370"/>
      <c r="EH637" s="1370" t="e">
        <f t="shared" si="4"/>
        <v>#VALUE!</v>
      </c>
      <c r="EI637" s="1370"/>
      <c r="EJ637" s="1370"/>
      <c r="EK637" s="1370"/>
      <c r="EL637" s="1370"/>
      <c r="EM637" s="1370" t="e">
        <f t="shared" si="5"/>
        <v>#VALUE!</v>
      </c>
      <c r="EN637" s="1370"/>
      <c r="EO637" s="1370"/>
      <c r="EP637" s="1370"/>
      <c r="EQ637" s="1370"/>
      <c r="ER637" s="1370" t="e">
        <f t="shared" si="6"/>
        <v>#VALUE!</v>
      </c>
      <c r="ES637" s="1370"/>
      <c r="ET637" s="1370"/>
      <c r="EU637" s="1370"/>
      <c r="EV637" s="1370"/>
      <c r="EW637" s="1370" t="e">
        <f t="shared" si="7"/>
        <v>#VALUE!</v>
      </c>
      <c r="EX637" s="1370"/>
      <c r="EY637" s="1370"/>
      <c r="EZ637" s="1370"/>
      <c r="FA637" s="1370"/>
    </row>
    <row r="638" spans="2:157" ht="13" customHeight="1">
      <c r="B638" s="52" t="s">
        <v>362</v>
      </c>
      <c r="C638" s="1469"/>
      <c r="D638" s="1469"/>
      <c r="E638" s="1469"/>
      <c r="F638" s="1469"/>
      <c r="G638" s="1469"/>
      <c r="H638" s="1469"/>
      <c r="I638" s="1469"/>
      <c r="J638" s="1469"/>
      <c r="K638" s="1469"/>
      <c r="L638" s="1469"/>
      <c r="M638" s="1511" t="s">
        <v>1183</v>
      </c>
      <c r="N638" s="1511"/>
      <c r="O638" s="1511"/>
      <c r="P638" s="1511"/>
      <c r="Q638" s="1508"/>
      <c r="R638" s="1509"/>
      <c r="S638" s="1510"/>
      <c r="T638" s="1508"/>
      <c r="U638" s="1509"/>
      <c r="V638" s="1510"/>
      <c r="W638" s="1473"/>
      <c r="X638" s="1474"/>
      <c r="Y638" s="1475"/>
      <c r="Z638" s="1464" t="s">
        <v>1183</v>
      </c>
      <c r="AA638" s="1465"/>
      <c r="AB638" s="1466"/>
      <c r="AC638" s="1391"/>
      <c r="AD638" s="1392"/>
      <c r="AE638" s="1393"/>
      <c r="AF638" s="1470"/>
      <c r="AG638" s="1471"/>
      <c r="AH638" s="1471"/>
      <c r="AI638" s="1471"/>
      <c r="AJ638" s="1472"/>
      <c r="AK638" s="1592"/>
      <c r="AL638" s="1593"/>
      <c r="AM638" s="1593"/>
      <c r="AN638" s="1594"/>
      <c r="AO638" s="1478"/>
      <c r="AP638" s="1479"/>
      <c r="AQ638" s="1479"/>
      <c r="AR638" s="1479"/>
      <c r="AS638" s="1480"/>
      <c r="AT638" s="1150" t="str">
        <f t="shared" si="1"/>
        <v/>
      </c>
      <c r="AV638" s="3"/>
      <c r="AW638" s="3"/>
      <c r="AX638" s="3"/>
      <c r="AY638" s="3"/>
      <c r="AZ638" s="34"/>
      <c r="BA638" s="3" t="s">
        <v>299</v>
      </c>
      <c r="BB638" s="34"/>
      <c r="BC638" s="34"/>
      <c r="BD638" s="34"/>
      <c r="BE638" s="34"/>
      <c r="BF638" s="34"/>
      <c r="BG638" s="34"/>
      <c r="BH638" s="34"/>
      <c r="BI638" s="34"/>
      <c r="BJ638" s="34"/>
      <c r="BK638" s="34"/>
      <c r="BL638" s="34"/>
      <c r="BM638" s="34"/>
      <c r="DA638" s="3"/>
      <c r="DB638" s="3"/>
      <c r="DC638" s="3"/>
      <c r="DD638" s="3"/>
      <c r="DE638" s="3"/>
      <c r="DF638" s="3"/>
      <c r="DX638" s="1370" t="e">
        <f t="shared" si="2"/>
        <v>#VALUE!</v>
      </c>
      <c r="DY638" s="1370"/>
      <c r="DZ638" s="1370"/>
      <c r="EA638" s="1370"/>
      <c r="EB638" s="1370"/>
      <c r="EC638" s="1370" t="e">
        <f t="shared" si="3"/>
        <v>#VALUE!</v>
      </c>
      <c r="ED638" s="1370"/>
      <c r="EE638" s="1370"/>
      <c r="EF638" s="1370"/>
      <c r="EG638" s="1370"/>
      <c r="EH638" s="1370" t="e">
        <f t="shared" si="4"/>
        <v>#VALUE!</v>
      </c>
      <c r="EI638" s="1370"/>
      <c r="EJ638" s="1370"/>
      <c r="EK638" s="1370"/>
      <c r="EL638" s="1370"/>
      <c r="EM638" s="1370" t="e">
        <f t="shared" si="5"/>
        <v>#VALUE!</v>
      </c>
      <c r="EN638" s="1370"/>
      <c r="EO638" s="1370"/>
      <c r="EP638" s="1370"/>
      <c r="EQ638" s="1370"/>
      <c r="ER638" s="1370" t="e">
        <f t="shared" si="6"/>
        <v>#VALUE!</v>
      </c>
      <c r="ES638" s="1370"/>
      <c r="ET638" s="1370"/>
      <c r="EU638" s="1370"/>
      <c r="EV638" s="1370"/>
      <c r="EW638" s="1370" t="e">
        <f t="shared" si="7"/>
        <v>#VALUE!</v>
      </c>
      <c r="EX638" s="1370"/>
      <c r="EY638" s="1370"/>
      <c r="EZ638" s="1370"/>
      <c r="FA638" s="1370"/>
    </row>
    <row r="639" spans="2:157" ht="13" customHeight="1">
      <c r="B639" s="1492" t="s">
        <v>128</v>
      </c>
      <c r="C639" s="1493"/>
      <c r="D639" s="1493"/>
      <c r="E639" s="1493"/>
      <c r="F639" s="1493"/>
      <c r="G639" s="1493"/>
      <c r="H639" s="1493"/>
      <c r="I639" s="1493"/>
      <c r="J639" s="1493"/>
      <c r="K639" s="1493"/>
      <c r="L639" s="1493"/>
      <c r="M639" s="1493"/>
      <c r="N639" s="1493"/>
      <c r="O639" s="1493"/>
      <c r="P639" s="1493"/>
      <c r="Q639" s="1493"/>
      <c r="R639" s="1493"/>
      <c r="S639" s="1493"/>
      <c r="T639" s="1493"/>
      <c r="U639" s="1493"/>
      <c r="V639" s="1493"/>
      <c r="W639" s="1493"/>
      <c r="X639" s="1493"/>
      <c r="Y639" s="1493"/>
      <c r="Z639" s="1493"/>
      <c r="AA639" s="1493"/>
      <c r="AB639" s="1493"/>
      <c r="AC639" s="1493"/>
      <c r="AD639" s="1493"/>
      <c r="AE639" s="1493"/>
      <c r="AF639" s="1493"/>
      <c r="AG639" s="1493"/>
      <c r="AH639" s="1493"/>
      <c r="AI639" s="1493"/>
      <c r="AJ639" s="1493"/>
      <c r="AK639" s="1493"/>
      <c r="AL639" s="1493"/>
      <c r="AM639" s="1493"/>
      <c r="AN639" s="1495"/>
      <c r="AO639" s="1505">
        <f>SUM(AO627:AR638)</f>
        <v>23811992</v>
      </c>
      <c r="AP639" s="1506"/>
      <c r="AQ639" s="1506"/>
      <c r="AR639" s="1506"/>
      <c r="AS639" s="1507"/>
      <c r="AV639" s="3"/>
      <c r="AW639" s="3"/>
      <c r="AX639" s="3"/>
      <c r="AY639" s="3"/>
      <c r="AZ639" s="34"/>
      <c r="BA639" s="34"/>
      <c r="BB639" s="34"/>
      <c r="BC639" s="34"/>
      <c r="BD639" s="34"/>
      <c r="BE639" s="34"/>
      <c r="BF639" s="34"/>
      <c r="BG639" s="34"/>
      <c r="BH639" s="34"/>
      <c r="BI639" s="34"/>
      <c r="BJ639" s="34"/>
      <c r="BK639" s="34"/>
      <c r="BL639" s="34"/>
      <c r="BM639" s="34"/>
      <c r="DA639" s="3"/>
      <c r="DB639" s="3"/>
      <c r="DC639" s="3"/>
      <c r="DD639" s="3"/>
      <c r="DE639" s="3"/>
      <c r="DF639" s="3"/>
      <c r="DX639" s="1370" t="e">
        <f t="shared" si="2"/>
        <v>#VALUE!</v>
      </c>
      <c r="DY639" s="1370"/>
      <c r="DZ639" s="1370"/>
      <c r="EA639" s="1370"/>
      <c r="EB639" s="1370"/>
      <c r="EC639" s="1370" t="e">
        <f t="shared" si="3"/>
        <v>#VALUE!</v>
      </c>
      <c r="ED639" s="1370"/>
      <c r="EE639" s="1370"/>
      <c r="EF639" s="1370"/>
      <c r="EG639" s="1370"/>
      <c r="EH639" s="1370" t="e">
        <f t="shared" si="4"/>
        <v>#VALUE!</v>
      </c>
      <c r="EI639" s="1370"/>
      <c r="EJ639" s="1370"/>
      <c r="EK639" s="1370"/>
      <c r="EL639" s="1370"/>
      <c r="EM639" s="1370" t="e">
        <f t="shared" si="5"/>
        <v>#VALUE!</v>
      </c>
      <c r="EN639" s="1370"/>
      <c r="EO639" s="1370"/>
      <c r="EP639" s="1370"/>
      <c r="EQ639" s="1370"/>
      <c r="ER639" s="1370" t="e">
        <f t="shared" si="6"/>
        <v>#VALUE!</v>
      </c>
      <c r="ES639" s="1370"/>
      <c r="ET639" s="1370"/>
      <c r="EU639" s="1370"/>
      <c r="EV639" s="1370"/>
      <c r="EW639" s="1370" t="e">
        <f t="shared" si="7"/>
        <v>#VALUE!</v>
      </c>
      <c r="EX639" s="1370"/>
      <c r="EY639" s="1370"/>
      <c r="EZ639" s="1370"/>
      <c r="FA639" s="1370"/>
    </row>
    <row r="640" spans="2:157" ht="13" customHeight="1">
      <c r="B640" s="1492" t="s">
        <v>266</v>
      </c>
      <c r="C640" s="1493"/>
      <c r="D640" s="1493"/>
      <c r="E640" s="1493"/>
      <c r="F640" s="1493"/>
      <c r="G640" s="1493"/>
      <c r="H640" s="1493"/>
      <c r="I640" s="1493"/>
      <c r="J640" s="1493"/>
      <c r="K640" s="1493"/>
      <c r="L640" s="1493"/>
      <c r="M640" s="1493"/>
      <c r="N640" s="1493"/>
      <c r="O640" s="1493"/>
      <c r="P640" s="1493"/>
      <c r="Q640" s="1493"/>
      <c r="R640" s="1493"/>
      <c r="S640" s="1493"/>
      <c r="T640" s="1493"/>
      <c r="U640" s="1493"/>
      <c r="V640" s="1493"/>
      <c r="W640" s="1493"/>
      <c r="X640" s="1493"/>
      <c r="Y640" s="1493"/>
      <c r="Z640" s="1493"/>
      <c r="AA640" s="1493"/>
      <c r="AB640" s="1493"/>
      <c r="AC640" s="1493"/>
      <c r="AD640" s="1493"/>
      <c r="AE640" s="1493"/>
      <c r="AF640" s="1493"/>
      <c r="AG640" s="1493"/>
      <c r="AH640" s="1493"/>
      <c r="AI640" s="1493"/>
      <c r="AJ640" s="1493"/>
      <c r="AK640" s="1493"/>
      <c r="AL640" s="1493"/>
      <c r="AM640" s="1493"/>
      <c r="AN640" s="1495"/>
      <c r="AO640" s="1478">
        <v>11239800</v>
      </c>
      <c r="AP640" s="1479"/>
      <c r="AQ640" s="1479"/>
      <c r="AR640" s="1479"/>
      <c r="AS640" s="1480"/>
      <c r="AV640" s="3"/>
      <c r="AW640" s="3"/>
      <c r="AX640" s="3"/>
      <c r="AY640" s="3"/>
      <c r="AZ640" s="34"/>
      <c r="BA640" s="34"/>
      <c r="BB640" s="34"/>
      <c r="BC640" s="34"/>
      <c r="BD640" s="34"/>
      <c r="BE640" s="34"/>
      <c r="BF640" s="34"/>
      <c r="BG640" s="34"/>
      <c r="BH640" s="34"/>
      <c r="BI640" s="34"/>
      <c r="BJ640" s="34"/>
      <c r="BK640" s="34"/>
      <c r="BL640" s="34"/>
      <c r="BM640" s="34"/>
      <c r="DA640" s="3"/>
      <c r="DB640" s="3"/>
      <c r="DC640" s="3"/>
      <c r="DD640" s="3"/>
      <c r="DE640" s="3"/>
      <c r="DF640" s="3"/>
      <c r="DX640" s="1370" t="e">
        <f t="shared" si="2"/>
        <v>#VALUE!</v>
      </c>
      <c r="DY640" s="1370"/>
      <c r="DZ640" s="1370"/>
      <c r="EA640" s="1370"/>
      <c r="EB640" s="1370"/>
      <c r="EC640" s="1370" t="e">
        <f t="shared" si="3"/>
        <v>#VALUE!</v>
      </c>
      <c r="ED640" s="1370"/>
      <c r="EE640" s="1370"/>
      <c r="EF640" s="1370"/>
      <c r="EG640" s="1370"/>
      <c r="EH640" s="1370" t="e">
        <f t="shared" si="4"/>
        <v>#VALUE!</v>
      </c>
      <c r="EI640" s="1370"/>
      <c r="EJ640" s="1370"/>
      <c r="EK640" s="1370"/>
      <c r="EL640" s="1370"/>
      <c r="EM640" s="1370" t="e">
        <f t="shared" si="5"/>
        <v>#VALUE!</v>
      </c>
      <c r="EN640" s="1370"/>
      <c r="EO640" s="1370"/>
      <c r="EP640" s="1370"/>
      <c r="EQ640" s="1370"/>
      <c r="ER640" s="1370" t="e">
        <f t="shared" si="6"/>
        <v>#VALUE!</v>
      </c>
      <c r="ES640" s="1370"/>
      <c r="ET640" s="1370"/>
      <c r="EU640" s="1370"/>
      <c r="EV640" s="1370"/>
      <c r="EW640" s="1370" t="e">
        <f t="shared" si="7"/>
        <v>#VALUE!</v>
      </c>
      <c r="EX640" s="1370"/>
      <c r="EY640" s="1370"/>
      <c r="EZ640" s="1370"/>
      <c r="FA640" s="1370"/>
    </row>
    <row r="641" spans="1:157" ht="13" customHeight="1">
      <c r="B641" s="1835" t="s">
        <v>267</v>
      </c>
      <c r="C641" s="1494"/>
      <c r="D641" s="1494"/>
      <c r="E641" s="1494"/>
      <c r="F641" s="1494"/>
      <c r="G641" s="1494"/>
      <c r="H641" s="1494"/>
      <c r="I641" s="1494"/>
      <c r="J641" s="1494"/>
      <c r="K641" s="1494"/>
      <c r="L641" s="1494"/>
      <c r="M641" s="1494"/>
      <c r="N641" s="1494"/>
      <c r="O641" s="1494"/>
      <c r="P641" s="1494"/>
      <c r="Q641" s="1494"/>
      <c r="R641" s="1494"/>
      <c r="S641" s="1494"/>
      <c r="T641" s="1494"/>
      <c r="U641" s="1494"/>
      <c r="V641" s="1494"/>
      <c r="W641" s="1494"/>
      <c r="X641" s="1494"/>
      <c r="Y641" s="1494"/>
      <c r="Z641" s="1494"/>
      <c r="AA641" s="1494"/>
      <c r="AB641" s="1494"/>
      <c r="AC641" s="1494"/>
      <c r="AD641" s="1494"/>
      <c r="AE641" s="1494"/>
      <c r="AF641" s="1494"/>
      <c r="AG641" s="1494"/>
      <c r="AH641" s="1494"/>
      <c r="AI641" s="1494"/>
      <c r="AJ641" s="1494"/>
      <c r="AK641" s="1494"/>
      <c r="AL641" s="1494"/>
      <c r="AM641" s="1494"/>
      <c r="AN641" s="1836"/>
      <c r="AO641" s="1505">
        <f>AO639+AO640</f>
        <v>35051792</v>
      </c>
      <c r="AP641" s="1506"/>
      <c r="AQ641" s="1506"/>
      <c r="AR641" s="1506"/>
      <c r="AS641" s="1507"/>
      <c r="AV641" s="3"/>
      <c r="AW641" s="3"/>
      <c r="AX641" s="3"/>
      <c r="AY641" s="3"/>
      <c r="AZ641" s="34"/>
      <c r="BA641" s="34"/>
      <c r="BB641" s="34"/>
      <c r="BC641" s="34"/>
      <c r="BD641" s="34"/>
      <c r="BE641" s="34"/>
      <c r="BF641" s="34"/>
      <c r="BG641" s="34"/>
      <c r="BH641" s="34"/>
      <c r="BI641" s="34"/>
      <c r="BJ641" s="34"/>
      <c r="BK641" s="34"/>
      <c r="BL641" s="34"/>
      <c r="BM641" s="34"/>
      <c r="DA641" s="3"/>
      <c r="DB641" s="3"/>
      <c r="DC641" s="3"/>
      <c r="DD641" s="3"/>
      <c r="DE641" s="3"/>
      <c r="DF641" s="3"/>
      <c r="DX641" s="1370" t="e">
        <f t="shared" si="2"/>
        <v>#VALUE!</v>
      </c>
      <c r="DY641" s="1370"/>
      <c r="DZ641" s="1370"/>
      <c r="EA641" s="1370"/>
      <c r="EB641" s="1370"/>
      <c r="EC641" s="1370" t="e">
        <f t="shared" si="3"/>
        <v>#VALUE!</v>
      </c>
      <c r="ED641" s="1370"/>
      <c r="EE641" s="1370"/>
      <c r="EF641" s="1370"/>
      <c r="EG641" s="1370"/>
      <c r="EH641" s="1370" t="e">
        <f t="shared" si="4"/>
        <v>#VALUE!</v>
      </c>
      <c r="EI641" s="1370"/>
      <c r="EJ641" s="1370"/>
      <c r="EK641" s="1370"/>
      <c r="EL641" s="1370"/>
      <c r="EM641" s="1370" t="e">
        <f t="shared" si="5"/>
        <v>#VALUE!</v>
      </c>
      <c r="EN641" s="1370"/>
      <c r="EO641" s="1370"/>
      <c r="EP641" s="1370"/>
      <c r="EQ641" s="1370"/>
      <c r="ER641" s="1370" t="e">
        <f t="shared" si="6"/>
        <v>#VALUE!</v>
      </c>
      <c r="ES641" s="1370"/>
      <c r="ET641" s="1370"/>
      <c r="EU641" s="1370"/>
      <c r="EV641" s="1370"/>
      <c r="EW641" s="1370" t="e">
        <f t="shared" si="7"/>
        <v>#VALUE!</v>
      </c>
      <c r="EX641" s="1370"/>
      <c r="EY641" s="1370"/>
      <c r="EZ641" s="1370"/>
      <c r="FA641" s="1370"/>
    </row>
    <row r="642" spans="1:157" ht="13" customHeight="1">
      <c r="B642" s="513"/>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DA642" s="3"/>
      <c r="DB642" s="3"/>
      <c r="DC642" s="3"/>
      <c r="DD642" s="3"/>
      <c r="DE642" s="3"/>
      <c r="DF642" s="3"/>
      <c r="DX642" s="1370" t="e">
        <f t="shared" si="2"/>
        <v>#VALUE!</v>
      </c>
      <c r="DY642" s="1370"/>
      <c r="DZ642" s="1370"/>
      <c r="EA642" s="1370"/>
      <c r="EB642" s="1370"/>
      <c r="EC642" s="1370" t="e">
        <f t="shared" si="3"/>
        <v>#VALUE!</v>
      </c>
      <c r="ED642" s="1370"/>
      <c r="EE642" s="1370"/>
      <c r="EF642" s="1370"/>
      <c r="EG642" s="1370"/>
      <c r="EH642" s="1370" t="e">
        <f t="shared" si="4"/>
        <v>#VALUE!</v>
      </c>
      <c r="EI642" s="1370"/>
      <c r="EJ642" s="1370"/>
      <c r="EK642" s="1370"/>
      <c r="EL642" s="1370"/>
      <c r="EM642" s="1370" t="e">
        <f t="shared" si="5"/>
        <v>#VALUE!</v>
      </c>
      <c r="EN642" s="1370"/>
      <c r="EO642" s="1370"/>
      <c r="EP642" s="1370"/>
      <c r="EQ642" s="1370"/>
      <c r="ER642" s="1370" t="e">
        <f t="shared" si="6"/>
        <v>#VALUE!</v>
      </c>
      <c r="ES642" s="1370"/>
      <c r="ET642" s="1370"/>
      <c r="EU642" s="1370"/>
      <c r="EV642" s="1370"/>
      <c r="EW642" s="1370" t="e">
        <f t="shared" si="7"/>
        <v>#VALUE!</v>
      </c>
      <c r="EX642" s="1370"/>
      <c r="EY642" s="1370"/>
      <c r="EZ642" s="1370"/>
      <c r="FA642" s="1370"/>
    </row>
    <row r="643" spans="1:157" ht="13" customHeight="1">
      <c r="A643" s="55" t="s">
        <v>112</v>
      </c>
      <c r="B643" t="s">
        <v>462</v>
      </c>
      <c r="G643" s="1476" t="str">
        <f>C627</f>
        <v>Citibank</v>
      </c>
      <c r="H643" s="1476"/>
      <c r="I643" s="1476"/>
      <c r="J643" s="1476"/>
      <c r="K643" s="1476"/>
      <c r="L643" s="1476"/>
      <c r="M643" s="1476"/>
      <c r="N643" s="1476"/>
      <c r="O643" s="1476"/>
      <c r="P643" s="1476"/>
      <c r="Q643" s="1476"/>
      <c r="R643" s="1476"/>
      <c r="S643" s="8"/>
      <c r="T643" s="55" t="s">
        <v>113</v>
      </c>
      <c r="U643" t="s">
        <v>462</v>
      </c>
      <c r="Z643" s="1476" t="str">
        <f>C628</f>
        <v>Seller Note</v>
      </c>
      <c r="AA643" s="1476"/>
      <c r="AB643" s="1476"/>
      <c r="AC643" s="1476"/>
      <c r="AD643" s="1476"/>
      <c r="AE643" s="1476"/>
      <c r="AF643" s="1476"/>
      <c r="AG643" s="1476"/>
      <c r="AH643" s="1476"/>
      <c r="AI643" s="1476"/>
      <c r="AJ643" s="1476"/>
      <c r="AK643" s="1476"/>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370" t="e">
        <f t="shared" si="2"/>
        <v>#VALUE!</v>
      </c>
      <c r="DY643" s="1370"/>
      <c r="DZ643" s="1370"/>
      <c r="EA643" s="1370"/>
      <c r="EB643" s="1370"/>
      <c r="EC643" s="1370" t="e">
        <f t="shared" si="3"/>
        <v>#VALUE!</v>
      </c>
      <c r="ED643" s="1370"/>
      <c r="EE643" s="1370"/>
      <c r="EF643" s="1370"/>
      <c r="EG643" s="1370"/>
      <c r="EH643" s="1370" t="e">
        <f t="shared" si="4"/>
        <v>#VALUE!</v>
      </c>
      <c r="EI643" s="1370"/>
      <c r="EJ643" s="1370"/>
      <c r="EK643" s="1370"/>
      <c r="EL643" s="1370"/>
      <c r="EM643" s="1370" t="e">
        <f t="shared" si="5"/>
        <v>#VALUE!</v>
      </c>
      <c r="EN643" s="1370"/>
      <c r="EO643" s="1370"/>
      <c r="EP643" s="1370"/>
      <c r="EQ643" s="1370"/>
      <c r="ER643" s="1370" t="e">
        <f t="shared" si="6"/>
        <v>#VALUE!</v>
      </c>
      <c r="ES643" s="1370"/>
      <c r="ET643" s="1370"/>
      <c r="EU643" s="1370"/>
      <c r="EV643" s="1370"/>
      <c r="EW643" s="1370" t="e">
        <f t="shared" si="7"/>
        <v>#VALUE!</v>
      </c>
      <c r="EX643" s="1370"/>
      <c r="EY643" s="1370"/>
      <c r="EZ643" s="1370"/>
      <c r="FA643" s="1370"/>
    </row>
    <row r="644" spans="1:157" ht="13" customHeight="1">
      <c r="A644" s="22"/>
      <c r="B644" t="s">
        <v>85</v>
      </c>
      <c r="G644" s="1259" t="s">
        <v>2693</v>
      </c>
      <c r="H644" s="1259"/>
      <c r="I644" s="1259"/>
      <c r="J644" s="1259"/>
      <c r="K644" s="1259"/>
      <c r="L644" s="1259"/>
      <c r="M644" s="1259"/>
      <c r="N644" s="1259"/>
      <c r="O644" s="1259"/>
      <c r="P644" s="1259"/>
      <c r="Q644" s="1259"/>
      <c r="R644" s="1259"/>
      <c r="S644" s="8"/>
      <c r="T644" s="22"/>
      <c r="U644" t="s">
        <v>85</v>
      </c>
      <c r="Z644" s="1352" t="s">
        <v>2618</v>
      </c>
      <c r="AA644" s="1352"/>
      <c r="AB644" s="1352"/>
      <c r="AC644" s="1352"/>
      <c r="AD644" s="1352"/>
      <c r="AE644" s="1352"/>
      <c r="AF644" s="1352"/>
      <c r="AG644" s="1352"/>
      <c r="AH644" s="1352"/>
      <c r="AI644" s="1352"/>
      <c r="AJ644" s="1352"/>
      <c r="AK644" s="1352"/>
      <c r="AV644" s="3"/>
      <c r="AW644" s="3"/>
      <c r="AX644" s="3"/>
      <c r="AY644" s="3"/>
      <c r="AZ644" s="3"/>
      <c r="BA644" s="3"/>
      <c r="BB644" s="3"/>
      <c r="BC644" s="3"/>
      <c r="BD644" s="3"/>
      <c r="BE644" s="3"/>
      <c r="BF644" s="3"/>
      <c r="BG644" s="3"/>
      <c r="BH644" s="3"/>
      <c r="BI644" s="3"/>
      <c r="BJ644" s="3"/>
      <c r="BK644" s="3"/>
      <c r="BL644" s="3"/>
      <c r="BM644" s="3"/>
      <c r="DX644" s="1370" t="e">
        <f t="shared" si="2"/>
        <v>#VALUE!</v>
      </c>
      <c r="DY644" s="1370"/>
      <c r="DZ644" s="1370"/>
      <c r="EA644" s="1370"/>
      <c r="EB644" s="1370"/>
      <c r="EC644" s="1370" t="e">
        <f t="shared" si="3"/>
        <v>#VALUE!</v>
      </c>
      <c r="ED644" s="1370"/>
      <c r="EE644" s="1370"/>
      <c r="EF644" s="1370"/>
      <c r="EG644" s="1370"/>
      <c r="EH644" s="1370" t="e">
        <f t="shared" si="4"/>
        <v>#VALUE!</v>
      </c>
      <c r="EI644" s="1370"/>
      <c r="EJ644" s="1370"/>
      <c r="EK644" s="1370"/>
      <c r="EL644" s="1370"/>
      <c r="EM644" s="1370" t="e">
        <f t="shared" si="5"/>
        <v>#VALUE!</v>
      </c>
      <c r="EN644" s="1370"/>
      <c r="EO644" s="1370"/>
      <c r="EP644" s="1370"/>
      <c r="EQ644" s="1370"/>
      <c r="ER644" s="1370" t="e">
        <f t="shared" si="6"/>
        <v>#VALUE!</v>
      </c>
      <c r="ES644" s="1370"/>
      <c r="ET644" s="1370"/>
      <c r="EU644" s="1370"/>
      <c r="EV644" s="1370"/>
      <c r="EW644" s="1370" t="e">
        <f t="shared" si="7"/>
        <v>#VALUE!</v>
      </c>
      <c r="EX644" s="1370"/>
      <c r="EY644" s="1370"/>
      <c r="EZ644" s="1370"/>
      <c r="FA644" s="1370"/>
    </row>
    <row r="645" spans="1:157" ht="13" customHeight="1">
      <c r="A645" s="22"/>
      <c r="B645" t="s">
        <v>579</v>
      </c>
      <c r="G645" s="1259" t="s">
        <v>2702</v>
      </c>
      <c r="H645" s="1259"/>
      <c r="I645" s="1259"/>
      <c r="J645" s="1259"/>
      <c r="K645" s="1259"/>
      <c r="L645" s="1259"/>
      <c r="M645" s="1259"/>
      <c r="N645" s="1259"/>
      <c r="O645" s="1259"/>
      <c r="P645" s="1259"/>
      <c r="Q645" s="1259"/>
      <c r="R645" s="1259"/>
      <c r="T645" s="22"/>
      <c r="U645" t="s">
        <v>579</v>
      </c>
      <c r="Z645" s="1351" t="s">
        <v>2698</v>
      </c>
      <c r="AA645" s="1351"/>
      <c r="AB645" s="1351"/>
      <c r="AC645" s="1351"/>
      <c r="AD645" s="1351"/>
      <c r="AE645" s="1351"/>
      <c r="AF645" s="1351"/>
      <c r="AG645" s="1351"/>
      <c r="AH645" s="1351"/>
      <c r="AI645" s="1351"/>
      <c r="AJ645" s="1351"/>
      <c r="AK645" s="1351"/>
      <c r="AV645" s="3"/>
      <c r="AW645" s="3"/>
      <c r="AX645" s="3"/>
      <c r="AY645" s="3"/>
      <c r="AZ645" s="3"/>
      <c r="BA645" s="3"/>
      <c r="BB645" s="3"/>
      <c r="BC645" s="3"/>
      <c r="BD645" s="3"/>
      <c r="BE645" s="3"/>
      <c r="BF645" s="3"/>
      <c r="BG645" s="3"/>
      <c r="BH645" s="3"/>
      <c r="BI645" s="3"/>
      <c r="BJ645" s="3"/>
      <c r="BK645" s="3"/>
      <c r="BL645" s="3"/>
      <c r="BM645" s="3"/>
      <c r="DX645" s="1370" t="e">
        <f t="shared" si="2"/>
        <v>#VALUE!</v>
      </c>
      <c r="DY645" s="1370"/>
      <c r="DZ645" s="1370"/>
      <c r="EA645" s="1370"/>
      <c r="EB645" s="1370"/>
      <c r="EC645" s="1370" t="e">
        <f t="shared" si="3"/>
        <v>#VALUE!</v>
      </c>
      <c r="ED645" s="1370"/>
      <c r="EE645" s="1370"/>
      <c r="EF645" s="1370"/>
      <c r="EG645" s="1370"/>
      <c r="EH645" s="1370" t="e">
        <f t="shared" si="4"/>
        <v>#VALUE!</v>
      </c>
      <c r="EI645" s="1370"/>
      <c r="EJ645" s="1370"/>
      <c r="EK645" s="1370"/>
      <c r="EL645" s="1370"/>
      <c r="EM645" s="1370" t="e">
        <f t="shared" si="5"/>
        <v>#VALUE!</v>
      </c>
      <c r="EN645" s="1370"/>
      <c r="EO645" s="1370"/>
      <c r="EP645" s="1370"/>
      <c r="EQ645" s="1370"/>
      <c r="ER645" s="1370" t="e">
        <f t="shared" si="6"/>
        <v>#VALUE!</v>
      </c>
      <c r="ES645" s="1370"/>
      <c r="ET645" s="1370"/>
      <c r="EU645" s="1370"/>
      <c r="EV645" s="1370"/>
      <c r="EW645" s="1370" t="e">
        <f t="shared" si="7"/>
        <v>#VALUE!</v>
      </c>
      <c r="EX645" s="1370"/>
      <c r="EY645" s="1370"/>
      <c r="EZ645" s="1370"/>
      <c r="FA645" s="1370"/>
    </row>
    <row r="646" spans="1:157" ht="13" customHeight="1">
      <c r="A646" s="22"/>
      <c r="B646" t="s">
        <v>17</v>
      </c>
      <c r="G646" s="1259" t="s">
        <v>2695</v>
      </c>
      <c r="H646" s="1259"/>
      <c r="I646" s="1259"/>
      <c r="J646" s="1259"/>
      <c r="K646" s="1259"/>
      <c r="L646" s="1259"/>
      <c r="M646" s="1259"/>
      <c r="N646" s="1259"/>
      <c r="O646" s="1259"/>
      <c r="P646" s="1259"/>
      <c r="Q646" s="1259"/>
      <c r="R646" s="1259"/>
      <c r="S646" s="8"/>
      <c r="T646" s="22"/>
      <c r="U646" t="s">
        <v>17</v>
      </c>
      <c r="Z646" s="1351" t="s">
        <v>2699</v>
      </c>
      <c r="AA646" s="1351"/>
      <c r="AB646" s="1351"/>
      <c r="AC646" s="1351"/>
      <c r="AD646" s="1351"/>
      <c r="AE646" s="1351"/>
      <c r="AF646" s="1351"/>
      <c r="AG646" s="1351"/>
      <c r="AH646" s="1351"/>
      <c r="AI646" s="1351"/>
      <c r="AJ646" s="1351"/>
      <c r="AK646" s="1351"/>
      <c r="AZ646" s="3"/>
      <c r="BA646" s="3"/>
      <c r="BB646" s="3"/>
      <c r="BC646" s="3"/>
      <c r="BD646" s="3"/>
      <c r="BE646" s="3"/>
      <c r="BF646" s="3"/>
      <c r="BG646" s="3"/>
      <c r="BH646" s="3"/>
      <c r="BI646" s="3"/>
      <c r="BJ646" s="3"/>
      <c r="BK646" s="3"/>
      <c r="BL646" s="3"/>
      <c r="BM646" s="3"/>
      <c r="DX646" s="1370" t="e">
        <f t="shared" si="2"/>
        <v>#VALUE!</v>
      </c>
      <c r="DY646" s="1370"/>
      <c r="DZ646" s="1370"/>
      <c r="EA646" s="1370"/>
      <c r="EB646" s="1370"/>
      <c r="EC646" s="1370" t="e">
        <f t="shared" si="3"/>
        <v>#VALUE!</v>
      </c>
      <c r="ED646" s="1370"/>
      <c r="EE646" s="1370"/>
      <c r="EF646" s="1370"/>
      <c r="EG646" s="1370"/>
      <c r="EH646" s="1370" t="e">
        <f t="shared" si="4"/>
        <v>#VALUE!</v>
      </c>
      <c r="EI646" s="1370"/>
      <c r="EJ646" s="1370"/>
      <c r="EK646" s="1370"/>
      <c r="EL646" s="1370"/>
      <c r="EM646" s="1370" t="e">
        <f t="shared" si="5"/>
        <v>#VALUE!</v>
      </c>
      <c r="EN646" s="1370"/>
      <c r="EO646" s="1370"/>
      <c r="EP646" s="1370"/>
      <c r="EQ646" s="1370"/>
      <c r="ER646" s="1370" t="e">
        <f t="shared" si="6"/>
        <v>#VALUE!</v>
      </c>
      <c r="ES646" s="1370"/>
      <c r="ET646" s="1370"/>
      <c r="EU646" s="1370"/>
      <c r="EV646" s="1370"/>
      <c r="EW646" s="1370" t="e">
        <f t="shared" si="7"/>
        <v>#VALUE!</v>
      </c>
      <c r="EX646" s="1370"/>
      <c r="EY646" s="1370"/>
      <c r="EZ646" s="1370"/>
      <c r="FA646" s="1370"/>
    </row>
    <row r="647" spans="1:157" ht="13" customHeight="1">
      <c r="A647" s="22"/>
      <c r="B647" t="s">
        <v>315</v>
      </c>
      <c r="G647" s="1448">
        <v>6503031847</v>
      </c>
      <c r="H647" s="1448"/>
      <c r="I647" s="1448"/>
      <c r="J647" s="1448"/>
      <c r="K647" s="1448"/>
      <c r="L647" s="1448"/>
      <c r="O647" s="33" t="s">
        <v>205</v>
      </c>
      <c r="P647" s="1490"/>
      <c r="Q647" s="1490"/>
      <c r="R647" s="1490"/>
      <c r="S647" s="10"/>
      <c r="T647" s="22"/>
      <c r="U647" t="s">
        <v>315</v>
      </c>
      <c r="Z647" s="1448">
        <v>8182470420</v>
      </c>
      <c r="AA647" s="1448"/>
      <c r="AB647" s="1448"/>
      <c r="AC647" s="1448"/>
      <c r="AD647" s="1448"/>
      <c r="AE647" s="1448"/>
      <c r="AH647" s="33" t="s">
        <v>205</v>
      </c>
      <c r="AI647" s="1490"/>
      <c r="AJ647" s="1490"/>
      <c r="AK647" s="1490"/>
      <c r="AZ647" s="34"/>
      <c r="BA647" s="34"/>
      <c r="BB647" s="34"/>
      <c r="BC647" s="34"/>
      <c r="BD647" s="34"/>
      <c r="BE647" s="34"/>
      <c r="BF647" s="34"/>
      <c r="BG647" s="34"/>
      <c r="BH647" s="34"/>
      <c r="BI647" s="34"/>
      <c r="BJ647" s="34"/>
      <c r="BK647" s="34"/>
      <c r="BL647" s="34"/>
      <c r="BM647" s="34"/>
      <c r="DX647" s="1370" t="e">
        <f t="shared" si="2"/>
        <v>#VALUE!</v>
      </c>
      <c r="DY647" s="1370"/>
      <c r="DZ647" s="1370"/>
      <c r="EA647" s="1370"/>
      <c r="EB647" s="1370"/>
      <c r="EC647" s="1370" t="e">
        <f t="shared" si="3"/>
        <v>#VALUE!</v>
      </c>
      <c r="ED647" s="1370"/>
      <c r="EE647" s="1370"/>
      <c r="EF647" s="1370"/>
      <c r="EG647" s="1370"/>
      <c r="EH647" s="1370" t="e">
        <f t="shared" si="4"/>
        <v>#VALUE!</v>
      </c>
      <c r="EI647" s="1370"/>
      <c r="EJ647" s="1370"/>
      <c r="EK647" s="1370"/>
      <c r="EL647" s="1370"/>
      <c r="EM647" s="1370" t="e">
        <f t="shared" si="5"/>
        <v>#VALUE!</v>
      </c>
      <c r="EN647" s="1370"/>
      <c r="EO647" s="1370"/>
      <c r="EP647" s="1370"/>
      <c r="EQ647" s="1370"/>
      <c r="ER647" s="1370" t="e">
        <f t="shared" si="6"/>
        <v>#VALUE!</v>
      </c>
      <c r="ES647" s="1370"/>
      <c r="ET647" s="1370"/>
      <c r="EU647" s="1370"/>
      <c r="EV647" s="1370"/>
      <c r="EW647" s="1370" t="e">
        <f t="shared" si="7"/>
        <v>#VALUE!</v>
      </c>
      <c r="EX647" s="1370"/>
      <c r="EY647" s="1370"/>
      <c r="EZ647" s="1370"/>
      <c r="FA647" s="1370"/>
    </row>
    <row r="648" spans="1:157" ht="13" customHeight="1">
      <c r="A648" s="22"/>
      <c r="B648" t="s">
        <v>18</v>
      </c>
      <c r="H648" s="1352" t="s">
        <v>2703</v>
      </c>
      <c r="I648" s="1352"/>
      <c r="J648" s="1352"/>
      <c r="K648" s="1352"/>
      <c r="L648" s="1352"/>
      <c r="M648" s="1352"/>
      <c r="N648" s="1352"/>
      <c r="O648" s="1352"/>
      <c r="P648" s="1352"/>
      <c r="Q648" s="1352"/>
      <c r="R648" s="1352"/>
      <c r="S648" s="8"/>
      <c r="T648" s="22"/>
      <c r="U648" t="s">
        <v>18</v>
      </c>
      <c r="AA648" s="1352" t="s">
        <v>2700</v>
      </c>
      <c r="AB648" s="1352"/>
      <c r="AC648" s="1352"/>
      <c r="AD648" s="1352"/>
      <c r="AE648" s="1352"/>
      <c r="AF648" s="1352"/>
      <c r="AG648" s="1352"/>
      <c r="AH648" s="1352"/>
      <c r="AI648" s="1352"/>
      <c r="AJ648" s="1352"/>
      <c r="AK648" s="1352"/>
      <c r="AZ648" s="34"/>
      <c r="BA648" s="34"/>
      <c r="BB648" s="34"/>
      <c r="BC648" s="34"/>
      <c r="BD648" s="34"/>
      <c r="BE648" s="34"/>
      <c r="BF648" s="34"/>
      <c r="BG648" s="34"/>
      <c r="BH648" s="34"/>
      <c r="BI648" s="34"/>
      <c r="BJ648" s="34"/>
      <c r="BK648" s="34"/>
      <c r="BL648" s="34"/>
      <c r="BM648" s="34"/>
      <c r="DX648" s="1370" t="e">
        <f t="shared" si="2"/>
        <v>#VALUE!</v>
      </c>
      <c r="DY648" s="1370"/>
      <c r="DZ648" s="1370"/>
      <c r="EA648" s="1370"/>
      <c r="EB648" s="1370"/>
      <c r="EC648" s="1370" t="e">
        <f t="shared" si="3"/>
        <v>#VALUE!</v>
      </c>
      <c r="ED648" s="1370"/>
      <c r="EE648" s="1370"/>
      <c r="EF648" s="1370"/>
      <c r="EG648" s="1370"/>
      <c r="EH648" s="1370" t="e">
        <f t="shared" si="4"/>
        <v>#VALUE!</v>
      </c>
      <c r="EI648" s="1370"/>
      <c r="EJ648" s="1370"/>
      <c r="EK648" s="1370"/>
      <c r="EL648" s="1370"/>
      <c r="EM648" s="1370" t="e">
        <f t="shared" si="5"/>
        <v>#VALUE!</v>
      </c>
      <c r="EN648" s="1370"/>
      <c r="EO648" s="1370"/>
      <c r="EP648" s="1370"/>
      <c r="EQ648" s="1370"/>
      <c r="ER648" s="1370" t="e">
        <f t="shared" si="6"/>
        <v>#VALUE!</v>
      </c>
      <c r="ES648" s="1370"/>
      <c r="ET648" s="1370"/>
      <c r="EU648" s="1370"/>
      <c r="EV648" s="1370"/>
      <c r="EW648" s="1370" t="e">
        <f t="shared" si="7"/>
        <v>#VALUE!</v>
      </c>
      <c r="EX648" s="1370"/>
      <c r="EY648" s="1370"/>
      <c r="EZ648" s="1370"/>
      <c r="FA648" s="1370"/>
    </row>
    <row r="649" spans="1:157" ht="13" customHeight="1">
      <c r="A649" s="22"/>
      <c r="B649" t="s">
        <v>20</v>
      </c>
      <c r="N649" s="1446" t="s">
        <v>544</v>
      </c>
      <c r="O649" s="1446"/>
      <c r="T649" s="22"/>
      <c r="U649" t="s">
        <v>20</v>
      </c>
      <c r="AG649" s="1446" t="s">
        <v>544</v>
      </c>
      <c r="AH649" s="1446"/>
      <c r="AZ649" s="34"/>
      <c r="BA649" s="34"/>
      <c r="BB649" s="34"/>
      <c r="BC649" s="34"/>
      <c r="BD649" s="34"/>
      <c r="BE649" s="34"/>
      <c r="BF649" s="34"/>
      <c r="BG649" s="34"/>
      <c r="BH649" s="34"/>
      <c r="BI649" s="34"/>
      <c r="BJ649" s="34"/>
      <c r="BK649" s="34"/>
      <c r="BL649" s="34"/>
      <c r="BM649" s="34"/>
      <c r="DX649" s="1370" t="e">
        <f t="shared" si="2"/>
        <v>#VALUE!</v>
      </c>
      <c r="DY649" s="1370"/>
      <c r="DZ649" s="1370"/>
      <c r="EA649" s="1370"/>
      <c r="EB649" s="1370"/>
      <c r="EC649" s="1370" t="e">
        <f t="shared" si="3"/>
        <v>#VALUE!</v>
      </c>
      <c r="ED649" s="1370"/>
      <c r="EE649" s="1370"/>
      <c r="EF649" s="1370"/>
      <c r="EG649" s="1370"/>
      <c r="EH649" s="1370" t="e">
        <f t="shared" si="4"/>
        <v>#VALUE!</v>
      </c>
      <c r="EI649" s="1370"/>
      <c r="EJ649" s="1370"/>
      <c r="EK649" s="1370"/>
      <c r="EL649" s="1370"/>
      <c r="EM649" s="1370" t="e">
        <f t="shared" si="5"/>
        <v>#VALUE!</v>
      </c>
      <c r="EN649" s="1370"/>
      <c r="EO649" s="1370"/>
      <c r="EP649" s="1370"/>
      <c r="EQ649" s="1370"/>
      <c r="ER649" s="1370" t="e">
        <f t="shared" si="6"/>
        <v>#VALUE!</v>
      </c>
      <c r="ES649" s="1370"/>
      <c r="ET649" s="1370"/>
      <c r="EU649" s="1370"/>
      <c r="EV649" s="1370"/>
      <c r="EW649" s="1370" t="e">
        <f t="shared" si="7"/>
        <v>#VALUE!</v>
      </c>
      <c r="EX649" s="1370"/>
      <c r="EY649" s="1370"/>
      <c r="EZ649" s="1370"/>
      <c r="FA649" s="1370"/>
    </row>
    <row r="650" spans="1:157" ht="13" customHeight="1">
      <c r="A650" s="22"/>
      <c r="T650" s="22"/>
      <c r="AZ650" s="34"/>
      <c r="BA650" s="34"/>
      <c r="BB650" s="34"/>
      <c r="BC650" s="34"/>
      <c r="BD650" s="34"/>
      <c r="BE650" s="34"/>
      <c r="BF650" s="34"/>
      <c r="BG650" s="34"/>
      <c r="BH650" s="34"/>
      <c r="BI650" s="34"/>
      <c r="BJ650" s="34"/>
      <c r="BK650" s="34"/>
      <c r="BL650" s="34"/>
      <c r="BM650" s="34"/>
      <c r="DX650" s="1370" t="e">
        <f t="shared" si="2"/>
        <v>#VALUE!</v>
      </c>
      <c r="DY650" s="1370"/>
      <c r="DZ650" s="1370"/>
      <c r="EA650" s="1370"/>
      <c r="EB650" s="1370"/>
      <c r="EC650" s="1370" t="e">
        <f t="shared" si="3"/>
        <v>#VALUE!</v>
      </c>
      <c r="ED650" s="1370"/>
      <c r="EE650" s="1370"/>
      <c r="EF650" s="1370"/>
      <c r="EG650" s="1370"/>
      <c r="EH650" s="1370" t="e">
        <f t="shared" si="4"/>
        <v>#VALUE!</v>
      </c>
      <c r="EI650" s="1370"/>
      <c r="EJ650" s="1370"/>
      <c r="EK650" s="1370"/>
      <c r="EL650" s="1370"/>
      <c r="EM650" s="1370" t="e">
        <f t="shared" si="5"/>
        <v>#VALUE!</v>
      </c>
      <c r="EN650" s="1370"/>
      <c r="EO650" s="1370"/>
      <c r="EP650" s="1370"/>
      <c r="EQ650" s="1370"/>
      <c r="ER650" s="1370" t="e">
        <f t="shared" si="6"/>
        <v>#VALUE!</v>
      </c>
      <c r="ES650" s="1370"/>
      <c r="ET650" s="1370"/>
      <c r="EU650" s="1370"/>
      <c r="EV650" s="1370"/>
      <c r="EW650" s="1370" t="e">
        <f t="shared" si="7"/>
        <v>#VALUE!</v>
      </c>
      <c r="EX650" s="1370"/>
      <c r="EY650" s="1370"/>
      <c r="EZ650" s="1370"/>
      <c r="FA650" s="1370"/>
    </row>
    <row r="651" spans="1:157" ht="13" customHeight="1">
      <c r="A651" s="55" t="s">
        <v>119</v>
      </c>
      <c r="B651" t="s">
        <v>462</v>
      </c>
      <c r="G651" s="1476" t="str">
        <f>C629</f>
        <v>Seller Note Accrued Interest</v>
      </c>
      <c r="H651" s="1476"/>
      <c r="I651" s="1476"/>
      <c r="J651" s="1476"/>
      <c r="K651" s="1476"/>
      <c r="L651" s="1476"/>
      <c r="M651" s="1476"/>
      <c r="N651" s="1476"/>
      <c r="O651" s="1476"/>
      <c r="P651" s="1476"/>
      <c r="Q651" s="1476"/>
      <c r="R651" s="1476"/>
      <c r="T651" s="55" t="s">
        <v>580</v>
      </c>
      <c r="U651" t="s">
        <v>462</v>
      </c>
      <c r="Z651" s="1476" t="str">
        <f>C630</f>
        <v>Seller Note #2</v>
      </c>
      <c r="AA651" s="1476"/>
      <c r="AB651" s="1476"/>
      <c r="AC651" s="1476"/>
      <c r="AD651" s="1476"/>
      <c r="AE651" s="1476"/>
      <c r="AF651" s="1476"/>
      <c r="AG651" s="1476"/>
      <c r="AH651" s="1476"/>
      <c r="AI651" s="1476"/>
      <c r="AJ651" s="1476"/>
      <c r="AK651" s="1476"/>
      <c r="AZ651" s="34"/>
      <c r="BA651" s="34"/>
      <c r="BB651" s="34"/>
      <c r="BC651" s="34"/>
      <c r="BD651" s="34"/>
      <c r="BE651" s="34"/>
      <c r="BF651" s="34"/>
      <c r="BG651" s="34"/>
      <c r="BH651" s="34"/>
      <c r="BI651" s="34"/>
      <c r="BJ651" s="34"/>
      <c r="BK651" s="34"/>
      <c r="BL651" s="34"/>
      <c r="BM651" s="34"/>
      <c r="DX651" s="1370" t="e">
        <f t="shared" si="2"/>
        <v>#VALUE!</v>
      </c>
      <c r="DY651" s="1370"/>
      <c r="DZ651" s="1370"/>
      <c r="EA651" s="1370"/>
      <c r="EB651" s="1370"/>
      <c r="EC651" s="1370" t="e">
        <f t="shared" si="3"/>
        <v>#VALUE!</v>
      </c>
      <c r="ED651" s="1370"/>
      <c r="EE651" s="1370"/>
      <c r="EF651" s="1370"/>
      <c r="EG651" s="1370"/>
      <c r="EH651" s="1370" t="e">
        <f t="shared" si="4"/>
        <v>#VALUE!</v>
      </c>
      <c r="EI651" s="1370"/>
      <c r="EJ651" s="1370"/>
      <c r="EK651" s="1370"/>
      <c r="EL651" s="1370"/>
      <c r="EM651" s="1370" t="e">
        <f t="shared" si="5"/>
        <v>#VALUE!</v>
      </c>
      <c r="EN651" s="1370"/>
      <c r="EO651" s="1370"/>
      <c r="EP651" s="1370"/>
      <c r="EQ651" s="1370"/>
      <c r="ER651" s="1370" t="e">
        <f t="shared" si="6"/>
        <v>#VALUE!</v>
      </c>
      <c r="ES651" s="1370"/>
      <c r="ET651" s="1370"/>
      <c r="EU651" s="1370"/>
      <c r="EV651" s="1370"/>
      <c r="EW651" s="1370" t="e">
        <f t="shared" si="7"/>
        <v>#VALUE!</v>
      </c>
      <c r="EX651" s="1370"/>
      <c r="EY651" s="1370"/>
      <c r="EZ651" s="1370"/>
      <c r="FA651" s="1370"/>
    </row>
    <row r="652" spans="1:157" ht="13" customHeight="1">
      <c r="A652" s="22"/>
      <c r="B652" t="s">
        <v>85</v>
      </c>
      <c r="G652" s="1352" t="s">
        <v>2618</v>
      </c>
      <c r="H652" s="1352"/>
      <c r="I652" s="1352"/>
      <c r="J652" s="1352"/>
      <c r="K652" s="1352"/>
      <c r="L652" s="1352"/>
      <c r="M652" s="1352"/>
      <c r="N652" s="1352"/>
      <c r="O652" s="1352"/>
      <c r="P652" s="1352"/>
      <c r="Q652" s="1352"/>
      <c r="R652" s="1352"/>
      <c r="T652" s="22"/>
      <c r="U652" t="s">
        <v>85</v>
      </c>
      <c r="Z652" s="1352" t="s">
        <v>2618</v>
      </c>
      <c r="AA652" s="1352"/>
      <c r="AB652" s="1352"/>
      <c r="AC652" s="1352"/>
      <c r="AD652" s="1352"/>
      <c r="AE652" s="1352"/>
      <c r="AF652" s="1352"/>
      <c r="AG652" s="1352"/>
      <c r="AH652" s="1352"/>
      <c r="AI652" s="1352"/>
      <c r="AJ652" s="1352"/>
      <c r="AK652" s="1352"/>
      <c r="AZ652" s="34"/>
      <c r="BA652" s="34"/>
      <c r="BB652" s="34"/>
      <c r="BC652" s="34"/>
      <c r="BD652" s="34"/>
      <c r="BE652" s="34"/>
      <c r="BF652" s="34"/>
      <c r="BG652" s="34"/>
      <c r="BH652" s="34"/>
      <c r="BI652" s="34"/>
      <c r="BJ652" s="34"/>
      <c r="BK652" s="34"/>
      <c r="BL652" s="34"/>
      <c r="BM652" s="34"/>
      <c r="DX652" s="1370" t="e">
        <f t="shared" si="2"/>
        <v>#VALUE!</v>
      </c>
      <c r="DY652" s="1370"/>
      <c r="DZ652" s="1370"/>
      <c r="EA652" s="1370"/>
      <c r="EB652" s="1370"/>
      <c r="EC652" s="1370" t="e">
        <f t="shared" si="3"/>
        <v>#VALUE!</v>
      </c>
      <c r="ED652" s="1370"/>
      <c r="EE652" s="1370"/>
      <c r="EF652" s="1370"/>
      <c r="EG652" s="1370"/>
      <c r="EH652" s="1370" t="e">
        <f t="shared" si="4"/>
        <v>#VALUE!</v>
      </c>
      <c r="EI652" s="1370"/>
      <c r="EJ652" s="1370"/>
      <c r="EK652" s="1370"/>
      <c r="EL652" s="1370"/>
      <c r="EM652" s="1370" t="e">
        <f t="shared" si="5"/>
        <v>#VALUE!</v>
      </c>
      <c r="EN652" s="1370"/>
      <c r="EO652" s="1370"/>
      <c r="EP652" s="1370"/>
      <c r="EQ652" s="1370"/>
      <c r="ER652" s="1370" t="e">
        <f t="shared" si="6"/>
        <v>#VALUE!</v>
      </c>
      <c r="ES652" s="1370"/>
      <c r="ET652" s="1370"/>
      <c r="EU652" s="1370"/>
      <c r="EV652" s="1370"/>
      <c r="EW652" s="1370" t="e">
        <f t="shared" si="7"/>
        <v>#VALUE!</v>
      </c>
      <c r="EX652" s="1370"/>
      <c r="EY652" s="1370"/>
      <c r="EZ652" s="1370"/>
      <c r="FA652" s="1370"/>
    </row>
    <row r="653" spans="1:157" ht="13" customHeight="1">
      <c r="A653" s="22"/>
      <c r="B653" t="s">
        <v>579</v>
      </c>
      <c r="G653" s="1351" t="s">
        <v>2698</v>
      </c>
      <c r="H653" s="1351"/>
      <c r="I653" s="1351"/>
      <c r="J653" s="1351"/>
      <c r="K653" s="1351"/>
      <c r="L653" s="1351"/>
      <c r="M653" s="1351"/>
      <c r="N653" s="1351"/>
      <c r="O653" s="1351"/>
      <c r="P653" s="1351"/>
      <c r="Q653" s="1351"/>
      <c r="R653" s="1351"/>
      <c r="T653" s="22"/>
      <c r="U653" t="s">
        <v>579</v>
      </c>
      <c r="Z653" s="1351" t="s">
        <v>2698</v>
      </c>
      <c r="AA653" s="1351"/>
      <c r="AB653" s="1351"/>
      <c r="AC653" s="1351"/>
      <c r="AD653" s="1351"/>
      <c r="AE653" s="1351"/>
      <c r="AF653" s="1351"/>
      <c r="AG653" s="1351"/>
      <c r="AH653" s="1351"/>
      <c r="AI653" s="1351"/>
      <c r="AJ653" s="1351"/>
      <c r="AK653" s="1351"/>
      <c r="AZ653" s="34"/>
      <c r="BA653" s="34"/>
      <c r="BB653" s="34"/>
      <c r="BC653" s="34"/>
      <c r="BD653" s="34"/>
      <c r="BE653" s="34"/>
      <c r="BF653" s="34"/>
      <c r="BG653" s="34"/>
      <c r="BH653" s="34"/>
      <c r="BI653" s="34"/>
      <c r="BJ653" s="34"/>
      <c r="BK653" s="34"/>
      <c r="BL653" s="34"/>
      <c r="BM653" s="34"/>
      <c r="DX653" s="1370" t="e">
        <f t="shared" si="2"/>
        <v>#VALUE!</v>
      </c>
      <c r="DY653" s="1370"/>
      <c r="DZ653" s="1370"/>
      <c r="EA653" s="1370"/>
      <c r="EB653" s="1370"/>
      <c r="EC653" s="1370" t="e">
        <f t="shared" si="3"/>
        <v>#VALUE!</v>
      </c>
      <c r="ED653" s="1370"/>
      <c r="EE653" s="1370"/>
      <c r="EF653" s="1370"/>
      <c r="EG653" s="1370"/>
      <c r="EH653" s="1370" t="e">
        <f t="shared" si="4"/>
        <v>#VALUE!</v>
      </c>
      <c r="EI653" s="1370"/>
      <c r="EJ653" s="1370"/>
      <c r="EK653" s="1370"/>
      <c r="EL653" s="1370"/>
      <c r="EM653" s="1370" t="e">
        <f t="shared" si="5"/>
        <v>#VALUE!</v>
      </c>
      <c r="EN653" s="1370"/>
      <c r="EO653" s="1370"/>
      <c r="EP653" s="1370"/>
      <c r="EQ653" s="1370"/>
      <c r="ER653" s="1370" t="e">
        <f t="shared" si="6"/>
        <v>#VALUE!</v>
      </c>
      <c r="ES653" s="1370"/>
      <c r="ET653" s="1370"/>
      <c r="EU653" s="1370"/>
      <c r="EV653" s="1370"/>
      <c r="EW653" s="1370" t="e">
        <f t="shared" si="7"/>
        <v>#VALUE!</v>
      </c>
      <c r="EX653" s="1370"/>
      <c r="EY653" s="1370"/>
      <c r="EZ653" s="1370"/>
      <c r="FA653" s="1370"/>
    </row>
    <row r="654" spans="1:157" ht="13" customHeight="1">
      <c r="A654" s="22"/>
      <c r="B654" t="s">
        <v>17</v>
      </c>
      <c r="G654" s="1351" t="s">
        <v>2699</v>
      </c>
      <c r="H654" s="1351"/>
      <c r="I654" s="1351"/>
      <c r="J654" s="1351"/>
      <c r="K654" s="1351"/>
      <c r="L654" s="1351"/>
      <c r="M654" s="1351"/>
      <c r="N654" s="1351"/>
      <c r="O654" s="1351"/>
      <c r="P654" s="1351"/>
      <c r="Q654" s="1351"/>
      <c r="R654" s="1351"/>
      <c r="T654" s="22"/>
      <c r="U654" t="s">
        <v>17</v>
      </c>
      <c r="Z654" s="1351" t="s">
        <v>2699</v>
      </c>
      <c r="AA654" s="1351"/>
      <c r="AB654" s="1351"/>
      <c r="AC654" s="1351"/>
      <c r="AD654" s="1351"/>
      <c r="AE654" s="1351"/>
      <c r="AF654" s="1351"/>
      <c r="AG654" s="1351"/>
      <c r="AH654" s="1351"/>
      <c r="AI654" s="1351"/>
      <c r="AJ654" s="1351"/>
      <c r="AK654" s="1351"/>
      <c r="AZ654" s="34"/>
      <c r="BA654" s="34"/>
      <c r="BB654" s="34"/>
      <c r="BC654" s="34"/>
      <c r="BD654" s="34"/>
      <c r="BE654" s="34"/>
      <c r="BF654" s="34"/>
      <c r="BG654" s="34"/>
      <c r="BH654" s="34"/>
      <c r="BI654" s="34"/>
      <c r="BJ654" s="34"/>
      <c r="BK654" s="34"/>
      <c r="BL654" s="34"/>
      <c r="BM654" s="34"/>
      <c r="DX654" s="1370" t="e">
        <f t="shared" si="2"/>
        <v>#VALUE!</v>
      </c>
      <c r="DY654" s="1370"/>
      <c r="DZ654" s="1370"/>
      <c r="EA654" s="1370"/>
      <c r="EB654" s="1370"/>
      <c r="EC654" s="1370" t="e">
        <f t="shared" si="3"/>
        <v>#VALUE!</v>
      </c>
      <c r="ED654" s="1370"/>
      <c r="EE654" s="1370"/>
      <c r="EF654" s="1370"/>
      <c r="EG654" s="1370"/>
      <c r="EH654" s="1370" t="e">
        <f t="shared" si="4"/>
        <v>#VALUE!</v>
      </c>
      <c r="EI654" s="1370"/>
      <c r="EJ654" s="1370"/>
      <c r="EK654" s="1370"/>
      <c r="EL654" s="1370"/>
      <c r="EM654" s="1370" t="e">
        <f t="shared" si="5"/>
        <v>#VALUE!</v>
      </c>
      <c r="EN654" s="1370"/>
      <c r="EO654" s="1370"/>
      <c r="EP654" s="1370"/>
      <c r="EQ654" s="1370"/>
      <c r="ER654" s="1370" t="e">
        <f t="shared" si="6"/>
        <v>#VALUE!</v>
      </c>
      <c r="ES654" s="1370"/>
      <c r="ET654" s="1370"/>
      <c r="EU654" s="1370"/>
      <c r="EV654" s="1370"/>
      <c r="EW654" s="1370" t="e">
        <f t="shared" si="7"/>
        <v>#VALUE!</v>
      </c>
      <c r="EX654" s="1370"/>
      <c r="EY654" s="1370"/>
      <c r="EZ654" s="1370"/>
      <c r="FA654" s="1370"/>
    </row>
    <row r="655" spans="1:157" ht="13" customHeight="1">
      <c r="A655" s="22"/>
      <c r="B655" t="s">
        <v>315</v>
      </c>
      <c r="G655" s="1448">
        <v>8182470420</v>
      </c>
      <c r="H655" s="1448"/>
      <c r="I655" s="1448"/>
      <c r="J655" s="1448"/>
      <c r="K655" s="1448"/>
      <c r="L655" s="1448"/>
      <c r="O655" s="33" t="s">
        <v>205</v>
      </c>
      <c r="P655" s="1490"/>
      <c r="Q655" s="1490"/>
      <c r="R655" s="1490"/>
      <c r="T655" s="22"/>
      <c r="U655" t="s">
        <v>315</v>
      </c>
      <c r="Z655" s="1448">
        <v>8182470420</v>
      </c>
      <c r="AA655" s="1448"/>
      <c r="AB655" s="1448"/>
      <c r="AC655" s="1448"/>
      <c r="AD655" s="1448"/>
      <c r="AE655" s="1448"/>
      <c r="AH655" s="33" t="s">
        <v>205</v>
      </c>
      <c r="AI655" s="1490"/>
      <c r="AJ655" s="1490"/>
      <c r="AK655" s="1490"/>
      <c r="AZ655" s="34"/>
      <c r="BA655" s="34"/>
      <c r="BB655" s="34"/>
      <c r="BC655" s="34"/>
      <c r="BD655" s="34"/>
      <c r="BE655" s="34"/>
      <c r="BF655" s="34"/>
      <c r="BG655" s="34"/>
      <c r="BH655" s="34"/>
      <c r="BI655" s="34"/>
      <c r="BJ655" s="34"/>
      <c r="BK655" s="34"/>
      <c r="BL655" s="34"/>
      <c r="BM655" s="34"/>
      <c r="DX655" s="1370" t="e">
        <f t="shared" si="2"/>
        <v>#VALUE!</v>
      </c>
      <c r="DY655" s="1370"/>
      <c r="DZ655" s="1370"/>
      <c r="EA655" s="1370"/>
      <c r="EB655" s="1370"/>
      <c r="EC655" s="1370" t="e">
        <f t="shared" si="3"/>
        <v>#VALUE!</v>
      </c>
      <c r="ED655" s="1370"/>
      <c r="EE655" s="1370"/>
      <c r="EF655" s="1370"/>
      <c r="EG655" s="1370"/>
      <c r="EH655" s="1370" t="e">
        <f t="shared" si="4"/>
        <v>#VALUE!</v>
      </c>
      <c r="EI655" s="1370"/>
      <c r="EJ655" s="1370"/>
      <c r="EK655" s="1370"/>
      <c r="EL655" s="1370"/>
      <c r="EM655" s="1370" t="e">
        <f t="shared" si="5"/>
        <v>#VALUE!</v>
      </c>
      <c r="EN655" s="1370"/>
      <c r="EO655" s="1370"/>
      <c r="EP655" s="1370"/>
      <c r="EQ655" s="1370"/>
      <c r="ER655" s="1370" t="e">
        <f t="shared" si="6"/>
        <v>#VALUE!</v>
      </c>
      <c r="ES655" s="1370"/>
      <c r="ET655" s="1370"/>
      <c r="EU655" s="1370"/>
      <c r="EV655" s="1370"/>
      <c r="EW655" s="1370" t="e">
        <f t="shared" si="7"/>
        <v>#VALUE!</v>
      </c>
      <c r="EX655" s="1370"/>
      <c r="EY655" s="1370"/>
      <c r="EZ655" s="1370"/>
      <c r="FA655" s="1370"/>
    </row>
    <row r="656" spans="1:157" ht="13" customHeight="1">
      <c r="A656" s="22"/>
      <c r="B656" t="s">
        <v>18</v>
      </c>
      <c r="H656" s="1352" t="s">
        <v>2700</v>
      </c>
      <c r="I656" s="1352"/>
      <c r="J656" s="1352"/>
      <c r="K656" s="1352"/>
      <c r="L656" s="1352"/>
      <c r="M656" s="1352"/>
      <c r="N656" s="1352"/>
      <c r="O656" s="1352"/>
      <c r="P656" s="1352"/>
      <c r="Q656" s="1352"/>
      <c r="R656" s="1352"/>
      <c r="T656" s="22"/>
      <c r="U656" t="s">
        <v>18</v>
      </c>
      <c r="AA656" s="1352" t="s">
        <v>2704</v>
      </c>
      <c r="AB656" s="1352"/>
      <c r="AC656" s="1352"/>
      <c r="AD656" s="1352"/>
      <c r="AE656" s="1352"/>
      <c r="AF656" s="1352"/>
      <c r="AG656" s="1352"/>
      <c r="AH656" s="1352"/>
      <c r="AI656" s="1352"/>
      <c r="AJ656" s="1352"/>
      <c r="AK656" s="1352"/>
      <c r="AZ656" s="34"/>
      <c r="BA656" s="34"/>
      <c r="BB656" s="34"/>
      <c r="BC656" s="34"/>
      <c r="BD656" s="34"/>
      <c r="BE656" s="34"/>
      <c r="BF656" s="34"/>
      <c r="BG656" s="34"/>
      <c r="BH656" s="34"/>
      <c r="BI656" s="34"/>
      <c r="BJ656" s="34"/>
      <c r="BK656" s="34"/>
      <c r="BL656" s="34"/>
      <c r="BM656" s="34"/>
      <c r="DX656" s="1370" t="e">
        <f t="shared" si="2"/>
        <v>#VALUE!</v>
      </c>
      <c r="DY656" s="1370"/>
      <c r="DZ656" s="1370"/>
      <c r="EA656" s="1370"/>
      <c r="EB656" s="1370"/>
      <c r="EC656" s="1370" t="e">
        <f t="shared" si="3"/>
        <v>#VALUE!</v>
      </c>
      <c r="ED656" s="1370"/>
      <c r="EE656" s="1370"/>
      <c r="EF656" s="1370"/>
      <c r="EG656" s="1370"/>
      <c r="EH656" s="1370" t="e">
        <f t="shared" si="4"/>
        <v>#VALUE!</v>
      </c>
      <c r="EI656" s="1370"/>
      <c r="EJ656" s="1370"/>
      <c r="EK656" s="1370"/>
      <c r="EL656" s="1370"/>
      <c r="EM656" s="1370" t="e">
        <f t="shared" si="5"/>
        <v>#VALUE!</v>
      </c>
      <c r="EN656" s="1370"/>
      <c r="EO656" s="1370"/>
      <c r="EP656" s="1370"/>
      <c r="EQ656" s="1370"/>
      <c r="ER656" s="1370" t="e">
        <f t="shared" si="6"/>
        <v>#VALUE!</v>
      </c>
      <c r="ES656" s="1370"/>
      <c r="ET656" s="1370"/>
      <c r="EU656" s="1370"/>
      <c r="EV656" s="1370"/>
      <c r="EW656" s="1370" t="e">
        <f t="shared" si="7"/>
        <v>#VALUE!</v>
      </c>
      <c r="EX656" s="1370"/>
      <c r="EY656" s="1370"/>
      <c r="EZ656" s="1370"/>
      <c r="FA656" s="1370"/>
    </row>
    <row r="657" spans="1:157" ht="13" customHeight="1">
      <c r="A657" s="22"/>
      <c r="B657" t="s">
        <v>20</v>
      </c>
      <c r="N657" s="1446" t="s">
        <v>544</v>
      </c>
      <c r="O657" s="1446"/>
      <c r="T657" s="22"/>
      <c r="U657" t="s">
        <v>20</v>
      </c>
      <c r="AG657" s="1446" t="s">
        <v>544</v>
      </c>
      <c r="AH657" s="1446"/>
      <c r="AZ657" s="34"/>
      <c r="BA657" s="34"/>
      <c r="BB657" s="34"/>
      <c r="BC657" s="34"/>
      <c r="BD657" s="34"/>
      <c r="BE657" s="34"/>
      <c r="BF657" s="34"/>
      <c r="BG657" s="34"/>
      <c r="BH657" s="34"/>
      <c r="BI657" s="34"/>
      <c r="BJ657" s="34"/>
      <c r="BK657" s="34"/>
      <c r="BL657" s="34"/>
      <c r="BM657" s="34"/>
      <c r="DX657" s="1370" t="e">
        <f t="shared" si="2"/>
        <v>#VALUE!</v>
      </c>
      <c r="DY657" s="1370"/>
      <c r="DZ657" s="1370"/>
      <c r="EA657" s="1370"/>
      <c r="EB657" s="1370"/>
      <c r="EC657" s="1370" t="e">
        <f t="shared" si="3"/>
        <v>#VALUE!</v>
      </c>
      <c r="ED657" s="1370"/>
      <c r="EE657" s="1370"/>
      <c r="EF657" s="1370"/>
      <c r="EG657" s="1370"/>
      <c r="EH657" s="1370" t="e">
        <f t="shared" si="4"/>
        <v>#VALUE!</v>
      </c>
      <c r="EI657" s="1370"/>
      <c r="EJ657" s="1370"/>
      <c r="EK657" s="1370"/>
      <c r="EL657" s="1370"/>
      <c r="EM657" s="1370" t="e">
        <f t="shared" si="5"/>
        <v>#VALUE!</v>
      </c>
      <c r="EN657" s="1370"/>
      <c r="EO657" s="1370"/>
      <c r="EP657" s="1370"/>
      <c r="EQ657" s="1370"/>
      <c r="ER657" s="1370" t="e">
        <f t="shared" si="6"/>
        <v>#VALUE!</v>
      </c>
      <c r="ES657" s="1370"/>
      <c r="ET657" s="1370"/>
      <c r="EU657" s="1370"/>
      <c r="EV657" s="1370"/>
      <c r="EW657" s="1370" t="e">
        <f t="shared" si="7"/>
        <v>#VALUE!</v>
      </c>
      <c r="EX657" s="1370"/>
      <c r="EY657" s="1370"/>
      <c r="EZ657" s="1370"/>
      <c r="FA657" s="1370"/>
    </row>
    <row r="658" spans="1:157" ht="13" customHeight="1">
      <c r="A658" s="22"/>
      <c r="T658" s="22"/>
      <c r="AZ658" s="34"/>
      <c r="BA658" s="34"/>
      <c r="BB658" s="34"/>
      <c r="BC658" s="34"/>
      <c r="BD658" s="34"/>
      <c r="BE658" s="34"/>
      <c r="BF658" s="34"/>
      <c r="BG658" s="34"/>
      <c r="BH658" s="34"/>
      <c r="BI658" s="34"/>
      <c r="BJ658" s="34"/>
      <c r="BK658" s="34"/>
      <c r="BL658" s="34"/>
      <c r="BM658" s="34"/>
      <c r="DX658" s="1370" t="e">
        <f t="shared" si="2"/>
        <v>#VALUE!</v>
      </c>
      <c r="DY658" s="1370"/>
      <c r="DZ658" s="1370"/>
      <c r="EA658" s="1370"/>
      <c r="EB658" s="1370"/>
      <c r="EC658" s="1370" t="e">
        <f t="shared" si="3"/>
        <v>#VALUE!</v>
      </c>
      <c r="ED658" s="1370"/>
      <c r="EE658" s="1370"/>
      <c r="EF658" s="1370"/>
      <c r="EG658" s="1370"/>
      <c r="EH658" s="1370" t="e">
        <f t="shared" si="4"/>
        <v>#VALUE!</v>
      </c>
      <c r="EI658" s="1370"/>
      <c r="EJ658" s="1370"/>
      <c r="EK658" s="1370"/>
      <c r="EL658" s="1370"/>
      <c r="EM658" s="1370" t="e">
        <f t="shared" si="5"/>
        <v>#VALUE!</v>
      </c>
      <c r="EN658" s="1370"/>
      <c r="EO658" s="1370"/>
      <c r="EP658" s="1370"/>
      <c r="EQ658" s="1370"/>
      <c r="ER658" s="1370" t="e">
        <f t="shared" si="6"/>
        <v>#VALUE!</v>
      </c>
      <c r="ES658" s="1370"/>
      <c r="ET658" s="1370"/>
      <c r="EU658" s="1370"/>
      <c r="EV658" s="1370"/>
      <c r="EW658" s="1370" t="e">
        <f t="shared" si="7"/>
        <v>#VALUE!</v>
      </c>
      <c r="EX658" s="1370"/>
      <c r="EY658" s="1370"/>
      <c r="EZ658" s="1370"/>
      <c r="FA658" s="1370"/>
    </row>
    <row r="659" spans="1:157" ht="13" customHeight="1">
      <c r="A659" s="55" t="s">
        <v>762</v>
      </c>
      <c r="B659" t="s">
        <v>462</v>
      </c>
      <c r="G659" s="1476" t="str">
        <f>C631</f>
        <v>NOI</v>
      </c>
      <c r="H659" s="1476"/>
      <c r="I659" s="1476"/>
      <c r="J659" s="1476"/>
      <c r="K659" s="1476"/>
      <c r="L659" s="1476"/>
      <c r="M659" s="1476"/>
      <c r="N659" s="1476"/>
      <c r="O659" s="1476"/>
      <c r="P659" s="1476"/>
      <c r="Q659" s="1476"/>
      <c r="R659" s="1476"/>
      <c r="T659" s="55" t="s">
        <v>583</v>
      </c>
      <c r="U659" t="s">
        <v>462</v>
      </c>
      <c r="Z659" s="1476" t="str">
        <f>C632</f>
        <v>Deferred Developer Fee</v>
      </c>
      <c r="AA659" s="1476"/>
      <c r="AB659" s="1476"/>
      <c r="AC659" s="1476"/>
      <c r="AD659" s="1476"/>
      <c r="AE659" s="1476"/>
      <c r="AF659" s="1476"/>
      <c r="AG659" s="1476"/>
      <c r="AH659" s="1476"/>
      <c r="AI659" s="1476"/>
      <c r="AJ659" s="1476"/>
      <c r="AK659" s="1476"/>
      <c r="AZ659" s="34"/>
      <c r="BA659" s="34"/>
      <c r="BB659" s="34"/>
      <c r="BC659" s="34"/>
      <c r="BD659" s="34"/>
      <c r="BE659" s="34"/>
      <c r="BF659" s="34"/>
      <c r="BG659" s="34"/>
      <c r="BH659" s="34"/>
      <c r="BI659" s="34"/>
      <c r="BJ659" s="34"/>
      <c r="BK659" s="34"/>
      <c r="BL659" s="34"/>
      <c r="BM659" s="34"/>
      <c r="DX659" s="1370" t="e">
        <f t="shared" si="2"/>
        <v>#VALUE!</v>
      </c>
      <c r="DY659" s="1370"/>
      <c r="DZ659" s="1370"/>
      <c r="EA659" s="1370"/>
      <c r="EB659" s="1370"/>
      <c r="EC659" s="1370" t="e">
        <f t="shared" si="3"/>
        <v>#VALUE!</v>
      </c>
      <c r="ED659" s="1370"/>
      <c r="EE659" s="1370"/>
      <c r="EF659" s="1370"/>
      <c r="EG659" s="1370"/>
      <c r="EH659" s="1370" t="e">
        <f t="shared" si="4"/>
        <v>#VALUE!</v>
      </c>
      <c r="EI659" s="1370"/>
      <c r="EJ659" s="1370"/>
      <c r="EK659" s="1370"/>
      <c r="EL659" s="1370"/>
      <c r="EM659" s="1370" t="e">
        <f t="shared" si="5"/>
        <v>#VALUE!</v>
      </c>
      <c r="EN659" s="1370"/>
      <c r="EO659" s="1370"/>
      <c r="EP659" s="1370"/>
      <c r="EQ659" s="1370"/>
      <c r="ER659" s="1370" t="e">
        <f t="shared" si="6"/>
        <v>#VALUE!</v>
      </c>
      <c r="ES659" s="1370"/>
      <c r="ET659" s="1370"/>
      <c r="EU659" s="1370"/>
      <c r="EV659" s="1370"/>
      <c r="EW659" s="1370" t="e">
        <f t="shared" si="7"/>
        <v>#VALUE!</v>
      </c>
      <c r="EX659" s="1370"/>
      <c r="EY659" s="1370"/>
      <c r="EZ659" s="1370"/>
      <c r="FA659" s="1370"/>
    </row>
    <row r="660" spans="1:157" ht="13" customHeight="1">
      <c r="A660" s="22"/>
      <c r="B660" t="s">
        <v>85</v>
      </c>
      <c r="G660" s="1352" t="s">
        <v>2618</v>
      </c>
      <c r="H660" s="1352"/>
      <c r="I660" s="1352"/>
      <c r="J660" s="1352"/>
      <c r="K660" s="1352"/>
      <c r="L660" s="1352"/>
      <c r="M660" s="1352"/>
      <c r="N660" s="1352"/>
      <c r="O660" s="1352"/>
      <c r="P660" s="1352"/>
      <c r="Q660" s="1352"/>
      <c r="R660" s="1352"/>
      <c r="T660" s="22"/>
      <c r="U660" t="s">
        <v>85</v>
      </c>
      <c r="Z660" s="1352" t="s">
        <v>2618</v>
      </c>
      <c r="AA660" s="1352"/>
      <c r="AB660" s="1352"/>
      <c r="AC660" s="1352"/>
      <c r="AD660" s="1352"/>
      <c r="AE660" s="1352"/>
      <c r="AF660" s="1352"/>
      <c r="AG660" s="1352"/>
      <c r="AH660" s="1352"/>
      <c r="AI660" s="1352"/>
      <c r="AJ660" s="1352"/>
      <c r="AK660" s="1352"/>
      <c r="AZ660" s="34"/>
      <c r="BA660" s="34"/>
      <c r="BB660" s="34"/>
      <c r="BC660" s="34"/>
      <c r="BD660" s="34"/>
      <c r="BE660" s="34"/>
      <c r="BF660" s="34"/>
      <c r="BG660" s="34"/>
      <c r="BH660" s="34"/>
      <c r="BI660" s="34"/>
      <c r="BJ660" s="34"/>
      <c r="BK660" s="34"/>
      <c r="BL660" s="34"/>
      <c r="BM660" s="34"/>
      <c r="DX660" s="1370" t="e">
        <f t="shared" si="2"/>
        <v>#VALUE!</v>
      </c>
      <c r="DY660" s="1370"/>
      <c r="DZ660" s="1370"/>
      <c r="EA660" s="1370"/>
      <c r="EB660" s="1370"/>
      <c r="EC660" s="1370" t="e">
        <f t="shared" si="3"/>
        <v>#VALUE!</v>
      </c>
      <c r="ED660" s="1370"/>
      <c r="EE660" s="1370"/>
      <c r="EF660" s="1370"/>
      <c r="EG660" s="1370"/>
      <c r="EH660" s="1370" t="e">
        <f t="shared" si="4"/>
        <v>#VALUE!</v>
      </c>
      <c r="EI660" s="1370"/>
      <c r="EJ660" s="1370"/>
      <c r="EK660" s="1370"/>
      <c r="EL660" s="1370"/>
      <c r="EM660" s="1370" t="e">
        <f t="shared" si="5"/>
        <v>#VALUE!</v>
      </c>
      <c r="EN660" s="1370"/>
      <c r="EO660" s="1370"/>
      <c r="EP660" s="1370"/>
      <c r="EQ660" s="1370"/>
      <c r="ER660" s="1370" t="e">
        <f t="shared" si="6"/>
        <v>#VALUE!</v>
      </c>
      <c r="ES660" s="1370"/>
      <c r="ET660" s="1370"/>
      <c r="EU660" s="1370"/>
      <c r="EV660" s="1370"/>
      <c r="EW660" s="1370" t="e">
        <f t="shared" si="7"/>
        <v>#VALUE!</v>
      </c>
      <c r="EX660" s="1370"/>
      <c r="EY660" s="1370"/>
      <c r="EZ660" s="1370"/>
      <c r="FA660" s="1370"/>
    </row>
    <row r="661" spans="1:157" ht="13" customHeight="1">
      <c r="A661" s="22"/>
      <c r="B661" t="s">
        <v>579</v>
      </c>
      <c r="G661" s="1352" t="s">
        <v>2698</v>
      </c>
      <c r="H661" s="1352"/>
      <c r="I661" s="1352"/>
      <c r="J661" s="1352"/>
      <c r="K661" s="1352"/>
      <c r="L661" s="1352"/>
      <c r="M661" s="1352"/>
      <c r="N661" s="1352"/>
      <c r="O661" s="1352"/>
      <c r="P661" s="1352"/>
      <c r="Q661" s="1352"/>
      <c r="R661" s="1352"/>
      <c r="T661" s="22"/>
      <c r="U661" t="s">
        <v>579</v>
      </c>
      <c r="Z661" s="1351" t="s">
        <v>2698</v>
      </c>
      <c r="AA661" s="1351"/>
      <c r="AB661" s="1351"/>
      <c r="AC661" s="1351"/>
      <c r="AD661" s="1351"/>
      <c r="AE661" s="1351"/>
      <c r="AF661" s="1351"/>
      <c r="AG661" s="1351"/>
      <c r="AH661" s="1351"/>
      <c r="AI661" s="1351"/>
      <c r="AJ661" s="1351"/>
      <c r="AK661" s="1351"/>
      <c r="AZ661" s="34"/>
      <c r="BA661" s="34"/>
      <c r="BB661" s="34"/>
      <c r="BC661" s="34"/>
      <c r="BD661" s="34"/>
      <c r="BE661" s="34"/>
      <c r="BF661" s="34"/>
      <c r="BG661" s="34"/>
      <c r="BH661" s="34"/>
      <c r="BI661" s="34"/>
      <c r="BJ661" s="34"/>
      <c r="BK661" s="34"/>
      <c r="BL661" s="34"/>
      <c r="BM661" s="34"/>
      <c r="DX661" s="1370" t="e">
        <f t="shared" si="2"/>
        <v>#VALUE!</v>
      </c>
      <c r="DY661" s="1370"/>
      <c r="DZ661" s="1370"/>
      <c r="EA661" s="1370"/>
      <c r="EB661" s="1370"/>
      <c r="EC661" s="1370" t="e">
        <f t="shared" si="3"/>
        <v>#VALUE!</v>
      </c>
      <c r="ED661" s="1370"/>
      <c r="EE661" s="1370"/>
      <c r="EF661" s="1370"/>
      <c r="EG661" s="1370"/>
      <c r="EH661" s="1370" t="e">
        <f t="shared" si="4"/>
        <v>#VALUE!</v>
      </c>
      <c r="EI661" s="1370"/>
      <c r="EJ661" s="1370"/>
      <c r="EK661" s="1370"/>
      <c r="EL661" s="1370"/>
      <c r="EM661" s="1370" t="e">
        <f t="shared" si="5"/>
        <v>#VALUE!</v>
      </c>
      <c r="EN661" s="1370"/>
      <c r="EO661" s="1370"/>
      <c r="EP661" s="1370"/>
      <c r="EQ661" s="1370"/>
      <c r="ER661" s="1370" t="e">
        <f t="shared" si="6"/>
        <v>#VALUE!</v>
      </c>
      <c r="ES661" s="1370"/>
      <c r="ET661" s="1370"/>
      <c r="EU661" s="1370"/>
      <c r="EV661" s="1370"/>
      <c r="EW661" s="1370" t="e">
        <f t="shared" si="7"/>
        <v>#VALUE!</v>
      </c>
      <c r="EX661" s="1370"/>
      <c r="EY661" s="1370"/>
      <c r="EZ661" s="1370"/>
      <c r="FA661" s="1370"/>
    </row>
    <row r="662" spans="1:157" ht="13" customHeight="1">
      <c r="A662" s="22"/>
      <c r="B662" t="s">
        <v>17</v>
      </c>
      <c r="G662" s="1352" t="s">
        <v>2699</v>
      </c>
      <c r="H662" s="1352"/>
      <c r="I662" s="1352"/>
      <c r="J662" s="1352"/>
      <c r="K662" s="1352"/>
      <c r="L662" s="1352"/>
      <c r="M662" s="1352"/>
      <c r="N662" s="1352"/>
      <c r="O662" s="1352"/>
      <c r="P662" s="1352"/>
      <c r="Q662" s="1352"/>
      <c r="R662" s="1352"/>
      <c r="T662" s="22"/>
      <c r="U662" t="s">
        <v>17</v>
      </c>
      <c r="Z662" s="1351" t="s">
        <v>2699</v>
      </c>
      <c r="AA662" s="1351"/>
      <c r="AB662" s="1351"/>
      <c r="AC662" s="1351"/>
      <c r="AD662" s="1351"/>
      <c r="AE662" s="1351"/>
      <c r="AF662" s="1351"/>
      <c r="AG662" s="1351"/>
      <c r="AH662" s="1351"/>
      <c r="AI662" s="1351"/>
      <c r="AJ662" s="1351"/>
      <c r="AK662" s="1351"/>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370" t="e">
        <f t="shared" si="2"/>
        <v>#VALUE!</v>
      </c>
      <c r="DY662" s="1370"/>
      <c r="DZ662" s="1370"/>
      <c r="EA662" s="1370"/>
      <c r="EB662" s="1370"/>
      <c r="EC662" s="1370" t="e">
        <f t="shared" si="3"/>
        <v>#VALUE!</v>
      </c>
      <c r="ED662" s="1370"/>
      <c r="EE662" s="1370"/>
      <c r="EF662" s="1370"/>
      <c r="EG662" s="1370"/>
      <c r="EH662" s="1370" t="e">
        <f t="shared" si="4"/>
        <v>#VALUE!</v>
      </c>
      <c r="EI662" s="1370"/>
      <c r="EJ662" s="1370"/>
      <c r="EK662" s="1370"/>
      <c r="EL662" s="1370"/>
      <c r="EM662" s="1370" t="e">
        <f t="shared" si="5"/>
        <v>#VALUE!</v>
      </c>
      <c r="EN662" s="1370"/>
      <c r="EO662" s="1370"/>
      <c r="EP662" s="1370"/>
      <c r="EQ662" s="1370"/>
      <c r="ER662" s="1370" t="e">
        <f t="shared" si="6"/>
        <v>#VALUE!</v>
      </c>
      <c r="ES662" s="1370"/>
      <c r="ET662" s="1370"/>
      <c r="EU662" s="1370"/>
      <c r="EV662" s="1370"/>
      <c r="EW662" s="1370" t="e">
        <f t="shared" si="7"/>
        <v>#VALUE!</v>
      </c>
      <c r="EX662" s="1370"/>
      <c r="EY662" s="1370"/>
      <c r="EZ662" s="1370"/>
      <c r="FA662" s="1370"/>
    </row>
    <row r="663" spans="1:157" ht="13" customHeight="1">
      <c r="A663" s="22"/>
      <c r="B663" t="s">
        <v>315</v>
      </c>
      <c r="G663" s="1448">
        <v>8182470420</v>
      </c>
      <c r="H663" s="1448"/>
      <c r="I663" s="1448"/>
      <c r="J663" s="1448"/>
      <c r="K663" s="1448"/>
      <c r="L663" s="1448"/>
      <c r="O663" s="33" t="s">
        <v>205</v>
      </c>
      <c r="P663" s="1490"/>
      <c r="Q663" s="1490"/>
      <c r="R663" s="1490"/>
      <c r="T663" s="22"/>
      <c r="U663" t="s">
        <v>315</v>
      </c>
      <c r="Z663" s="1448">
        <v>8182470420</v>
      </c>
      <c r="AA663" s="1448"/>
      <c r="AB663" s="1448"/>
      <c r="AC663" s="1448"/>
      <c r="AD663" s="1448"/>
      <c r="AE663" s="1448"/>
      <c r="AH663" s="33" t="s">
        <v>205</v>
      </c>
      <c r="AI663" s="1490"/>
      <c r="AJ663" s="1490"/>
      <c r="AK663" s="1490"/>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370" t="e">
        <f t="shared" si="2"/>
        <v>#VALUE!</v>
      </c>
      <c r="DY663" s="1370"/>
      <c r="DZ663" s="1370"/>
      <c r="EA663" s="1370"/>
      <c r="EB663" s="1370"/>
      <c r="EC663" s="1370" t="e">
        <f t="shared" si="3"/>
        <v>#VALUE!</v>
      </c>
      <c r="ED663" s="1370"/>
      <c r="EE663" s="1370"/>
      <c r="EF663" s="1370"/>
      <c r="EG663" s="1370"/>
      <c r="EH663" s="1370" t="e">
        <f t="shared" si="4"/>
        <v>#VALUE!</v>
      </c>
      <c r="EI663" s="1370"/>
      <c r="EJ663" s="1370"/>
      <c r="EK663" s="1370"/>
      <c r="EL663" s="1370"/>
      <c r="EM663" s="1370" t="e">
        <f t="shared" si="5"/>
        <v>#VALUE!</v>
      </c>
      <c r="EN663" s="1370"/>
      <c r="EO663" s="1370"/>
      <c r="EP663" s="1370"/>
      <c r="EQ663" s="1370"/>
      <c r="ER663" s="1370" t="e">
        <f t="shared" si="6"/>
        <v>#VALUE!</v>
      </c>
      <c r="ES663" s="1370"/>
      <c r="ET663" s="1370"/>
      <c r="EU663" s="1370"/>
      <c r="EV663" s="1370"/>
      <c r="EW663" s="1370" t="e">
        <f t="shared" si="7"/>
        <v>#VALUE!</v>
      </c>
      <c r="EX663" s="1370"/>
      <c r="EY663" s="1370"/>
      <c r="EZ663" s="1370"/>
      <c r="FA663" s="1370"/>
    </row>
    <row r="664" spans="1:157" ht="13" customHeight="1">
      <c r="A664" s="22"/>
      <c r="B664" t="s">
        <v>18</v>
      </c>
      <c r="H664" s="1352" t="s">
        <v>2705</v>
      </c>
      <c r="I664" s="1352"/>
      <c r="J664" s="1352"/>
      <c r="K664" s="1352"/>
      <c r="L664" s="1352"/>
      <c r="M664" s="1352"/>
      <c r="N664" s="1352"/>
      <c r="O664" s="1352"/>
      <c r="P664" s="1352"/>
      <c r="Q664" s="1352"/>
      <c r="R664" s="1352"/>
      <c r="T664" s="22"/>
      <c r="U664" t="s">
        <v>18</v>
      </c>
      <c r="AA664" s="1352" t="s">
        <v>2701</v>
      </c>
      <c r="AB664" s="1352"/>
      <c r="AC664" s="1352"/>
      <c r="AD664" s="1352"/>
      <c r="AE664" s="1352"/>
      <c r="AF664" s="1352"/>
      <c r="AG664" s="1352"/>
      <c r="AH664" s="1352"/>
      <c r="AI664" s="1352"/>
      <c r="AJ664" s="1352"/>
      <c r="AK664" s="1352"/>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370" t="e">
        <f t="shared" si="2"/>
        <v>#VALUE!</v>
      </c>
      <c r="DY664" s="1370"/>
      <c r="DZ664" s="1370"/>
      <c r="EA664" s="1370"/>
      <c r="EB664" s="1370"/>
      <c r="EC664" s="1370" t="e">
        <f t="shared" si="3"/>
        <v>#VALUE!</v>
      </c>
      <c r="ED664" s="1370"/>
      <c r="EE664" s="1370"/>
      <c r="EF664" s="1370"/>
      <c r="EG664" s="1370"/>
      <c r="EH664" s="1370" t="e">
        <f t="shared" si="4"/>
        <v>#VALUE!</v>
      </c>
      <c r="EI664" s="1370"/>
      <c r="EJ664" s="1370"/>
      <c r="EK664" s="1370"/>
      <c r="EL664" s="1370"/>
      <c r="EM664" s="1370" t="e">
        <f t="shared" si="5"/>
        <v>#VALUE!</v>
      </c>
      <c r="EN664" s="1370"/>
      <c r="EO664" s="1370"/>
      <c r="EP664" s="1370"/>
      <c r="EQ664" s="1370"/>
      <c r="ER664" s="1370" t="e">
        <f t="shared" si="6"/>
        <v>#VALUE!</v>
      </c>
      <c r="ES664" s="1370"/>
      <c r="ET664" s="1370"/>
      <c r="EU664" s="1370"/>
      <c r="EV664" s="1370"/>
      <c r="EW664" s="1370" t="e">
        <f t="shared" si="7"/>
        <v>#VALUE!</v>
      </c>
      <c r="EX664" s="1370"/>
      <c r="EY664" s="1370"/>
      <c r="EZ664" s="1370"/>
      <c r="FA664" s="1370"/>
    </row>
    <row r="665" spans="1:157" ht="13" customHeight="1">
      <c r="A665" s="22"/>
      <c r="B665" t="s">
        <v>20</v>
      </c>
      <c r="N665" s="1446" t="s">
        <v>544</v>
      </c>
      <c r="O665" s="1446"/>
      <c r="T665" s="22"/>
      <c r="U665" t="s">
        <v>20</v>
      </c>
      <c r="AG665" s="1446" t="s">
        <v>544</v>
      </c>
      <c r="AH665" s="1446"/>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370" t="e">
        <f t="shared" si="2"/>
        <v>#VALUE!</v>
      </c>
      <c r="DY665" s="1370"/>
      <c r="DZ665" s="1370"/>
      <c r="EA665" s="1370"/>
      <c r="EB665" s="1370"/>
      <c r="EC665" s="1370" t="e">
        <f t="shared" si="3"/>
        <v>#VALUE!</v>
      </c>
      <c r="ED665" s="1370"/>
      <c r="EE665" s="1370"/>
      <c r="EF665" s="1370"/>
      <c r="EG665" s="1370"/>
      <c r="EH665" s="1370" t="e">
        <f t="shared" si="4"/>
        <v>#VALUE!</v>
      </c>
      <c r="EI665" s="1370"/>
      <c r="EJ665" s="1370"/>
      <c r="EK665" s="1370"/>
      <c r="EL665" s="1370"/>
      <c r="EM665" s="1370" t="e">
        <f t="shared" si="5"/>
        <v>#VALUE!</v>
      </c>
      <c r="EN665" s="1370"/>
      <c r="EO665" s="1370"/>
      <c r="EP665" s="1370"/>
      <c r="EQ665" s="1370"/>
      <c r="ER665" s="1370" t="e">
        <f t="shared" si="6"/>
        <v>#VALUE!</v>
      </c>
      <c r="ES665" s="1370"/>
      <c r="ET665" s="1370"/>
      <c r="EU665" s="1370"/>
      <c r="EV665" s="1370"/>
      <c r="EW665" s="1370" t="e">
        <f t="shared" si="7"/>
        <v>#VALUE!</v>
      </c>
      <c r="EX665" s="1370"/>
      <c r="EY665" s="1370"/>
      <c r="EZ665" s="1370"/>
      <c r="FA665" s="1370"/>
    </row>
    <row r="666" spans="1:157" ht="13" customHeight="1">
      <c r="A666" s="22"/>
      <c r="T666" s="22"/>
      <c r="AZ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370" t="e">
        <f t="shared" si="2"/>
        <v>#VALUE!</v>
      </c>
      <c r="DY666" s="1370"/>
      <c r="DZ666" s="1370"/>
      <c r="EA666" s="1370"/>
      <c r="EB666" s="1370"/>
      <c r="EC666" s="1370" t="e">
        <f t="shared" si="3"/>
        <v>#VALUE!</v>
      </c>
      <c r="ED666" s="1370"/>
      <c r="EE666" s="1370"/>
      <c r="EF666" s="1370"/>
      <c r="EG666" s="1370"/>
      <c r="EH666" s="1370" t="e">
        <f t="shared" si="4"/>
        <v>#VALUE!</v>
      </c>
      <c r="EI666" s="1370"/>
      <c r="EJ666" s="1370"/>
      <c r="EK666" s="1370"/>
      <c r="EL666" s="1370"/>
      <c r="EM666" s="1370" t="e">
        <f t="shared" si="5"/>
        <v>#VALUE!</v>
      </c>
      <c r="EN666" s="1370"/>
      <c r="EO666" s="1370"/>
      <c r="EP666" s="1370"/>
      <c r="EQ666" s="1370"/>
      <c r="ER666" s="1370" t="e">
        <f t="shared" si="6"/>
        <v>#VALUE!</v>
      </c>
      <c r="ES666" s="1370"/>
      <c r="ET666" s="1370"/>
      <c r="EU666" s="1370"/>
      <c r="EV666" s="1370"/>
      <c r="EW666" s="1370" t="e">
        <f t="shared" si="7"/>
        <v>#VALUE!</v>
      </c>
      <c r="EX666" s="1370"/>
      <c r="EY666" s="1370"/>
      <c r="EZ666" s="1370"/>
      <c r="FA666" s="1370"/>
    </row>
    <row r="667" spans="1:157" ht="13" customHeight="1">
      <c r="A667" s="55" t="s">
        <v>454</v>
      </c>
      <c r="B667" t="s">
        <v>462</v>
      </c>
      <c r="G667" s="1476" t="str">
        <f>C633</f>
        <v>GP Contribution</v>
      </c>
      <c r="H667" s="1476"/>
      <c r="I667" s="1476"/>
      <c r="J667" s="1476"/>
      <c r="K667" s="1476"/>
      <c r="L667" s="1476"/>
      <c r="M667" s="1476"/>
      <c r="N667" s="1476"/>
      <c r="O667" s="1476"/>
      <c r="P667" s="1476"/>
      <c r="Q667" s="1476"/>
      <c r="R667" s="1476"/>
      <c r="T667" s="55" t="s">
        <v>455</v>
      </c>
      <c r="U667" t="s">
        <v>462</v>
      </c>
      <c r="Z667" s="1476" t="str">
        <f>C634</f>
        <v>Existing Reserves</v>
      </c>
      <c r="AA667" s="1476"/>
      <c r="AB667" s="1476"/>
      <c r="AC667" s="1476"/>
      <c r="AD667" s="1476"/>
      <c r="AE667" s="1476"/>
      <c r="AF667" s="1476"/>
      <c r="AG667" s="1476"/>
      <c r="AH667" s="1476"/>
      <c r="AI667" s="1476"/>
      <c r="AJ667" s="1476"/>
      <c r="AK667" s="1476"/>
      <c r="AZ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370" t="e">
        <f t="shared" si="2"/>
        <v>#VALUE!</v>
      </c>
      <c r="DY667" s="1370"/>
      <c r="DZ667" s="1370"/>
      <c r="EA667" s="1370"/>
      <c r="EB667" s="1370"/>
      <c r="EC667" s="1370" t="e">
        <f t="shared" si="3"/>
        <v>#VALUE!</v>
      </c>
      <c r="ED667" s="1370"/>
      <c r="EE667" s="1370"/>
      <c r="EF667" s="1370"/>
      <c r="EG667" s="1370"/>
      <c r="EH667" s="1370" t="e">
        <f t="shared" si="4"/>
        <v>#VALUE!</v>
      </c>
      <c r="EI667" s="1370"/>
      <c r="EJ667" s="1370"/>
      <c r="EK667" s="1370"/>
      <c r="EL667" s="1370"/>
      <c r="EM667" s="1370" t="e">
        <f t="shared" si="5"/>
        <v>#VALUE!</v>
      </c>
      <c r="EN667" s="1370"/>
      <c r="EO667" s="1370"/>
      <c r="EP667" s="1370"/>
      <c r="EQ667" s="1370"/>
      <c r="ER667" s="1370" t="e">
        <f t="shared" si="6"/>
        <v>#VALUE!</v>
      </c>
      <c r="ES667" s="1370"/>
      <c r="ET667" s="1370"/>
      <c r="EU667" s="1370"/>
      <c r="EV667" s="1370"/>
      <c r="EW667" s="1370" t="e">
        <f t="shared" si="7"/>
        <v>#VALUE!</v>
      </c>
      <c r="EX667" s="1370"/>
      <c r="EY667" s="1370"/>
      <c r="EZ667" s="1370"/>
      <c r="FA667" s="1370"/>
    </row>
    <row r="668" spans="1:157" ht="13" customHeight="1">
      <c r="A668" s="22"/>
      <c r="B668" t="s">
        <v>85</v>
      </c>
      <c r="G668" s="1352" t="s">
        <v>2618</v>
      </c>
      <c r="H668" s="1352"/>
      <c r="I668" s="1352"/>
      <c r="J668" s="1352"/>
      <c r="K668" s="1352"/>
      <c r="L668" s="1352"/>
      <c r="M668" s="1352"/>
      <c r="N668" s="1352"/>
      <c r="O668" s="1352"/>
      <c r="P668" s="1352"/>
      <c r="Q668" s="1352"/>
      <c r="R668" s="1352"/>
      <c r="T668" s="22"/>
      <c r="U668" t="s">
        <v>85</v>
      </c>
      <c r="Z668" s="1352" t="s">
        <v>2618</v>
      </c>
      <c r="AA668" s="1352"/>
      <c r="AB668" s="1352"/>
      <c r="AC668" s="1352"/>
      <c r="AD668" s="1352"/>
      <c r="AE668" s="1352"/>
      <c r="AF668" s="1352"/>
      <c r="AG668" s="1352"/>
      <c r="AH668" s="1352"/>
      <c r="AI668" s="1352"/>
      <c r="AJ668" s="1352"/>
      <c r="AK668" s="1352"/>
      <c r="AZ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370" t="e">
        <f t="shared" si="2"/>
        <v>#VALUE!</v>
      </c>
      <c r="DY668" s="1370"/>
      <c r="DZ668" s="1370"/>
      <c r="EA668" s="1370"/>
      <c r="EB668" s="1370"/>
      <c r="EC668" s="1370" t="e">
        <f t="shared" si="3"/>
        <v>#VALUE!</v>
      </c>
      <c r="ED668" s="1370"/>
      <c r="EE668" s="1370"/>
      <c r="EF668" s="1370"/>
      <c r="EG668" s="1370"/>
      <c r="EH668" s="1370" t="e">
        <f t="shared" si="4"/>
        <v>#VALUE!</v>
      </c>
      <c r="EI668" s="1370"/>
      <c r="EJ668" s="1370"/>
      <c r="EK668" s="1370"/>
      <c r="EL668" s="1370"/>
      <c r="EM668" s="1370" t="e">
        <f t="shared" si="5"/>
        <v>#VALUE!</v>
      </c>
      <c r="EN668" s="1370"/>
      <c r="EO668" s="1370"/>
      <c r="EP668" s="1370"/>
      <c r="EQ668" s="1370"/>
      <c r="ER668" s="1370" t="e">
        <f t="shared" si="6"/>
        <v>#VALUE!</v>
      </c>
      <c r="ES668" s="1370"/>
      <c r="ET668" s="1370"/>
      <c r="EU668" s="1370"/>
      <c r="EV668" s="1370"/>
      <c r="EW668" s="1370" t="e">
        <f t="shared" si="7"/>
        <v>#VALUE!</v>
      </c>
      <c r="EX668" s="1370"/>
      <c r="EY668" s="1370"/>
      <c r="EZ668" s="1370"/>
      <c r="FA668" s="1370"/>
    </row>
    <row r="669" spans="1:157" ht="13" customHeight="1">
      <c r="A669" s="22"/>
      <c r="B669" t="s">
        <v>579</v>
      </c>
      <c r="G669" s="1352" t="s">
        <v>2698</v>
      </c>
      <c r="H669" s="1352"/>
      <c r="I669" s="1352"/>
      <c r="J669" s="1352"/>
      <c r="K669" s="1352"/>
      <c r="L669" s="1352"/>
      <c r="M669" s="1352"/>
      <c r="N669" s="1352"/>
      <c r="O669" s="1352"/>
      <c r="P669" s="1352"/>
      <c r="Q669" s="1352"/>
      <c r="R669" s="1352"/>
      <c r="T669" s="22"/>
      <c r="U669" t="s">
        <v>579</v>
      </c>
      <c r="Z669" s="1351" t="s">
        <v>2698</v>
      </c>
      <c r="AA669" s="1351"/>
      <c r="AB669" s="1351"/>
      <c r="AC669" s="1351"/>
      <c r="AD669" s="1351"/>
      <c r="AE669" s="1351"/>
      <c r="AF669" s="1351"/>
      <c r="AG669" s="1351"/>
      <c r="AH669" s="1351"/>
      <c r="AI669" s="1351"/>
      <c r="AJ669" s="1351"/>
      <c r="AK669" s="1351"/>
      <c r="AZ669" s="3"/>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370" t="e">
        <f t="shared" si="2"/>
        <v>#VALUE!</v>
      </c>
      <c r="DY669" s="1370"/>
      <c r="DZ669" s="1370"/>
      <c r="EA669" s="1370"/>
      <c r="EB669" s="1370"/>
      <c r="EC669" s="1370" t="e">
        <f t="shared" si="3"/>
        <v>#VALUE!</v>
      </c>
      <c r="ED669" s="1370"/>
      <c r="EE669" s="1370"/>
      <c r="EF669" s="1370"/>
      <c r="EG669" s="1370"/>
      <c r="EH669" s="1370" t="e">
        <f t="shared" si="4"/>
        <v>#VALUE!</v>
      </c>
      <c r="EI669" s="1370"/>
      <c r="EJ669" s="1370"/>
      <c r="EK669" s="1370"/>
      <c r="EL669" s="1370"/>
      <c r="EM669" s="1370" t="e">
        <f t="shared" si="5"/>
        <v>#VALUE!</v>
      </c>
      <c r="EN669" s="1370"/>
      <c r="EO669" s="1370"/>
      <c r="EP669" s="1370"/>
      <c r="EQ669" s="1370"/>
      <c r="ER669" s="1370" t="e">
        <f t="shared" si="6"/>
        <v>#VALUE!</v>
      </c>
      <c r="ES669" s="1370"/>
      <c r="ET669" s="1370"/>
      <c r="EU669" s="1370"/>
      <c r="EV669" s="1370"/>
      <c r="EW669" s="1370" t="e">
        <f t="shared" si="7"/>
        <v>#VALUE!</v>
      </c>
      <c r="EX669" s="1370"/>
      <c r="EY669" s="1370"/>
      <c r="EZ669" s="1370"/>
      <c r="FA669" s="1370"/>
    </row>
    <row r="670" spans="1:157" ht="13" customHeight="1">
      <c r="A670" s="22"/>
      <c r="B670" t="s">
        <v>17</v>
      </c>
      <c r="G670" s="1352" t="s">
        <v>2699</v>
      </c>
      <c r="H670" s="1352"/>
      <c r="I670" s="1352"/>
      <c r="J670" s="1352"/>
      <c r="K670" s="1352"/>
      <c r="L670" s="1352"/>
      <c r="M670" s="1352"/>
      <c r="N670" s="1352"/>
      <c r="O670" s="1352"/>
      <c r="P670" s="1352"/>
      <c r="Q670" s="1352"/>
      <c r="R670" s="1352"/>
      <c r="T670" s="22"/>
      <c r="U670" t="s">
        <v>17</v>
      </c>
      <c r="Z670" s="1351" t="s">
        <v>2699</v>
      </c>
      <c r="AA670" s="1351"/>
      <c r="AB670" s="1351"/>
      <c r="AC670" s="1351"/>
      <c r="AD670" s="1351"/>
      <c r="AE670" s="1351"/>
      <c r="AF670" s="1351"/>
      <c r="AG670" s="1351"/>
      <c r="AH670" s="1351"/>
      <c r="AI670" s="1351"/>
      <c r="AJ670" s="1351"/>
      <c r="AK670" s="1351"/>
      <c r="AZ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370">
        <f>SUMIF(DX635:EB669,"&gt;0")</f>
        <v>0</v>
      </c>
      <c r="DY670" s="1370"/>
      <c r="DZ670" s="1370"/>
      <c r="EA670" s="1370"/>
      <c r="EB670" s="1370"/>
      <c r="EC670" s="1370">
        <f>SUMIF(EC635:EG669,"&gt;0")</f>
        <v>1010</v>
      </c>
      <c r="ED670" s="1370"/>
      <c r="EE670" s="1370"/>
      <c r="EF670" s="1370"/>
      <c r="EG670" s="1370"/>
      <c r="EH670" s="1370">
        <f>SUMIF(EH635:EL669,"&gt;0")</f>
        <v>0</v>
      </c>
      <c r="EI670" s="1370"/>
      <c r="EJ670" s="1370"/>
      <c r="EK670" s="1370"/>
      <c r="EL670" s="1370"/>
      <c r="EM670" s="1370">
        <f>SUMIF(EM635:EQ669,"&gt;0")</f>
        <v>0</v>
      </c>
      <c r="EN670" s="1370"/>
      <c r="EO670" s="1370"/>
      <c r="EP670" s="1370"/>
      <c r="EQ670" s="1370"/>
      <c r="ER670" s="1370">
        <f>SUMIF(ER635:EV669,"&gt;0")</f>
        <v>0</v>
      </c>
      <c r="ES670" s="1370"/>
      <c r="ET670" s="1370"/>
      <c r="EU670" s="1370"/>
      <c r="EV670" s="1370"/>
      <c r="EW670" s="1370">
        <f>SUMIF(EW635:FA669,"&gt;0")</f>
        <v>0</v>
      </c>
      <c r="EX670" s="1370"/>
      <c r="EY670" s="1370"/>
      <c r="EZ670" s="1370"/>
      <c r="FA670" s="1370"/>
    </row>
    <row r="671" spans="1:157" ht="13" customHeight="1">
      <c r="A671" s="22"/>
      <c r="B671" t="s">
        <v>315</v>
      </c>
      <c r="G671" s="1448">
        <v>8182470420</v>
      </c>
      <c r="H671" s="1448"/>
      <c r="I671" s="1448"/>
      <c r="J671" s="1448"/>
      <c r="K671" s="1448"/>
      <c r="L671" s="1448"/>
      <c r="O671" s="33" t="s">
        <v>205</v>
      </c>
      <c r="P671" s="1490"/>
      <c r="Q671" s="1490"/>
      <c r="R671" s="1490"/>
      <c r="T671" s="22"/>
      <c r="U671" t="s">
        <v>315</v>
      </c>
      <c r="Z671" s="1448">
        <v>8182470420</v>
      </c>
      <c r="AA671" s="1448"/>
      <c r="AB671" s="1448"/>
      <c r="AC671" s="1448"/>
      <c r="AD671" s="1448"/>
      <c r="AE671" s="1448"/>
      <c r="AH671" s="33" t="s">
        <v>205</v>
      </c>
      <c r="AI671" s="1490"/>
      <c r="AJ671" s="1490"/>
      <c r="AK671" s="1490"/>
      <c r="AZ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3" customHeight="1">
      <c r="A672" s="22"/>
      <c r="B672" t="s">
        <v>18</v>
      </c>
      <c r="H672" s="1352" t="s">
        <v>2706</v>
      </c>
      <c r="I672" s="1352"/>
      <c r="J672" s="1352"/>
      <c r="K672" s="1352"/>
      <c r="L672" s="1352"/>
      <c r="M672" s="1352"/>
      <c r="N672" s="1352"/>
      <c r="O672" s="1352"/>
      <c r="P672" s="1352"/>
      <c r="Q672" s="1352"/>
      <c r="R672" s="1352"/>
      <c r="T672" s="22"/>
      <c r="U672" t="s">
        <v>18</v>
      </c>
      <c r="AA672" s="1352" t="s">
        <v>2665</v>
      </c>
      <c r="AB672" s="1352"/>
      <c r="AC672" s="1352"/>
      <c r="AD672" s="1352"/>
      <c r="AE672" s="1352"/>
      <c r="AF672" s="1352"/>
      <c r="AG672" s="1352"/>
      <c r="AH672" s="1352"/>
      <c r="AI672" s="1352"/>
      <c r="AJ672" s="1352"/>
      <c r="AK672" s="1352"/>
      <c r="AZ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52" ht="13" customHeight="1">
      <c r="A673" s="22"/>
      <c r="B673" t="s">
        <v>20</v>
      </c>
      <c r="N673" s="1446" t="s">
        <v>544</v>
      </c>
      <c r="O673" s="1446"/>
      <c r="T673" s="22"/>
      <c r="U673" t="s">
        <v>20</v>
      </c>
      <c r="AG673" s="1446" t="s">
        <v>544</v>
      </c>
      <c r="AH673" s="1446"/>
      <c r="AZ673" s="3"/>
    </row>
    <row r="674" spans="1:52" ht="13" customHeight="1">
      <c r="A674" s="22"/>
      <c r="T674" s="22"/>
      <c r="AZ674" s="3"/>
    </row>
    <row r="675" spans="1:52" ht="13" customHeight="1">
      <c r="A675" s="55" t="s">
        <v>460</v>
      </c>
      <c r="B675" t="s">
        <v>462</v>
      </c>
      <c r="G675" s="1476">
        <f>C635</f>
        <v>0</v>
      </c>
      <c r="H675" s="1476"/>
      <c r="I675" s="1476"/>
      <c r="J675" s="1476"/>
      <c r="K675" s="1476"/>
      <c r="L675" s="1476"/>
      <c r="M675" s="1476"/>
      <c r="N675" s="1476"/>
      <c r="O675" s="1476"/>
      <c r="P675" s="1476"/>
      <c r="Q675" s="1476"/>
      <c r="R675" s="1476"/>
      <c r="T675" s="55" t="s">
        <v>645</v>
      </c>
      <c r="U675" t="s">
        <v>462</v>
      </c>
      <c r="Z675" s="1476">
        <f>C636</f>
        <v>0</v>
      </c>
      <c r="AA675" s="1476"/>
      <c r="AB675" s="1476"/>
      <c r="AC675" s="1476"/>
      <c r="AD675" s="1476"/>
      <c r="AE675" s="1476"/>
      <c r="AF675" s="1476"/>
      <c r="AG675" s="1476"/>
      <c r="AH675" s="1476"/>
      <c r="AI675" s="1476"/>
      <c r="AJ675" s="1476"/>
      <c r="AK675" s="1476"/>
      <c r="AZ675" s="3"/>
    </row>
    <row r="676" spans="1:52" ht="13" customHeight="1">
      <c r="A676" s="22"/>
      <c r="B676" t="s">
        <v>85</v>
      </c>
      <c r="G676" s="1352"/>
      <c r="H676" s="1352"/>
      <c r="I676" s="1352"/>
      <c r="J676" s="1352"/>
      <c r="K676" s="1352"/>
      <c r="L676" s="1352"/>
      <c r="M676" s="1352"/>
      <c r="N676" s="1352"/>
      <c r="O676" s="1352"/>
      <c r="P676" s="1352"/>
      <c r="Q676" s="1352"/>
      <c r="R676" s="1352"/>
      <c r="T676" s="22"/>
      <c r="U676" t="s">
        <v>85</v>
      </c>
      <c r="Z676" s="1352"/>
      <c r="AA676" s="1352"/>
      <c r="AB676" s="1352"/>
      <c r="AC676" s="1352"/>
      <c r="AD676" s="1352"/>
      <c r="AE676" s="1352"/>
      <c r="AF676" s="1352"/>
      <c r="AG676" s="1352"/>
      <c r="AH676" s="1352"/>
      <c r="AI676" s="1352"/>
      <c r="AJ676" s="1352"/>
      <c r="AK676" s="1352"/>
      <c r="AZ676" s="3"/>
    </row>
    <row r="677" spans="1:52" ht="13" customHeight="1">
      <c r="A677" s="22"/>
      <c r="B677" t="s">
        <v>579</v>
      </c>
      <c r="G677" s="1352"/>
      <c r="H677" s="1352"/>
      <c r="I677" s="1352"/>
      <c r="J677" s="1352"/>
      <c r="K677" s="1352"/>
      <c r="L677" s="1352"/>
      <c r="M677" s="1352"/>
      <c r="N677" s="1352"/>
      <c r="O677" s="1352"/>
      <c r="P677" s="1352"/>
      <c r="Q677" s="1352"/>
      <c r="R677" s="1352"/>
      <c r="T677" s="22"/>
      <c r="U677" t="s">
        <v>579</v>
      </c>
      <c r="Z677" s="1351"/>
      <c r="AA677" s="1351"/>
      <c r="AB677" s="1351"/>
      <c r="AC677" s="1351"/>
      <c r="AD677" s="1351"/>
      <c r="AE677" s="1351"/>
      <c r="AF677" s="1351"/>
      <c r="AG677" s="1351"/>
      <c r="AH677" s="1351"/>
      <c r="AI677" s="1351"/>
      <c r="AJ677" s="1351"/>
      <c r="AK677" s="1351"/>
      <c r="AZ677" s="3"/>
    </row>
    <row r="678" spans="1:52" ht="13" customHeight="1">
      <c r="A678" s="22"/>
      <c r="B678" t="s">
        <v>17</v>
      </c>
      <c r="G678" s="1352"/>
      <c r="H678" s="1352"/>
      <c r="I678" s="1352"/>
      <c r="J678" s="1352"/>
      <c r="K678" s="1352"/>
      <c r="L678" s="1352"/>
      <c r="M678" s="1352"/>
      <c r="N678" s="1352"/>
      <c r="O678" s="1352"/>
      <c r="P678" s="1352"/>
      <c r="Q678" s="1352"/>
      <c r="R678" s="1352"/>
      <c r="T678" s="22"/>
      <c r="U678" t="s">
        <v>17</v>
      </c>
      <c r="Z678" s="1351"/>
      <c r="AA678" s="1351"/>
      <c r="AB678" s="1351"/>
      <c r="AC678" s="1351"/>
      <c r="AD678" s="1351"/>
      <c r="AE678" s="1351"/>
      <c r="AF678" s="1351"/>
      <c r="AG678" s="1351"/>
      <c r="AH678" s="1351"/>
      <c r="AI678" s="1351"/>
      <c r="AJ678" s="1351"/>
      <c r="AK678" s="1351"/>
      <c r="AZ678" s="3"/>
    </row>
    <row r="679" spans="1:52" ht="13" customHeight="1">
      <c r="A679" s="22"/>
      <c r="B679" t="s">
        <v>315</v>
      </c>
      <c r="G679" s="1448"/>
      <c r="H679" s="1448"/>
      <c r="I679" s="1448"/>
      <c r="J679" s="1448"/>
      <c r="K679" s="1448"/>
      <c r="L679" s="1448"/>
      <c r="O679" s="33" t="s">
        <v>205</v>
      </c>
      <c r="P679" s="1490"/>
      <c r="Q679" s="1490"/>
      <c r="R679" s="1490"/>
      <c r="T679" s="22"/>
      <c r="U679" t="s">
        <v>315</v>
      </c>
      <c r="Z679" s="1448"/>
      <c r="AA679" s="1448"/>
      <c r="AB679" s="1448"/>
      <c r="AC679" s="1448"/>
      <c r="AD679" s="1448"/>
      <c r="AE679" s="1448"/>
      <c r="AH679" s="33" t="s">
        <v>205</v>
      </c>
      <c r="AI679" s="1490"/>
      <c r="AJ679" s="1490"/>
      <c r="AK679" s="1490"/>
      <c r="AZ679" s="3"/>
    </row>
    <row r="680" spans="1:52" ht="13" customHeight="1">
      <c r="A680" s="22"/>
      <c r="B680" t="s">
        <v>18</v>
      </c>
      <c r="H680" s="1352"/>
      <c r="I680" s="1352"/>
      <c r="J680" s="1352"/>
      <c r="K680" s="1352"/>
      <c r="L680" s="1352"/>
      <c r="M680" s="1352"/>
      <c r="N680" s="1352"/>
      <c r="O680" s="1352"/>
      <c r="P680" s="1352"/>
      <c r="Q680" s="1352"/>
      <c r="R680" s="1352"/>
      <c r="T680" s="22"/>
      <c r="U680" t="s">
        <v>18</v>
      </c>
      <c r="AA680" s="1352"/>
      <c r="AB680" s="1352"/>
      <c r="AC680" s="1352"/>
      <c r="AD680" s="1352"/>
      <c r="AE680" s="1352"/>
      <c r="AF680" s="1352"/>
      <c r="AG680" s="1352"/>
      <c r="AH680" s="1352"/>
      <c r="AI680" s="1352"/>
      <c r="AJ680" s="1352"/>
      <c r="AK680" s="1352"/>
      <c r="AZ680" s="3"/>
    </row>
    <row r="681" spans="1:52" ht="13" customHeight="1">
      <c r="A681" s="22"/>
      <c r="B681" t="s">
        <v>20</v>
      </c>
      <c r="N681" s="1446" t="s">
        <v>668</v>
      </c>
      <c r="O681" s="1446"/>
      <c r="T681" s="22"/>
      <c r="U681" t="s">
        <v>20</v>
      </c>
      <c r="AG681" s="1446" t="s">
        <v>668</v>
      </c>
      <c r="AH681" s="1446"/>
      <c r="AZ681" s="3"/>
    </row>
    <row r="682" spans="1:52" ht="13" customHeight="1">
      <c r="A682" s="22"/>
      <c r="T682" s="22"/>
      <c r="AZ682" s="3"/>
    </row>
    <row r="683" spans="1:52" ht="13" customHeight="1">
      <c r="A683" s="55" t="s">
        <v>361</v>
      </c>
      <c r="B683" t="s">
        <v>462</v>
      </c>
      <c r="G683" s="1476">
        <f>C637</f>
        <v>0</v>
      </c>
      <c r="H683" s="1476"/>
      <c r="I683" s="1476"/>
      <c r="J683" s="1476"/>
      <c r="K683" s="1476"/>
      <c r="L683" s="1476"/>
      <c r="M683" s="1476"/>
      <c r="N683" s="1476"/>
      <c r="O683" s="1476"/>
      <c r="P683" s="1476"/>
      <c r="Q683" s="1476"/>
      <c r="R683" s="1476"/>
      <c r="T683" s="55" t="s">
        <v>362</v>
      </c>
      <c r="U683" t="s">
        <v>462</v>
      </c>
      <c r="Z683" s="1476">
        <f>C638</f>
        <v>0</v>
      </c>
      <c r="AA683" s="1476"/>
      <c r="AB683" s="1476"/>
      <c r="AC683" s="1476"/>
      <c r="AD683" s="1476"/>
      <c r="AE683" s="1476"/>
      <c r="AF683" s="1476"/>
      <c r="AG683" s="1476"/>
      <c r="AH683" s="1476"/>
      <c r="AI683" s="1476"/>
      <c r="AJ683" s="1476"/>
      <c r="AK683" s="1476"/>
      <c r="AZ683" s="3"/>
    </row>
    <row r="684" spans="1:52" ht="13" customHeight="1">
      <c r="B684" t="s">
        <v>85</v>
      </c>
      <c r="G684" s="1352"/>
      <c r="H684" s="1352"/>
      <c r="I684" s="1352"/>
      <c r="J684" s="1352"/>
      <c r="K684" s="1352"/>
      <c r="L684" s="1352"/>
      <c r="M684" s="1352"/>
      <c r="N684" s="1352"/>
      <c r="O684" s="1352"/>
      <c r="P684" s="1352"/>
      <c r="Q684" s="1352"/>
      <c r="R684" s="1352"/>
      <c r="T684" s="22"/>
      <c r="U684" t="s">
        <v>85</v>
      </c>
      <c r="Z684" s="1352"/>
      <c r="AA684" s="1352"/>
      <c r="AB684" s="1352"/>
      <c r="AC684" s="1352"/>
      <c r="AD684" s="1352"/>
      <c r="AE684" s="1352"/>
      <c r="AF684" s="1352"/>
      <c r="AG684" s="1352"/>
      <c r="AH684" s="1352"/>
      <c r="AI684" s="1352"/>
      <c r="AJ684" s="1352"/>
      <c r="AK684" s="1352"/>
      <c r="AZ684" s="3"/>
    </row>
    <row r="685" spans="1:52" ht="13" customHeight="1">
      <c r="B685" t="s">
        <v>579</v>
      </c>
      <c r="G685" s="1352"/>
      <c r="H685" s="1352"/>
      <c r="I685" s="1352"/>
      <c r="J685" s="1352"/>
      <c r="K685" s="1352"/>
      <c r="L685" s="1352"/>
      <c r="M685" s="1352"/>
      <c r="N685" s="1352"/>
      <c r="O685" s="1352"/>
      <c r="P685" s="1352"/>
      <c r="Q685" s="1352"/>
      <c r="R685" s="1352"/>
      <c r="U685" t="s">
        <v>579</v>
      </c>
      <c r="Z685" s="1351"/>
      <c r="AA685" s="1351"/>
      <c r="AB685" s="1351"/>
      <c r="AC685" s="1351"/>
      <c r="AD685" s="1351"/>
      <c r="AE685" s="1351"/>
      <c r="AF685" s="1351"/>
      <c r="AG685" s="1351"/>
      <c r="AH685" s="1351"/>
      <c r="AI685" s="1351"/>
      <c r="AJ685" s="1351"/>
      <c r="AK685" s="1351"/>
      <c r="AZ685" s="3"/>
    </row>
    <row r="686" spans="1:52" ht="13" customHeight="1">
      <c r="B686" t="s">
        <v>17</v>
      </c>
      <c r="G686" s="1352"/>
      <c r="H686" s="1352"/>
      <c r="I686" s="1352"/>
      <c r="J686" s="1352"/>
      <c r="K686" s="1352"/>
      <c r="L686" s="1352"/>
      <c r="M686" s="1352"/>
      <c r="N686" s="1352"/>
      <c r="O686" s="1352"/>
      <c r="P686" s="1352"/>
      <c r="Q686" s="1352"/>
      <c r="R686" s="1352"/>
      <c r="U686" t="s">
        <v>17</v>
      </c>
      <c r="Z686" s="1351"/>
      <c r="AA686" s="1351"/>
      <c r="AB686" s="1351"/>
      <c r="AC686" s="1351"/>
      <c r="AD686" s="1351"/>
      <c r="AE686" s="1351"/>
      <c r="AF686" s="1351"/>
      <c r="AG686" s="1351"/>
      <c r="AH686" s="1351"/>
      <c r="AI686" s="1351"/>
      <c r="AJ686" s="1351"/>
      <c r="AK686" s="1351"/>
      <c r="AZ686" s="3"/>
    </row>
    <row r="687" spans="1:52" ht="13" customHeight="1">
      <c r="B687" t="s">
        <v>315</v>
      </c>
      <c r="G687" s="1448"/>
      <c r="H687" s="1448"/>
      <c r="I687" s="1448"/>
      <c r="J687" s="1448"/>
      <c r="K687" s="1448"/>
      <c r="L687" s="1448"/>
      <c r="O687" s="33" t="s">
        <v>205</v>
      </c>
      <c r="P687" s="1490"/>
      <c r="Q687" s="1490"/>
      <c r="R687" s="1490"/>
      <c r="U687" t="s">
        <v>315</v>
      </c>
      <c r="Z687" s="1448"/>
      <c r="AA687" s="1448"/>
      <c r="AB687" s="1448"/>
      <c r="AC687" s="1448"/>
      <c r="AD687" s="1448"/>
      <c r="AE687" s="1448"/>
      <c r="AH687" s="33" t="s">
        <v>205</v>
      </c>
      <c r="AI687" s="1490"/>
      <c r="AJ687" s="1490"/>
      <c r="AK687" s="1490"/>
      <c r="AZ687" s="3"/>
    </row>
    <row r="688" spans="1:52" ht="13" customHeight="1">
      <c r="B688" t="s">
        <v>18</v>
      </c>
      <c r="H688" s="1352"/>
      <c r="I688" s="1352"/>
      <c r="J688" s="1352"/>
      <c r="K688" s="1352"/>
      <c r="L688" s="1352"/>
      <c r="M688" s="1352"/>
      <c r="N688" s="1352"/>
      <c r="O688" s="1352"/>
      <c r="P688" s="1352"/>
      <c r="Q688" s="1352"/>
      <c r="R688" s="1352"/>
      <c r="U688" t="s">
        <v>18</v>
      </c>
      <c r="AA688" s="1352"/>
      <c r="AB688" s="1352"/>
      <c r="AC688" s="1352"/>
      <c r="AD688" s="1352"/>
      <c r="AE688" s="1352"/>
      <c r="AF688" s="1352"/>
      <c r="AG688" s="1352"/>
      <c r="AH688" s="1352"/>
      <c r="AI688" s="1352"/>
      <c r="AJ688" s="1352"/>
      <c r="AK688" s="1352"/>
      <c r="AZ688" s="3"/>
    </row>
    <row r="689" spans="1:67" ht="13" customHeight="1">
      <c r="B689" t="s">
        <v>20</v>
      </c>
      <c r="N689" s="1446" t="s">
        <v>668</v>
      </c>
      <c r="O689" s="1446"/>
      <c r="U689" t="s">
        <v>20</v>
      </c>
      <c r="AG689" s="1446" t="s">
        <v>668</v>
      </c>
      <c r="AH689" s="1446"/>
      <c r="AZ689" s="3"/>
    </row>
    <row r="690" spans="1:67" ht="13" customHeight="1">
      <c r="AZ690" s="3"/>
    </row>
    <row r="691" spans="1:67" ht="13" customHeight="1">
      <c r="A691" s="2" t="s">
        <v>575</v>
      </c>
      <c r="C691" s="2" t="s">
        <v>326</v>
      </c>
      <c r="E691" s="130"/>
      <c r="F691" s="130"/>
      <c r="G691" s="130"/>
      <c r="H691" s="130"/>
      <c r="AZ691" s="3"/>
    </row>
    <row r="692" spans="1:67" ht="13" customHeight="1">
      <c r="B692" s="135"/>
      <c r="C692" s="135"/>
      <c r="D692" s="136" t="s">
        <v>433</v>
      </c>
      <c r="E692" s="135"/>
      <c r="F692" s="135"/>
      <c r="G692" s="135"/>
      <c r="H692" s="135"/>
      <c r="AZ692" s="3"/>
    </row>
    <row r="693" spans="1:67" ht="13" customHeight="1">
      <c r="B693" s="135"/>
      <c r="C693" s="135"/>
      <c r="E693" s="136" t="s">
        <v>434</v>
      </c>
      <c r="F693" s="135"/>
      <c r="G693" s="135"/>
      <c r="H693" s="135"/>
      <c r="AE693" s="1446" t="s">
        <v>544</v>
      </c>
      <c r="AF693" s="1446"/>
      <c r="AZ693" s="3"/>
    </row>
    <row r="694" spans="1:67" ht="13" customHeight="1">
      <c r="B694" s="135"/>
      <c r="C694" s="135"/>
      <c r="D694" s="136" t="s">
        <v>437</v>
      </c>
      <c r="E694" s="135"/>
      <c r="F694" s="135"/>
      <c r="G694" s="135"/>
      <c r="H694" s="135"/>
      <c r="AE694" s="1446" t="s">
        <v>544</v>
      </c>
      <c r="AF694" s="1446"/>
      <c r="AZ694" s="3"/>
    </row>
    <row r="695" spans="1:67" ht="13" customHeight="1">
      <c r="B695" s="135"/>
      <c r="C695" s="135"/>
      <c r="D695" s="136" t="s">
        <v>919</v>
      </c>
      <c r="E695" s="135"/>
      <c r="F695" s="135"/>
      <c r="G695" s="135"/>
      <c r="H695" s="135"/>
      <c r="AE695" s="1526">
        <v>45685</v>
      </c>
      <c r="AF695" s="1526"/>
      <c r="AG695" s="1526"/>
      <c r="AH695" s="1526"/>
      <c r="AI695" s="1526"/>
    </row>
    <row r="696" spans="1:67" ht="13" customHeight="1">
      <c r="B696" s="135"/>
      <c r="C696" s="135"/>
      <c r="D696" s="318" t="s">
        <v>982</v>
      </c>
      <c r="E696" s="135"/>
      <c r="F696" s="135"/>
      <c r="G696" s="135"/>
      <c r="H696" s="135"/>
      <c r="AE696" s="1670">
        <v>45755</v>
      </c>
      <c r="AF696" s="1670"/>
      <c r="AG696" s="1670"/>
      <c r="AH696" s="1670"/>
      <c r="AI696" s="1670"/>
    </row>
    <row r="697" spans="1:67" ht="13" customHeight="1">
      <c r="B697" s="135"/>
      <c r="C697" s="135"/>
    </row>
    <row r="698" spans="1:67" ht="13" customHeight="1">
      <c r="B698" s="135"/>
      <c r="C698" s="135"/>
      <c r="D698" s="136" t="s">
        <v>815</v>
      </c>
      <c r="E698" s="135"/>
      <c r="F698" s="135"/>
      <c r="G698" s="135"/>
      <c r="H698" s="135"/>
      <c r="AE698" s="1526">
        <v>45901</v>
      </c>
      <c r="AF698" s="1526"/>
      <c r="AG698" s="1526"/>
      <c r="AH698" s="1526"/>
      <c r="AI698" s="1526"/>
    </row>
    <row r="699" spans="1:67" ht="13" customHeight="1">
      <c r="B699" s="135"/>
      <c r="C699" s="135"/>
      <c r="D699" s="136" t="s">
        <v>435</v>
      </c>
      <c r="E699" s="135"/>
      <c r="F699" s="135"/>
      <c r="G699" s="135"/>
      <c r="H699" s="135"/>
      <c r="AE699" s="1691">
        <v>0.53</v>
      </c>
      <c r="AF699" s="1691"/>
      <c r="AG699" s="1691"/>
      <c r="AH699" s="1691"/>
      <c r="AI699" s="1691"/>
    </row>
    <row r="700" spans="1:67" ht="13" customHeight="1">
      <c r="B700" s="135"/>
      <c r="C700" s="135"/>
      <c r="D700" s="136" t="s">
        <v>436</v>
      </c>
      <c r="E700" s="135"/>
      <c r="F700" s="135"/>
      <c r="G700" s="135"/>
      <c r="H700" s="135"/>
      <c r="W700" s="1476" t="str">
        <f>H335</f>
        <v>California Municipal Finance Authority</v>
      </c>
      <c r="X700" s="1476"/>
      <c r="Y700" s="1476"/>
      <c r="Z700" s="1476"/>
      <c r="AA700" s="1476"/>
      <c r="AB700" s="1476"/>
      <c r="AC700" s="1476"/>
      <c r="AD700" s="1476"/>
      <c r="AE700" s="1476"/>
      <c r="AF700" s="1476"/>
      <c r="AG700" s="1476"/>
      <c r="AH700" s="1476"/>
      <c r="AI700" s="1476"/>
      <c r="AJ700" s="1476"/>
      <c r="AK700" s="1476"/>
    </row>
    <row r="701" spans="1:67" ht="13" customHeight="1">
      <c r="B701" s="135"/>
      <c r="C701" s="135"/>
      <c r="D701" s="136"/>
      <c r="E701" s="135"/>
      <c r="F701" s="135"/>
      <c r="G701" s="135"/>
      <c r="H701" s="135"/>
    </row>
    <row r="702" spans="1:67" ht="13" customHeight="1">
      <c r="B702" s="135"/>
      <c r="C702" s="135"/>
      <c r="D702" s="136" t="s">
        <v>438</v>
      </c>
      <c r="E702" s="135"/>
      <c r="F702" s="135"/>
      <c r="G702" s="135"/>
      <c r="H702" s="135"/>
      <c r="AE702" s="1446" t="s">
        <v>668</v>
      </c>
      <c r="AF702" s="1446"/>
      <c r="AZ702" s="4" t="s">
        <v>323</v>
      </c>
    </row>
    <row r="703" spans="1:67" ht="13" customHeight="1">
      <c r="B703" s="135"/>
      <c r="C703" s="135"/>
      <c r="D703" s="136" t="s">
        <v>441</v>
      </c>
      <c r="E703" s="135"/>
      <c r="F703" s="135"/>
      <c r="G703" s="135"/>
      <c r="H703" s="135"/>
      <c r="W703" s="1352"/>
      <c r="X703" s="1352"/>
      <c r="Y703" s="1352"/>
      <c r="Z703" s="1352"/>
      <c r="AA703" s="1352"/>
      <c r="AB703" s="1352"/>
      <c r="AC703" s="1352"/>
      <c r="AD703" s="1352"/>
      <c r="AE703" s="1352"/>
      <c r="AF703" s="1352"/>
      <c r="AG703" s="1352"/>
      <c r="AH703" s="1352"/>
      <c r="AI703" s="1352"/>
      <c r="AJ703" s="1352"/>
      <c r="AK703" s="1352"/>
      <c r="AZ703" s="4" t="s">
        <v>324</v>
      </c>
    </row>
    <row r="704" spans="1:67" ht="13" customHeight="1">
      <c r="B704" s="135"/>
      <c r="C704" s="135"/>
      <c r="D704" s="136" t="s">
        <v>87</v>
      </c>
      <c r="E704" s="135"/>
      <c r="F704" s="135"/>
      <c r="G704" s="135"/>
      <c r="H704" s="135"/>
      <c r="J704" s="1352"/>
      <c r="K704" s="1352"/>
      <c r="L704" s="1352"/>
      <c r="M704" s="1352"/>
      <c r="N704" s="1352"/>
      <c r="O704" s="1352"/>
      <c r="P704" s="1352"/>
      <c r="Q704" s="1352"/>
      <c r="R704" s="1352"/>
      <c r="S704" s="1352"/>
      <c r="T704" s="1352"/>
      <c r="U704" s="1352"/>
      <c r="V704" s="1352"/>
      <c r="W704" s="1352"/>
      <c r="X704" s="1352"/>
      <c r="AZ704" s="4" t="s">
        <v>163</v>
      </c>
      <c r="BB704" s="34"/>
      <c r="BC704" s="34"/>
      <c r="BD704" s="34"/>
      <c r="BE704" s="3"/>
      <c r="BF704" s="3"/>
      <c r="BJ704" s="3"/>
      <c r="BK704" s="3"/>
      <c r="BL704" s="3"/>
      <c r="BM704" s="3"/>
      <c r="BN704" s="34"/>
      <c r="BO704" s="34"/>
    </row>
    <row r="705" spans="1:185" ht="13" customHeight="1">
      <c r="B705" s="135"/>
      <c r="C705" s="135"/>
      <c r="D705" s="136" t="s">
        <v>88</v>
      </c>
      <c r="J705" s="1448"/>
      <c r="K705" s="1448"/>
      <c r="L705" s="1448"/>
      <c r="M705" s="1448"/>
      <c r="N705" s="1448"/>
      <c r="O705" s="1448"/>
      <c r="P705" s="4" t="s">
        <v>205</v>
      </c>
      <c r="Q705" s="4"/>
      <c r="R705" s="1490"/>
      <c r="S705" s="1490"/>
      <c r="T705" s="1490"/>
      <c r="AZ705" s="4" t="s">
        <v>164</v>
      </c>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85" ht="13" customHeight="1">
      <c r="B706" s="135"/>
      <c r="C706" s="135"/>
      <c r="D706" s="136" t="s">
        <v>442</v>
      </c>
      <c r="W706" s="1352" t="s">
        <v>306</v>
      </c>
      <c r="X706" s="1352"/>
      <c r="Y706" s="1352"/>
      <c r="Z706" s="1352"/>
      <c r="AA706" s="1352"/>
      <c r="AB706" s="1352"/>
      <c r="AC706" s="1352"/>
      <c r="AD706" s="1352"/>
      <c r="AE706" s="1352"/>
      <c r="AF706" s="1352"/>
      <c r="AG706" s="1352"/>
      <c r="AH706" s="1352"/>
      <c r="AI706" s="1352"/>
      <c r="AJ706" s="1352"/>
      <c r="AK706" s="1352"/>
      <c r="AZ706" s="4" t="s">
        <v>165</v>
      </c>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85" ht="13" customHeight="1">
      <c r="B707" s="135"/>
      <c r="C707" s="135"/>
      <c r="D707" s="136"/>
      <c r="E707" s="1352" t="s">
        <v>333</v>
      </c>
      <c r="F707" s="1352"/>
      <c r="G707" s="1352"/>
      <c r="H707" s="1352"/>
      <c r="I707" s="1352"/>
      <c r="J707" s="1352"/>
      <c r="K707" s="1352"/>
      <c r="L707" s="1352"/>
      <c r="M707" s="1352"/>
      <c r="N707" s="1352"/>
      <c r="O707" s="1352"/>
      <c r="P707" s="1352"/>
      <c r="Q707" s="1352"/>
      <c r="R707" s="1352"/>
      <c r="S707" s="1352"/>
      <c r="T707" s="1352"/>
      <c r="U707" s="1352"/>
      <c r="V707" s="1352"/>
      <c r="W707" s="1352"/>
      <c r="X707" s="1352"/>
      <c r="Y707" s="1352"/>
      <c r="Z707" s="1352"/>
      <c r="AA707" s="1352"/>
      <c r="AB707" s="1352"/>
      <c r="AC707" s="1352"/>
      <c r="AD707" s="1352"/>
      <c r="AE707" s="1352"/>
      <c r="AF707" s="1352"/>
      <c r="AG707" s="1352"/>
      <c r="AH707" s="1352"/>
      <c r="AI707" s="1352"/>
      <c r="AJ707" s="1352"/>
      <c r="AK707" s="1352"/>
      <c r="AZ707" s="4" t="s">
        <v>30</v>
      </c>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85" ht="13"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85" ht="13" customHeight="1">
      <c r="A709" s="1280" t="s">
        <v>95</v>
      </c>
      <c r="B709" s="1280"/>
      <c r="C709" s="1280"/>
      <c r="D709" s="1280"/>
      <c r="E709" s="1280"/>
      <c r="F709" s="1280"/>
      <c r="G709" s="1280"/>
      <c r="H709" s="1280"/>
      <c r="I709" s="1280"/>
      <c r="J709" s="1280"/>
      <c r="K709" s="1280"/>
      <c r="L709" s="1280"/>
      <c r="M709" s="1280"/>
      <c r="N709" s="1280"/>
      <c r="O709" s="1280"/>
      <c r="P709" s="1280"/>
      <c r="Q709" s="1280"/>
      <c r="R709" s="1280"/>
      <c r="S709" s="1280"/>
      <c r="T709" s="1280"/>
      <c r="U709" s="1280"/>
      <c r="V709" s="1280"/>
      <c r="W709" s="1280"/>
      <c r="X709" s="1280"/>
      <c r="Y709" s="1280"/>
      <c r="Z709" s="1280"/>
      <c r="AA709" s="1280"/>
      <c r="AB709" s="1280"/>
      <c r="AC709" s="1280"/>
      <c r="AD709" s="1280"/>
      <c r="AE709" s="1280"/>
      <c r="AF709" s="1280"/>
      <c r="AG709" s="1280"/>
      <c r="AH709" s="1280"/>
      <c r="AI709" s="1280"/>
      <c r="AJ709" s="1280"/>
      <c r="AK709" s="1280"/>
      <c r="AL709" s="1280"/>
      <c r="AM709" s="1280"/>
      <c r="AN709" s="1280"/>
      <c r="AO709" s="1280"/>
      <c r="AP709" s="1280"/>
      <c r="AQ709" s="1280"/>
      <c r="AR709" s="1280"/>
      <c r="AS709" s="1280"/>
      <c r="AT709" s="1280"/>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85" ht="13" customHeight="1">
      <c r="A710" s="1280"/>
      <c r="B710" s="1280"/>
      <c r="C710" s="1280"/>
      <c r="D710" s="1280"/>
      <c r="E710" s="1280"/>
      <c r="F710" s="1280"/>
      <c r="G710" s="1280"/>
      <c r="H710" s="1280"/>
      <c r="I710" s="1280"/>
      <c r="J710" s="1280"/>
      <c r="K710" s="1280"/>
      <c r="L710" s="1280"/>
      <c r="M710" s="1280"/>
      <c r="N710" s="1280"/>
      <c r="O710" s="1280"/>
      <c r="P710" s="1280"/>
      <c r="Q710" s="1280"/>
      <c r="R710" s="1280"/>
      <c r="S710" s="1280"/>
      <c r="T710" s="1280"/>
      <c r="U710" s="1280"/>
      <c r="V710" s="1280"/>
      <c r="W710" s="1280"/>
      <c r="X710" s="1280"/>
      <c r="Y710" s="1280"/>
      <c r="Z710" s="1280"/>
      <c r="AA710" s="1280"/>
      <c r="AB710" s="1280"/>
      <c r="AC710" s="1280"/>
      <c r="AD710" s="1280"/>
      <c r="AE710" s="1280"/>
      <c r="AF710" s="1280"/>
      <c r="AG710" s="1280"/>
      <c r="AH710" s="1280"/>
      <c r="AI710" s="1280"/>
      <c r="AJ710" s="1280"/>
      <c r="AK710" s="1280"/>
      <c r="AL710" s="1280"/>
      <c r="AM710" s="1280"/>
      <c r="AN710" s="1280"/>
      <c r="AO710" s="1280"/>
      <c r="AP710" s="1280"/>
      <c r="AQ710" s="1280"/>
      <c r="AR710" s="1280"/>
      <c r="AS710" s="1280"/>
      <c r="AT710" s="1280"/>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85" ht="13" customHeight="1">
      <c r="A711" s="1280"/>
      <c r="B711" s="1280"/>
      <c r="C711" s="1280"/>
      <c r="D711" s="1280"/>
      <c r="E711" s="1280"/>
      <c r="F711" s="1280"/>
      <c r="G711" s="1280"/>
      <c r="H711" s="1280"/>
      <c r="I711" s="1280"/>
      <c r="J711" s="1280"/>
      <c r="K711" s="1280"/>
      <c r="L711" s="1280"/>
      <c r="M711" s="1280"/>
      <c r="N711" s="1280"/>
      <c r="O711" s="1280"/>
      <c r="P711" s="1280"/>
      <c r="Q711" s="1280"/>
      <c r="R711" s="1280"/>
      <c r="S711" s="1280"/>
      <c r="T711" s="1280"/>
      <c r="U711" s="1280"/>
      <c r="V711" s="1280"/>
      <c r="W711" s="1280"/>
      <c r="X711" s="1280"/>
      <c r="Y711" s="1280"/>
      <c r="Z711" s="1280"/>
      <c r="AA711" s="1280"/>
      <c r="AB711" s="1280"/>
      <c r="AC711" s="1280"/>
      <c r="AD711" s="1280"/>
      <c r="AE711" s="1280"/>
      <c r="AF711" s="1280"/>
      <c r="AG711" s="1280"/>
      <c r="AH711" s="1280"/>
      <c r="AI711" s="1280"/>
      <c r="AJ711" s="1280"/>
      <c r="AK711" s="1280"/>
      <c r="AL711" s="1280"/>
      <c r="AM711" s="1280"/>
      <c r="AN711" s="1280"/>
      <c r="AO711" s="1280"/>
      <c r="AP711" s="1280"/>
      <c r="AQ711" s="1280"/>
      <c r="AR711" s="1280"/>
      <c r="AS711" s="1280"/>
      <c r="AT711" s="1280"/>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85" ht="13" customHeight="1">
      <c r="A712" s="2" t="s">
        <v>318</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85" ht="13" customHeight="1">
      <c r="A713" s="2"/>
      <c r="B713" s="513"/>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85" ht="13" customHeight="1">
      <c r="B714" s="1610" t="s">
        <v>388</v>
      </c>
      <c r="C714" s="1611"/>
      <c r="D714" s="1611"/>
      <c r="E714" s="1611"/>
      <c r="F714" s="1612"/>
      <c r="G714" s="1610" t="s">
        <v>284</v>
      </c>
      <c r="H714" s="1611"/>
      <c r="I714" s="1611"/>
      <c r="J714" s="1612"/>
      <c r="K714" s="1496" t="s">
        <v>1678</v>
      </c>
      <c r="L714" s="1497"/>
      <c r="M714" s="1497"/>
      <c r="N714" s="1498"/>
      <c r="O714" s="1610" t="s">
        <v>446</v>
      </c>
      <c r="P714" s="1611"/>
      <c r="Q714" s="1611"/>
      <c r="R714" s="1611"/>
      <c r="S714" s="1612"/>
      <c r="T714" s="1669" t="s">
        <v>1949</v>
      </c>
      <c r="U714" s="1611"/>
      <c r="V714" s="1611"/>
      <c r="W714" s="1612"/>
      <c r="X714" s="1669" t="s">
        <v>1951</v>
      </c>
      <c r="Y714" s="1611"/>
      <c r="Z714" s="1611"/>
      <c r="AA714" s="1611"/>
      <c r="AB714" s="1612"/>
      <c r="AC714" s="1669" t="s">
        <v>1950</v>
      </c>
      <c r="AD714" s="1611"/>
      <c r="AE714" s="1611"/>
      <c r="AF714" s="1611"/>
      <c r="AG714" s="1612"/>
      <c r="AH714" s="1669" t="s">
        <v>1952</v>
      </c>
      <c r="AI714" s="1611"/>
      <c r="AJ714" s="1612"/>
      <c r="AK714" s="1669" t="s">
        <v>1979</v>
      </c>
      <c r="AL714" s="1611"/>
      <c r="AM714" s="1611"/>
      <c r="AN714" s="1611"/>
      <c r="AO714" s="1612"/>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85" ht="13" customHeight="1">
      <c r="B715" s="1613"/>
      <c r="C715" s="1614"/>
      <c r="D715" s="1614"/>
      <c r="E715" s="1614"/>
      <c r="F715" s="1615"/>
      <c r="G715" s="1613"/>
      <c r="H715" s="1614"/>
      <c r="I715" s="1614"/>
      <c r="J715" s="1615"/>
      <c r="K715" s="1499"/>
      <c r="L715" s="1500"/>
      <c r="M715" s="1500"/>
      <c r="N715" s="1501"/>
      <c r="O715" s="1613"/>
      <c r="P715" s="1614"/>
      <c r="Q715" s="1614"/>
      <c r="R715" s="1614"/>
      <c r="S715" s="1615"/>
      <c r="T715" s="1613"/>
      <c r="U715" s="1614"/>
      <c r="V715" s="1614"/>
      <c r="W715" s="1615"/>
      <c r="X715" s="1613"/>
      <c r="Y715" s="1614"/>
      <c r="Z715" s="1614"/>
      <c r="AA715" s="1614"/>
      <c r="AB715" s="1615"/>
      <c r="AC715" s="1613"/>
      <c r="AD715" s="1614"/>
      <c r="AE715" s="1614"/>
      <c r="AF715" s="1614"/>
      <c r="AG715" s="1615"/>
      <c r="AH715" s="1613"/>
      <c r="AI715" s="1614"/>
      <c r="AJ715" s="1615"/>
      <c r="AK715" s="1613"/>
      <c r="AL715" s="1614"/>
      <c r="AM715" s="1614"/>
      <c r="AN715" s="1614"/>
      <c r="AO715" s="1615"/>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85" ht="13" customHeight="1">
      <c r="A716" s="4"/>
      <c r="B716" s="1613"/>
      <c r="C716" s="1614"/>
      <c r="D716" s="1614"/>
      <c r="E716" s="1614"/>
      <c r="F716" s="1615"/>
      <c r="G716" s="1613"/>
      <c r="H716" s="1614"/>
      <c r="I716" s="1614"/>
      <c r="J716" s="1615"/>
      <c r="K716" s="1499"/>
      <c r="L716" s="1500"/>
      <c r="M716" s="1500"/>
      <c r="N716" s="1501"/>
      <c r="O716" s="1613"/>
      <c r="P716" s="1614"/>
      <c r="Q716" s="1614"/>
      <c r="R716" s="1614"/>
      <c r="S716" s="1615"/>
      <c r="T716" s="1613"/>
      <c r="U716" s="1614"/>
      <c r="V716" s="1614"/>
      <c r="W716" s="1615"/>
      <c r="X716" s="1613"/>
      <c r="Y716" s="1614"/>
      <c r="Z716" s="1614"/>
      <c r="AA716" s="1614"/>
      <c r="AB716" s="1615"/>
      <c r="AC716" s="1613"/>
      <c r="AD716" s="1614"/>
      <c r="AE716" s="1614"/>
      <c r="AF716" s="1614"/>
      <c r="AG716" s="1615"/>
      <c r="AH716" s="1613"/>
      <c r="AI716" s="1614"/>
      <c r="AJ716" s="1615"/>
      <c r="AK716" s="1613"/>
      <c r="AL716" s="1614"/>
      <c r="AM716" s="1614"/>
      <c r="AN716" s="1614"/>
      <c r="AO716" s="1615"/>
      <c r="AP716" s="3"/>
      <c r="AQ716" s="3"/>
      <c r="AR716" s="3"/>
      <c r="AS716" s="3"/>
      <c r="BA716" s="3"/>
      <c r="BB716" s="3"/>
      <c r="BC716" s="3"/>
      <c r="BD716" s="3"/>
      <c r="BE716" s="205"/>
      <c r="BF716" s="206" t="s">
        <v>894</v>
      </c>
      <c r="BG716" s="205"/>
      <c r="BH716" s="205"/>
      <c r="BI716" s="3"/>
      <c r="BJ716" s="3"/>
      <c r="BK716" s="3"/>
      <c r="BL716" s="3"/>
      <c r="BM716" s="3"/>
      <c r="BN716" s="3"/>
      <c r="BS716" s="206" t="s">
        <v>1627</v>
      </c>
      <c r="BT716" s="205"/>
      <c r="BU716" s="205"/>
      <c r="CC716" s="3"/>
      <c r="CD716" s="3"/>
      <c r="CE716" s="3"/>
      <c r="CF716" s="3"/>
      <c r="CG716" s="3"/>
      <c r="CH716" s="3"/>
      <c r="CI716" s="3"/>
      <c r="CJ716" s="3"/>
      <c r="CK716" s="3"/>
      <c r="CL716" s="3"/>
      <c r="CM716" s="3"/>
      <c r="CN716" s="3"/>
      <c r="CO716" s="3"/>
      <c r="CP716" s="3" t="s">
        <v>102</v>
      </c>
      <c r="CQ716" s="3"/>
      <c r="CR716" s="3"/>
      <c r="CS716" s="3"/>
      <c r="CT716" s="3"/>
      <c r="CU716" s="3"/>
      <c r="CV716" s="3"/>
      <c r="CW716" s="3"/>
      <c r="CX716" s="3"/>
      <c r="CY716" s="3"/>
      <c r="CZ716" s="3"/>
      <c r="DA716" s="3"/>
      <c r="DB716" s="3"/>
      <c r="DC716" s="3"/>
      <c r="DD716" s="3"/>
      <c r="DE716" s="3"/>
      <c r="DF716" s="3"/>
      <c r="DG716" s="3"/>
      <c r="DH716" s="3"/>
      <c r="DI716" s="3"/>
      <c r="DJ716" s="3"/>
      <c r="DK716" s="3"/>
      <c r="DL716" s="3"/>
      <c r="DM716" s="3"/>
      <c r="DN716" s="3"/>
      <c r="DO716" s="3"/>
      <c r="DP716" s="3"/>
      <c r="DQ716" s="3"/>
      <c r="DR716" s="3"/>
      <c r="DS716" s="3"/>
      <c r="DT716" s="3"/>
      <c r="DU716" s="3" t="s">
        <v>359</v>
      </c>
      <c r="DV716" s="3"/>
      <c r="DW716" s="3"/>
      <c r="DX716" s="3"/>
      <c r="DY716" s="3"/>
      <c r="DZ716" s="3"/>
      <c r="EA716" s="3"/>
      <c r="EB716" s="3"/>
      <c r="EC716" s="3"/>
      <c r="ED716" s="3"/>
      <c r="EE716" s="3"/>
      <c r="EF716" s="3"/>
      <c r="EG716" s="3"/>
      <c r="EH716" s="3"/>
      <c r="EI716" s="3"/>
      <c r="EJ716" s="3"/>
      <c r="EK716" s="3"/>
      <c r="EL716" s="3"/>
      <c r="EM716" s="3"/>
      <c r="EN716" s="3"/>
      <c r="EO716" s="3"/>
      <c r="EP716" s="3"/>
      <c r="EQ716" s="3"/>
      <c r="ER716" s="3"/>
      <c r="ES716" s="3"/>
      <c r="ET716" s="3"/>
      <c r="EU716" s="3"/>
      <c r="EV716" s="3"/>
      <c r="EW716" s="3"/>
      <c r="EX716" s="3"/>
      <c r="EY716" s="4"/>
      <c r="EZ716" s="3" t="s">
        <v>1842</v>
      </c>
      <c r="FA716" s="3"/>
      <c r="FB716" s="3"/>
      <c r="FC716" s="3"/>
      <c r="FD716" s="3"/>
      <c r="FE716" s="3"/>
      <c r="FF716" s="3"/>
      <c r="FG716" s="3"/>
      <c r="FH716" s="3"/>
      <c r="FI716" s="3"/>
      <c r="FJ716" s="3"/>
      <c r="FK716" s="3"/>
      <c r="FL716" s="3"/>
      <c r="FM716" s="3"/>
      <c r="FN716" s="3"/>
      <c r="FO716" s="3"/>
      <c r="FP716" s="3"/>
      <c r="FQ716" s="3"/>
      <c r="FR716" s="3"/>
      <c r="FS716" s="3"/>
      <c r="FT716" s="3"/>
      <c r="FU716" s="3"/>
      <c r="FV716" s="3"/>
      <c r="FW716" s="3"/>
      <c r="FX716" s="3"/>
      <c r="FY716" s="3"/>
      <c r="FZ716" s="3"/>
      <c r="GA716" s="3"/>
      <c r="GB716" s="3"/>
      <c r="GC716" s="3"/>
    </row>
    <row r="717" spans="1:185" ht="13" customHeight="1">
      <c r="A717" s="4"/>
      <c r="B717" s="1616"/>
      <c r="C717" s="1617"/>
      <c r="D717" s="1617"/>
      <c r="E717" s="1617"/>
      <c r="F717" s="1618"/>
      <c r="G717" s="1616"/>
      <c r="H717" s="1617"/>
      <c r="I717" s="1617"/>
      <c r="J717" s="1618"/>
      <c r="K717" s="1499"/>
      <c r="L717" s="1500"/>
      <c r="M717" s="1500"/>
      <c r="N717" s="1501"/>
      <c r="O717" s="1616"/>
      <c r="P717" s="1617"/>
      <c r="Q717" s="1617"/>
      <c r="R717" s="1617"/>
      <c r="S717" s="1618"/>
      <c r="T717" s="1616"/>
      <c r="U717" s="1617"/>
      <c r="V717" s="1617"/>
      <c r="W717" s="1618"/>
      <c r="X717" s="1616"/>
      <c r="Y717" s="1617"/>
      <c r="Z717" s="1617"/>
      <c r="AA717" s="1617"/>
      <c r="AB717" s="1618"/>
      <c r="AC717" s="1616"/>
      <c r="AD717" s="1617"/>
      <c r="AE717" s="1617"/>
      <c r="AF717" s="1617"/>
      <c r="AG717" s="1618"/>
      <c r="AH717" s="1616"/>
      <c r="AI717" s="1617"/>
      <c r="AJ717" s="1618"/>
      <c r="AK717" s="1616"/>
      <c r="AL717" s="1617"/>
      <c r="AM717" s="1617"/>
      <c r="AN717" s="1617"/>
      <c r="AO717" s="1618"/>
      <c r="AP717" s="3"/>
      <c r="AQ717" s="3"/>
      <c r="AR717" s="3"/>
      <c r="AS717" s="3"/>
      <c r="AZ717" s="166" t="s">
        <v>648</v>
      </c>
      <c r="BA717" s="3"/>
      <c r="BB717" s="3"/>
      <c r="BC717" s="3"/>
      <c r="BD717" s="3"/>
      <c r="BE717" s="205"/>
      <c r="BF717" s="292" t="s">
        <v>895</v>
      </c>
      <c r="BG717" s="297" t="s">
        <v>896</v>
      </c>
      <c r="BH717" s="296" t="s">
        <v>897</v>
      </c>
      <c r="BI717" s="3"/>
      <c r="BJ717" s="3"/>
      <c r="BK717" s="3"/>
      <c r="BL717" s="3"/>
      <c r="BM717" s="3"/>
      <c r="BN717" s="3"/>
      <c r="BS717" s="292" t="s">
        <v>895</v>
      </c>
      <c r="BT717" s="297" t="s">
        <v>896</v>
      </c>
      <c r="BU717" s="296" t="s">
        <v>897</v>
      </c>
      <c r="CC717" s="3"/>
      <c r="CD717" s="3"/>
      <c r="CE717" s="3"/>
      <c r="CF717" s="3"/>
      <c r="CG717" s="121" t="s">
        <v>473</v>
      </c>
      <c r="CH717" s="122"/>
      <c r="CI717" s="1345"/>
      <c r="CJ717" s="1347"/>
      <c r="CK717" s="121" t="s">
        <v>474</v>
      </c>
      <c r="CL717" s="122"/>
      <c r="CM717" s="1345"/>
      <c r="CN717" s="1347"/>
      <c r="CO717" s="3"/>
      <c r="CP717" s="1481" t="s">
        <v>632</v>
      </c>
      <c r="CQ717" s="1482"/>
      <c r="CR717" s="1482"/>
      <c r="CS717" s="1482"/>
      <c r="CT717" s="1483"/>
      <c r="CU717" s="1689" t="s">
        <v>324</v>
      </c>
      <c r="CV717" s="1689"/>
      <c r="CW717" s="1689"/>
      <c r="CX717" s="1689"/>
      <c r="CY717" s="1689"/>
      <c r="CZ717" s="1689" t="s">
        <v>163</v>
      </c>
      <c r="DA717" s="1689"/>
      <c r="DB717" s="1689"/>
      <c r="DC717" s="1689"/>
      <c r="DD717" s="1689"/>
      <c r="DE717" s="1689" t="s">
        <v>164</v>
      </c>
      <c r="DF717" s="1689"/>
      <c r="DG717" s="1689"/>
      <c r="DH717" s="1689"/>
      <c r="DI717" s="1689"/>
      <c r="DJ717" s="1689" t="s">
        <v>459</v>
      </c>
      <c r="DK717" s="1689"/>
      <c r="DL717" s="1689"/>
      <c r="DM717" s="1689"/>
      <c r="DN717" s="1689"/>
      <c r="DO717" s="1689" t="s">
        <v>30</v>
      </c>
      <c r="DP717" s="1689"/>
      <c r="DQ717" s="1689"/>
      <c r="DR717" s="1689"/>
      <c r="DS717" s="1689"/>
      <c r="DT717" s="89"/>
      <c r="DU717" s="1689" t="s">
        <v>632</v>
      </c>
      <c r="DV717" s="1689"/>
      <c r="DW717" s="1689"/>
      <c r="DX717" s="1689"/>
      <c r="DY717" s="1689"/>
      <c r="DZ717" s="1689" t="s">
        <v>324</v>
      </c>
      <c r="EA717" s="1689"/>
      <c r="EB717" s="1689"/>
      <c r="EC717" s="1689"/>
      <c r="ED717" s="1689"/>
      <c r="EE717" s="1689" t="s">
        <v>163</v>
      </c>
      <c r="EF717" s="1689"/>
      <c r="EG717" s="1689"/>
      <c r="EH717" s="1689"/>
      <c r="EI717" s="1689"/>
      <c r="EJ717" s="1689" t="s">
        <v>164</v>
      </c>
      <c r="EK717" s="1689"/>
      <c r="EL717" s="1689"/>
      <c r="EM717" s="1689"/>
      <c r="EN717" s="1689"/>
      <c r="EO717" s="1689" t="s">
        <v>459</v>
      </c>
      <c r="EP717" s="1689"/>
      <c r="EQ717" s="1689"/>
      <c r="ER717" s="1689"/>
      <c r="ES717" s="1689"/>
      <c r="ET717" s="1689" t="s">
        <v>30</v>
      </c>
      <c r="EU717" s="1689"/>
      <c r="EV717" s="1689"/>
      <c r="EW717" s="1689"/>
      <c r="EX717" s="1689"/>
      <c r="EY717" s="4"/>
      <c r="EZ717" s="1689" t="s">
        <v>632</v>
      </c>
      <c r="FA717" s="1689"/>
      <c r="FB717" s="1689"/>
      <c r="FC717" s="1689"/>
      <c r="FD717" s="1689"/>
      <c r="FE717" s="1689" t="s">
        <v>324</v>
      </c>
      <c r="FF717" s="1689"/>
      <c r="FG717" s="1689"/>
      <c r="FH717" s="1689"/>
      <c r="FI717" s="1689"/>
      <c r="FJ717" s="1689" t="s">
        <v>163</v>
      </c>
      <c r="FK717" s="1689"/>
      <c r="FL717" s="1689"/>
      <c r="FM717" s="1689"/>
      <c r="FN717" s="1689"/>
      <c r="FO717" s="1689" t="s">
        <v>164</v>
      </c>
      <c r="FP717" s="1689"/>
      <c r="FQ717" s="1689"/>
      <c r="FR717" s="1689"/>
      <c r="FS717" s="1689"/>
      <c r="FT717" s="1689" t="s">
        <v>459</v>
      </c>
      <c r="FU717" s="1689"/>
      <c r="FV717" s="1689"/>
      <c r="FW717" s="1689"/>
      <c r="FX717" s="1689"/>
      <c r="FY717" s="1689" t="s">
        <v>30</v>
      </c>
      <c r="FZ717" s="1689"/>
      <c r="GA717" s="1689"/>
      <c r="GB717" s="1689"/>
      <c r="GC717" s="1689"/>
    </row>
    <row r="718" spans="1:185" ht="13" customHeight="1">
      <c r="A718" s="4"/>
      <c r="B718" s="1365" t="s">
        <v>324</v>
      </c>
      <c r="C718" s="1366"/>
      <c r="D718" s="1366"/>
      <c r="E718" s="1366"/>
      <c r="F718" s="1367"/>
      <c r="G718" s="1597">
        <v>30</v>
      </c>
      <c r="H718" s="1598"/>
      <c r="I718" s="1598"/>
      <c r="J718" s="1599"/>
      <c r="K718" s="1602">
        <v>649</v>
      </c>
      <c r="L718" s="1603"/>
      <c r="M718" s="1603"/>
      <c r="N718" s="1604"/>
      <c r="O718" s="1487">
        <f>780-30</f>
        <v>750</v>
      </c>
      <c r="P718" s="1488"/>
      <c r="Q718" s="1488"/>
      <c r="R718" s="1488"/>
      <c r="S718" s="1489"/>
      <c r="T718" s="1487">
        <v>30</v>
      </c>
      <c r="U718" s="1488"/>
      <c r="V718" s="1488"/>
      <c r="W718" s="1489"/>
      <c r="X718" s="1402">
        <f t="shared" ref="X718:X741" si="8">O718+T718</f>
        <v>780</v>
      </c>
      <c r="Y718" s="1403"/>
      <c r="Z718" s="1403"/>
      <c r="AA718" s="1403"/>
      <c r="AB718" s="1404"/>
      <c r="AC718" s="1502">
        <v>0.3</v>
      </c>
      <c r="AD718" s="1503"/>
      <c r="AE718" s="1503"/>
      <c r="AF718" s="1503"/>
      <c r="AG718" s="1504"/>
      <c r="AH718" s="1484">
        <f>IF($AC718&gt;0,($X718/$AZ718), "")</f>
        <v>0.3</v>
      </c>
      <c r="AI718" s="1485"/>
      <c r="AJ718" s="1486"/>
      <c r="AK718" s="1365" t="s">
        <v>590</v>
      </c>
      <c r="AL718" s="1366"/>
      <c r="AM718" s="1366"/>
      <c r="AN718" s="1366"/>
      <c r="AO718" s="1367"/>
      <c r="AP718" s="3"/>
      <c r="AQ718" s="3"/>
      <c r="AR718" s="3"/>
      <c r="AS718" s="3"/>
      <c r="AZ718" s="118">
        <f>IF($G718=0,"N/A",VLOOKUP($T$189,TC_Rent,(MATCH($B718,bedrooms,FALSE)),FALSE))</f>
        <v>2600</v>
      </c>
      <c r="BA718" s="3"/>
      <c r="BB718" s="3"/>
      <c r="BC718" s="3"/>
      <c r="BD718" s="3"/>
      <c r="BE718" s="205"/>
      <c r="BF718" s="294">
        <f t="shared" ref="BF718:BF752" si="9">G718</f>
        <v>30</v>
      </c>
      <c r="BG718" s="298">
        <f t="shared" ref="BG718:BG752" si="10">IF($BF$753=0,0,BF718/$BF$753)</f>
        <v>0.5</v>
      </c>
      <c r="BH718" s="299">
        <f t="shared" ref="BH718:BH752" si="11">IF(BG718=0,"",BG718*AC718)</f>
        <v>0.15</v>
      </c>
      <c r="BI718" s="3"/>
      <c r="BJ718" s="3"/>
      <c r="BK718" s="3"/>
      <c r="BL718" s="3"/>
      <c r="BM718" s="3"/>
      <c r="BN718" s="3"/>
      <c r="BS718" s="294">
        <f t="shared" ref="BS718:BS752" si="12">G718</f>
        <v>30</v>
      </c>
      <c r="BT718" s="298">
        <f t="shared" ref="BT718:BT752" si="13">IF($BS$753=0,0,BS718/$BS$753)</f>
        <v>0.5</v>
      </c>
      <c r="BU718" s="299">
        <f t="shared" ref="BU718:BU752" si="14">IF(BT718=0,"",BT718*AH718)</f>
        <v>0.15</v>
      </c>
      <c r="CC718" s="3"/>
      <c r="CD718" s="3"/>
      <c r="CE718" s="3"/>
      <c r="CF718" s="3"/>
      <c r="CG718" s="1361">
        <f>IF(AND(AC718&lt;=0.5,AC718&gt;=0.36),1,0)</f>
        <v>0</v>
      </c>
      <c r="CH718" s="1363"/>
      <c r="CI718" s="1345">
        <f>IF(CG718=1,G718,0)</f>
        <v>0</v>
      </c>
      <c r="CJ718" s="1347"/>
      <c r="CK718" s="1361">
        <f t="shared" ref="CK718:CK752" si="15">IF(AND(AC718&lt;=0.35,AC718&gt;0),1,0)</f>
        <v>1</v>
      </c>
      <c r="CL718" s="1363"/>
      <c r="CM718" s="1345">
        <f t="shared" ref="CM718:CM752" si="16">IF(CK718=1,G718,0)</f>
        <v>30</v>
      </c>
      <c r="CN718" s="1347"/>
      <c r="CO718" s="3"/>
      <c r="CP718" s="1342">
        <f t="shared" ref="CP718:CP752" si="17">IF(B718="SRO/Studio",G718,0)</f>
        <v>0</v>
      </c>
      <c r="CQ718" s="1343"/>
      <c r="CR718" s="1343"/>
      <c r="CS718" s="1343"/>
      <c r="CT718" s="1344"/>
      <c r="CU718" s="1364">
        <f t="shared" ref="CU718:CU752" si="18">IF(B718="1 Bedroom",G718,0)</f>
        <v>30</v>
      </c>
      <c r="CV718" s="1364"/>
      <c r="CW718" s="1364"/>
      <c r="CX718" s="1364"/>
      <c r="CY718" s="1364"/>
      <c r="CZ718" s="1364">
        <f t="shared" ref="CZ718:CZ752" si="19">IF(B718="2 Bedrooms",G718,0)</f>
        <v>0</v>
      </c>
      <c r="DA718" s="1364"/>
      <c r="DB718" s="1364"/>
      <c r="DC718" s="1364"/>
      <c r="DD718" s="1364"/>
      <c r="DE718" s="1364">
        <f t="shared" ref="DE718:DE752" si="20">IF(B718="3 Bedrooms",G718,0)</f>
        <v>0</v>
      </c>
      <c r="DF718" s="1364"/>
      <c r="DG718" s="1364"/>
      <c r="DH718" s="1364"/>
      <c r="DI718" s="1364"/>
      <c r="DJ718" s="1364">
        <f t="shared" ref="DJ718:DJ752" si="21">IF(B718="4 Bedrooms",G718,0)</f>
        <v>0</v>
      </c>
      <c r="DK718" s="1364"/>
      <c r="DL718" s="1364"/>
      <c r="DM718" s="1364"/>
      <c r="DN718" s="1364"/>
      <c r="DO718" s="1364">
        <f t="shared" ref="DO718:DO752" si="22">IF(B718="5 Bedrooms",G718,0)</f>
        <v>0</v>
      </c>
      <c r="DP718" s="1364"/>
      <c r="DQ718" s="1364"/>
      <c r="DR718" s="1364"/>
      <c r="DS718" s="1364"/>
      <c r="DT718" s="6"/>
      <c r="DU718" s="1369">
        <f t="shared" ref="DU718:DU752" si="23">IF(AND(B718="SRO/Studio",AC718&lt;=0.3),G718,0)</f>
        <v>0</v>
      </c>
      <c r="DV718" s="1369"/>
      <c r="DW718" s="1369"/>
      <c r="DX718" s="1369"/>
      <c r="DY718" s="1369"/>
      <c r="DZ718" s="1369">
        <f t="shared" ref="DZ718:DZ752" si="24">IF(AND(B718="1 Bedroom",AC718&lt;=0.3),G718,0)</f>
        <v>30</v>
      </c>
      <c r="EA718" s="1369"/>
      <c r="EB718" s="1369"/>
      <c r="EC718" s="1369"/>
      <c r="ED718" s="1369"/>
      <c r="EE718" s="1369">
        <f t="shared" ref="EE718:EE752" si="25">IF(AND(B718="2 Bedrooms",AC718&lt;=0.3),G718,0)</f>
        <v>0</v>
      </c>
      <c r="EF718" s="1369"/>
      <c r="EG718" s="1369"/>
      <c r="EH718" s="1369"/>
      <c r="EI718" s="1369"/>
      <c r="EJ718" s="1369">
        <f t="shared" ref="EJ718:EJ752" si="26">IF(AND(B718="3 Bedrooms",AC718&lt;=0.3),G718,0)</f>
        <v>0</v>
      </c>
      <c r="EK718" s="1369"/>
      <c r="EL718" s="1369"/>
      <c r="EM718" s="1369"/>
      <c r="EN718" s="1369"/>
      <c r="EO718" s="1369">
        <f t="shared" ref="EO718:EO752" si="27">IF(AND(B718="4 Bedrooms",AC718&lt;=0.3),G718,0)</f>
        <v>0</v>
      </c>
      <c r="EP718" s="1369"/>
      <c r="EQ718" s="1369"/>
      <c r="ER718" s="1369"/>
      <c r="ES718" s="1369"/>
      <c r="ET718" s="1369">
        <f t="shared" ref="ET718:ET752" si="28">IF(AND(B718="5 Bedrooms",AC718&lt;=0.3),G718,0)</f>
        <v>0</v>
      </c>
      <c r="EU718" s="1369"/>
      <c r="EV718" s="1369"/>
      <c r="EW718" s="1369"/>
      <c r="EX718" s="1369"/>
      <c r="EY718" s="4"/>
      <c r="EZ718" s="1361" t="str">
        <f t="shared" ref="EZ718:EZ752" si="29">IF(CP718&gt;0,O718,"")</f>
        <v/>
      </c>
      <c r="FA718" s="1362"/>
      <c r="FB718" s="1362"/>
      <c r="FC718" s="1362"/>
      <c r="FD718" s="1363"/>
      <c r="FE718" s="1361">
        <f t="shared" ref="FE718:FE752" si="30">IF(CU718&gt;0,O718,"")</f>
        <v>750</v>
      </c>
      <c r="FF718" s="1362"/>
      <c r="FG718" s="1362"/>
      <c r="FH718" s="1362"/>
      <c r="FI718" s="1363"/>
      <c r="FJ718" s="1361" t="str">
        <f t="shared" ref="FJ718:FJ752" si="31">IF(CZ718&gt;0,O718,"")</f>
        <v/>
      </c>
      <c r="FK718" s="1362"/>
      <c r="FL718" s="1362"/>
      <c r="FM718" s="1362"/>
      <c r="FN718" s="1363"/>
      <c r="FO718" s="1361" t="str">
        <f t="shared" ref="FO718:FO752" si="32">IF(DE718&gt;0,O718,"")</f>
        <v/>
      </c>
      <c r="FP718" s="1362"/>
      <c r="FQ718" s="1362"/>
      <c r="FR718" s="1362"/>
      <c r="FS718" s="1363"/>
      <c r="FT718" s="1361" t="str">
        <f t="shared" ref="FT718:FT752" si="33">IF(DJ718&gt;0,O718,"")</f>
        <v/>
      </c>
      <c r="FU718" s="1362"/>
      <c r="FV718" s="1362"/>
      <c r="FW718" s="1362"/>
      <c r="FX718" s="1363"/>
      <c r="FY718" s="1361" t="str">
        <f t="shared" ref="FY718:FY752" si="34">IF(DO718&gt;0,O718,"")</f>
        <v/>
      </c>
      <c r="FZ718" s="1362"/>
      <c r="GA718" s="1362"/>
      <c r="GB718" s="1362"/>
      <c r="GC718" s="1363"/>
    </row>
    <row r="719" spans="1:185" ht="13" customHeight="1">
      <c r="A719" s="4"/>
      <c r="B719" s="1365" t="s">
        <v>324</v>
      </c>
      <c r="C719" s="1366"/>
      <c r="D719" s="1366"/>
      <c r="E719" s="1366"/>
      <c r="F719" s="1367"/>
      <c r="G719" s="1597">
        <v>30</v>
      </c>
      <c r="H719" s="1598"/>
      <c r="I719" s="1598"/>
      <c r="J719" s="1599"/>
      <c r="K719" s="1602">
        <v>649</v>
      </c>
      <c r="L719" s="1603"/>
      <c r="M719" s="1603"/>
      <c r="N719" s="1604"/>
      <c r="O719" s="1487">
        <f>1300-30</f>
        <v>1270</v>
      </c>
      <c r="P719" s="1488"/>
      <c r="Q719" s="1488"/>
      <c r="R719" s="1488"/>
      <c r="S719" s="1489"/>
      <c r="T719" s="1487">
        <v>30</v>
      </c>
      <c r="U719" s="1488"/>
      <c r="V719" s="1488"/>
      <c r="W719" s="1489"/>
      <c r="X719" s="1402">
        <f t="shared" si="8"/>
        <v>1300</v>
      </c>
      <c r="Y719" s="1403"/>
      <c r="Z719" s="1403"/>
      <c r="AA719" s="1403"/>
      <c r="AB719" s="1404"/>
      <c r="AC719" s="1502">
        <v>0.5</v>
      </c>
      <c r="AD719" s="1503"/>
      <c r="AE719" s="1503"/>
      <c r="AF719" s="1503"/>
      <c r="AG719" s="1504"/>
      <c r="AH719" s="1484">
        <f t="shared" ref="AH719:AH752" si="35">IF($AC719&gt;0,($X719/$AZ719), "")</f>
        <v>0.5</v>
      </c>
      <c r="AI719" s="1485"/>
      <c r="AJ719" s="1486"/>
      <c r="AK719" s="1365" t="s">
        <v>590</v>
      </c>
      <c r="AL719" s="1366"/>
      <c r="AM719" s="1366"/>
      <c r="AN719" s="1366"/>
      <c r="AO719" s="1367"/>
      <c r="AP719" s="3"/>
      <c r="AQ719" s="3"/>
      <c r="AR719" s="3"/>
      <c r="AS719" s="3"/>
      <c r="AZ719" s="118">
        <f>IF($G719=0,"N/A",VLOOKUP($T$189,TC_Rent,(MATCH($B719,bedrooms,FALSE)),FALSE))</f>
        <v>2600</v>
      </c>
      <c r="BA719" s="3"/>
      <c r="BB719" s="3"/>
      <c r="BC719" s="3"/>
      <c r="BD719" s="3"/>
      <c r="BE719" s="205"/>
      <c r="BF719" s="295">
        <f t="shared" si="9"/>
        <v>30</v>
      </c>
      <c r="BG719" s="298">
        <f t="shared" si="10"/>
        <v>0.5</v>
      </c>
      <c r="BH719" s="299">
        <f t="shared" si="11"/>
        <v>0.25</v>
      </c>
      <c r="BI719" s="3"/>
      <c r="BJ719" s="3"/>
      <c r="BK719" s="3"/>
      <c r="BL719" s="3"/>
      <c r="BM719" s="3"/>
      <c r="BN719" s="3"/>
      <c r="BS719" s="295">
        <f t="shared" si="12"/>
        <v>30</v>
      </c>
      <c r="BT719" s="298">
        <f t="shared" si="13"/>
        <v>0.5</v>
      </c>
      <c r="BU719" s="299">
        <f t="shared" si="14"/>
        <v>0.25</v>
      </c>
      <c r="CC719" s="3"/>
      <c r="CD719" s="3"/>
      <c r="CE719" s="3"/>
      <c r="CF719" s="3"/>
      <c r="CG719" s="1361">
        <f t="shared" ref="CG719:CG752" si="36">IF(AND(AC719&lt;=0.5,AC719&gt;=0.36),1,0)</f>
        <v>1</v>
      </c>
      <c r="CH719" s="1363"/>
      <c r="CI719" s="1345">
        <f t="shared" ref="CI719:CI752" si="37">IF(CG719=1,G719,0)</f>
        <v>30</v>
      </c>
      <c r="CJ719" s="1347"/>
      <c r="CK719" s="1361">
        <f t="shared" si="15"/>
        <v>0</v>
      </c>
      <c r="CL719" s="1363"/>
      <c r="CM719" s="1345">
        <f t="shared" si="16"/>
        <v>0</v>
      </c>
      <c r="CN719" s="1347"/>
      <c r="CO719" s="3"/>
      <c r="CP719" s="1342">
        <f t="shared" si="17"/>
        <v>0</v>
      </c>
      <c r="CQ719" s="1343"/>
      <c r="CR719" s="1343"/>
      <c r="CS719" s="1343"/>
      <c r="CT719" s="1344"/>
      <c r="CU719" s="1364">
        <f t="shared" si="18"/>
        <v>30</v>
      </c>
      <c r="CV719" s="1364"/>
      <c r="CW719" s="1364"/>
      <c r="CX719" s="1364"/>
      <c r="CY719" s="1364"/>
      <c r="CZ719" s="1364">
        <f t="shared" si="19"/>
        <v>0</v>
      </c>
      <c r="DA719" s="1364"/>
      <c r="DB719" s="1364"/>
      <c r="DC719" s="1364"/>
      <c r="DD719" s="1364"/>
      <c r="DE719" s="1364">
        <f t="shared" si="20"/>
        <v>0</v>
      </c>
      <c r="DF719" s="1364"/>
      <c r="DG719" s="1364"/>
      <c r="DH719" s="1364"/>
      <c r="DI719" s="1364"/>
      <c r="DJ719" s="1364">
        <f t="shared" si="21"/>
        <v>0</v>
      </c>
      <c r="DK719" s="1364"/>
      <c r="DL719" s="1364"/>
      <c r="DM719" s="1364"/>
      <c r="DN719" s="1364"/>
      <c r="DO719" s="1364">
        <f t="shared" si="22"/>
        <v>0</v>
      </c>
      <c r="DP719" s="1364"/>
      <c r="DQ719" s="1364"/>
      <c r="DR719" s="1364"/>
      <c r="DS719" s="1364"/>
      <c r="DT719" s="6"/>
      <c r="DU719" s="1369">
        <f t="shared" si="23"/>
        <v>0</v>
      </c>
      <c r="DV719" s="1369"/>
      <c r="DW719" s="1369"/>
      <c r="DX719" s="1369"/>
      <c r="DY719" s="1369"/>
      <c r="DZ719" s="1369">
        <f t="shared" si="24"/>
        <v>0</v>
      </c>
      <c r="EA719" s="1369"/>
      <c r="EB719" s="1369"/>
      <c r="EC719" s="1369"/>
      <c r="ED719" s="1369"/>
      <c r="EE719" s="1369">
        <f t="shared" si="25"/>
        <v>0</v>
      </c>
      <c r="EF719" s="1369"/>
      <c r="EG719" s="1369"/>
      <c r="EH719" s="1369"/>
      <c r="EI719" s="1369"/>
      <c r="EJ719" s="1369">
        <f t="shared" si="26"/>
        <v>0</v>
      </c>
      <c r="EK719" s="1369"/>
      <c r="EL719" s="1369"/>
      <c r="EM719" s="1369"/>
      <c r="EN719" s="1369"/>
      <c r="EO719" s="1369">
        <f t="shared" si="27"/>
        <v>0</v>
      </c>
      <c r="EP719" s="1369"/>
      <c r="EQ719" s="1369"/>
      <c r="ER719" s="1369"/>
      <c r="ES719" s="1369"/>
      <c r="ET719" s="1369">
        <f t="shared" si="28"/>
        <v>0</v>
      </c>
      <c r="EU719" s="1369"/>
      <c r="EV719" s="1369"/>
      <c r="EW719" s="1369"/>
      <c r="EX719" s="1369"/>
      <c r="EY719" s="4"/>
      <c r="EZ719" s="1361" t="str">
        <f t="shared" si="29"/>
        <v/>
      </c>
      <c r="FA719" s="1362"/>
      <c r="FB719" s="1362"/>
      <c r="FC719" s="1362"/>
      <c r="FD719" s="1363"/>
      <c r="FE719" s="1361">
        <f t="shared" si="30"/>
        <v>1270</v>
      </c>
      <c r="FF719" s="1362"/>
      <c r="FG719" s="1362"/>
      <c r="FH719" s="1362"/>
      <c r="FI719" s="1363"/>
      <c r="FJ719" s="1361" t="str">
        <f t="shared" si="31"/>
        <v/>
      </c>
      <c r="FK719" s="1362"/>
      <c r="FL719" s="1362"/>
      <c r="FM719" s="1362"/>
      <c r="FN719" s="1363"/>
      <c r="FO719" s="1361" t="str">
        <f t="shared" si="32"/>
        <v/>
      </c>
      <c r="FP719" s="1362"/>
      <c r="FQ719" s="1362"/>
      <c r="FR719" s="1362"/>
      <c r="FS719" s="1363"/>
      <c r="FT719" s="1361" t="str">
        <f t="shared" si="33"/>
        <v/>
      </c>
      <c r="FU719" s="1362"/>
      <c r="FV719" s="1362"/>
      <c r="FW719" s="1362"/>
      <c r="FX719" s="1363"/>
      <c r="FY719" s="1361" t="str">
        <f t="shared" si="34"/>
        <v/>
      </c>
      <c r="FZ719" s="1362"/>
      <c r="GA719" s="1362"/>
      <c r="GB719" s="1362"/>
      <c r="GC719" s="1363"/>
    </row>
    <row r="720" spans="1:185" ht="13" customHeight="1">
      <c r="A720" s="4"/>
      <c r="B720" s="1365"/>
      <c r="C720" s="1366"/>
      <c r="D720" s="1366"/>
      <c r="E720" s="1366"/>
      <c r="F720" s="1367"/>
      <c r="G720" s="1597"/>
      <c r="H720" s="1598"/>
      <c r="I720" s="1598"/>
      <c r="J720" s="1599"/>
      <c r="K720" s="1602"/>
      <c r="L720" s="1603"/>
      <c r="M720" s="1603"/>
      <c r="N720" s="1604"/>
      <c r="O720" s="1487"/>
      <c r="P720" s="1488"/>
      <c r="Q720" s="1488"/>
      <c r="R720" s="1488"/>
      <c r="S720" s="1489"/>
      <c r="T720" s="1487"/>
      <c r="U720" s="1488"/>
      <c r="V720" s="1488"/>
      <c r="W720" s="1489"/>
      <c r="X720" s="1402">
        <f t="shared" si="8"/>
        <v>0</v>
      </c>
      <c r="Y720" s="1403"/>
      <c r="Z720" s="1403"/>
      <c r="AA720" s="1403"/>
      <c r="AB720" s="1404"/>
      <c r="AC720" s="1502"/>
      <c r="AD720" s="1503"/>
      <c r="AE720" s="1503"/>
      <c r="AF720" s="1503"/>
      <c r="AG720" s="1504"/>
      <c r="AH720" s="1484" t="str">
        <f t="shared" si="35"/>
        <v/>
      </c>
      <c r="AI720" s="1485"/>
      <c r="AJ720" s="1486"/>
      <c r="AK720" s="1365" t="s">
        <v>590</v>
      </c>
      <c r="AL720" s="1366"/>
      <c r="AM720" s="1366"/>
      <c r="AN720" s="1366"/>
      <c r="AO720" s="1367"/>
      <c r="AP720" s="3"/>
      <c r="AQ720" s="3"/>
      <c r="AR720" s="3"/>
      <c r="AS720" s="3"/>
      <c r="AZ720" s="118" t="str">
        <f>IF($G720=0,"N/A",VLOOKUP($T$189,TC_Rent,(MATCH($B720,bedrooms,FALSE)),FALSE))</f>
        <v>N/A</v>
      </c>
      <c r="BA720" s="3"/>
      <c r="BB720" s="3"/>
      <c r="BC720" s="3"/>
      <c r="BD720" s="3"/>
      <c r="BE720" s="205"/>
      <c r="BF720" s="295">
        <f t="shared" si="9"/>
        <v>0</v>
      </c>
      <c r="BG720" s="298">
        <f t="shared" si="10"/>
        <v>0</v>
      </c>
      <c r="BH720" s="299" t="str">
        <f t="shared" si="11"/>
        <v/>
      </c>
      <c r="BI720" s="3"/>
      <c r="BJ720" s="3"/>
      <c r="BK720" s="3"/>
      <c r="BL720" s="3"/>
      <c r="BM720" s="3"/>
      <c r="BN720" s="3"/>
      <c r="BS720" s="295">
        <f t="shared" si="12"/>
        <v>0</v>
      </c>
      <c r="BT720" s="298">
        <f t="shared" si="13"/>
        <v>0</v>
      </c>
      <c r="BU720" s="299" t="str">
        <f t="shared" si="14"/>
        <v/>
      </c>
      <c r="CC720" s="3"/>
      <c r="CD720" s="3"/>
      <c r="CE720" s="3"/>
      <c r="CF720" s="3"/>
      <c r="CG720" s="1361">
        <f t="shared" si="36"/>
        <v>0</v>
      </c>
      <c r="CH720" s="1363"/>
      <c r="CI720" s="1345">
        <f t="shared" si="37"/>
        <v>0</v>
      </c>
      <c r="CJ720" s="1347"/>
      <c r="CK720" s="1361">
        <f t="shared" si="15"/>
        <v>0</v>
      </c>
      <c r="CL720" s="1363"/>
      <c r="CM720" s="1345">
        <f t="shared" si="16"/>
        <v>0</v>
      </c>
      <c r="CN720" s="1347"/>
      <c r="CO720" s="3"/>
      <c r="CP720" s="1342">
        <f t="shared" si="17"/>
        <v>0</v>
      </c>
      <c r="CQ720" s="1343"/>
      <c r="CR720" s="1343"/>
      <c r="CS720" s="1343"/>
      <c r="CT720" s="1344"/>
      <c r="CU720" s="1364">
        <f t="shared" si="18"/>
        <v>0</v>
      </c>
      <c r="CV720" s="1364"/>
      <c r="CW720" s="1364"/>
      <c r="CX720" s="1364"/>
      <c r="CY720" s="1364"/>
      <c r="CZ720" s="1364">
        <f t="shared" si="19"/>
        <v>0</v>
      </c>
      <c r="DA720" s="1364"/>
      <c r="DB720" s="1364"/>
      <c r="DC720" s="1364"/>
      <c r="DD720" s="1364"/>
      <c r="DE720" s="1364">
        <f t="shared" si="20"/>
        <v>0</v>
      </c>
      <c r="DF720" s="1364"/>
      <c r="DG720" s="1364"/>
      <c r="DH720" s="1364"/>
      <c r="DI720" s="1364"/>
      <c r="DJ720" s="1364">
        <f t="shared" si="21"/>
        <v>0</v>
      </c>
      <c r="DK720" s="1364"/>
      <c r="DL720" s="1364"/>
      <c r="DM720" s="1364"/>
      <c r="DN720" s="1364"/>
      <c r="DO720" s="1364">
        <f t="shared" si="22"/>
        <v>0</v>
      </c>
      <c r="DP720" s="1364"/>
      <c r="DQ720" s="1364"/>
      <c r="DR720" s="1364"/>
      <c r="DS720" s="1364"/>
      <c r="DT720" s="6"/>
      <c r="DU720" s="1369">
        <f t="shared" si="23"/>
        <v>0</v>
      </c>
      <c r="DV720" s="1369"/>
      <c r="DW720" s="1369"/>
      <c r="DX720" s="1369"/>
      <c r="DY720" s="1369"/>
      <c r="DZ720" s="1369">
        <f t="shared" si="24"/>
        <v>0</v>
      </c>
      <c r="EA720" s="1369"/>
      <c r="EB720" s="1369"/>
      <c r="EC720" s="1369"/>
      <c r="ED720" s="1369"/>
      <c r="EE720" s="1369">
        <f t="shared" si="25"/>
        <v>0</v>
      </c>
      <c r="EF720" s="1369"/>
      <c r="EG720" s="1369"/>
      <c r="EH720" s="1369"/>
      <c r="EI720" s="1369"/>
      <c r="EJ720" s="1369">
        <f t="shared" si="26"/>
        <v>0</v>
      </c>
      <c r="EK720" s="1369"/>
      <c r="EL720" s="1369"/>
      <c r="EM720" s="1369"/>
      <c r="EN720" s="1369"/>
      <c r="EO720" s="1369">
        <f t="shared" si="27"/>
        <v>0</v>
      </c>
      <c r="EP720" s="1369"/>
      <c r="EQ720" s="1369"/>
      <c r="ER720" s="1369"/>
      <c r="ES720" s="1369"/>
      <c r="ET720" s="1369">
        <f t="shared" si="28"/>
        <v>0</v>
      </c>
      <c r="EU720" s="1369"/>
      <c r="EV720" s="1369"/>
      <c r="EW720" s="1369"/>
      <c r="EX720" s="1369"/>
      <c r="EZ720" s="1361" t="str">
        <f t="shared" si="29"/>
        <v/>
      </c>
      <c r="FA720" s="1362"/>
      <c r="FB720" s="1362"/>
      <c r="FC720" s="1362"/>
      <c r="FD720" s="1363"/>
      <c r="FE720" s="1361" t="str">
        <f t="shared" si="30"/>
        <v/>
      </c>
      <c r="FF720" s="1362"/>
      <c r="FG720" s="1362"/>
      <c r="FH720" s="1362"/>
      <c r="FI720" s="1363"/>
      <c r="FJ720" s="1361" t="str">
        <f t="shared" si="31"/>
        <v/>
      </c>
      <c r="FK720" s="1362"/>
      <c r="FL720" s="1362"/>
      <c r="FM720" s="1362"/>
      <c r="FN720" s="1363"/>
      <c r="FO720" s="1361" t="str">
        <f t="shared" si="32"/>
        <v/>
      </c>
      <c r="FP720" s="1362"/>
      <c r="FQ720" s="1362"/>
      <c r="FR720" s="1362"/>
      <c r="FS720" s="1363"/>
      <c r="FT720" s="1361" t="str">
        <f t="shared" si="33"/>
        <v/>
      </c>
      <c r="FU720" s="1362"/>
      <c r="FV720" s="1362"/>
      <c r="FW720" s="1362"/>
      <c r="FX720" s="1363"/>
      <c r="FY720" s="1361" t="str">
        <f t="shared" si="34"/>
        <v/>
      </c>
      <c r="FZ720" s="1362"/>
      <c r="GA720" s="1362"/>
      <c r="GB720" s="1362"/>
      <c r="GC720" s="1363"/>
    </row>
    <row r="721" spans="1:185" ht="13" customHeight="1">
      <c r="B721" s="1365"/>
      <c r="C721" s="1366"/>
      <c r="D721" s="1366"/>
      <c r="E721" s="1366"/>
      <c r="F721" s="1367"/>
      <c r="G721" s="1597"/>
      <c r="H721" s="1598"/>
      <c r="I721" s="1598"/>
      <c r="J721" s="1599"/>
      <c r="K721" s="1602"/>
      <c r="L721" s="1603"/>
      <c r="M721" s="1603"/>
      <c r="N721" s="1604"/>
      <c r="O721" s="1487"/>
      <c r="P721" s="1488"/>
      <c r="Q721" s="1488"/>
      <c r="R721" s="1488"/>
      <c r="S721" s="1489"/>
      <c r="T721" s="1487"/>
      <c r="U721" s="1488"/>
      <c r="V721" s="1488"/>
      <c r="W721" s="1489"/>
      <c r="X721" s="1402">
        <f t="shared" si="8"/>
        <v>0</v>
      </c>
      <c r="Y721" s="1403"/>
      <c r="Z721" s="1403"/>
      <c r="AA721" s="1403"/>
      <c r="AB721" s="1404"/>
      <c r="AC721" s="1502"/>
      <c r="AD721" s="1503"/>
      <c r="AE721" s="1503"/>
      <c r="AF721" s="1503"/>
      <c r="AG721" s="1504"/>
      <c r="AH721" s="1484" t="str">
        <f t="shared" si="35"/>
        <v/>
      </c>
      <c r="AI721" s="1485"/>
      <c r="AJ721" s="1486"/>
      <c r="AK721" s="1365" t="s">
        <v>590</v>
      </c>
      <c r="AL721" s="1366"/>
      <c r="AM721" s="1366"/>
      <c r="AN721" s="1366"/>
      <c r="AO721" s="1367"/>
      <c r="AP721" s="3"/>
      <c r="AQ721" s="3"/>
      <c r="AR721" s="3"/>
      <c r="AS721" s="3"/>
      <c r="AY721" s="116"/>
      <c r="AZ721" s="118" t="str">
        <f>IF($G721=0,"N/A",VLOOKUP($T$189,TC_Rent,(MATCH($B721,bedrooms,FALSE)),FALSE))</f>
        <v>N/A</v>
      </c>
      <c r="BA721" s="3"/>
      <c r="BB721" s="3"/>
      <c r="BC721" s="3"/>
      <c r="BD721" s="3"/>
      <c r="BE721" s="205"/>
      <c r="BF721" s="295">
        <f t="shared" si="9"/>
        <v>0</v>
      </c>
      <c r="BG721" s="298">
        <f t="shared" si="10"/>
        <v>0</v>
      </c>
      <c r="BH721" s="299" t="str">
        <f t="shared" si="11"/>
        <v/>
      </c>
      <c r="BI721" s="3"/>
      <c r="BJ721" s="3"/>
      <c r="BK721" s="3"/>
      <c r="BL721" s="3"/>
      <c r="BM721" s="3"/>
      <c r="BN721" s="3"/>
      <c r="BS721" s="295">
        <f t="shared" si="12"/>
        <v>0</v>
      </c>
      <c r="BT721" s="298">
        <f t="shared" si="13"/>
        <v>0</v>
      </c>
      <c r="BU721" s="299" t="str">
        <f t="shared" si="14"/>
        <v/>
      </c>
      <c r="CC721" s="3"/>
      <c r="CD721" s="3"/>
      <c r="CE721" s="3"/>
      <c r="CF721" s="3"/>
      <c r="CG721" s="1361">
        <f t="shared" si="36"/>
        <v>0</v>
      </c>
      <c r="CH721" s="1363"/>
      <c r="CI721" s="1345">
        <f t="shared" si="37"/>
        <v>0</v>
      </c>
      <c r="CJ721" s="1347"/>
      <c r="CK721" s="1361">
        <f t="shared" si="15"/>
        <v>0</v>
      </c>
      <c r="CL721" s="1363"/>
      <c r="CM721" s="1345">
        <f t="shared" si="16"/>
        <v>0</v>
      </c>
      <c r="CN721" s="1347"/>
      <c r="CO721" s="3"/>
      <c r="CP721" s="1342">
        <f t="shared" si="17"/>
        <v>0</v>
      </c>
      <c r="CQ721" s="1343"/>
      <c r="CR721" s="1343"/>
      <c r="CS721" s="1343"/>
      <c r="CT721" s="1344"/>
      <c r="CU721" s="1364">
        <f t="shared" si="18"/>
        <v>0</v>
      </c>
      <c r="CV721" s="1364"/>
      <c r="CW721" s="1364"/>
      <c r="CX721" s="1364"/>
      <c r="CY721" s="1364"/>
      <c r="CZ721" s="1364">
        <f t="shared" si="19"/>
        <v>0</v>
      </c>
      <c r="DA721" s="1364"/>
      <c r="DB721" s="1364"/>
      <c r="DC721" s="1364"/>
      <c r="DD721" s="1364"/>
      <c r="DE721" s="1364">
        <f t="shared" si="20"/>
        <v>0</v>
      </c>
      <c r="DF721" s="1364"/>
      <c r="DG721" s="1364"/>
      <c r="DH721" s="1364"/>
      <c r="DI721" s="1364"/>
      <c r="DJ721" s="1364">
        <f t="shared" si="21"/>
        <v>0</v>
      </c>
      <c r="DK721" s="1364"/>
      <c r="DL721" s="1364"/>
      <c r="DM721" s="1364"/>
      <c r="DN721" s="1364"/>
      <c r="DO721" s="1364">
        <f t="shared" si="22"/>
        <v>0</v>
      </c>
      <c r="DP721" s="1364"/>
      <c r="DQ721" s="1364"/>
      <c r="DR721" s="1364"/>
      <c r="DS721" s="1364"/>
      <c r="DT721" s="6"/>
      <c r="DU721" s="1369">
        <f t="shared" si="23"/>
        <v>0</v>
      </c>
      <c r="DV721" s="1369"/>
      <c r="DW721" s="1369"/>
      <c r="DX721" s="1369"/>
      <c r="DY721" s="1369"/>
      <c r="DZ721" s="1369">
        <f t="shared" si="24"/>
        <v>0</v>
      </c>
      <c r="EA721" s="1369"/>
      <c r="EB721" s="1369"/>
      <c r="EC721" s="1369"/>
      <c r="ED721" s="1369"/>
      <c r="EE721" s="1369">
        <f t="shared" si="25"/>
        <v>0</v>
      </c>
      <c r="EF721" s="1369"/>
      <c r="EG721" s="1369"/>
      <c r="EH721" s="1369"/>
      <c r="EI721" s="1369"/>
      <c r="EJ721" s="1369">
        <f t="shared" si="26"/>
        <v>0</v>
      </c>
      <c r="EK721" s="1369"/>
      <c r="EL721" s="1369"/>
      <c r="EM721" s="1369"/>
      <c r="EN721" s="1369"/>
      <c r="EO721" s="1369">
        <f t="shared" si="27"/>
        <v>0</v>
      </c>
      <c r="EP721" s="1369"/>
      <c r="EQ721" s="1369"/>
      <c r="ER721" s="1369"/>
      <c r="ES721" s="1369"/>
      <c r="ET721" s="1369">
        <f t="shared" si="28"/>
        <v>0</v>
      </c>
      <c r="EU721" s="1369"/>
      <c r="EV721" s="1369"/>
      <c r="EW721" s="1369"/>
      <c r="EX721" s="1369"/>
      <c r="EZ721" s="1361" t="str">
        <f t="shared" si="29"/>
        <v/>
      </c>
      <c r="FA721" s="1362"/>
      <c r="FB721" s="1362"/>
      <c r="FC721" s="1362"/>
      <c r="FD721" s="1363"/>
      <c r="FE721" s="1361" t="str">
        <f t="shared" si="30"/>
        <v/>
      </c>
      <c r="FF721" s="1362"/>
      <c r="FG721" s="1362"/>
      <c r="FH721" s="1362"/>
      <c r="FI721" s="1363"/>
      <c r="FJ721" s="1361" t="str">
        <f t="shared" si="31"/>
        <v/>
      </c>
      <c r="FK721" s="1362"/>
      <c r="FL721" s="1362"/>
      <c r="FM721" s="1362"/>
      <c r="FN721" s="1363"/>
      <c r="FO721" s="1361" t="str">
        <f t="shared" si="32"/>
        <v/>
      </c>
      <c r="FP721" s="1362"/>
      <c r="FQ721" s="1362"/>
      <c r="FR721" s="1362"/>
      <c r="FS721" s="1363"/>
      <c r="FT721" s="1361" t="str">
        <f t="shared" si="33"/>
        <v/>
      </c>
      <c r="FU721" s="1362"/>
      <c r="FV721" s="1362"/>
      <c r="FW721" s="1362"/>
      <c r="FX721" s="1363"/>
      <c r="FY721" s="1361" t="str">
        <f t="shared" si="34"/>
        <v/>
      </c>
      <c r="FZ721" s="1362"/>
      <c r="GA721" s="1362"/>
      <c r="GB721" s="1362"/>
      <c r="GC721" s="1363"/>
    </row>
    <row r="722" spans="1:185" ht="13" customHeight="1">
      <c r="B722" s="1365"/>
      <c r="C722" s="1366"/>
      <c r="D722" s="1366"/>
      <c r="E722" s="1366"/>
      <c r="F722" s="1367"/>
      <c r="G722" s="1597"/>
      <c r="H722" s="1598"/>
      <c r="I722" s="1598"/>
      <c r="J722" s="1599"/>
      <c r="K722" s="1602"/>
      <c r="L722" s="1603"/>
      <c r="M722" s="1603"/>
      <c r="N722" s="1604"/>
      <c r="O722" s="1487"/>
      <c r="P722" s="1488"/>
      <c r="Q722" s="1488"/>
      <c r="R722" s="1488"/>
      <c r="S722" s="1489"/>
      <c r="T722" s="1487"/>
      <c r="U722" s="1488"/>
      <c r="V722" s="1488"/>
      <c r="W722" s="1489"/>
      <c r="X722" s="1402">
        <f t="shared" si="8"/>
        <v>0</v>
      </c>
      <c r="Y722" s="1403"/>
      <c r="Z722" s="1403"/>
      <c r="AA722" s="1403"/>
      <c r="AB722" s="1404"/>
      <c r="AC722" s="1502"/>
      <c r="AD722" s="1503"/>
      <c r="AE722" s="1503"/>
      <c r="AF722" s="1503"/>
      <c r="AG722" s="1504"/>
      <c r="AH722" s="1484" t="str">
        <f t="shared" si="35"/>
        <v/>
      </c>
      <c r="AI722" s="1485"/>
      <c r="AJ722" s="1486"/>
      <c r="AK722" s="1365" t="s">
        <v>590</v>
      </c>
      <c r="AL722" s="1366"/>
      <c r="AM722" s="1366"/>
      <c r="AN722" s="1366"/>
      <c r="AO722" s="1367"/>
      <c r="AP722" s="3"/>
      <c r="AQ722" s="3"/>
      <c r="AR722" s="3"/>
      <c r="AS722" s="3"/>
      <c r="AY722" s="116"/>
      <c r="AZ722" s="118" t="str">
        <f>IF($G722=0,"N/A",VLOOKUP($T$189,TC_Rent,(MATCH($B722,bedrooms,FALSE)),FALSE))</f>
        <v>N/A</v>
      </c>
      <c r="BA722" s="3"/>
      <c r="BB722" s="3"/>
      <c r="BC722" s="3"/>
      <c r="BD722" s="3"/>
      <c r="BE722" s="205"/>
      <c r="BF722" s="295">
        <f t="shared" si="9"/>
        <v>0</v>
      </c>
      <c r="BG722" s="298">
        <f t="shared" si="10"/>
        <v>0</v>
      </c>
      <c r="BH722" s="299" t="str">
        <f t="shared" si="11"/>
        <v/>
      </c>
      <c r="BI722" s="3"/>
      <c r="BJ722" s="3"/>
      <c r="BK722" s="3"/>
      <c r="BL722" s="3"/>
      <c r="BM722" s="3"/>
      <c r="BN722" s="3"/>
      <c r="BS722" s="295">
        <f t="shared" si="12"/>
        <v>0</v>
      </c>
      <c r="BT722" s="298">
        <f t="shared" si="13"/>
        <v>0</v>
      </c>
      <c r="BU722" s="299" t="str">
        <f t="shared" si="14"/>
        <v/>
      </c>
      <c r="CC722" s="3"/>
      <c r="CD722" s="3"/>
      <c r="CE722" s="3"/>
      <c r="CF722" s="3"/>
      <c r="CG722" s="1361">
        <f t="shared" si="36"/>
        <v>0</v>
      </c>
      <c r="CH722" s="1363"/>
      <c r="CI722" s="1345">
        <f t="shared" si="37"/>
        <v>0</v>
      </c>
      <c r="CJ722" s="1347"/>
      <c r="CK722" s="1361">
        <f t="shared" si="15"/>
        <v>0</v>
      </c>
      <c r="CL722" s="1363"/>
      <c r="CM722" s="1345">
        <f t="shared" si="16"/>
        <v>0</v>
      </c>
      <c r="CN722" s="1347"/>
      <c r="CO722" s="3"/>
      <c r="CP722" s="1342">
        <f t="shared" si="17"/>
        <v>0</v>
      </c>
      <c r="CQ722" s="1343"/>
      <c r="CR722" s="1343"/>
      <c r="CS722" s="1343"/>
      <c r="CT722" s="1344"/>
      <c r="CU722" s="1364">
        <f t="shared" si="18"/>
        <v>0</v>
      </c>
      <c r="CV722" s="1364"/>
      <c r="CW722" s="1364"/>
      <c r="CX722" s="1364"/>
      <c r="CY722" s="1364"/>
      <c r="CZ722" s="1364">
        <f t="shared" si="19"/>
        <v>0</v>
      </c>
      <c r="DA722" s="1364"/>
      <c r="DB722" s="1364"/>
      <c r="DC722" s="1364"/>
      <c r="DD722" s="1364"/>
      <c r="DE722" s="1364">
        <f t="shared" si="20"/>
        <v>0</v>
      </c>
      <c r="DF722" s="1364"/>
      <c r="DG722" s="1364"/>
      <c r="DH722" s="1364"/>
      <c r="DI722" s="1364"/>
      <c r="DJ722" s="1364">
        <f t="shared" si="21"/>
        <v>0</v>
      </c>
      <c r="DK722" s="1364"/>
      <c r="DL722" s="1364"/>
      <c r="DM722" s="1364"/>
      <c r="DN722" s="1364"/>
      <c r="DO722" s="1364">
        <f t="shared" si="22"/>
        <v>0</v>
      </c>
      <c r="DP722" s="1364"/>
      <c r="DQ722" s="1364"/>
      <c r="DR722" s="1364"/>
      <c r="DS722" s="1364"/>
      <c r="DT722" s="6"/>
      <c r="DU722" s="1369">
        <f t="shared" si="23"/>
        <v>0</v>
      </c>
      <c r="DV722" s="1369"/>
      <c r="DW722" s="1369"/>
      <c r="DX722" s="1369"/>
      <c r="DY722" s="1369"/>
      <c r="DZ722" s="1369">
        <f t="shared" si="24"/>
        <v>0</v>
      </c>
      <c r="EA722" s="1369"/>
      <c r="EB722" s="1369"/>
      <c r="EC722" s="1369"/>
      <c r="ED722" s="1369"/>
      <c r="EE722" s="1369">
        <f t="shared" si="25"/>
        <v>0</v>
      </c>
      <c r="EF722" s="1369"/>
      <c r="EG722" s="1369"/>
      <c r="EH722" s="1369"/>
      <c r="EI722" s="1369"/>
      <c r="EJ722" s="1369">
        <f t="shared" si="26"/>
        <v>0</v>
      </c>
      <c r="EK722" s="1369"/>
      <c r="EL722" s="1369"/>
      <c r="EM722" s="1369"/>
      <c r="EN722" s="1369"/>
      <c r="EO722" s="1369">
        <f t="shared" si="27"/>
        <v>0</v>
      </c>
      <c r="EP722" s="1369"/>
      <c r="EQ722" s="1369"/>
      <c r="ER722" s="1369"/>
      <c r="ES722" s="1369"/>
      <c r="ET722" s="1369">
        <f t="shared" si="28"/>
        <v>0</v>
      </c>
      <c r="EU722" s="1369"/>
      <c r="EV722" s="1369"/>
      <c r="EW722" s="1369"/>
      <c r="EX722" s="1369"/>
      <c r="EZ722" s="1361" t="str">
        <f t="shared" si="29"/>
        <v/>
      </c>
      <c r="FA722" s="1362"/>
      <c r="FB722" s="1362"/>
      <c r="FC722" s="1362"/>
      <c r="FD722" s="1363"/>
      <c r="FE722" s="1361" t="str">
        <f t="shared" si="30"/>
        <v/>
      </c>
      <c r="FF722" s="1362"/>
      <c r="FG722" s="1362"/>
      <c r="FH722" s="1362"/>
      <c r="FI722" s="1363"/>
      <c r="FJ722" s="1361" t="str">
        <f t="shared" si="31"/>
        <v/>
      </c>
      <c r="FK722" s="1362"/>
      <c r="FL722" s="1362"/>
      <c r="FM722" s="1362"/>
      <c r="FN722" s="1363"/>
      <c r="FO722" s="1361" t="str">
        <f t="shared" si="32"/>
        <v/>
      </c>
      <c r="FP722" s="1362"/>
      <c r="FQ722" s="1362"/>
      <c r="FR722" s="1362"/>
      <c r="FS722" s="1363"/>
      <c r="FT722" s="1361" t="str">
        <f t="shared" si="33"/>
        <v/>
      </c>
      <c r="FU722" s="1362"/>
      <c r="FV722" s="1362"/>
      <c r="FW722" s="1362"/>
      <c r="FX722" s="1363"/>
      <c r="FY722" s="1361" t="str">
        <f t="shared" si="34"/>
        <v/>
      </c>
      <c r="FZ722" s="1362"/>
      <c r="GA722" s="1362"/>
      <c r="GB722" s="1362"/>
      <c r="GC722" s="1363"/>
    </row>
    <row r="723" spans="1:185" ht="13" customHeight="1">
      <c r="B723" s="1365"/>
      <c r="C723" s="1366"/>
      <c r="D723" s="1366"/>
      <c r="E723" s="1366"/>
      <c r="F723" s="1367"/>
      <c r="G723" s="1597"/>
      <c r="H723" s="1598"/>
      <c r="I723" s="1598"/>
      <c r="J723" s="1599"/>
      <c r="K723" s="1602"/>
      <c r="L723" s="1603"/>
      <c r="M723" s="1603"/>
      <c r="N723" s="1604"/>
      <c r="O723" s="1487"/>
      <c r="P723" s="1488"/>
      <c r="Q723" s="1488"/>
      <c r="R723" s="1488"/>
      <c r="S723" s="1489"/>
      <c r="T723" s="1487"/>
      <c r="U723" s="1488"/>
      <c r="V723" s="1488"/>
      <c r="W723" s="1489"/>
      <c r="X723" s="1402">
        <f t="shared" si="8"/>
        <v>0</v>
      </c>
      <c r="Y723" s="1403"/>
      <c r="Z723" s="1403"/>
      <c r="AA723" s="1403"/>
      <c r="AB723" s="1404"/>
      <c r="AC723" s="1502"/>
      <c r="AD723" s="1503"/>
      <c r="AE723" s="1503"/>
      <c r="AF723" s="1503"/>
      <c r="AG723" s="1504"/>
      <c r="AH723" s="1484" t="str">
        <f t="shared" si="35"/>
        <v/>
      </c>
      <c r="AI723" s="1485"/>
      <c r="AJ723" s="1486"/>
      <c r="AK723" s="1365" t="s">
        <v>590</v>
      </c>
      <c r="AL723" s="1366"/>
      <c r="AM723" s="1366"/>
      <c r="AN723" s="1366"/>
      <c r="AO723" s="1367"/>
      <c r="AP723" s="3"/>
      <c r="AQ723" s="3"/>
      <c r="AR723" s="3"/>
      <c r="AS723" s="3"/>
      <c r="AY723" s="116"/>
      <c r="AZ723" s="118" t="str">
        <f>IF($G723=0,"N/A",VLOOKUP($T$189,TC_Rent,(MATCH($B723,bedrooms,FALSE)),FALSE))</f>
        <v>N/A</v>
      </c>
      <c r="BA723" s="3"/>
      <c r="BB723" s="3"/>
      <c r="BC723" s="3"/>
      <c r="BD723" s="3"/>
      <c r="BE723" s="205"/>
      <c r="BF723" s="295">
        <f t="shared" si="9"/>
        <v>0</v>
      </c>
      <c r="BG723" s="298">
        <f t="shared" si="10"/>
        <v>0</v>
      </c>
      <c r="BH723" s="299" t="str">
        <f t="shared" si="11"/>
        <v/>
      </c>
      <c r="BI723" s="3"/>
      <c r="BJ723" s="3"/>
      <c r="BK723" s="3"/>
      <c r="BL723" s="3"/>
      <c r="BM723" s="3"/>
      <c r="BN723" s="3"/>
      <c r="BS723" s="295">
        <f t="shared" si="12"/>
        <v>0</v>
      </c>
      <c r="BT723" s="298">
        <f t="shared" si="13"/>
        <v>0</v>
      </c>
      <c r="BU723" s="299" t="str">
        <f t="shared" si="14"/>
        <v/>
      </c>
      <c r="CC723" s="3"/>
      <c r="CD723" s="3"/>
      <c r="CE723" s="3"/>
      <c r="CF723" s="3"/>
      <c r="CG723" s="1361">
        <f t="shared" si="36"/>
        <v>0</v>
      </c>
      <c r="CH723" s="1363"/>
      <c r="CI723" s="1345">
        <f t="shared" si="37"/>
        <v>0</v>
      </c>
      <c r="CJ723" s="1347"/>
      <c r="CK723" s="1361">
        <f t="shared" si="15"/>
        <v>0</v>
      </c>
      <c r="CL723" s="1363"/>
      <c r="CM723" s="1345">
        <f t="shared" si="16"/>
        <v>0</v>
      </c>
      <c r="CN723" s="1347"/>
      <c r="CO723" s="3"/>
      <c r="CP723" s="1342">
        <f t="shared" si="17"/>
        <v>0</v>
      </c>
      <c r="CQ723" s="1343"/>
      <c r="CR723" s="1343"/>
      <c r="CS723" s="1343"/>
      <c r="CT723" s="1344"/>
      <c r="CU723" s="1364">
        <f t="shared" si="18"/>
        <v>0</v>
      </c>
      <c r="CV723" s="1364"/>
      <c r="CW723" s="1364"/>
      <c r="CX723" s="1364"/>
      <c r="CY723" s="1364"/>
      <c r="CZ723" s="1364">
        <f t="shared" si="19"/>
        <v>0</v>
      </c>
      <c r="DA723" s="1364"/>
      <c r="DB723" s="1364"/>
      <c r="DC723" s="1364"/>
      <c r="DD723" s="1364"/>
      <c r="DE723" s="1364">
        <f t="shared" si="20"/>
        <v>0</v>
      </c>
      <c r="DF723" s="1364"/>
      <c r="DG723" s="1364"/>
      <c r="DH723" s="1364"/>
      <c r="DI723" s="1364"/>
      <c r="DJ723" s="1364">
        <f t="shared" si="21"/>
        <v>0</v>
      </c>
      <c r="DK723" s="1364"/>
      <c r="DL723" s="1364"/>
      <c r="DM723" s="1364"/>
      <c r="DN723" s="1364"/>
      <c r="DO723" s="1364">
        <f t="shared" si="22"/>
        <v>0</v>
      </c>
      <c r="DP723" s="1364"/>
      <c r="DQ723" s="1364"/>
      <c r="DR723" s="1364"/>
      <c r="DS723" s="1364"/>
      <c r="DT723" s="6"/>
      <c r="DU723" s="1369">
        <f t="shared" si="23"/>
        <v>0</v>
      </c>
      <c r="DV723" s="1369"/>
      <c r="DW723" s="1369"/>
      <c r="DX723" s="1369"/>
      <c r="DY723" s="1369"/>
      <c r="DZ723" s="1369">
        <f t="shared" si="24"/>
        <v>0</v>
      </c>
      <c r="EA723" s="1369"/>
      <c r="EB723" s="1369"/>
      <c r="EC723" s="1369"/>
      <c r="ED723" s="1369"/>
      <c r="EE723" s="1369">
        <f t="shared" si="25"/>
        <v>0</v>
      </c>
      <c r="EF723" s="1369"/>
      <c r="EG723" s="1369"/>
      <c r="EH723" s="1369"/>
      <c r="EI723" s="1369"/>
      <c r="EJ723" s="1369">
        <f t="shared" si="26"/>
        <v>0</v>
      </c>
      <c r="EK723" s="1369"/>
      <c r="EL723" s="1369"/>
      <c r="EM723" s="1369"/>
      <c r="EN723" s="1369"/>
      <c r="EO723" s="1369">
        <f t="shared" si="27"/>
        <v>0</v>
      </c>
      <c r="EP723" s="1369"/>
      <c r="EQ723" s="1369"/>
      <c r="ER723" s="1369"/>
      <c r="ES723" s="1369"/>
      <c r="ET723" s="1369">
        <f t="shared" si="28"/>
        <v>0</v>
      </c>
      <c r="EU723" s="1369"/>
      <c r="EV723" s="1369"/>
      <c r="EW723" s="1369"/>
      <c r="EX723" s="1369"/>
      <c r="EZ723" s="1361" t="str">
        <f t="shared" si="29"/>
        <v/>
      </c>
      <c r="FA723" s="1362"/>
      <c r="FB723" s="1362"/>
      <c r="FC723" s="1362"/>
      <c r="FD723" s="1363"/>
      <c r="FE723" s="1361" t="str">
        <f t="shared" si="30"/>
        <v/>
      </c>
      <c r="FF723" s="1362"/>
      <c r="FG723" s="1362"/>
      <c r="FH723" s="1362"/>
      <c r="FI723" s="1363"/>
      <c r="FJ723" s="1361" t="str">
        <f t="shared" si="31"/>
        <v/>
      </c>
      <c r="FK723" s="1362"/>
      <c r="FL723" s="1362"/>
      <c r="FM723" s="1362"/>
      <c r="FN723" s="1363"/>
      <c r="FO723" s="1361" t="str">
        <f t="shared" si="32"/>
        <v/>
      </c>
      <c r="FP723" s="1362"/>
      <c r="FQ723" s="1362"/>
      <c r="FR723" s="1362"/>
      <c r="FS723" s="1363"/>
      <c r="FT723" s="1361" t="str">
        <f t="shared" si="33"/>
        <v/>
      </c>
      <c r="FU723" s="1362"/>
      <c r="FV723" s="1362"/>
      <c r="FW723" s="1362"/>
      <c r="FX723" s="1363"/>
      <c r="FY723" s="1361" t="str">
        <f t="shared" si="34"/>
        <v/>
      </c>
      <c r="FZ723" s="1362"/>
      <c r="GA723" s="1362"/>
      <c r="GB723" s="1362"/>
      <c r="GC723" s="1363"/>
    </row>
    <row r="724" spans="1:185" ht="13" customHeight="1">
      <c r="B724" s="1365"/>
      <c r="C724" s="1366"/>
      <c r="D724" s="1366"/>
      <c r="E724" s="1366"/>
      <c r="F724" s="1367"/>
      <c r="G724" s="1597"/>
      <c r="H724" s="1598"/>
      <c r="I724" s="1598"/>
      <c r="J724" s="1599"/>
      <c r="K724" s="1602"/>
      <c r="L724" s="1603"/>
      <c r="M724" s="1603"/>
      <c r="N724" s="1604"/>
      <c r="O724" s="1487"/>
      <c r="P724" s="1488"/>
      <c r="Q724" s="1488"/>
      <c r="R724" s="1488"/>
      <c r="S724" s="1489"/>
      <c r="T724" s="1487"/>
      <c r="U724" s="1488"/>
      <c r="V724" s="1488"/>
      <c r="W724" s="1489"/>
      <c r="X724" s="1402">
        <f t="shared" si="8"/>
        <v>0</v>
      </c>
      <c r="Y724" s="1403"/>
      <c r="Z724" s="1403"/>
      <c r="AA724" s="1403"/>
      <c r="AB724" s="1404"/>
      <c r="AC724" s="1502"/>
      <c r="AD724" s="1503"/>
      <c r="AE724" s="1503"/>
      <c r="AF724" s="1503"/>
      <c r="AG724" s="1504"/>
      <c r="AH724" s="1484" t="str">
        <f t="shared" si="35"/>
        <v/>
      </c>
      <c r="AI724" s="1485"/>
      <c r="AJ724" s="1486"/>
      <c r="AK724" s="1365" t="s">
        <v>590</v>
      </c>
      <c r="AL724" s="1366"/>
      <c r="AM724" s="1366"/>
      <c r="AN724" s="1366"/>
      <c r="AO724" s="1367"/>
      <c r="AP724" s="3"/>
      <c r="AQ724" s="3"/>
      <c r="AR724" s="3"/>
      <c r="AS724" s="3"/>
      <c r="AY724" s="116"/>
      <c r="AZ724" s="118" t="str">
        <f>IF($G724=0,"N/A",VLOOKUP($T$189,TC_Rent,(MATCH($B724,bedrooms,FALSE)),FALSE))</f>
        <v>N/A</v>
      </c>
      <c r="BA724" s="3"/>
      <c r="BB724" s="3"/>
      <c r="BC724" s="3"/>
      <c r="BD724" s="3"/>
      <c r="BE724" s="205"/>
      <c r="BF724" s="295">
        <f t="shared" si="9"/>
        <v>0</v>
      </c>
      <c r="BG724" s="298">
        <f t="shared" si="10"/>
        <v>0</v>
      </c>
      <c r="BH724" s="299" t="str">
        <f t="shared" si="11"/>
        <v/>
      </c>
      <c r="BI724" s="3"/>
      <c r="BJ724" s="3"/>
      <c r="BK724" s="3"/>
      <c r="BL724" s="3"/>
      <c r="BM724" s="3"/>
      <c r="BN724" s="3"/>
      <c r="BS724" s="295">
        <f t="shared" si="12"/>
        <v>0</v>
      </c>
      <c r="BT724" s="298">
        <f t="shared" si="13"/>
        <v>0</v>
      </c>
      <c r="BU724" s="299" t="str">
        <f t="shared" si="14"/>
        <v/>
      </c>
      <c r="CC724" s="3"/>
      <c r="CE724" s="3"/>
      <c r="CF724" s="3"/>
      <c r="CG724" s="1361">
        <f t="shared" si="36"/>
        <v>0</v>
      </c>
      <c r="CH724" s="1363"/>
      <c r="CI724" s="1345">
        <f t="shared" si="37"/>
        <v>0</v>
      </c>
      <c r="CJ724" s="1347"/>
      <c r="CK724" s="1361">
        <f t="shared" si="15"/>
        <v>0</v>
      </c>
      <c r="CL724" s="1363"/>
      <c r="CM724" s="1345">
        <f t="shared" si="16"/>
        <v>0</v>
      </c>
      <c r="CN724" s="1347"/>
      <c r="CO724" s="3"/>
      <c r="CP724" s="1342">
        <f t="shared" si="17"/>
        <v>0</v>
      </c>
      <c r="CQ724" s="1343"/>
      <c r="CR724" s="1343"/>
      <c r="CS724" s="1343"/>
      <c r="CT724" s="1344"/>
      <c r="CU724" s="1364">
        <f t="shared" si="18"/>
        <v>0</v>
      </c>
      <c r="CV724" s="1364"/>
      <c r="CW724" s="1364"/>
      <c r="CX724" s="1364"/>
      <c r="CY724" s="1364"/>
      <c r="CZ724" s="1364">
        <f t="shared" si="19"/>
        <v>0</v>
      </c>
      <c r="DA724" s="1364"/>
      <c r="DB724" s="1364"/>
      <c r="DC724" s="1364"/>
      <c r="DD724" s="1364"/>
      <c r="DE724" s="1364">
        <f t="shared" si="20"/>
        <v>0</v>
      </c>
      <c r="DF724" s="1364"/>
      <c r="DG724" s="1364"/>
      <c r="DH724" s="1364"/>
      <c r="DI724" s="1364"/>
      <c r="DJ724" s="1364">
        <f t="shared" si="21"/>
        <v>0</v>
      </c>
      <c r="DK724" s="1364"/>
      <c r="DL724" s="1364"/>
      <c r="DM724" s="1364"/>
      <c r="DN724" s="1364"/>
      <c r="DO724" s="1364">
        <f t="shared" si="22"/>
        <v>0</v>
      </c>
      <c r="DP724" s="1364"/>
      <c r="DQ724" s="1364"/>
      <c r="DR724" s="1364"/>
      <c r="DS724" s="1364"/>
      <c r="DT724" s="6"/>
      <c r="DU724" s="1369">
        <f t="shared" si="23"/>
        <v>0</v>
      </c>
      <c r="DV724" s="1369"/>
      <c r="DW724" s="1369"/>
      <c r="DX724" s="1369"/>
      <c r="DY724" s="1369"/>
      <c r="DZ724" s="1369">
        <f t="shared" si="24"/>
        <v>0</v>
      </c>
      <c r="EA724" s="1369"/>
      <c r="EB724" s="1369"/>
      <c r="EC724" s="1369"/>
      <c r="ED724" s="1369"/>
      <c r="EE724" s="1369">
        <f t="shared" si="25"/>
        <v>0</v>
      </c>
      <c r="EF724" s="1369"/>
      <c r="EG724" s="1369"/>
      <c r="EH724" s="1369"/>
      <c r="EI724" s="1369"/>
      <c r="EJ724" s="1369">
        <f t="shared" si="26"/>
        <v>0</v>
      </c>
      <c r="EK724" s="1369"/>
      <c r="EL724" s="1369"/>
      <c r="EM724" s="1369"/>
      <c r="EN724" s="1369"/>
      <c r="EO724" s="1369">
        <f t="shared" si="27"/>
        <v>0</v>
      </c>
      <c r="EP724" s="1369"/>
      <c r="EQ724" s="1369"/>
      <c r="ER724" s="1369"/>
      <c r="ES724" s="1369"/>
      <c r="ET724" s="1369">
        <f t="shared" si="28"/>
        <v>0</v>
      </c>
      <c r="EU724" s="1369"/>
      <c r="EV724" s="1369"/>
      <c r="EW724" s="1369"/>
      <c r="EX724" s="1369"/>
      <c r="EZ724" s="1361" t="str">
        <f t="shared" si="29"/>
        <v/>
      </c>
      <c r="FA724" s="1362"/>
      <c r="FB724" s="1362"/>
      <c r="FC724" s="1362"/>
      <c r="FD724" s="1363"/>
      <c r="FE724" s="1361" t="str">
        <f t="shared" si="30"/>
        <v/>
      </c>
      <c r="FF724" s="1362"/>
      <c r="FG724" s="1362"/>
      <c r="FH724" s="1362"/>
      <c r="FI724" s="1363"/>
      <c r="FJ724" s="1361" t="str">
        <f t="shared" si="31"/>
        <v/>
      </c>
      <c r="FK724" s="1362"/>
      <c r="FL724" s="1362"/>
      <c r="FM724" s="1362"/>
      <c r="FN724" s="1363"/>
      <c r="FO724" s="1361" t="str">
        <f t="shared" si="32"/>
        <v/>
      </c>
      <c r="FP724" s="1362"/>
      <c r="FQ724" s="1362"/>
      <c r="FR724" s="1362"/>
      <c r="FS724" s="1363"/>
      <c r="FT724" s="1361" t="str">
        <f t="shared" si="33"/>
        <v/>
      </c>
      <c r="FU724" s="1362"/>
      <c r="FV724" s="1362"/>
      <c r="FW724" s="1362"/>
      <c r="FX724" s="1363"/>
      <c r="FY724" s="1361" t="str">
        <f t="shared" si="34"/>
        <v/>
      </c>
      <c r="FZ724" s="1362"/>
      <c r="GA724" s="1362"/>
      <c r="GB724" s="1362"/>
      <c r="GC724" s="1363"/>
    </row>
    <row r="725" spans="1:185" ht="13" customHeight="1">
      <c r="B725" s="1365"/>
      <c r="C725" s="1366"/>
      <c r="D725" s="1366"/>
      <c r="E725" s="1366"/>
      <c r="F725" s="1367"/>
      <c r="G725" s="1597"/>
      <c r="H725" s="1598"/>
      <c r="I725" s="1598"/>
      <c r="J725" s="1599"/>
      <c r="K725" s="1602"/>
      <c r="L725" s="1603"/>
      <c r="M725" s="1603"/>
      <c r="N725" s="1604"/>
      <c r="O725" s="1487"/>
      <c r="P725" s="1488"/>
      <c r="Q725" s="1488"/>
      <c r="R725" s="1488"/>
      <c r="S725" s="1489"/>
      <c r="T725" s="1487"/>
      <c r="U725" s="1488"/>
      <c r="V725" s="1488"/>
      <c r="W725" s="1489"/>
      <c r="X725" s="1402">
        <f t="shared" si="8"/>
        <v>0</v>
      </c>
      <c r="Y725" s="1403"/>
      <c r="Z725" s="1403"/>
      <c r="AA725" s="1403"/>
      <c r="AB725" s="1404"/>
      <c r="AC725" s="1502"/>
      <c r="AD725" s="1503"/>
      <c r="AE725" s="1503"/>
      <c r="AF725" s="1503"/>
      <c r="AG725" s="1504"/>
      <c r="AH725" s="1484" t="str">
        <f t="shared" si="35"/>
        <v/>
      </c>
      <c r="AI725" s="1485"/>
      <c r="AJ725" s="1486"/>
      <c r="AK725" s="1365" t="s">
        <v>590</v>
      </c>
      <c r="AL725" s="1366"/>
      <c r="AM725" s="1366"/>
      <c r="AN725" s="1366"/>
      <c r="AO725" s="1367"/>
      <c r="AP725" s="3"/>
      <c r="AQ725" s="3"/>
      <c r="AR725" s="3"/>
      <c r="AS725" s="3"/>
      <c r="AY725" s="1087"/>
      <c r="AZ725" s="118" t="str">
        <f>IF($G725=0,"N/A",VLOOKUP($T$189,TC_Rent,(MATCH($B725,bedrooms,FALSE)),FALSE))</f>
        <v>N/A</v>
      </c>
      <c r="BA725" s="3"/>
      <c r="BB725" s="3"/>
      <c r="BC725" s="3"/>
      <c r="BD725" s="3"/>
      <c r="BE725" s="205"/>
      <c r="BF725" s="295">
        <f t="shared" si="9"/>
        <v>0</v>
      </c>
      <c r="BG725" s="298">
        <f t="shared" si="10"/>
        <v>0</v>
      </c>
      <c r="BH725" s="299" t="str">
        <f t="shared" si="11"/>
        <v/>
      </c>
      <c r="BI725" s="3"/>
      <c r="BJ725" s="3"/>
      <c r="BK725" s="3"/>
      <c r="BL725" s="3"/>
      <c r="BM725" s="3"/>
      <c r="BN725" s="3"/>
      <c r="BS725" s="295">
        <f t="shared" si="12"/>
        <v>0</v>
      </c>
      <c r="BT725" s="298">
        <f t="shared" si="13"/>
        <v>0</v>
      </c>
      <c r="BU725" s="299" t="str">
        <f t="shared" si="14"/>
        <v/>
      </c>
      <c r="BV725" s="293"/>
      <c r="BW725" s="3"/>
      <c r="BX725" s="3"/>
      <c r="BY725" s="3"/>
      <c r="BZ725" s="3"/>
      <c r="CA725" s="3"/>
      <c r="CB725" s="3"/>
      <c r="CC725" s="3"/>
      <c r="CE725" s="3"/>
      <c r="CF725" s="3"/>
      <c r="CG725" s="1361">
        <f t="shared" si="36"/>
        <v>0</v>
      </c>
      <c r="CH725" s="1363"/>
      <c r="CI725" s="1345">
        <f t="shared" si="37"/>
        <v>0</v>
      </c>
      <c r="CJ725" s="1347"/>
      <c r="CK725" s="1361">
        <f t="shared" si="15"/>
        <v>0</v>
      </c>
      <c r="CL725" s="1363"/>
      <c r="CM725" s="1345">
        <f t="shared" si="16"/>
        <v>0</v>
      </c>
      <c r="CN725" s="1347"/>
      <c r="CO725" s="3"/>
      <c r="CP725" s="1342">
        <f t="shared" si="17"/>
        <v>0</v>
      </c>
      <c r="CQ725" s="1343"/>
      <c r="CR725" s="1343"/>
      <c r="CS725" s="1343"/>
      <c r="CT725" s="1344"/>
      <c r="CU725" s="1364">
        <f t="shared" si="18"/>
        <v>0</v>
      </c>
      <c r="CV725" s="1364"/>
      <c r="CW725" s="1364"/>
      <c r="CX725" s="1364"/>
      <c r="CY725" s="1364"/>
      <c r="CZ725" s="1364">
        <f t="shared" si="19"/>
        <v>0</v>
      </c>
      <c r="DA725" s="1364"/>
      <c r="DB725" s="1364"/>
      <c r="DC725" s="1364"/>
      <c r="DD725" s="1364"/>
      <c r="DE725" s="1364">
        <f t="shared" si="20"/>
        <v>0</v>
      </c>
      <c r="DF725" s="1364"/>
      <c r="DG725" s="1364"/>
      <c r="DH725" s="1364"/>
      <c r="DI725" s="1364"/>
      <c r="DJ725" s="1364">
        <f t="shared" si="21"/>
        <v>0</v>
      </c>
      <c r="DK725" s="1364"/>
      <c r="DL725" s="1364"/>
      <c r="DM725" s="1364"/>
      <c r="DN725" s="1364"/>
      <c r="DO725" s="1364">
        <f t="shared" si="22"/>
        <v>0</v>
      </c>
      <c r="DP725" s="1364"/>
      <c r="DQ725" s="1364"/>
      <c r="DR725" s="1364"/>
      <c r="DS725" s="1364"/>
      <c r="DT725" s="6"/>
      <c r="DU725" s="1369">
        <f t="shared" si="23"/>
        <v>0</v>
      </c>
      <c r="DV725" s="1369"/>
      <c r="DW725" s="1369"/>
      <c r="DX725" s="1369"/>
      <c r="DY725" s="1369"/>
      <c r="DZ725" s="1369">
        <f t="shared" si="24"/>
        <v>0</v>
      </c>
      <c r="EA725" s="1369"/>
      <c r="EB725" s="1369"/>
      <c r="EC725" s="1369"/>
      <c r="ED725" s="1369"/>
      <c r="EE725" s="1369">
        <f t="shared" si="25"/>
        <v>0</v>
      </c>
      <c r="EF725" s="1369"/>
      <c r="EG725" s="1369"/>
      <c r="EH725" s="1369"/>
      <c r="EI725" s="1369"/>
      <c r="EJ725" s="1369">
        <f t="shared" si="26"/>
        <v>0</v>
      </c>
      <c r="EK725" s="1369"/>
      <c r="EL725" s="1369"/>
      <c r="EM725" s="1369"/>
      <c r="EN725" s="1369"/>
      <c r="EO725" s="1369">
        <f t="shared" si="27"/>
        <v>0</v>
      </c>
      <c r="EP725" s="1369"/>
      <c r="EQ725" s="1369"/>
      <c r="ER725" s="1369"/>
      <c r="ES725" s="1369"/>
      <c r="ET725" s="1369">
        <f t="shared" si="28"/>
        <v>0</v>
      </c>
      <c r="EU725" s="1369"/>
      <c r="EV725" s="1369"/>
      <c r="EW725" s="1369"/>
      <c r="EX725" s="1369"/>
      <c r="EZ725" s="1361" t="str">
        <f t="shared" si="29"/>
        <v/>
      </c>
      <c r="FA725" s="1362"/>
      <c r="FB725" s="1362"/>
      <c r="FC725" s="1362"/>
      <c r="FD725" s="1363"/>
      <c r="FE725" s="1361" t="str">
        <f t="shared" si="30"/>
        <v/>
      </c>
      <c r="FF725" s="1362"/>
      <c r="FG725" s="1362"/>
      <c r="FH725" s="1362"/>
      <c r="FI725" s="1363"/>
      <c r="FJ725" s="1361" t="str">
        <f t="shared" si="31"/>
        <v/>
      </c>
      <c r="FK725" s="1362"/>
      <c r="FL725" s="1362"/>
      <c r="FM725" s="1362"/>
      <c r="FN725" s="1363"/>
      <c r="FO725" s="1361" t="str">
        <f t="shared" si="32"/>
        <v/>
      </c>
      <c r="FP725" s="1362"/>
      <c r="FQ725" s="1362"/>
      <c r="FR725" s="1362"/>
      <c r="FS725" s="1363"/>
      <c r="FT725" s="1361" t="str">
        <f t="shared" si="33"/>
        <v/>
      </c>
      <c r="FU725" s="1362"/>
      <c r="FV725" s="1362"/>
      <c r="FW725" s="1362"/>
      <c r="FX725" s="1363"/>
      <c r="FY725" s="1361" t="str">
        <f t="shared" si="34"/>
        <v/>
      </c>
      <c r="FZ725" s="1362"/>
      <c r="GA725" s="1362"/>
      <c r="GB725" s="1362"/>
      <c r="GC725" s="1363"/>
    </row>
    <row r="726" spans="1:185" ht="13" customHeight="1">
      <c r="B726" s="1365"/>
      <c r="C726" s="1366"/>
      <c r="D726" s="1366"/>
      <c r="E726" s="1366"/>
      <c r="F726" s="1367"/>
      <c r="G726" s="1597"/>
      <c r="H726" s="1598"/>
      <c r="I726" s="1598"/>
      <c r="J726" s="1599"/>
      <c r="K726" s="1602"/>
      <c r="L726" s="1603"/>
      <c r="M726" s="1603"/>
      <c r="N726" s="1604"/>
      <c r="O726" s="1487"/>
      <c r="P726" s="1488"/>
      <c r="Q726" s="1488"/>
      <c r="R726" s="1488"/>
      <c r="S726" s="1489"/>
      <c r="T726" s="1487"/>
      <c r="U726" s="1488"/>
      <c r="V726" s="1488"/>
      <c r="W726" s="1489"/>
      <c r="X726" s="1402">
        <f t="shared" si="8"/>
        <v>0</v>
      </c>
      <c r="Y726" s="1403"/>
      <c r="Z726" s="1403"/>
      <c r="AA726" s="1403"/>
      <c r="AB726" s="1404"/>
      <c r="AC726" s="1502"/>
      <c r="AD726" s="1503"/>
      <c r="AE726" s="1503"/>
      <c r="AF726" s="1503"/>
      <c r="AG726" s="1504"/>
      <c r="AH726" s="1484" t="str">
        <f t="shared" si="35"/>
        <v/>
      </c>
      <c r="AI726" s="1485"/>
      <c r="AJ726" s="1486"/>
      <c r="AK726" s="1365" t="s">
        <v>590</v>
      </c>
      <c r="AL726" s="1366"/>
      <c r="AM726" s="1366"/>
      <c r="AN726" s="1366"/>
      <c r="AO726" s="1367"/>
      <c r="AP726" s="3"/>
      <c r="AQ726" s="3"/>
      <c r="AR726" s="3"/>
      <c r="AS726" s="3"/>
      <c r="AY726" s="1087"/>
      <c r="AZ726" s="118" t="str">
        <f>IF($G726=0,"N/A",VLOOKUP($T$189,TC_Rent,(MATCH($B726,bedrooms,FALSE)),FALSE))</f>
        <v>N/A</v>
      </c>
      <c r="BA726" s="3"/>
      <c r="BB726" s="3"/>
      <c r="BC726" s="3"/>
      <c r="BD726" s="3"/>
      <c r="BE726" s="205"/>
      <c r="BF726" s="295">
        <f t="shared" si="9"/>
        <v>0</v>
      </c>
      <c r="BG726" s="298">
        <f t="shared" si="10"/>
        <v>0</v>
      </c>
      <c r="BH726" s="299" t="str">
        <f t="shared" si="11"/>
        <v/>
      </c>
      <c r="BI726" s="3"/>
      <c r="BJ726" s="3"/>
      <c r="BK726" s="3"/>
      <c r="BL726" s="3"/>
      <c r="BM726" s="3"/>
      <c r="BN726" s="3"/>
      <c r="BS726" s="295">
        <f t="shared" si="12"/>
        <v>0</v>
      </c>
      <c r="BT726" s="298">
        <f t="shared" si="13"/>
        <v>0</v>
      </c>
      <c r="BU726" s="299" t="str">
        <f t="shared" si="14"/>
        <v/>
      </c>
      <c r="BV726" s="3"/>
      <c r="BW726" s="3"/>
      <c r="BX726" s="3"/>
      <c r="BY726" s="3"/>
      <c r="BZ726" s="3"/>
      <c r="CA726" s="3"/>
      <c r="CB726" s="3"/>
      <c r="CC726" s="3"/>
      <c r="CE726" s="3"/>
      <c r="CF726" s="3"/>
      <c r="CG726" s="1361">
        <f t="shared" si="36"/>
        <v>0</v>
      </c>
      <c r="CH726" s="1363"/>
      <c r="CI726" s="1345">
        <f t="shared" si="37"/>
        <v>0</v>
      </c>
      <c r="CJ726" s="1347"/>
      <c r="CK726" s="1361">
        <f t="shared" si="15"/>
        <v>0</v>
      </c>
      <c r="CL726" s="1363"/>
      <c r="CM726" s="1345">
        <f t="shared" si="16"/>
        <v>0</v>
      </c>
      <c r="CN726" s="1347"/>
      <c r="CO726" s="3"/>
      <c r="CP726" s="1342">
        <f t="shared" si="17"/>
        <v>0</v>
      </c>
      <c r="CQ726" s="1343"/>
      <c r="CR726" s="1343"/>
      <c r="CS726" s="1343"/>
      <c r="CT726" s="1344"/>
      <c r="CU726" s="1364">
        <f t="shared" si="18"/>
        <v>0</v>
      </c>
      <c r="CV726" s="1364"/>
      <c r="CW726" s="1364"/>
      <c r="CX726" s="1364"/>
      <c r="CY726" s="1364"/>
      <c r="CZ726" s="1364">
        <f t="shared" si="19"/>
        <v>0</v>
      </c>
      <c r="DA726" s="1364"/>
      <c r="DB726" s="1364"/>
      <c r="DC726" s="1364"/>
      <c r="DD726" s="1364"/>
      <c r="DE726" s="1364">
        <f t="shared" si="20"/>
        <v>0</v>
      </c>
      <c r="DF726" s="1364"/>
      <c r="DG726" s="1364"/>
      <c r="DH726" s="1364"/>
      <c r="DI726" s="1364"/>
      <c r="DJ726" s="1364">
        <f t="shared" si="21"/>
        <v>0</v>
      </c>
      <c r="DK726" s="1364"/>
      <c r="DL726" s="1364"/>
      <c r="DM726" s="1364"/>
      <c r="DN726" s="1364"/>
      <c r="DO726" s="1364">
        <f t="shared" si="22"/>
        <v>0</v>
      </c>
      <c r="DP726" s="1364"/>
      <c r="DQ726" s="1364"/>
      <c r="DR726" s="1364"/>
      <c r="DS726" s="1364"/>
      <c r="DT726" s="6"/>
      <c r="DU726" s="1369">
        <f t="shared" si="23"/>
        <v>0</v>
      </c>
      <c r="DV726" s="1369"/>
      <c r="DW726" s="1369"/>
      <c r="DX726" s="1369"/>
      <c r="DY726" s="1369"/>
      <c r="DZ726" s="1369">
        <f t="shared" si="24"/>
        <v>0</v>
      </c>
      <c r="EA726" s="1369"/>
      <c r="EB726" s="1369"/>
      <c r="EC726" s="1369"/>
      <c r="ED726" s="1369"/>
      <c r="EE726" s="1369">
        <f t="shared" si="25"/>
        <v>0</v>
      </c>
      <c r="EF726" s="1369"/>
      <c r="EG726" s="1369"/>
      <c r="EH726" s="1369"/>
      <c r="EI726" s="1369"/>
      <c r="EJ726" s="1369">
        <f t="shared" si="26"/>
        <v>0</v>
      </c>
      <c r="EK726" s="1369"/>
      <c r="EL726" s="1369"/>
      <c r="EM726" s="1369"/>
      <c r="EN726" s="1369"/>
      <c r="EO726" s="1369">
        <f t="shared" si="27"/>
        <v>0</v>
      </c>
      <c r="EP726" s="1369"/>
      <c r="EQ726" s="1369"/>
      <c r="ER726" s="1369"/>
      <c r="ES726" s="1369"/>
      <c r="ET726" s="1369">
        <f t="shared" si="28"/>
        <v>0</v>
      </c>
      <c r="EU726" s="1369"/>
      <c r="EV726" s="1369"/>
      <c r="EW726" s="1369"/>
      <c r="EX726" s="1369"/>
      <c r="EY726" s="4"/>
      <c r="EZ726" s="1361" t="str">
        <f t="shared" si="29"/>
        <v/>
      </c>
      <c r="FA726" s="1362"/>
      <c r="FB726" s="1362"/>
      <c r="FC726" s="1362"/>
      <c r="FD726" s="1363"/>
      <c r="FE726" s="1361" t="str">
        <f t="shared" si="30"/>
        <v/>
      </c>
      <c r="FF726" s="1362"/>
      <c r="FG726" s="1362"/>
      <c r="FH726" s="1362"/>
      <c r="FI726" s="1363"/>
      <c r="FJ726" s="1361" t="str">
        <f t="shared" si="31"/>
        <v/>
      </c>
      <c r="FK726" s="1362"/>
      <c r="FL726" s="1362"/>
      <c r="FM726" s="1362"/>
      <c r="FN726" s="1363"/>
      <c r="FO726" s="1361" t="str">
        <f t="shared" si="32"/>
        <v/>
      </c>
      <c r="FP726" s="1362"/>
      <c r="FQ726" s="1362"/>
      <c r="FR726" s="1362"/>
      <c r="FS726" s="1363"/>
      <c r="FT726" s="1361" t="str">
        <f t="shared" si="33"/>
        <v/>
      </c>
      <c r="FU726" s="1362"/>
      <c r="FV726" s="1362"/>
      <c r="FW726" s="1362"/>
      <c r="FX726" s="1363"/>
      <c r="FY726" s="1361" t="str">
        <f t="shared" si="34"/>
        <v/>
      </c>
      <c r="FZ726" s="1362"/>
      <c r="GA726" s="1362"/>
      <c r="GB726" s="1362"/>
      <c r="GC726" s="1363"/>
    </row>
    <row r="727" spans="1:185" ht="13" customHeight="1">
      <c r="A727" s="4"/>
      <c r="B727" s="1365"/>
      <c r="C727" s="1366"/>
      <c r="D727" s="1366"/>
      <c r="E727" s="1366"/>
      <c r="F727" s="1367"/>
      <c r="G727" s="1597"/>
      <c r="H727" s="1598"/>
      <c r="I727" s="1598"/>
      <c r="J727" s="1599"/>
      <c r="K727" s="1602"/>
      <c r="L727" s="1603"/>
      <c r="M727" s="1603"/>
      <c r="N727" s="1604"/>
      <c r="O727" s="1487"/>
      <c r="P727" s="1488"/>
      <c r="Q727" s="1488"/>
      <c r="R727" s="1488"/>
      <c r="S727" s="1489"/>
      <c r="T727" s="1487"/>
      <c r="U727" s="1488"/>
      <c r="V727" s="1488"/>
      <c r="W727" s="1489"/>
      <c r="X727" s="1402">
        <f t="shared" si="8"/>
        <v>0</v>
      </c>
      <c r="Y727" s="1403"/>
      <c r="Z727" s="1403"/>
      <c r="AA727" s="1403"/>
      <c r="AB727" s="1404"/>
      <c r="AC727" s="1502"/>
      <c r="AD727" s="1503"/>
      <c r="AE727" s="1503"/>
      <c r="AF727" s="1503"/>
      <c r="AG727" s="1504"/>
      <c r="AH727" s="1484" t="str">
        <f t="shared" si="35"/>
        <v/>
      </c>
      <c r="AI727" s="1485"/>
      <c r="AJ727" s="1486"/>
      <c r="AK727" s="1365" t="s">
        <v>590</v>
      </c>
      <c r="AL727" s="1366"/>
      <c r="AM727" s="1366"/>
      <c r="AN727" s="1366"/>
      <c r="AO727" s="1367"/>
      <c r="AP727" s="3"/>
      <c r="AQ727" s="3"/>
      <c r="AR727" s="3"/>
      <c r="AS727" s="3"/>
      <c r="AY727" s="1087"/>
      <c r="AZ727" s="118" t="str">
        <f>IF($G727=0,"N/A",VLOOKUP($T$189,TC_Rent,(MATCH($B727,bedrooms,FALSE)),FALSE))</f>
        <v>N/A</v>
      </c>
      <c r="BA727" s="3"/>
      <c r="BB727" s="3"/>
      <c r="BC727" s="3"/>
      <c r="BD727" s="3"/>
      <c r="BE727" s="205"/>
      <c r="BF727" s="295">
        <f t="shared" si="9"/>
        <v>0</v>
      </c>
      <c r="BG727" s="298">
        <f t="shared" si="10"/>
        <v>0</v>
      </c>
      <c r="BH727" s="299" t="str">
        <f t="shared" si="11"/>
        <v/>
      </c>
      <c r="BI727" s="3"/>
      <c r="BJ727" s="3"/>
      <c r="BK727" s="3"/>
      <c r="BL727" s="3"/>
      <c r="BM727" s="3"/>
      <c r="BN727" s="3"/>
      <c r="BS727" s="295">
        <f t="shared" si="12"/>
        <v>0</v>
      </c>
      <c r="BT727" s="298">
        <f t="shared" si="13"/>
        <v>0</v>
      </c>
      <c r="BU727" s="299" t="str">
        <f t="shared" si="14"/>
        <v/>
      </c>
      <c r="BV727" s="3"/>
      <c r="BW727" s="3"/>
      <c r="BX727" s="3"/>
      <c r="BY727" s="3"/>
      <c r="BZ727" s="3"/>
      <c r="CA727" s="3"/>
      <c r="CB727" s="3"/>
      <c r="CC727" s="3"/>
      <c r="CE727" s="3"/>
      <c r="CF727" s="3"/>
      <c r="CG727" s="1361">
        <f t="shared" si="36"/>
        <v>0</v>
      </c>
      <c r="CH727" s="1363"/>
      <c r="CI727" s="1345">
        <f t="shared" si="37"/>
        <v>0</v>
      </c>
      <c r="CJ727" s="1347"/>
      <c r="CK727" s="1361">
        <f t="shared" si="15"/>
        <v>0</v>
      </c>
      <c r="CL727" s="1363"/>
      <c r="CM727" s="1345">
        <f t="shared" si="16"/>
        <v>0</v>
      </c>
      <c r="CN727" s="1347"/>
      <c r="CO727" s="3"/>
      <c r="CP727" s="1342">
        <f t="shared" si="17"/>
        <v>0</v>
      </c>
      <c r="CQ727" s="1343"/>
      <c r="CR727" s="1343"/>
      <c r="CS727" s="1343"/>
      <c r="CT727" s="1344"/>
      <c r="CU727" s="1364">
        <f t="shared" si="18"/>
        <v>0</v>
      </c>
      <c r="CV727" s="1364"/>
      <c r="CW727" s="1364"/>
      <c r="CX727" s="1364"/>
      <c r="CY727" s="1364"/>
      <c r="CZ727" s="1364">
        <f t="shared" si="19"/>
        <v>0</v>
      </c>
      <c r="DA727" s="1364"/>
      <c r="DB727" s="1364"/>
      <c r="DC727" s="1364"/>
      <c r="DD727" s="1364"/>
      <c r="DE727" s="1364">
        <f t="shared" si="20"/>
        <v>0</v>
      </c>
      <c r="DF727" s="1364"/>
      <c r="DG727" s="1364"/>
      <c r="DH727" s="1364"/>
      <c r="DI727" s="1364"/>
      <c r="DJ727" s="1364">
        <f t="shared" si="21"/>
        <v>0</v>
      </c>
      <c r="DK727" s="1364"/>
      <c r="DL727" s="1364"/>
      <c r="DM727" s="1364"/>
      <c r="DN727" s="1364"/>
      <c r="DO727" s="1364">
        <f t="shared" si="22"/>
        <v>0</v>
      </c>
      <c r="DP727" s="1364"/>
      <c r="DQ727" s="1364"/>
      <c r="DR727" s="1364"/>
      <c r="DS727" s="1364"/>
      <c r="DT727" s="6"/>
      <c r="DU727" s="1369">
        <f t="shared" si="23"/>
        <v>0</v>
      </c>
      <c r="DV727" s="1369"/>
      <c r="DW727" s="1369"/>
      <c r="DX727" s="1369"/>
      <c r="DY727" s="1369"/>
      <c r="DZ727" s="1369">
        <f t="shared" si="24"/>
        <v>0</v>
      </c>
      <c r="EA727" s="1369"/>
      <c r="EB727" s="1369"/>
      <c r="EC727" s="1369"/>
      <c r="ED727" s="1369"/>
      <c r="EE727" s="1369">
        <f t="shared" si="25"/>
        <v>0</v>
      </c>
      <c r="EF727" s="1369"/>
      <c r="EG727" s="1369"/>
      <c r="EH727" s="1369"/>
      <c r="EI727" s="1369"/>
      <c r="EJ727" s="1369">
        <f t="shared" si="26"/>
        <v>0</v>
      </c>
      <c r="EK727" s="1369"/>
      <c r="EL727" s="1369"/>
      <c r="EM727" s="1369"/>
      <c r="EN727" s="1369"/>
      <c r="EO727" s="1369">
        <f t="shared" si="27"/>
        <v>0</v>
      </c>
      <c r="EP727" s="1369"/>
      <c r="EQ727" s="1369"/>
      <c r="ER727" s="1369"/>
      <c r="ES727" s="1369"/>
      <c r="ET727" s="1369">
        <f t="shared" si="28"/>
        <v>0</v>
      </c>
      <c r="EU727" s="1369"/>
      <c r="EV727" s="1369"/>
      <c r="EW727" s="1369"/>
      <c r="EX727" s="1369"/>
      <c r="EY727" s="4"/>
      <c r="EZ727" s="1361" t="str">
        <f t="shared" si="29"/>
        <v/>
      </c>
      <c r="FA727" s="1362"/>
      <c r="FB727" s="1362"/>
      <c r="FC727" s="1362"/>
      <c r="FD727" s="1363"/>
      <c r="FE727" s="1361" t="str">
        <f t="shared" si="30"/>
        <v/>
      </c>
      <c r="FF727" s="1362"/>
      <c r="FG727" s="1362"/>
      <c r="FH727" s="1362"/>
      <c r="FI727" s="1363"/>
      <c r="FJ727" s="1361" t="str">
        <f t="shared" si="31"/>
        <v/>
      </c>
      <c r="FK727" s="1362"/>
      <c r="FL727" s="1362"/>
      <c r="FM727" s="1362"/>
      <c r="FN727" s="1363"/>
      <c r="FO727" s="1361" t="str">
        <f t="shared" si="32"/>
        <v/>
      </c>
      <c r="FP727" s="1362"/>
      <c r="FQ727" s="1362"/>
      <c r="FR727" s="1362"/>
      <c r="FS727" s="1363"/>
      <c r="FT727" s="1361" t="str">
        <f t="shared" si="33"/>
        <v/>
      </c>
      <c r="FU727" s="1362"/>
      <c r="FV727" s="1362"/>
      <c r="FW727" s="1362"/>
      <c r="FX727" s="1363"/>
      <c r="FY727" s="1361" t="str">
        <f t="shared" si="34"/>
        <v/>
      </c>
      <c r="FZ727" s="1362"/>
      <c r="GA727" s="1362"/>
      <c r="GB727" s="1362"/>
      <c r="GC727" s="1363"/>
    </row>
    <row r="728" spans="1:185" ht="13" customHeight="1">
      <c r="A728" s="4"/>
      <c r="B728" s="1365"/>
      <c r="C728" s="1366"/>
      <c r="D728" s="1366"/>
      <c r="E728" s="1366"/>
      <c r="F728" s="1367"/>
      <c r="G728" s="1597"/>
      <c r="H728" s="1598"/>
      <c r="I728" s="1598"/>
      <c r="J728" s="1599"/>
      <c r="K728" s="1602"/>
      <c r="L728" s="1603"/>
      <c r="M728" s="1603"/>
      <c r="N728" s="1604"/>
      <c r="O728" s="1487"/>
      <c r="P728" s="1488"/>
      <c r="Q728" s="1488"/>
      <c r="R728" s="1488"/>
      <c r="S728" s="1489"/>
      <c r="T728" s="1487"/>
      <c r="U728" s="1488"/>
      <c r="V728" s="1488"/>
      <c r="W728" s="1489"/>
      <c r="X728" s="1402">
        <f t="shared" si="8"/>
        <v>0</v>
      </c>
      <c r="Y728" s="1403"/>
      <c r="Z728" s="1403"/>
      <c r="AA728" s="1403"/>
      <c r="AB728" s="1404"/>
      <c r="AC728" s="1502"/>
      <c r="AD728" s="1503"/>
      <c r="AE728" s="1503"/>
      <c r="AF728" s="1503"/>
      <c r="AG728" s="1504"/>
      <c r="AH728" s="1484" t="str">
        <f t="shared" si="35"/>
        <v/>
      </c>
      <c r="AI728" s="1485"/>
      <c r="AJ728" s="1486"/>
      <c r="AK728" s="1365" t="s">
        <v>590</v>
      </c>
      <c r="AL728" s="1366"/>
      <c r="AM728" s="1366"/>
      <c r="AN728" s="1366"/>
      <c r="AO728" s="1367"/>
      <c r="AP728" s="3"/>
      <c r="AQ728" s="3"/>
      <c r="AR728" s="3"/>
      <c r="AS728" s="3"/>
      <c r="AY728" s="1087"/>
      <c r="AZ728" s="118" t="str">
        <f>IF($G728=0,"N/A",VLOOKUP($T$189,TC_Rent,(MATCH($B728,bedrooms,FALSE)),FALSE))</f>
        <v>N/A</v>
      </c>
      <c r="BA728" s="3"/>
      <c r="BB728" s="3"/>
      <c r="BC728" s="3"/>
      <c r="BD728" s="3"/>
      <c r="BE728" s="205"/>
      <c r="BF728" s="295">
        <f t="shared" si="9"/>
        <v>0</v>
      </c>
      <c r="BG728" s="298">
        <f t="shared" si="10"/>
        <v>0</v>
      </c>
      <c r="BH728" s="299" t="str">
        <f t="shared" si="11"/>
        <v/>
      </c>
      <c r="BI728" s="3"/>
      <c r="BJ728" s="3"/>
      <c r="BK728" s="3"/>
      <c r="BL728" s="3"/>
      <c r="BM728" s="3"/>
      <c r="BN728" s="3"/>
      <c r="BS728" s="295">
        <f t="shared" si="12"/>
        <v>0</v>
      </c>
      <c r="BT728" s="298">
        <f t="shared" si="13"/>
        <v>0</v>
      </c>
      <c r="BU728" s="299" t="str">
        <f t="shared" si="14"/>
        <v/>
      </c>
      <c r="BV728" s="3"/>
      <c r="BW728" s="3"/>
      <c r="BX728" s="3"/>
      <c r="BY728" s="3"/>
      <c r="BZ728" s="3"/>
      <c r="CA728" s="3"/>
      <c r="CB728" s="3"/>
      <c r="CC728" s="3"/>
      <c r="CE728" s="3"/>
      <c r="CF728" s="3"/>
      <c r="CG728" s="1361">
        <f t="shared" si="36"/>
        <v>0</v>
      </c>
      <c r="CH728" s="1363"/>
      <c r="CI728" s="1345">
        <f t="shared" si="37"/>
        <v>0</v>
      </c>
      <c r="CJ728" s="1347"/>
      <c r="CK728" s="1361">
        <f t="shared" si="15"/>
        <v>0</v>
      </c>
      <c r="CL728" s="1363"/>
      <c r="CM728" s="1345">
        <f t="shared" si="16"/>
        <v>0</v>
      </c>
      <c r="CN728" s="1347"/>
      <c r="CO728" s="3"/>
      <c r="CP728" s="1342">
        <f t="shared" si="17"/>
        <v>0</v>
      </c>
      <c r="CQ728" s="1343"/>
      <c r="CR728" s="1343"/>
      <c r="CS728" s="1343"/>
      <c r="CT728" s="1344"/>
      <c r="CU728" s="1364">
        <f t="shared" si="18"/>
        <v>0</v>
      </c>
      <c r="CV728" s="1364"/>
      <c r="CW728" s="1364"/>
      <c r="CX728" s="1364"/>
      <c r="CY728" s="1364"/>
      <c r="CZ728" s="1364">
        <f t="shared" si="19"/>
        <v>0</v>
      </c>
      <c r="DA728" s="1364"/>
      <c r="DB728" s="1364"/>
      <c r="DC728" s="1364"/>
      <c r="DD728" s="1364"/>
      <c r="DE728" s="1364">
        <f t="shared" si="20"/>
        <v>0</v>
      </c>
      <c r="DF728" s="1364"/>
      <c r="DG728" s="1364"/>
      <c r="DH728" s="1364"/>
      <c r="DI728" s="1364"/>
      <c r="DJ728" s="1364">
        <f t="shared" si="21"/>
        <v>0</v>
      </c>
      <c r="DK728" s="1364"/>
      <c r="DL728" s="1364"/>
      <c r="DM728" s="1364"/>
      <c r="DN728" s="1364"/>
      <c r="DO728" s="1364">
        <f t="shared" si="22"/>
        <v>0</v>
      </c>
      <c r="DP728" s="1364"/>
      <c r="DQ728" s="1364"/>
      <c r="DR728" s="1364"/>
      <c r="DS728" s="1364"/>
      <c r="DT728" s="6"/>
      <c r="DU728" s="1369">
        <f t="shared" si="23"/>
        <v>0</v>
      </c>
      <c r="DV728" s="1369"/>
      <c r="DW728" s="1369"/>
      <c r="DX728" s="1369"/>
      <c r="DY728" s="1369"/>
      <c r="DZ728" s="1369">
        <f t="shared" si="24"/>
        <v>0</v>
      </c>
      <c r="EA728" s="1369"/>
      <c r="EB728" s="1369"/>
      <c r="EC728" s="1369"/>
      <c r="ED728" s="1369"/>
      <c r="EE728" s="1369">
        <f t="shared" si="25"/>
        <v>0</v>
      </c>
      <c r="EF728" s="1369"/>
      <c r="EG728" s="1369"/>
      <c r="EH728" s="1369"/>
      <c r="EI728" s="1369"/>
      <c r="EJ728" s="1369">
        <f t="shared" si="26"/>
        <v>0</v>
      </c>
      <c r="EK728" s="1369"/>
      <c r="EL728" s="1369"/>
      <c r="EM728" s="1369"/>
      <c r="EN728" s="1369"/>
      <c r="EO728" s="1369">
        <f t="shared" si="27"/>
        <v>0</v>
      </c>
      <c r="EP728" s="1369"/>
      <c r="EQ728" s="1369"/>
      <c r="ER728" s="1369"/>
      <c r="ES728" s="1369"/>
      <c r="ET728" s="1369">
        <f t="shared" si="28"/>
        <v>0</v>
      </c>
      <c r="EU728" s="1369"/>
      <c r="EV728" s="1369"/>
      <c r="EW728" s="1369"/>
      <c r="EX728" s="1369"/>
      <c r="EY728" s="4"/>
      <c r="EZ728" s="1361" t="str">
        <f t="shared" si="29"/>
        <v/>
      </c>
      <c r="FA728" s="1362"/>
      <c r="FB728" s="1362"/>
      <c r="FC728" s="1362"/>
      <c r="FD728" s="1363"/>
      <c r="FE728" s="1361" t="str">
        <f t="shared" si="30"/>
        <v/>
      </c>
      <c r="FF728" s="1362"/>
      <c r="FG728" s="1362"/>
      <c r="FH728" s="1362"/>
      <c r="FI728" s="1363"/>
      <c r="FJ728" s="1361" t="str">
        <f t="shared" si="31"/>
        <v/>
      </c>
      <c r="FK728" s="1362"/>
      <c r="FL728" s="1362"/>
      <c r="FM728" s="1362"/>
      <c r="FN728" s="1363"/>
      <c r="FO728" s="1361" t="str">
        <f t="shared" si="32"/>
        <v/>
      </c>
      <c r="FP728" s="1362"/>
      <c r="FQ728" s="1362"/>
      <c r="FR728" s="1362"/>
      <c r="FS728" s="1363"/>
      <c r="FT728" s="1361" t="str">
        <f t="shared" si="33"/>
        <v/>
      </c>
      <c r="FU728" s="1362"/>
      <c r="FV728" s="1362"/>
      <c r="FW728" s="1362"/>
      <c r="FX728" s="1363"/>
      <c r="FY728" s="1361" t="str">
        <f t="shared" si="34"/>
        <v/>
      </c>
      <c r="FZ728" s="1362"/>
      <c r="GA728" s="1362"/>
      <c r="GB728" s="1362"/>
      <c r="GC728" s="1363"/>
    </row>
    <row r="729" spans="1:185" ht="13" customHeight="1">
      <c r="A729" s="4"/>
      <c r="B729" s="1365"/>
      <c r="C729" s="1366"/>
      <c r="D729" s="1366"/>
      <c r="E729" s="1366"/>
      <c r="F729" s="1367"/>
      <c r="G729" s="1597"/>
      <c r="H729" s="1598"/>
      <c r="I729" s="1598"/>
      <c r="J729" s="1599"/>
      <c r="K729" s="1602"/>
      <c r="L729" s="1603"/>
      <c r="M729" s="1603"/>
      <c r="N729" s="1604"/>
      <c r="O729" s="1487"/>
      <c r="P729" s="1488"/>
      <c r="Q729" s="1488"/>
      <c r="R729" s="1488"/>
      <c r="S729" s="1489"/>
      <c r="T729" s="1487"/>
      <c r="U729" s="1488"/>
      <c r="V729" s="1488"/>
      <c r="W729" s="1489"/>
      <c r="X729" s="1402">
        <f t="shared" si="8"/>
        <v>0</v>
      </c>
      <c r="Y729" s="1403"/>
      <c r="Z729" s="1403"/>
      <c r="AA729" s="1403"/>
      <c r="AB729" s="1404"/>
      <c r="AC729" s="1502"/>
      <c r="AD729" s="1503"/>
      <c r="AE729" s="1503"/>
      <c r="AF729" s="1503"/>
      <c r="AG729" s="1504"/>
      <c r="AH729" s="1484" t="str">
        <f t="shared" si="35"/>
        <v/>
      </c>
      <c r="AI729" s="1485"/>
      <c r="AJ729" s="1486"/>
      <c r="AK729" s="1365" t="s">
        <v>590</v>
      </c>
      <c r="AL729" s="1366"/>
      <c r="AM729" s="1366"/>
      <c r="AN729" s="1366"/>
      <c r="AO729" s="1367"/>
      <c r="AP729" s="3"/>
      <c r="AQ729" s="3"/>
      <c r="AR729" s="3"/>
      <c r="AS729" s="3"/>
      <c r="AY729" s="1087"/>
      <c r="AZ729" s="118" t="str">
        <f>IF($G729=0,"N/A",VLOOKUP($T$189,TC_Rent,(MATCH($B729,bedrooms,FALSE)),FALSE))</f>
        <v>N/A</v>
      </c>
      <c r="BA729" s="3"/>
      <c r="BB729" s="3"/>
      <c r="BC729" s="3"/>
      <c r="BD729" s="3"/>
      <c r="BE729" s="205"/>
      <c r="BF729" s="295">
        <f t="shared" si="9"/>
        <v>0</v>
      </c>
      <c r="BG729" s="298">
        <f t="shared" si="10"/>
        <v>0</v>
      </c>
      <c r="BH729" s="299" t="str">
        <f t="shared" si="11"/>
        <v/>
      </c>
      <c r="BI729" s="3"/>
      <c r="BJ729" s="3"/>
      <c r="BK729" s="3"/>
      <c r="BL729" s="3"/>
      <c r="BM729" s="3"/>
      <c r="BN729" s="3"/>
      <c r="BS729" s="295">
        <f t="shared" si="12"/>
        <v>0</v>
      </c>
      <c r="BT729" s="298">
        <f t="shared" si="13"/>
        <v>0</v>
      </c>
      <c r="BU729" s="299" t="str">
        <f t="shared" si="14"/>
        <v/>
      </c>
      <c r="BV729" s="3"/>
      <c r="BW729" s="3"/>
      <c r="BX729" s="3"/>
      <c r="BY729" s="3"/>
      <c r="BZ729" s="3"/>
      <c r="CA729" s="3"/>
      <c r="CB729" s="3"/>
      <c r="CC729" s="3"/>
      <c r="CE729" s="3"/>
      <c r="CF729" s="3"/>
      <c r="CG729" s="1361">
        <f t="shared" si="36"/>
        <v>0</v>
      </c>
      <c r="CH729" s="1363"/>
      <c r="CI729" s="1345">
        <f t="shared" si="37"/>
        <v>0</v>
      </c>
      <c r="CJ729" s="1347"/>
      <c r="CK729" s="1361">
        <f t="shared" si="15"/>
        <v>0</v>
      </c>
      <c r="CL729" s="1363"/>
      <c r="CM729" s="1345">
        <f t="shared" si="16"/>
        <v>0</v>
      </c>
      <c r="CN729" s="1347"/>
      <c r="CO729" s="3"/>
      <c r="CP729" s="1342">
        <f t="shared" si="17"/>
        <v>0</v>
      </c>
      <c r="CQ729" s="1343"/>
      <c r="CR729" s="1343"/>
      <c r="CS729" s="1343"/>
      <c r="CT729" s="1344"/>
      <c r="CU729" s="1364">
        <f t="shared" si="18"/>
        <v>0</v>
      </c>
      <c r="CV729" s="1364"/>
      <c r="CW729" s="1364"/>
      <c r="CX729" s="1364"/>
      <c r="CY729" s="1364"/>
      <c r="CZ729" s="1364">
        <f t="shared" si="19"/>
        <v>0</v>
      </c>
      <c r="DA729" s="1364"/>
      <c r="DB729" s="1364"/>
      <c r="DC729" s="1364"/>
      <c r="DD729" s="1364"/>
      <c r="DE729" s="1364">
        <f t="shared" si="20"/>
        <v>0</v>
      </c>
      <c r="DF729" s="1364"/>
      <c r="DG729" s="1364"/>
      <c r="DH729" s="1364"/>
      <c r="DI729" s="1364"/>
      <c r="DJ729" s="1364">
        <f t="shared" si="21"/>
        <v>0</v>
      </c>
      <c r="DK729" s="1364"/>
      <c r="DL729" s="1364"/>
      <c r="DM729" s="1364"/>
      <c r="DN729" s="1364"/>
      <c r="DO729" s="1364">
        <f t="shared" si="22"/>
        <v>0</v>
      </c>
      <c r="DP729" s="1364"/>
      <c r="DQ729" s="1364"/>
      <c r="DR729" s="1364"/>
      <c r="DS729" s="1364"/>
      <c r="DT729" s="6"/>
      <c r="DU729" s="1369">
        <f t="shared" si="23"/>
        <v>0</v>
      </c>
      <c r="DV729" s="1369"/>
      <c r="DW729" s="1369"/>
      <c r="DX729" s="1369"/>
      <c r="DY729" s="1369"/>
      <c r="DZ729" s="1369">
        <f t="shared" si="24"/>
        <v>0</v>
      </c>
      <c r="EA729" s="1369"/>
      <c r="EB729" s="1369"/>
      <c r="EC729" s="1369"/>
      <c r="ED729" s="1369"/>
      <c r="EE729" s="1369">
        <f t="shared" si="25"/>
        <v>0</v>
      </c>
      <c r="EF729" s="1369"/>
      <c r="EG729" s="1369"/>
      <c r="EH729" s="1369"/>
      <c r="EI729" s="1369"/>
      <c r="EJ729" s="1369">
        <f t="shared" si="26"/>
        <v>0</v>
      </c>
      <c r="EK729" s="1369"/>
      <c r="EL729" s="1369"/>
      <c r="EM729" s="1369"/>
      <c r="EN729" s="1369"/>
      <c r="EO729" s="1369">
        <f t="shared" si="27"/>
        <v>0</v>
      </c>
      <c r="EP729" s="1369"/>
      <c r="EQ729" s="1369"/>
      <c r="ER729" s="1369"/>
      <c r="ES729" s="1369"/>
      <c r="ET729" s="1369">
        <f t="shared" si="28"/>
        <v>0</v>
      </c>
      <c r="EU729" s="1369"/>
      <c r="EV729" s="1369"/>
      <c r="EW729" s="1369"/>
      <c r="EX729" s="1369"/>
      <c r="EZ729" s="1361" t="str">
        <f t="shared" si="29"/>
        <v/>
      </c>
      <c r="FA729" s="1362"/>
      <c r="FB729" s="1362"/>
      <c r="FC729" s="1362"/>
      <c r="FD729" s="1363"/>
      <c r="FE729" s="1361" t="str">
        <f t="shared" si="30"/>
        <v/>
      </c>
      <c r="FF729" s="1362"/>
      <c r="FG729" s="1362"/>
      <c r="FH729" s="1362"/>
      <c r="FI729" s="1363"/>
      <c r="FJ729" s="1361" t="str">
        <f t="shared" si="31"/>
        <v/>
      </c>
      <c r="FK729" s="1362"/>
      <c r="FL729" s="1362"/>
      <c r="FM729" s="1362"/>
      <c r="FN729" s="1363"/>
      <c r="FO729" s="1361" t="str">
        <f t="shared" si="32"/>
        <v/>
      </c>
      <c r="FP729" s="1362"/>
      <c r="FQ729" s="1362"/>
      <c r="FR729" s="1362"/>
      <c r="FS729" s="1363"/>
      <c r="FT729" s="1361" t="str">
        <f t="shared" si="33"/>
        <v/>
      </c>
      <c r="FU729" s="1362"/>
      <c r="FV729" s="1362"/>
      <c r="FW729" s="1362"/>
      <c r="FX729" s="1363"/>
      <c r="FY729" s="1361" t="str">
        <f t="shared" si="34"/>
        <v/>
      </c>
      <c r="FZ729" s="1362"/>
      <c r="GA729" s="1362"/>
      <c r="GB729" s="1362"/>
      <c r="GC729" s="1363"/>
    </row>
    <row r="730" spans="1:185" ht="13" customHeight="1">
      <c r="B730" s="1365"/>
      <c r="C730" s="1366"/>
      <c r="D730" s="1366"/>
      <c r="E730" s="1366"/>
      <c r="F730" s="1367"/>
      <c r="G730" s="1597"/>
      <c r="H730" s="1598"/>
      <c r="I730" s="1598"/>
      <c r="J730" s="1599"/>
      <c r="K730" s="1602"/>
      <c r="L730" s="1603"/>
      <c r="M730" s="1603"/>
      <c r="N730" s="1604"/>
      <c r="O730" s="1487"/>
      <c r="P730" s="1488"/>
      <c r="Q730" s="1488"/>
      <c r="R730" s="1488"/>
      <c r="S730" s="1489"/>
      <c r="T730" s="1487"/>
      <c r="U730" s="1488"/>
      <c r="V730" s="1488"/>
      <c r="W730" s="1489"/>
      <c r="X730" s="1402">
        <f t="shared" si="8"/>
        <v>0</v>
      </c>
      <c r="Y730" s="1403"/>
      <c r="Z730" s="1403"/>
      <c r="AA730" s="1403"/>
      <c r="AB730" s="1404"/>
      <c r="AC730" s="1502"/>
      <c r="AD730" s="1503"/>
      <c r="AE730" s="1503"/>
      <c r="AF730" s="1503"/>
      <c r="AG730" s="1504"/>
      <c r="AH730" s="1484" t="str">
        <f t="shared" si="35"/>
        <v/>
      </c>
      <c r="AI730" s="1485"/>
      <c r="AJ730" s="1486"/>
      <c r="AK730" s="1365" t="s">
        <v>590</v>
      </c>
      <c r="AL730" s="1366"/>
      <c r="AM730" s="1366"/>
      <c r="AN730" s="1366"/>
      <c r="AO730" s="1367"/>
      <c r="AP730" s="3"/>
      <c r="AQ730" s="3"/>
      <c r="AR730" s="3"/>
      <c r="AS730" s="3"/>
      <c r="AY730" s="1087"/>
      <c r="AZ730" s="118" t="str">
        <f>IF($G730=0,"N/A",VLOOKUP($T$189,TC_Rent,(MATCH($B730,bedrooms,FALSE)),FALSE))</f>
        <v>N/A</v>
      </c>
      <c r="BA730" s="3"/>
      <c r="BB730" s="3"/>
      <c r="BC730" s="3"/>
      <c r="BD730" s="3"/>
      <c r="BE730" s="205"/>
      <c r="BF730" s="295">
        <f t="shared" si="9"/>
        <v>0</v>
      </c>
      <c r="BG730" s="298">
        <f t="shared" si="10"/>
        <v>0</v>
      </c>
      <c r="BH730" s="299" t="str">
        <f t="shared" si="11"/>
        <v/>
      </c>
      <c r="BI730" s="3"/>
      <c r="BJ730" s="3"/>
      <c r="BK730" s="3"/>
      <c r="BL730" s="3"/>
      <c r="BM730" s="3"/>
      <c r="BN730" s="3"/>
      <c r="BS730" s="295">
        <f t="shared" si="12"/>
        <v>0</v>
      </c>
      <c r="BT730" s="298">
        <f t="shared" si="13"/>
        <v>0</v>
      </c>
      <c r="BU730" s="299" t="str">
        <f t="shared" si="14"/>
        <v/>
      </c>
      <c r="BV730" s="3"/>
      <c r="BW730" s="3"/>
      <c r="BX730" s="3"/>
      <c r="BY730" s="3"/>
      <c r="BZ730" s="3"/>
      <c r="CA730" s="3"/>
      <c r="CB730" s="3"/>
      <c r="CC730" s="3"/>
      <c r="CE730" s="3"/>
      <c r="CF730" s="3"/>
      <c r="CG730" s="1361">
        <f t="shared" si="36"/>
        <v>0</v>
      </c>
      <c r="CH730" s="1363"/>
      <c r="CI730" s="1345">
        <f t="shared" si="37"/>
        <v>0</v>
      </c>
      <c r="CJ730" s="1347"/>
      <c r="CK730" s="1361">
        <f t="shared" si="15"/>
        <v>0</v>
      </c>
      <c r="CL730" s="1363"/>
      <c r="CM730" s="1345">
        <f t="shared" si="16"/>
        <v>0</v>
      </c>
      <c r="CN730" s="1347"/>
      <c r="CO730" s="3"/>
      <c r="CP730" s="1342">
        <f t="shared" si="17"/>
        <v>0</v>
      </c>
      <c r="CQ730" s="1343"/>
      <c r="CR730" s="1343"/>
      <c r="CS730" s="1343"/>
      <c r="CT730" s="1344"/>
      <c r="CU730" s="1364">
        <f t="shared" si="18"/>
        <v>0</v>
      </c>
      <c r="CV730" s="1364"/>
      <c r="CW730" s="1364"/>
      <c r="CX730" s="1364"/>
      <c r="CY730" s="1364"/>
      <c r="CZ730" s="1364">
        <f t="shared" si="19"/>
        <v>0</v>
      </c>
      <c r="DA730" s="1364"/>
      <c r="DB730" s="1364"/>
      <c r="DC730" s="1364"/>
      <c r="DD730" s="1364"/>
      <c r="DE730" s="1364">
        <f t="shared" si="20"/>
        <v>0</v>
      </c>
      <c r="DF730" s="1364"/>
      <c r="DG730" s="1364"/>
      <c r="DH730" s="1364"/>
      <c r="DI730" s="1364"/>
      <c r="DJ730" s="1364">
        <f t="shared" si="21"/>
        <v>0</v>
      </c>
      <c r="DK730" s="1364"/>
      <c r="DL730" s="1364"/>
      <c r="DM730" s="1364"/>
      <c r="DN730" s="1364"/>
      <c r="DO730" s="1364">
        <f t="shared" si="22"/>
        <v>0</v>
      </c>
      <c r="DP730" s="1364"/>
      <c r="DQ730" s="1364"/>
      <c r="DR730" s="1364"/>
      <c r="DS730" s="1364"/>
      <c r="DT730" s="6"/>
      <c r="DU730" s="1369">
        <f t="shared" si="23"/>
        <v>0</v>
      </c>
      <c r="DV730" s="1369"/>
      <c r="DW730" s="1369"/>
      <c r="DX730" s="1369"/>
      <c r="DY730" s="1369"/>
      <c r="DZ730" s="1369">
        <f t="shared" si="24"/>
        <v>0</v>
      </c>
      <c r="EA730" s="1369"/>
      <c r="EB730" s="1369"/>
      <c r="EC730" s="1369"/>
      <c r="ED730" s="1369"/>
      <c r="EE730" s="1369">
        <f t="shared" si="25"/>
        <v>0</v>
      </c>
      <c r="EF730" s="1369"/>
      <c r="EG730" s="1369"/>
      <c r="EH730" s="1369"/>
      <c r="EI730" s="1369"/>
      <c r="EJ730" s="1369">
        <f t="shared" si="26"/>
        <v>0</v>
      </c>
      <c r="EK730" s="1369"/>
      <c r="EL730" s="1369"/>
      <c r="EM730" s="1369"/>
      <c r="EN730" s="1369"/>
      <c r="EO730" s="1369">
        <f t="shared" si="27"/>
        <v>0</v>
      </c>
      <c r="EP730" s="1369"/>
      <c r="EQ730" s="1369"/>
      <c r="ER730" s="1369"/>
      <c r="ES730" s="1369"/>
      <c r="ET730" s="1369">
        <f t="shared" si="28"/>
        <v>0</v>
      </c>
      <c r="EU730" s="1369"/>
      <c r="EV730" s="1369"/>
      <c r="EW730" s="1369"/>
      <c r="EX730" s="1369"/>
      <c r="EZ730" s="1361" t="str">
        <f t="shared" si="29"/>
        <v/>
      </c>
      <c r="FA730" s="1362"/>
      <c r="FB730" s="1362"/>
      <c r="FC730" s="1362"/>
      <c r="FD730" s="1363"/>
      <c r="FE730" s="1361" t="str">
        <f t="shared" si="30"/>
        <v/>
      </c>
      <c r="FF730" s="1362"/>
      <c r="FG730" s="1362"/>
      <c r="FH730" s="1362"/>
      <c r="FI730" s="1363"/>
      <c r="FJ730" s="1361" t="str">
        <f t="shared" si="31"/>
        <v/>
      </c>
      <c r="FK730" s="1362"/>
      <c r="FL730" s="1362"/>
      <c r="FM730" s="1362"/>
      <c r="FN730" s="1363"/>
      <c r="FO730" s="1361" t="str">
        <f t="shared" si="32"/>
        <v/>
      </c>
      <c r="FP730" s="1362"/>
      <c r="FQ730" s="1362"/>
      <c r="FR730" s="1362"/>
      <c r="FS730" s="1363"/>
      <c r="FT730" s="1361" t="str">
        <f t="shared" si="33"/>
        <v/>
      </c>
      <c r="FU730" s="1362"/>
      <c r="FV730" s="1362"/>
      <c r="FW730" s="1362"/>
      <c r="FX730" s="1363"/>
      <c r="FY730" s="1361" t="str">
        <f t="shared" si="34"/>
        <v/>
      </c>
      <c r="FZ730" s="1362"/>
      <c r="GA730" s="1362"/>
      <c r="GB730" s="1362"/>
      <c r="GC730" s="1363"/>
    </row>
    <row r="731" spans="1:185" ht="13" customHeight="1">
      <c r="B731" s="1365"/>
      <c r="C731" s="1366"/>
      <c r="D731" s="1366"/>
      <c r="E731" s="1366"/>
      <c r="F731" s="1367"/>
      <c r="G731" s="1597"/>
      <c r="H731" s="1598"/>
      <c r="I731" s="1598"/>
      <c r="J731" s="1599"/>
      <c r="K731" s="1602"/>
      <c r="L731" s="1603"/>
      <c r="M731" s="1603"/>
      <c r="N731" s="1604"/>
      <c r="O731" s="1487"/>
      <c r="P731" s="1488"/>
      <c r="Q731" s="1488"/>
      <c r="R731" s="1488"/>
      <c r="S731" s="1489"/>
      <c r="T731" s="1487"/>
      <c r="U731" s="1488"/>
      <c r="V731" s="1488"/>
      <c r="W731" s="1489"/>
      <c r="X731" s="1402">
        <f t="shared" si="8"/>
        <v>0</v>
      </c>
      <c r="Y731" s="1403"/>
      <c r="Z731" s="1403"/>
      <c r="AA731" s="1403"/>
      <c r="AB731" s="1404"/>
      <c r="AC731" s="1502"/>
      <c r="AD731" s="1503"/>
      <c r="AE731" s="1503"/>
      <c r="AF731" s="1503"/>
      <c r="AG731" s="1504"/>
      <c r="AH731" s="1484" t="str">
        <f t="shared" si="35"/>
        <v/>
      </c>
      <c r="AI731" s="1485"/>
      <c r="AJ731" s="1486"/>
      <c r="AK731" s="1365" t="s">
        <v>590</v>
      </c>
      <c r="AL731" s="1366"/>
      <c r="AM731" s="1366"/>
      <c r="AN731" s="1366"/>
      <c r="AO731" s="1367"/>
      <c r="AP731" s="3"/>
      <c r="AQ731" s="3"/>
      <c r="AR731" s="3"/>
      <c r="AS731" s="3"/>
      <c r="AY731" s="1087"/>
      <c r="AZ731" s="118" t="str">
        <f>IF($G731=0,"N/A",VLOOKUP($T$189,TC_Rent,(MATCH($B731,bedrooms,FALSE)),FALSE))</f>
        <v>N/A</v>
      </c>
      <c r="BA731" s="3"/>
      <c r="BB731" s="3"/>
      <c r="BC731" s="3"/>
      <c r="BD731" s="3"/>
      <c r="BE731" s="205"/>
      <c r="BF731" s="295">
        <f t="shared" si="9"/>
        <v>0</v>
      </c>
      <c r="BG731" s="298">
        <f t="shared" si="10"/>
        <v>0</v>
      </c>
      <c r="BH731" s="299" t="str">
        <f t="shared" si="11"/>
        <v/>
      </c>
      <c r="BI731" s="3"/>
      <c r="BJ731" s="3"/>
      <c r="BK731" s="3"/>
      <c r="BL731" s="3"/>
      <c r="BM731" s="3"/>
      <c r="BN731" s="3"/>
      <c r="BS731" s="295">
        <f t="shared" si="12"/>
        <v>0</v>
      </c>
      <c r="BT731" s="298">
        <f t="shared" si="13"/>
        <v>0</v>
      </c>
      <c r="BU731" s="299" t="str">
        <f t="shared" si="14"/>
        <v/>
      </c>
      <c r="BV731" s="3"/>
      <c r="BW731" s="3"/>
      <c r="BX731" s="3"/>
      <c r="BY731" s="3"/>
      <c r="BZ731" s="3"/>
      <c r="CA731" s="3"/>
      <c r="CB731" s="3"/>
      <c r="CC731" s="3"/>
      <c r="CE731" s="3"/>
      <c r="CF731" s="3"/>
      <c r="CG731" s="1361">
        <f t="shared" si="36"/>
        <v>0</v>
      </c>
      <c r="CH731" s="1363"/>
      <c r="CI731" s="1345">
        <f t="shared" si="37"/>
        <v>0</v>
      </c>
      <c r="CJ731" s="1347"/>
      <c r="CK731" s="1361">
        <f t="shared" si="15"/>
        <v>0</v>
      </c>
      <c r="CL731" s="1363"/>
      <c r="CM731" s="1345">
        <f t="shared" si="16"/>
        <v>0</v>
      </c>
      <c r="CN731" s="1347"/>
      <c r="CO731" s="3"/>
      <c r="CP731" s="1342">
        <f t="shared" si="17"/>
        <v>0</v>
      </c>
      <c r="CQ731" s="1343"/>
      <c r="CR731" s="1343"/>
      <c r="CS731" s="1343"/>
      <c r="CT731" s="1344"/>
      <c r="CU731" s="1364">
        <f t="shared" si="18"/>
        <v>0</v>
      </c>
      <c r="CV731" s="1364"/>
      <c r="CW731" s="1364"/>
      <c r="CX731" s="1364"/>
      <c r="CY731" s="1364"/>
      <c r="CZ731" s="1364">
        <f t="shared" si="19"/>
        <v>0</v>
      </c>
      <c r="DA731" s="1364"/>
      <c r="DB731" s="1364"/>
      <c r="DC731" s="1364"/>
      <c r="DD731" s="1364"/>
      <c r="DE731" s="1364">
        <f t="shared" si="20"/>
        <v>0</v>
      </c>
      <c r="DF731" s="1364"/>
      <c r="DG731" s="1364"/>
      <c r="DH731" s="1364"/>
      <c r="DI731" s="1364"/>
      <c r="DJ731" s="1364">
        <f t="shared" si="21"/>
        <v>0</v>
      </c>
      <c r="DK731" s="1364"/>
      <c r="DL731" s="1364"/>
      <c r="DM731" s="1364"/>
      <c r="DN731" s="1364"/>
      <c r="DO731" s="1364">
        <f t="shared" si="22"/>
        <v>0</v>
      </c>
      <c r="DP731" s="1364"/>
      <c r="DQ731" s="1364"/>
      <c r="DR731" s="1364"/>
      <c r="DS731" s="1364"/>
      <c r="DT731" s="6"/>
      <c r="DU731" s="1369">
        <f t="shared" si="23"/>
        <v>0</v>
      </c>
      <c r="DV731" s="1369"/>
      <c r="DW731" s="1369"/>
      <c r="DX731" s="1369"/>
      <c r="DY731" s="1369"/>
      <c r="DZ731" s="1369">
        <f t="shared" si="24"/>
        <v>0</v>
      </c>
      <c r="EA731" s="1369"/>
      <c r="EB731" s="1369"/>
      <c r="EC731" s="1369"/>
      <c r="ED731" s="1369"/>
      <c r="EE731" s="1369">
        <f t="shared" si="25"/>
        <v>0</v>
      </c>
      <c r="EF731" s="1369"/>
      <c r="EG731" s="1369"/>
      <c r="EH731" s="1369"/>
      <c r="EI731" s="1369"/>
      <c r="EJ731" s="1369">
        <f t="shared" si="26"/>
        <v>0</v>
      </c>
      <c r="EK731" s="1369"/>
      <c r="EL731" s="1369"/>
      <c r="EM731" s="1369"/>
      <c r="EN731" s="1369"/>
      <c r="EO731" s="1369">
        <f t="shared" si="27"/>
        <v>0</v>
      </c>
      <c r="EP731" s="1369"/>
      <c r="EQ731" s="1369"/>
      <c r="ER731" s="1369"/>
      <c r="ES731" s="1369"/>
      <c r="ET731" s="1369">
        <f t="shared" si="28"/>
        <v>0</v>
      </c>
      <c r="EU731" s="1369"/>
      <c r="EV731" s="1369"/>
      <c r="EW731" s="1369"/>
      <c r="EX731" s="1369"/>
      <c r="EZ731" s="1361" t="str">
        <f t="shared" si="29"/>
        <v/>
      </c>
      <c r="FA731" s="1362"/>
      <c r="FB731" s="1362"/>
      <c r="FC731" s="1362"/>
      <c r="FD731" s="1363"/>
      <c r="FE731" s="1361" t="str">
        <f t="shared" si="30"/>
        <v/>
      </c>
      <c r="FF731" s="1362"/>
      <c r="FG731" s="1362"/>
      <c r="FH731" s="1362"/>
      <c r="FI731" s="1363"/>
      <c r="FJ731" s="1361" t="str">
        <f t="shared" si="31"/>
        <v/>
      </c>
      <c r="FK731" s="1362"/>
      <c r="FL731" s="1362"/>
      <c r="FM731" s="1362"/>
      <c r="FN731" s="1363"/>
      <c r="FO731" s="1361" t="str">
        <f t="shared" si="32"/>
        <v/>
      </c>
      <c r="FP731" s="1362"/>
      <c r="FQ731" s="1362"/>
      <c r="FR731" s="1362"/>
      <c r="FS731" s="1363"/>
      <c r="FT731" s="1361" t="str">
        <f t="shared" si="33"/>
        <v/>
      </c>
      <c r="FU731" s="1362"/>
      <c r="FV731" s="1362"/>
      <c r="FW731" s="1362"/>
      <c r="FX731" s="1363"/>
      <c r="FY731" s="1361" t="str">
        <f t="shared" si="34"/>
        <v/>
      </c>
      <c r="FZ731" s="1362"/>
      <c r="GA731" s="1362"/>
      <c r="GB731" s="1362"/>
      <c r="GC731" s="1363"/>
    </row>
    <row r="732" spans="1:185" ht="13" customHeight="1">
      <c r="B732" s="1365"/>
      <c r="C732" s="1366"/>
      <c r="D732" s="1366"/>
      <c r="E732" s="1366"/>
      <c r="F732" s="1367"/>
      <c r="G732" s="1597"/>
      <c r="H732" s="1598"/>
      <c r="I732" s="1598"/>
      <c r="J732" s="1599"/>
      <c r="K732" s="1602"/>
      <c r="L732" s="1603"/>
      <c r="M732" s="1603"/>
      <c r="N732" s="1604"/>
      <c r="O732" s="1487"/>
      <c r="P732" s="1488"/>
      <c r="Q732" s="1488"/>
      <c r="R732" s="1488"/>
      <c r="S732" s="1489"/>
      <c r="T732" s="1487"/>
      <c r="U732" s="1488"/>
      <c r="V732" s="1488"/>
      <c r="W732" s="1489"/>
      <c r="X732" s="1402">
        <f t="shared" si="8"/>
        <v>0</v>
      </c>
      <c r="Y732" s="1403"/>
      <c r="Z732" s="1403"/>
      <c r="AA732" s="1403"/>
      <c r="AB732" s="1404"/>
      <c r="AC732" s="1502"/>
      <c r="AD732" s="1503"/>
      <c r="AE732" s="1503"/>
      <c r="AF732" s="1503"/>
      <c r="AG732" s="1504"/>
      <c r="AH732" s="1484" t="str">
        <f t="shared" si="35"/>
        <v/>
      </c>
      <c r="AI732" s="1485"/>
      <c r="AJ732" s="1486"/>
      <c r="AK732" s="1365" t="s">
        <v>590</v>
      </c>
      <c r="AL732" s="1366"/>
      <c r="AM732" s="1366"/>
      <c r="AN732" s="1366"/>
      <c r="AO732" s="1367"/>
      <c r="AP732" s="3"/>
      <c r="AQ732" s="3"/>
      <c r="AR732" s="3"/>
      <c r="AS732" s="3"/>
      <c r="AY732" s="1087"/>
      <c r="AZ732" s="118" t="str">
        <f>IF($G732=0,"N/A",VLOOKUP($T$189,TC_Rent,(MATCH($B732,bedrooms,FALSE)),FALSE))</f>
        <v>N/A</v>
      </c>
      <c r="BA732" s="3"/>
      <c r="BB732" s="3"/>
      <c r="BC732" s="3"/>
      <c r="BD732" s="3"/>
      <c r="BE732" s="205"/>
      <c r="BF732" s="295">
        <f t="shared" si="9"/>
        <v>0</v>
      </c>
      <c r="BG732" s="298">
        <f t="shared" si="10"/>
        <v>0</v>
      </c>
      <c r="BH732" s="299" t="str">
        <f t="shared" si="11"/>
        <v/>
      </c>
      <c r="BI732" s="3"/>
      <c r="BJ732" s="3"/>
      <c r="BK732" s="3"/>
      <c r="BL732" s="3"/>
      <c r="BM732" s="3"/>
      <c r="BN732" s="3"/>
      <c r="BS732" s="295">
        <f t="shared" si="12"/>
        <v>0</v>
      </c>
      <c r="BT732" s="298">
        <f t="shared" si="13"/>
        <v>0</v>
      </c>
      <c r="BU732" s="299" t="str">
        <f t="shared" si="14"/>
        <v/>
      </c>
      <c r="BV732" s="3"/>
      <c r="BW732" s="3"/>
      <c r="BX732" s="3"/>
      <c r="BY732" s="3"/>
      <c r="BZ732" s="3"/>
      <c r="CA732" s="3"/>
      <c r="CB732" s="3"/>
      <c r="CC732" s="3"/>
      <c r="CE732" s="3"/>
      <c r="CF732" s="3"/>
      <c r="CG732" s="1361">
        <f t="shared" si="36"/>
        <v>0</v>
      </c>
      <c r="CH732" s="1363"/>
      <c r="CI732" s="1345">
        <f t="shared" si="37"/>
        <v>0</v>
      </c>
      <c r="CJ732" s="1347"/>
      <c r="CK732" s="1361">
        <f t="shared" si="15"/>
        <v>0</v>
      </c>
      <c r="CL732" s="1363"/>
      <c r="CM732" s="1345">
        <f t="shared" si="16"/>
        <v>0</v>
      </c>
      <c r="CN732" s="1347"/>
      <c r="CO732" s="3"/>
      <c r="CP732" s="1342">
        <f t="shared" si="17"/>
        <v>0</v>
      </c>
      <c r="CQ732" s="1343"/>
      <c r="CR732" s="1343"/>
      <c r="CS732" s="1343"/>
      <c r="CT732" s="1344"/>
      <c r="CU732" s="1364">
        <f t="shared" si="18"/>
        <v>0</v>
      </c>
      <c r="CV732" s="1364"/>
      <c r="CW732" s="1364"/>
      <c r="CX732" s="1364"/>
      <c r="CY732" s="1364"/>
      <c r="CZ732" s="1364">
        <f t="shared" si="19"/>
        <v>0</v>
      </c>
      <c r="DA732" s="1364"/>
      <c r="DB732" s="1364"/>
      <c r="DC732" s="1364"/>
      <c r="DD732" s="1364"/>
      <c r="DE732" s="1364">
        <f t="shared" si="20"/>
        <v>0</v>
      </c>
      <c r="DF732" s="1364"/>
      <c r="DG732" s="1364"/>
      <c r="DH732" s="1364"/>
      <c r="DI732" s="1364"/>
      <c r="DJ732" s="1364">
        <f t="shared" si="21"/>
        <v>0</v>
      </c>
      <c r="DK732" s="1364"/>
      <c r="DL732" s="1364"/>
      <c r="DM732" s="1364"/>
      <c r="DN732" s="1364"/>
      <c r="DO732" s="1364">
        <f t="shared" si="22"/>
        <v>0</v>
      </c>
      <c r="DP732" s="1364"/>
      <c r="DQ732" s="1364"/>
      <c r="DR732" s="1364"/>
      <c r="DS732" s="1364"/>
      <c r="DT732" s="6"/>
      <c r="DU732" s="1369">
        <f t="shared" si="23"/>
        <v>0</v>
      </c>
      <c r="DV732" s="1369"/>
      <c r="DW732" s="1369"/>
      <c r="DX732" s="1369"/>
      <c r="DY732" s="1369"/>
      <c r="DZ732" s="1369">
        <f t="shared" si="24"/>
        <v>0</v>
      </c>
      <c r="EA732" s="1369"/>
      <c r="EB732" s="1369"/>
      <c r="EC732" s="1369"/>
      <c r="ED732" s="1369"/>
      <c r="EE732" s="1369">
        <f t="shared" si="25"/>
        <v>0</v>
      </c>
      <c r="EF732" s="1369"/>
      <c r="EG732" s="1369"/>
      <c r="EH732" s="1369"/>
      <c r="EI732" s="1369"/>
      <c r="EJ732" s="1369">
        <f t="shared" si="26"/>
        <v>0</v>
      </c>
      <c r="EK732" s="1369"/>
      <c r="EL732" s="1369"/>
      <c r="EM732" s="1369"/>
      <c r="EN732" s="1369"/>
      <c r="EO732" s="1369">
        <f t="shared" si="27"/>
        <v>0</v>
      </c>
      <c r="EP732" s="1369"/>
      <c r="EQ732" s="1369"/>
      <c r="ER732" s="1369"/>
      <c r="ES732" s="1369"/>
      <c r="ET732" s="1369">
        <f t="shared" si="28"/>
        <v>0</v>
      </c>
      <c r="EU732" s="1369"/>
      <c r="EV732" s="1369"/>
      <c r="EW732" s="1369"/>
      <c r="EX732" s="1369"/>
      <c r="EZ732" s="1361" t="str">
        <f t="shared" si="29"/>
        <v/>
      </c>
      <c r="FA732" s="1362"/>
      <c r="FB732" s="1362"/>
      <c r="FC732" s="1362"/>
      <c r="FD732" s="1363"/>
      <c r="FE732" s="1361" t="str">
        <f t="shared" si="30"/>
        <v/>
      </c>
      <c r="FF732" s="1362"/>
      <c r="FG732" s="1362"/>
      <c r="FH732" s="1362"/>
      <c r="FI732" s="1363"/>
      <c r="FJ732" s="1361" t="str">
        <f t="shared" si="31"/>
        <v/>
      </c>
      <c r="FK732" s="1362"/>
      <c r="FL732" s="1362"/>
      <c r="FM732" s="1362"/>
      <c r="FN732" s="1363"/>
      <c r="FO732" s="1361" t="str">
        <f t="shared" si="32"/>
        <v/>
      </c>
      <c r="FP732" s="1362"/>
      <c r="FQ732" s="1362"/>
      <c r="FR732" s="1362"/>
      <c r="FS732" s="1363"/>
      <c r="FT732" s="1361" t="str">
        <f t="shared" si="33"/>
        <v/>
      </c>
      <c r="FU732" s="1362"/>
      <c r="FV732" s="1362"/>
      <c r="FW732" s="1362"/>
      <c r="FX732" s="1363"/>
      <c r="FY732" s="1361" t="str">
        <f t="shared" si="34"/>
        <v/>
      </c>
      <c r="FZ732" s="1362"/>
      <c r="GA732" s="1362"/>
      <c r="GB732" s="1362"/>
      <c r="GC732" s="1363"/>
    </row>
    <row r="733" spans="1:185" ht="13" customHeight="1">
      <c r="B733" s="1365"/>
      <c r="C733" s="1366"/>
      <c r="D733" s="1366"/>
      <c r="E733" s="1366"/>
      <c r="F733" s="1367"/>
      <c r="G733" s="1597"/>
      <c r="H733" s="1598"/>
      <c r="I733" s="1598"/>
      <c r="J733" s="1599"/>
      <c r="K733" s="1602"/>
      <c r="L733" s="1603"/>
      <c r="M733" s="1603"/>
      <c r="N733" s="1604"/>
      <c r="O733" s="1487"/>
      <c r="P733" s="1488"/>
      <c r="Q733" s="1488"/>
      <c r="R733" s="1488"/>
      <c r="S733" s="1489"/>
      <c r="T733" s="1487"/>
      <c r="U733" s="1488"/>
      <c r="V733" s="1488"/>
      <c r="W733" s="1489"/>
      <c r="X733" s="1402">
        <f t="shared" si="8"/>
        <v>0</v>
      </c>
      <c r="Y733" s="1403"/>
      <c r="Z733" s="1403"/>
      <c r="AA733" s="1403"/>
      <c r="AB733" s="1404"/>
      <c r="AC733" s="1502"/>
      <c r="AD733" s="1503"/>
      <c r="AE733" s="1503"/>
      <c r="AF733" s="1503"/>
      <c r="AG733" s="1504"/>
      <c r="AH733" s="1484" t="str">
        <f t="shared" si="35"/>
        <v/>
      </c>
      <c r="AI733" s="1485"/>
      <c r="AJ733" s="1486"/>
      <c r="AK733" s="1365" t="s">
        <v>590</v>
      </c>
      <c r="AL733" s="1366"/>
      <c r="AM733" s="1366"/>
      <c r="AN733" s="1366"/>
      <c r="AO733" s="1367"/>
      <c r="AP733" s="3"/>
      <c r="AQ733" s="3"/>
      <c r="AR733" s="3"/>
      <c r="AS733" s="3"/>
      <c r="AY733" s="1087"/>
      <c r="AZ733" s="118" t="str">
        <f>IF($G733=0,"N/A",VLOOKUP($T$189,TC_Rent,(MATCH($B733,bedrooms,FALSE)),FALSE))</f>
        <v>N/A</v>
      </c>
      <c r="BA733" s="3"/>
      <c r="BB733" s="3"/>
      <c r="BC733" s="3"/>
      <c r="BD733" s="3"/>
      <c r="BE733" s="205"/>
      <c r="BF733" s="295">
        <f t="shared" si="9"/>
        <v>0</v>
      </c>
      <c r="BG733" s="298">
        <f t="shared" si="10"/>
        <v>0</v>
      </c>
      <c r="BH733" s="299" t="str">
        <f t="shared" si="11"/>
        <v/>
      </c>
      <c r="BI733" s="3"/>
      <c r="BJ733" s="3"/>
      <c r="BK733" s="3"/>
      <c r="BL733" s="3"/>
      <c r="BM733" s="3"/>
      <c r="BN733" s="3"/>
      <c r="BS733" s="295">
        <f t="shared" si="12"/>
        <v>0</v>
      </c>
      <c r="BT733" s="298">
        <f t="shared" si="13"/>
        <v>0</v>
      </c>
      <c r="BU733" s="299" t="str">
        <f t="shared" si="14"/>
        <v/>
      </c>
      <c r="BV733" s="3"/>
      <c r="BW733" s="3"/>
      <c r="BX733" s="3"/>
      <c r="BY733" s="3"/>
      <c r="BZ733" s="3"/>
      <c r="CA733" s="3"/>
      <c r="CB733" s="3"/>
      <c r="CC733" s="3"/>
      <c r="CE733" s="3"/>
      <c r="CF733" s="3"/>
      <c r="CG733" s="1361">
        <f t="shared" si="36"/>
        <v>0</v>
      </c>
      <c r="CH733" s="1363"/>
      <c r="CI733" s="1345">
        <f t="shared" si="37"/>
        <v>0</v>
      </c>
      <c r="CJ733" s="1347"/>
      <c r="CK733" s="1361">
        <f t="shared" si="15"/>
        <v>0</v>
      </c>
      <c r="CL733" s="1363"/>
      <c r="CM733" s="1345">
        <f t="shared" si="16"/>
        <v>0</v>
      </c>
      <c r="CN733" s="1347"/>
      <c r="CO733" s="3"/>
      <c r="CP733" s="1342">
        <f t="shared" si="17"/>
        <v>0</v>
      </c>
      <c r="CQ733" s="1343"/>
      <c r="CR733" s="1343"/>
      <c r="CS733" s="1343"/>
      <c r="CT733" s="1344"/>
      <c r="CU733" s="1364">
        <f t="shared" si="18"/>
        <v>0</v>
      </c>
      <c r="CV733" s="1364"/>
      <c r="CW733" s="1364"/>
      <c r="CX733" s="1364"/>
      <c r="CY733" s="1364"/>
      <c r="CZ733" s="1364">
        <f t="shared" si="19"/>
        <v>0</v>
      </c>
      <c r="DA733" s="1364"/>
      <c r="DB733" s="1364"/>
      <c r="DC733" s="1364"/>
      <c r="DD733" s="1364"/>
      <c r="DE733" s="1364">
        <f t="shared" si="20"/>
        <v>0</v>
      </c>
      <c r="DF733" s="1364"/>
      <c r="DG733" s="1364"/>
      <c r="DH733" s="1364"/>
      <c r="DI733" s="1364"/>
      <c r="DJ733" s="1364">
        <f t="shared" si="21"/>
        <v>0</v>
      </c>
      <c r="DK733" s="1364"/>
      <c r="DL733" s="1364"/>
      <c r="DM733" s="1364"/>
      <c r="DN733" s="1364"/>
      <c r="DO733" s="1364">
        <f t="shared" si="22"/>
        <v>0</v>
      </c>
      <c r="DP733" s="1364"/>
      <c r="DQ733" s="1364"/>
      <c r="DR733" s="1364"/>
      <c r="DS733" s="1364"/>
      <c r="DT733" s="6"/>
      <c r="DU733" s="1369">
        <f t="shared" si="23"/>
        <v>0</v>
      </c>
      <c r="DV733" s="1369"/>
      <c r="DW733" s="1369"/>
      <c r="DX733" s="1369"/>
      <c r="DY733" s="1369"/>
      <c r="DZ733" s="1369">
        <f t="shared" si="24"/>
        <v>0</v>
      </c>
      <c r="EA733" s="1369"/>
      <c r="EB733" s="1369"/>
      <c r="EC733" s="1369"/>
      <c r="ED733" s="1369"/>
      <c r="EE733" s="1369">
        <f t="shared" si="25"/>
        <v>0</v>
      </c>
      <c r="EF733" s="1369"/>
      <c r="EG733" s="1369"/>
      <c r="EH733" s="1369"/>
      <c r="EI733" s="1369"/>
      <c r="EJ733" s="1369">
        <f t="shared" si="26"/>
        <v>0</v>
      </c>
      <c r="EK733" s="1369"/>
      <c r="EL733" s="1369"/>
      <c r="EM733" s="1369"/>
      <c r="EN733" s="1369"/>
      <c r="EO733" s="1369">
        <f t="shared" si="27"/>
        <v>0</v>
      </c>
      <c r="EP733" s="1369"/>
      <c r="EQ733" s="1369"/>
      <c r="ER733" s="1369"/>
      <c r="ES733" s="1369"/>
      <c r="ET733" s="1369">
        <f t="shared" si="28"/>
        <v>0</v>
      </c>
      <c r="EU733" s="1369"/>
      <c r="EV733" s="1369"/>
      <c r="EW733" s="1369"/>
      <c r="EX733" s="1369"/>
      <c r="EZ733" s="1361" t="str">
        <f t="shared" si="29"/>
        <v/>
      </c>
      <c r="FA733" s="1362"/>
      <c r="FB733" s="1362"/>
      <c r="FC733" s="1362"/>
      <c r="FD733" s="1363"/>
      <c r="FE733" s="1361" t="str">
        <f t="shared" si="30"/>
        <v/>
      </c>
      <c r="FF733" s="1362"/>
      <c r="FG733" s="1362"/>
      <c r="FH733" s="1362"/>
      <c r="FI733" s="1363"/>
      <c r="FJ733" s="1361" t="str">
        <f t="shared" si="31"/>
        <v/>
      </c>
      <c r="FK733" s="1362"/>
      <c r="FL733" s="1362"/>
      <c r="FM733" s="1362"/>
      <c r="FN733" s="1363"/>
      <c r="FO733" s="1361" t="str">
        <f t="shared" si="32"/>
        <v/>
      </c>
      <c r="FP733" s="1362"/>
      <c r="FQ733" s="1362"/>
      <c r="FR733" s="1362"/>
      <c r="FS733" s="1363"/>
      <c r="FT733" s="1361" t="str">
        <f t="shared" si="33"/>
        <v/>
      </c>
      <c r="FU733" s="1362"/>
      <c r="FV733" s="1362"/>
      <c r="FW733" s="1362"/>
      <c r="FX733" s="1363"/>
      <c r="FY733" s="1361" t="str">
        <f t="shared" si="34"/>
        <v/>
      </c>
      <c r="FZ733" s="1362"/>
      <c r="GA733" s="1362"/>
      <c r="GB733" s="1362"/>
      <c r="GC733" s="1363"/>
    </row>
    <row r="734" spans="1:185" ht="13" customHeight="1">
      <c r="B734" s="1365"/>
      <c r="C734" s="1366"/>
      <c r="D734" s="1366"/>
      <c r="E734" s="1366"/>
      <c r="F734" s="1367"/>
      <c r="G734" s="1597"/>
      <c r="H734" s="1598"/>
      <c r="I734" s="1598"/>
      <c r="J734" s="1599"/>
      <c r="K734" s="1602"/>
      <c r="L734" s="1603"/>
      <c r="M734" s="1603"/>
      <c r="N734" s="1604"/>
      <c r="O734" s="1487"/>
      <c r="P734" s="1488"/>
      <c r="Q734" s="1488"/>
      <c r="R734" s="1488"/>
      <c r="S734" s="1489"/>
      <c r="T734" s="1487"/>
      <c r="U734" s="1488"/>
      <c r="V734" s="1488"/>
      <c r="W734" s="1489"/>
      <c r="X734" s="1402">
        <f t="shared" si="8"/>
        <v>0</v>
      </c>
      <c r="Y734" s="1403"/>
      <c r="Z734" s="1403"/>
      <c r="AA734" s="1403"/>
      <c r="AB734" s="1404"/>
      <c r="AC734" s="1502"/>
      <c r="AD734" s="1503"/>
      <c r="AE734" s="1503"/>
      <c r="AF734" s="1503"/>
      <c r="AG734" s="1504"/>
      <c r="AH734" s="1484" t="str">
        <f t="shared" si="35"/>
        <v/>
      </c>
      <c r="AI734" s="1485"/>
      <c r="AJ734" s="1486"/>
      <c r="AK734" s="1365" t="s">
        <v>590</v>
      </c>
      <c r="AL734" s="1366"/>
      <c r="AM734" s="1366"/>
      <c r="AN734" s="1366"/>
      <c r="AO734" s="1367"/>
      <c r="AP734" s="3"/>
      <c r="AQ734" s="3"/>
      <c r="AR734" s="3"/>
      <c r="AS734" s="3"/>
      <c r="AY734" s="1087"/>
      <c r="AZ734" s="118" t="str">
        <f>IF($G734=0,"N/A",VLOOKUP($T$189,TC_Rent,(MATCH($B734,bedrooms,FALSE)),FALSE))</f>
        <v>N/A</v>
      </c>
      <c r="BA734" s="3"/>
      <c r="BB734" s="3"/>
      <c r="BC734" s="3"/>
      <c r="BD734" s="3"/>
      <c r="BE734" s="205"/>
      <c r="BF734" s="295">
        <f t="shared" si="9"/>
        <v>0</v>
      </c>
      <c r="BG734" s="298">
        <f t="shared" si="10"/>
        <v>0</v>
      </c>
      <c r="BH734" s="299" t="str">
        <f t="shared" si="11"/>
        <v/>
      </c>
      <c r="BI734" s="3"/>
      <c r="BJ734" s="3"/>
      <c r="BK734" s="3"/>
      <c r="BL734" s="3"/>
      <c r="BM734" s="3"/>
      <c r="BN734" s="3"/>
      <c r="BS734" s="295">
        <f t="shared" si="12"/>
        <v>0</v>
      </c>
      <c r="BT734" s="298">
        <f t="shared" si="13"/>
        <v>0</v>
      </c>
      <c r="BU734" s="299" t="str">
        <f t="shared" si="14"/>
        <v/>
      </c>
      <c r="BV734" s="3"/>
      <c r="BW734" s="3"/>
      <c r="BX734" s="3"/>
      <c r="BY734" s="3"/>
      <c r="BZ734" s="3"/>
      <c r="CA734" s="3"/>
      <c r="CB734" s="3"/>
      <c r="CC734" s="3"/>
      <c r="CE734" s="3"/>
      <c r="CF734" s="3"/>
      <c r="CG734" s="1361">
        <f t="shared" si="36"/>
        <v>0</v>
      </c>
      <c r="CH734" s="1363"/>
      <c r="CI734" s="1345">
        <f t="shared" si="37"/>
        <v>0</v>
      </c>
      <c r="CJ734" s="1347"/>
      <c r="CK734" s="1361">
        <f t="shared" si="15"/>
        <v>0</v>
      </c>
      <c r="CL734" s="1363"/>
      <c r="CM734" s="1345">
        <f t="shared" si="16"/>
        <v>0</v>
      </c>
      <c r="CN734" s="1347"/>
      <c r="CO734" s="3"/>
      <c r="CP734" s="1342">
        <f t="shared" si="17"/>
        <v>0</v>
      </c>
      <c r="CQ734" s="1343"/>
      <c r="CR734" s="1343"/>
      <c r="CS734" s="1343"/>
      <c r="CT734" s="1344"/>
      <c r="CU734" s="1364">
        <f t="shared" si="18"/>
        <v>0</v>
      </c>
      <c r="CV734" s="1364"/>
      <c r="CW734" s="1364"/>
      <c r="CX734" s="1364"/>
      <c r="CY734" s="1364"/>
      <c r="CZ734" s="1364">
        <f t="shared" si="19"/>
        <v>0</v>
      </c>
      <c r="DA734" s="1364"/>
      <c r="DB734" s="1364"/>
      <c r="DC734" s="1364"/>
      <c r="DD734" s="1364"/>
      <c r="DE734" s="1364">
        <f t="shared" si="20"/>
        <v>0</v>
      </c>
      <c r="DF734" s="1364"/>
      <c r="DG734" s="1364"/>
      <c r="DH734" s="1364"/>
      <c r="DI734" s="1364"/>
      <c r="DJ734" s="1364">
        <f t="shared" si="21"/>
        <v>0</v>
      </c>
      <c r="DK734" s="1364"/>
      <c r="DL734" s="1364"/>
      <c r="DM734" s="1364"/>
      <c r="DN734" s="1364"/>
      <c r="DO734" s="1364">
        <f t="shared" si="22"/>
        <v>0</v>
      </c>
      <c r="DP734" s="1364"/>
      <c r="DQ734" s="1364"/>
      <c r="DR734" s="1364"/>
      <c r="DS734" s="1364"/>
      <c r="DT734" s="6"/>
      <c r="DU734" s="1369">
        <f t="shared" si="23"/>
        <v>0</v>
      </c>
      <c r="DV734" s="1369"/>
      <c r="DW734" s="1369"/>
      <c r="DX734" s="1369"/>
      <c r="DY734" s="1369"/>
      <c r="DZ734" s="1369">
        <f t="shared" si="24"/>
        <v>0</v>
      </c>
      <c r="EA734" s="1369"/>
      <c r="EB734" s="1369"/>
      <c r="EC734" s="1369"/>
      <c r="ED734" s="1369"/>
      <c r="EE734" s="1369">
        <f t="shared" si="25"/>
        <v>0</v>
      </c>
      <c r="EF734" s="1369"/>
      <c r="EG734" s="1369"/>
      <c r="EH734" s="1369"/>
      <c r="EI734" s="1369"/>
      <c r="EJ734" s="1369">
        <f t="shared" si="26"/>
        <v>0</v>
      </c>
      <c r="EK734" s="1369"/>
      <c r="EL734" s="1369"/>
      <c r="EM734" s="1369"/>
      <c r="EN734" s="1369"/>
      <c r="EO734" s="1369">
        <f t="shared" si="27"/>
        <v>0</v>
      </c>
      <c r="EP734" s="1369"/>
      <c r="EQ734" s="1369"/>
      <c r="ER734" s="1369"/>
      <c r="ES734" s="1369"/>
      <c r="ET734" s="1369">
        <f t="shared" si="28"/>
        <v>0</v>
      </c>
      <c r="EU734" s="1369"/>
      <c r="EV734" s="1369"/>
      <c r="EW734" s="1369"/>
      <c r="EX734" s="1369"/>
      <c r="EZ734" s="1361" t="str">
        <f t="shared" si="29"/>
        <v/>
      </c>
      <c r="FA734" s="1362"/>
      <c r="FB734" s="1362"/>
      <c r="FC734" s="1362"/>
      <c r="FD734" s="1363"/>
      <c r="FE734" s="1361" t="str">
        <f t="shared" si="30"/>
        <v/>
      </c>
      <c r="FF734" s="1362"/>
      <c r="FG734" s="1362"/>
      <c r="FH734" s="1362"/>
      <c r="FI734" s="1363"/>
      <c r="FJ734" s="1361" t="str">
        <f t="shared" si="31"/>
        <v/>
      </c>
      <c r="FK734" s="1362"/>
      <c r="FL734" s="1362"/>
      <c r="FM734" s="1362"/>
      <c r="FN734" s="1363"/>
      <c r="FO734" s="1361" t="str">
        <f t="shared" si="32"/>
        <v/>
      </c>
      <c r="FP734" s="1362"/>
      <c r="FQ734" s="1362"/>
      <c r="FR734" s="1362"/>
      <c r="FS734" s="1363"/>
      <c r="FT734" s="1361" t="str">
        <f t="shared" si="33"/>
        <v/>
      </c>
      <c r="FU734" s="1362"/>
      <c r="FV734" s="1362"/>
      <c r="FW734" s="1362"/>
      <c r="FX734" s="1363"/>
      <c r="FY734" s="1361" t="str">
        <f t="shared" si="34"/>
        <v/>
      </c>
      <c r="FZ734" s="1362"/>
      <c r="GA734" s="1362"/>
      <c r="GB734" s="1362"/>
      <c r="GC734" s="1363"/>
    </row>
    <row r="735" spans="1:185" ht="13" customHeight="1">
      <c r="B735" s="1365"/>
      <c r="C735" s="1366"/>
      <c r="D735" s="1366"/>
      <c r="E735" s="1366"/>
      <c r="F735" s="1367"/>
      <c r="G735" s="1597"/>
      <c r="H735" s="1598"/>
      <c r="I735" s="1598"/>
      <c r="J735" s="1599"/>
      <c r="K735" s="1602"/>
      <c r="L735" s="1603"/>
      <c r="M735" s="1603"/>
      <c r="N735" s="1604"/>
      <c r="O735" s="1487"/>
      <c r="P735" s="1488"/>
      <c r="Q735" s="1488"/>
      <c r="R735" s="1488"/>
      <c r="S735" s="1489"/>
      <c r="T735" s="1487"/>
      <c r="U735" s="1488"/>
      <c r="V735" s="1488"/>
      <c r="W735" s="1489"/>
      <c r="X735" s="1402">
        <f t="shared" si="8"/>
        <v>0</v>
      </c>
      <c r="Y735" s="1403"/>
      <c r="Z735" s="1403"/>
      <c r="AA735" s="1403"/>
      <c r="AB735" s="1404"/>
      <c r="AC735" s="1502"/>
      <c r="AD735" s="1503"/>
      <c r="AE735" s="1503"/>
      <c r="AF735" s="1503"/>
      <c r="AG735" s="1504"/>
      <c r="AH735" s="1484" t="str">
        <f t="shared" si="35"/>
        <v/>
      </c>
      <c r="AI735" s="1485"/>
      <c r="AJ735" s="1486"/>
      <c r="AK735" s="1365" t="s">
        <v>590</v>
      </c>
      <c r="AL735" s="1366"/>
      <c r="AM735" s="1366"/>
      <c r="AN735" s="1366"/>
      <c r="AO735" s="1367"/>
      <c r="AP735" s="3"/>
      <c r="AQ735" s="3"/>
      <c r="AR735" s="3"/>
      <c r="AS735" s="3"/>
      <c r="AY735" s="1087"/>
      <c r="AZ735" s="118" t="str">
        <f>IF($G735=0,"N/A",VLOOKUP($T$189,TC_Rent,(MATCH($B735,bedrooms,FALSE)),FALSE))</f>
        <v>N/A</v>
      </c>
      <c r="BA735" s="3"/>
      <c r="BB735" s="3"/>
      <c r="BC735" s="3"/>
      <c r="BD735" s="3"/>
      <c r="BE735" s="205"/>
      <c r="BF735" s="295">
        <f t="shared" si="9"/>
        <v>0</v>
      </c>
      <c r="BG735" s="298">
        <f t="shared" si="10"/>
        <v>0</v>
      </c>
      <c r="BH735" s="299" t="str">
        <f t="shared" si="11"/>
        <v/>
      </c>
      <c r="BI735" s="3"/>
      <c r="BJ735" s="3"/>
      <c r="BK735" s="3"/>
      <c r="BL735" s="3"/>
      <c r="BM735" s="3"/>
      <c r="BN735" s="3"/>
      <c r="BS735" s="295">
        <f t="shared" si="12"/>
        <v>0</v>
      </c>
      <c r="BT735" s="298">
        <f t="shared" si="13"/>
        <v>0</v>
      </c>
      <c r="BU735" s="299" t="str">
        <f t="shared" si="14"/>
        <v/>
      </c>
      <c r="BV735" s="3"/>
      <c r="BW735" s="3"/>
      <c r="BX735" s="3"/>
      <c r="BY735" s="3"/>
      <c r="BZ735" s="3"/>
      <c r="CA735" s="3"/>
      <c r="CB735" s="3"/>
      <c r="CC735" s="3"/>
      <c r="CE735" s="3"/>
      <c r="CF735" s="3"/>
      <c r="CG735" s="1361">
        <f t="shared" si="36"/>
        <v>0</v>
      </c>
      <c r="CH735" s="1363"/>
      <c r="CI735" s="1345">
        <f t="shared" si="37"/>
        <v>0</v>
      </c>
      <c r="CJ735" s="1347"/>
      <c r="CK735" s="1361">
        <f t="shared" si="15"/>
        <v>0</v>
      </c>
      <c r="CL735" s="1363"/>
      <c r="CM735" s="1345">
        <f t="shared" si="16"/>
        <v>0</v>
      </c>
      <c r="CN735" s="1347"/>
      <c r="CO735" s="3"/>
      <c r="CP735" s="1342">
        <f t="shared" si="17"/>
        <v>0</v>
      </c>
      <c r="CQ735" s="1343"/>
      <c r="CR735" s="1343"/>
      <c r="CS735" s="1343"/>
      <c r="CT735" s="1344"/>
      <c r="CU735" s="1364">
        <f t="shared" si="18"/>
        <v>0</v>
      </c>
      <c r="CV735" s="1364"/>
      <c r="CW735" s="1364"/>
      <c r="CX735" s="1364"/>
      <c r="CY735" s="1364"/>
      <c r="CZ735" s="1364">
        <f t="shared" si="19"/>
        <v>0</v>
      </c>
      <c r="DA735" s="1364"/>
      <c r="DB735" s="1364"/>
      <c r="DC735" s="1364"/>
      <c r="DD735" s="1364"/>
      <c r="DE735" s="1364">
        <f t="shared" si="20"/>
        <v>0</v>
      </c>
      <c r="DF735" s="1364"/>
      <c r="DG735" s="1364"/>
      <c r="DH735" s="1364"/>
      <c r="DI735" s="1364"/>
      <c r="DJ735" s="1364">
        <f t="shared" si="21"/>
        <v>0</v>
      </c>
      <c r="DK735" s="1364"/>
      <c r="DL735" s="1364"/>
      <c r="DM735" s="1364"/>
      <c r="DN735" s="1364"/>
      <c r="DO735" s="1364">
        <f t="shared" si="22"/>
        <v>0</v>
      </c>
      <c r="DP735" s="1364"/>
      <c r="DQ735" s="1364"/>
      <c r="DR735" s="1364"/>
      <c r="DS735" s="1364"/>
      <c r="DT735" s="6"/>
      <c r="DU735" s="1369">
        <f t="shared" si="23"/>
        <v>0</v>
      </c>
      <c r="DV735" s="1369"/>
      <c r="DW735" s="1369"/>
      <c r="DX735" s="1369"/>
      <c r="DY735" s="1369"/>
      <c r="DZ735" s="1369">
        <f t="shared" si="24"/>
        <v>0</v>
      </c>
      <c r="EA735" s="1369"/>
      <c r="EB735" s="1369"/>
      <c r="EC735" s="1369"/>
      <c r="ED735" s="1369"/>
      <c r="EE735" s="1369">
        <f t="shared" si="25"/>
        <v>0</v>
      </c>
      <c r="EF735" s="1369"/>
      <c r="EG735" s="1369"/>
      <c r="EH735" s="1369"/>
      <c r="EI735" s="1369"/>
      <c r="EJ735" s="1369">
        <f t="shared" si="26"/>
        <v>0</v>
      </c>
      <c r="EK735" s="1369"/>
      <c r="EL735" s="1369"/>
      <c r="EM735" s="1369"/>
      <c r="EN735" s="1369"/>
      <c r="EO735" s="1369">
        <f t="shared" si="27"/>
        <v>0</v>
      </c>
      <c r="EP735" s="1369"/>
      <c r="EQ735" s="1369"/>
      <c r="ER735" s="1369"/>
      <c r="ES735" s="1369"/>
      <c r="ET735" s="1369">
        <f t="shared" si="28"/>
        <v>0</v>
      </c>
      <c r="EU735" s="1369"/>
      <c r="EV735" s="1369"/>
      <c r="EW735" s="1369"/>
      <c r="EX735" s="1369"/>
      <c r="EZ735" s="1361" t="str">
        <f t="shared" si="29"/>
        <v/>
      </c>
      <c r="FA735" s="1362"/>
      <c r="FB735" s="1362"/>
      <c r="FC735" s="1362"/>
      <c r="FD735" s="1363"/>
      <c r="FE735" s="1361" t="str">
        <f t="shared" si="30"/>
        <v/>
      </c>
      <c r="FF735" s="1362"/>
      <c r="FG735" s="1362"/>
      <c r="FH735" s="1362"/>
      <c r="FI735" s="1363"/>
      <c r="FJ735" s="1361" t="str">
        <f t="shared" si="31"/>
        <v/>
      </c>
      <c r="FK735" s="1362"/>
      <c r="FL735" s="1362"/>
      <c r="FM735" s="1362"/>
      <c r="FN735" s="1363"/>
      <c r="FO735" s="1361" t="str">
        <f t="shared" si="32"/>
        <v/>
      </c>
      <c r="FP735" s="1362"/>
      <c r="FQ735" s="1362"/>
      <c r="FR735" s="1362"/>
      <c r="FS735" s="1363"/>
      <c r="FT735" s="1361" t="str">
        <f t="shared" si="33"/>
        <v/>
      </c>
      <c r="FU735" s="1362"/>
      <c r="FV735" s="1362"/>
      <c r="FW735" s="1362"/>
      <c r="FX735" s="1363"/>
      <c r="FY735" s="1361" t="str">
        <f t="shared" si="34"/>
        <v/>
      </c>
      <c r="FZ735" s="1362"/>
      <c r="GA735" s="1362"/>
      <c r="GB735" s="1362"/>
      <c r="GC735" s="1363"/>
    </row>
    <row r="736" spans="1:185" ht="13" customHeight="1">
      <c r="B736" s="1365"/>
      <c r="C736" s="1366"/>
      <c r="D736" s="1366"/>
      <c r="E736" s="1366"/>
      <c r="F736" s="1367"/>
      <c r="G736" s="1597"/>
      <c r="H736" s="1598"/>
      <c r="I736" s="1598"/>
      <c r="J736" s="1599"/>
      <c r="K736" s="1602"/>
      <c r="L736" s="1603"/>
      <c r="M736" s="1603"/>
      <c r="N736" s="1604"/>
      <c r="O736" s="1487"/>
      <c r="P736" s="1488"/>
      <c r="Q736" s="1488"/>
      <c r="R736" s="1488"/>
      <c r="S736" s="1489"/>
      <c r="T736" s="1487"/>
      <c r="U736" s="1488"/>
      <c r="V736" s="1488"/>
      <c r="W736" s="1489"/>
      <c r="X736" s="1402">
        <f t="shared" si="8"/>
        <v>0</v>
      </c>
      <c r="Y736" s="1403"/>
      <c r="Z736" s="1403"/>
      <c r="AA736" s="1403"/>
      <c r="AB736" s="1404"/>
      <c r="AC736" s="1502"/>
      <c r="AD736" s="1503"/>
      <c r="AE736" s="1503"/>
      <c r="AF736" s="1503"/>
      <c r="AG736" s="1504"/>
      <c r="AH736" s="1484" t="str">
        <f t="shared" si="35"/>
        <v/>
      </c>
      <c r="AI736" s="1485"/>
      <c r="AJ736" s="1486"/>
      <c r="AK736" s="1365" t="s">
        <v>590</v>
      </c>
      <c r="AL736" s="1366"/>
      <c r="AM736" s="1366"/>
      <c r="AN736" s="1366"/>
      <c r="AO736" s="1367"/>
      <c r="AP736" s="3"/>
      <c r="AQ736" s="3"/>
      <c r="AR736" s="3"/>
      <c r="AS736" s="3"/>
      <c r="AY736" s="1087"/>
      <c r="AZ736" s="118" t="str">
        <f>IF($G736=0,"N/A",VLOOKUP($T$189,TC_Rent,(MATCH($B736,bedrooms,FALSE)),FALSE))</f>
        <v>N/A</v>
      </c>
      <c r="BA736" s="3"/>
      <c r="BB736" s="3"/>
      <c r="BC736" s="3"/>
      <c r="BD736" s="3"/>
      <c r="BE736" s="205"/>
      <c r="BF736" s="295">
        <f t="shared" si="9"/>
        <v>0</v>
      </c>
      <c r="BG736" s="298">
        <f t="shared" si="10"/>
        <v>0</v>
      </c>
      <c r="BH736" s="299" t="str">
        <f t="shared" si="11"/>
        <v/>
      </c>
      <c r="BI736" s="3"/>
      <c r="BJ736" s="3"/>
      <c r="BK736" s="3"/>
      <c r="BL736" s="3"/>
      <c r="BM736" s="3"/>
      <c r="BN736" s="3"/>
      <c r="BS736" s="295">
        <f t="shared" si="12"/>
        <v>0</v>
      </c>
      <c r="BT736" s="298">
        <f t="shared" si="13"/>
        <v>0</v>
      </c>
      <c r="BU736" s="299" t="str">
        <f t="shared" si="14"/>
        <v/>
      </c>
      <c r="BV736" s="3"/>
      <c r="BW736" s="3"/>
      <c r="BX736" s="3"/>
      <c r="BY736" s="3"/>
      <c r="BZ736" s="3"/>
      <c r="CA736" s="3"/>
      <c r="CB736" s="3"/>
      <c r="CC736" s="3"/>
      <c r="CE736" s="3"/>
      <c r="CF736" s="3"/>
      <c r="CG736" s="1361">
        <f t="shared" si="36"/>
        <v>0</v>
      </c>
      <c r="CH736" s="1363"/>
      <c r="CI736" s="1345">
        <f t="shared" si="37"/>
        <v>0</v>
      </c>
      <c r="CJ736" s="1347"/>
      <c r="CK736" s="1361">
        <f t="shared" si="15"/>
        <v>0</v>
      </c>
      <c r="CL736" s="1363"/>
      <c r="CM736" s="1345">
        <f t="shared" si="16"/>
        <v>0</v>
      </c>
      <c r="CN736" s="1347"/>
      <c r="CO736" s="3"/>
      <c r="CP736" s="1342">
        <f t="shared" si="17"/>
        <v>0</v>
      </c>
      <c r="CQ736" s="1343"/>
      <c r="CR736" s="1343"/>
      <c r="CS736" s="1343"/>
      <c r="CT736" s="1344"/>
      <c r="CU736" s="1364">
        <f t="shared" si="18"/>
        <v>0</v>
      </c>
      <c r="CV736" s="1364"/>
      <c r="CW736" s="1364"/>
      <c r="CX736" s="1364"/>
      <c r="CY736" s="1364"/>
      <c r="CZ736" s="1364">
        <f t="shared" si="19"/>
        <v>0</v>
      </c>
      <c r="DA736" s="1364"/>
      <c r="DB736" s="1364"/>
      <c r="DC736" s="1364"/>
      <c r="DD736" s="1364"/>
      <c r="DE736" s="1364">
        <f t="shared" si="20"/>
        <v>0</v>
      </c>
      <c r="DF736" s="1364"/>
      <c r="DG736" s="1364"/>
      <c r="DH736" s="1364"/>
      <c r="DI736" s="1364"/>
      <c r="DJ736" s="1364">
        <f t="shared" si="21"/>
        <v>0</v>
      </c>
      <c r="DK736" s="1364"/>
      <c r="DL736" s="1364"/>
      <c r="DM736" s="1364"/>
      <c r="DN736" s="1364"/>
      <c r="DO736" s="1364">
        <f t="shared" si="22"/>
        <v>0</v>
      </c>
      <c r="DP736" s="1364"/>
      <c r="DQ736" s="1364"/>
      <c r="DR736" s="1364"/>
      <c r="DS736" s="1364"/>
      <c r="DT736" s="6"/>
      <c r="DU736" s="1369">
        <f t="shared" si="23"/>
        <v>0</v>
      </c>
      <c r="DV736" s="1369"/>
      <c r="DW736" s="1369"/>
      <c r="DX736" s="1369"/>
      <c r="DY736" s="1369"/>
      <c r="DZ736" s="1369">
        <f t="shared" si="24"/>
        <v>0</v>
      </c>
      <c r="EA736" s="1369"/>
      <c r="EB736" s="1369"/>
      <c r="EC736" s="1369"/>
      <c r="ED736" s="1369"/>
      <c r="EE736" s="1369">
        <f t="shared" si="25"/>
        <v>0</v>
      </c>
      <c r="EF736" s="1369"/>
      <c r="EG736" s="1369"/>
      <c r="EH736" s="1369"/>
      <c r="EI736" s="1369"/>
      <c r="EJ736" s="1369">
        <f t="shared" si="26"/>
        <v>0</v>
      </c>
      <c r="EK736" s="1369"/>
      <c r="EL736" s="1369"/>
      <c r="EM736" s="1369"/>
      <c r="EN736" s="1369"/>
      <c r="EO736" s="1369">
        <f t="shared" si="27"/>
        <v>0</v>
      </c>
      <c r="EP736" s="1369"/>
      <c r="EQ736" s="1369"/>
      <c r="ER736" s="1369"/>
      <c r="ES736" s="1369"/>
      <c r="ET736" s="1369">
        <f t="shared" si="28"/>
        <v>0</v>
      </c>
      <c r="EU736" s="1369"/>
      <c r="EV736" s="1369"/>
      <c r="EW736" s="1369"/>
      <c r="EX736" s="1369"/>
      <c r="EZ736" s="1361" t="str">
        <f t="shared" si="29"/>
        <v/>
      </c>
      <c r="FA736" s="1362"/>
      <c r="FB736" s="1362"/>
      <c r="FC736" s="1362"/>
      <c r="FD736" s="1363"/>
      <c r="FE736" s="1361" t="str">
        <f t="shared" si="30"/>
        <v/>
      </c>
      <c r="FF736" s="1362"/>
      <c r="FG736" s="1362"/>
      <c r="FH736" s="1362"/>
      <c r="FI736" s="1363"/>
      <c r="FJ736" s="1361" t="str">
        <f t="shared" si="31"/>
        <v/>
      </c>
      <c r="FK736" s="1362"/>
      <c r="FL736" s="1362"/>
      <c r="FM736" s="1362"/>
      <c r="FN736" s="1363"/>
      <c r="FO736" s="1361" t="str">
        <f t="shared" si="32"/>
        <v/>
      </c>
      <c r="FP736" s="1362"/>
      <c r="FQ736" s="1362"/>
      <c r="FR736" s="1362"/>
      <c r="FS736" s="1363"/>
      <c r="FT736" s="1361" t="str">
        <f t="shared" si="33"/>
        <v/>
      </c>
      <c r="FU736" s="1362"/>
      <c r="FV736" s="1362"/>
      <c r="FW736" s="1362"/>
      <c r="FX736" s="1363"/>
      <c r="FY736" s="1361" t="str">
        <f t="shared" si="34"/>
        <v/>
      </c>
      <c r="FZ736" s="1362"/>
      <c r="GA736" s="1362"/>
      <c r="GB736" s="1362"/>
      <c r="GC736" s="1363"/>
    </row>
    <row r="737" spans="1:185" ht="13" customHeight="1">
      <c r="B737" s="1365"/>
      <c r="C737" s="1366"/>
      <c r="D737" s="1366"/>
      <c r="E737" s="1366"/>
      <c r="F737" s="1367"/>
      <c r="G737" s="1597"/>
      <c r="H737" s="1598"/>
      <c r="I737" s="1598"/>
      <c r="J737" s="1599"/>
      <c r="K737" s="1602"/>
      <c r="L737" s="1603"/>
      <c r="M737" s="1603"/>
      <c r="N737" s="1604"/>
      <c r="O737" s="1487"/>
      <c r="P737" s="1488"/>
      <c r="Q737" s="1488"/>
      <c r="R737" s="1488"/>
      <c r="S737" s="1489"/>
      <c r="T737" s="1487"/>
      <c r="U737" s="1488"/>
      <c r="V737" s="1488"/>
      <c r="W737" s="1489"/>
      <c r="X737" s="1402">
        <f t="shared" si="8"/>
        <v>0</v>
      </c>
      <c r="Y737" s="1403"/>
      <c r="Z737" s="1403"/>
      <c r="AA737" s="1403"/>
      <c r="AB737" s="1404"/>
      <c r="AC737" s="1502"/>
      <c r="AD737" s="1503"/>
      <c r="AE737" s="1503"/>
      <c r="AF737" s="1503"/>
      <c r="AG737" s="1504"/>
      <c r="AH737" s="1484" t="str">
        <f t="shared" si="35"/>
        <v/>
      </c>
      <c r="AI737" s="1485"/>
      <c r="AJ737" s="1486"/>
      <c r="AK737" s="1365" t="s">
        <v>590</v>
      </c>
      <c r="AL737" s="1366"/>
      <c r="AM737" s="1366"/>
      <c r="AN737" s="1366"/>
      <c r="AO737" s="1367"/>
      <c r="AP737" s="3"/>
      <c r="AQ737" s="3"/>
      <c r="AR737" s="3"/>
      <c r="AS737" s="3"/>
      <c r="AY737" s="1087"/>
      <c r="AZ737" s="118" t="str">
        <f>IF($G737=0,"N/A",VLOOKUP($T$189,TC_Rent,(MATCH($B737,bedrooms,FALSE)),FALSE))</f>
        <v>N/A</v>
      </c>
      <c r="BA737" s="3"/>
      <c r="BB737" s="3"/>
      <c r="BC737" s="3"/>
      <c r="BD737" s="3"/>
      <c r="BE737" s="205"/>
      <c r="BF737" s="295">
        <f t="shared" si="9"/>
        <v>0</v>
      </c>
      <c r="BG737" s="298">
        <f t="shared" si="10"/>
        <v>0</v>
      </c>
      <c r="BH737" s="299" t="str">
        <f t="shared" si="11"/>
        <v/>
      </c>
      <c r="BI737" s="3"/>
      <c r="BJ737" s="3"/>
      <c r="BK737" s="3"/>
      <c r="BL737" s="3"/>
      <c r="BM737" s="3"/>
      <c r="BN737" s="3"/>
      <c r="BS737" s="295">
        <f t="shared" si="12"/>
        <v>0</v>
      </c>
      <c r="BT737" s="298">
        <f t="shared" si="13"/>
        <v>0</v>
      </c>
      <c r="BU737" s="299" t="str">
        <f t="shared" si="14"/>
        <v/>
      </c>
      <c r="BV737" s="3"/>
      <c r="BW737" s="3"/>
      <c r="BX737" s="3"/>
      <c r="BY737" s="3"/>
      <c r="BZ737" s="3"/>
      <c r="CA737" s="3"/>
      <c r="CB737" s="3"/>
      <c r="CC737" s="3"/>
      <c r="CE737" s="3"/>
      <c r="CF737" s="3"/>
      <c r="CG737" s="1361">
        <f t="shared" si="36"/>
        <v>0</v>
      </c>
      <c r="CH737" s="1363"/>
      <c r="CI737" s="1345">
        <f t="shared" si="37"/>
        <v>0</v>
      </c>
      <c r="CJ737" s="1347"/>
      <c r="CK737" s="1361">
        <f t="shared" si="15"/>
        <v>0</v>
      </c>
      <c r="CL737" s="1363"/>
      <c r="CM737" s="1345">
        <f t="shared" si="16"/>
        <v>0</v>
      </c>
      <c r="CN737" s="1347"/>
      <c r="CO737" s="3"/>
      <c r="CP737" s="1342">
        <f t="shared" si="17"/>
        <v>0</v>
      </c>
      <c r="CQ737" s="1343"/>
      <c r="CR737" s="1343"/>
      <c r="CS737" s="1343"/>
      <c r="CT737" s="1344"/>
      <c r="CU737" s="1364">
        <f t="shared" si="18"/>
        <v>0</v>
      </c>
      <c r="CV737" s="1364"/>
      <c r="CW737" s="1364"/>
      <c r="CX737" s="1364"/>
      <c r="CY737" s="1364"/>
      <c r="CZ737" s="1364">
        <f t="shared" si="19"/>
        <v>0</v>
      </c>
      <c r="DA737" s="1364"/>
      <c r="DB737" s="1364"/>
      <c r="DC737" s="1364"/>
      <c r="DD737" s="1364"/>
      <c r="DE737" s="1364">
        <f t="shared" si="20"/>
        <v>0</v>
      </c>
      <c r="DF737" s="1364"/>
      <c r="DG737" s="1364"/>
      <c r="DH737" s="1364"/>
      <c r="DI737" s="1364"/>
      <c r="DJ737" s="1364">
        <f t="shared" si="21"/>
        <v>0</v>
      </c>
      <c r="DK737" s="1364"/>
      <c r="DL737" s="1364"/>
      <c r="DM737" s="1364"/>
      <c r="DN737" s="1364"/>
      <c r="DO737" s="1364">
        <f t="shared" si="22"/>
        <v>0</v>
      </c>
      <c r="DP737" s="1364"/>
      <c r="DQ737" s="1364"/>
      <c r="DR737" s="1364"/>
      <c r="DS737" s="1364"/>
      <c r="DT737" s="6"/>
      <c r="DU737" s="1369">
        <f t="shared" si="23"/>
        <v>0</v>
      </c>
      <c r="DV737" s="1369"/>
      <c r="DW737" s="1369"/>
      <c r="DX737" s="1369"/>
      <c r="DY737" s="1369"/>
      <c r="DZ737" s="1369">
        <f t="shared" si="24"/>
        <v>0</v>
      </c>
      <c r="EA737" s="1369"/>
      <c r="EB737" s="1369"/>
      <c r="EC737" s="1369"/>
      <c r="ED737" s="1369"/>
      <c r="EE737" s="1369">
        <f t="shared" si="25"/>
        <v>0</v>
      </c>
      <c r="EF737" s="1369"/>
      <c r="EG737" s="1369"/>
      <c r="EH737" s="1369"/>
      <c r="EI737" s="1369"/>
      <c r="EJ737" s="1369">
        <f t="shared" si="26"/>
        <v>0</v>
      </c>
      <c r="EK737" s="1369"/>
      <c r="EL737" s="1369"/>
      <c r="EM737" s="1369"/>
      <c r="EN737" s="1369"/>
      <c r="EO737" s="1369">
        <f t="shared" si="27"/>
        <v>0</v>
      </c>
      <c r="EP737" s="1369"/>
      <c r="EQ737" s="1369"/>
      <c r="ER737" s="1369"/>
      <c r="ES737" s="1369"/>
      <c r="ET737" s="1369">
        <f t="shared" si="28"/>
        <v>0</v>
      </c>
      <c r="EU737" s="1369"/>
      <c r="EV737" s="1369"/>
      <c r="EW737" s="1369"/>
      <c r="EX737" s="1369"/>
      <c r="EZ737" s="1361" t="str">
        <f t="shared" si="29"/>
        <v/>
      </c>
      <c r="FA737" s="1362"/>
      <c r="FB737" s="1362"/>
      <c r="FC737" s="1362"/>
      <c r="FD737" s="1363"/>
      <c r="FE737" s="1361" t="str">
        <f t="shared" si="30"/>
        <v/>
      </c>
      <c r="FF737" s="1362"/>
      <c r="FG737" s="1362"/>
      <c r="FH737" s="1362"/>
      <c r="FI737" s="1363"/>
      <c r="FJ737" s="1361" t="str">
        <f t="shared" si="31"/>
        <v/>
      </c>
      <c r="FK737" s="1362"/>
      <c r="FL737" s="1362"/>
      <c r="FM737" s="1362"/>
      <c r="FN737" s="1363"/>
      <c r="FO737" s="1361" t="str">
        <f t="shared" si="32"/>
        <v/>
      </c>
      <c r="FP737" s="1362"/>
      <c r="FQ737" s="1362"/>
      <c r="FR737" s="1362"/>
      <c r="FS737" s="1363"/>
      <c r="FT737" s="1361" t="str">
        <f t="shared" si="33"/>
        <v/>
      </c>
      <c r="FU737" s="1362"/>
      <c r="FV737" s="1362"/>
      <c r="FW737" s="1362"/>
      <c r="FX737" s="1363"/>
      <c r="FY737" s="1361" t="str">
        <f t="shared" si="34"/>
        <v/>
      </c>
      <c r="FZ737" s="1362"/>
      <c r="GA737" s="1362"/>
      <c r="GB737" s="1362"/>
      <c r="GC737" s="1363"/>
    </row>
    <row r="738" spans="1:185" ht="13" customHeight="1">
      <c r="B738" s="1365"/>
      <c r="C738" s="1366"/>
      <c r="D738" s="1366"/>
      <c r="E738" s="1366"/>
      <c r="F738" s="1367"/>
      <c r="G738" s="1597"/>
      <c r="H738" s="1598"/>
      <c r="I738" s="1598"/>
      <c r="J738" s="1599"/>
      <c r="K738" s="1602"/>
      <c r="L738" s="1603"/>
      <c r="M738" s="1603"/>
      <c r="N738" s="1604"/>
      <c r="O738" s="1487"/>
      <c r="P738" s="1488"/>
      <c r="Q738" s="1488"/>
      <c r="R738" s="1488"/>
      <c r="S738" s="1489"/>
      <c r="T738" s="1487"/>
      <c r="U738" s="1488"/>
      <c r="V738" s="1488"/>
      <c r="W738" s="1489"/>
      <c r="X738" s="1402">
        <f t="shared" si="8"/>
        <v>0</v>
      </c>
      <c r="Y738" s="1403"/>
      <c r="Z738" s="1403"/>
      <c r="AA738" s="1403"/>
      <c r="AB738" s="1404"/>
      <c r="AC738" s="1502"/>
      <c r="AD738" s="1503"/>
      <c r="AE738" s="1503"/>
      <c r="AF738" s="1503"/>
      <c r="AG738" s="1504"/>
      <c r="AH738" s="1484" t="str">
        <f t="shared" si="35"/>
        <v/>
      </c>
      <c r="AI738" s="1485"/>
      <c r="AJ738" s="1486"/>
      <c r="AK738" s="1365" t="s">
        <v>590</v>
      </c>
      <c r="AL738" s="1366"/>
      <c r="AM738" s="1366"/>
      <c r="AN738" s="1366"/>
      <c r="AO738" s="1367"/>
      <c r="AP738" s="3"/>
      <c r="AQ738" s="3"/>
      <c r="AR738" s="3"/>
      <c r="AS738" s="3"/>
      <c r="AY738" s="1087"/>
      <c r="AZ738" s="118" t="str">
        <f>IF($G738=0,"N/A",VLOOKUP($T$189,TC_Rent,(MATCH($B738,bedrooms,FALSE)),FALSE))</f>
        <v>N/A</v>
      </c>
      <c r="BA738" s="3"/>
      <c r="BE738" s="205"/>
      <c r="BF738" s="295">
        <f t="shared" si="9"/>
        <v>0</v>
      </c>
      <c r="BG738" s="298">
        <f t="shared" si="10"/>
        <v>0</v>
      </c>
      <c r="BH738" s="299" t="str">
        <f t="shared" si="11"/>
        <v/>
      </c>
      <c r="BK738" s="3"/>
      <c r="BL738" s="3"/>
      <c r="BM738" s="3"/>
      <c r="BN738" s="3"/>
      <c r="BS738" s="295">
        <f t="shared" si="12"/>
        <v>0</v>
      </c>
      <c r="BT738" s="298">
        <f t="shared" si="13"/>
        <v>0</v>
      </c>
      <c r="BU738" s="299" t="str">
        <f t="shared" si="14"/>
        <v/>
      </c>
      <c r="BV738" s="3"/>
      <c r="BW738" s="3"/>
      <c r="BX738" s="3"/>
      <c r="BY738" s="3"/>
      <c r="BZ738" s="3"/>
      <c r="CA738" s="3"/>
      <c r="CB738" s="3"/>
      <c r="CC738" s="3"/>
      <c r="CE738" s="3"/>
      <c r="CF738" s="3"/>
      <c r="CG738" s="1361">
        <f t="shared" si="36"/>
        <v>0</v>
      </c>
      <c r="CH738" s="1363"/>
      <c r="CI738" s="1345">
        <f t="shared" si="37"/>
        <v>0</v>
      </c>
      <c r="CJ738" s="1347"/>
      <c r="CK738" s="1361">
        <f t="shared" si="15"/>
        <v>0</v>
      </c>
      <c r="CL738" s="1363"/>
      <c r="CM738" s="1345">
        <f t="shared" si="16"/>
        <v>0</v>
      </c>
      <c r="CN738" s="1347"/>
      <c r="CO738" s="3"/>
      <c r="CP738" s="1342">
        <f t="shared" si="17"/>
        <v>0</v>
      </c>
      <c r="CQ738" s="1343"/>
      <c r="CR738" s="1343"/>
      <c r="CS738" s="1343"/>
      <c r="CT738" s="1344"/>
      <c r="CU738" s="1364">
        <f t="shared" si="18"/>
        <v>0</v>
      </c>
      <c r="CV738" s="1364"/>
      <c r="CW738" s="1364"/>
      <c r="CX738" s="1364"/>
      <c r="CY738" s="1364"/>
      <c r="CZ738" s="1364">
        <f t="shared" si="19"/>
        <v>0</v>
      </c>
      <c r="DA738" s="1364"/>
      <c r="DB738" s="1364"/>
      <c r="DC738" s="1364"/>
      <c r="DD738" s="1364"/>
      <c r="DE738" s="1364">
        <f t="shared" si="20"/>
        <v>0</v>
      </c>
      <c r="DF738" s="1364"/>
      <c r="DG738" s="1364"/>
      <c r="DH738" s="1364"/>
      <c r="DI738" s="1364"/>
      <c r="DJ738" s="1364">
        <f t="shared" si="21"/>
        <v>0</v>
      </c>
      <c r="DK738" s="1364"/>
      <c r="DL738" s="1364"/>
      <c r="DM738" s="1364"/>
      <c r="DN738" s="1364"/>
      <c r="DO738" s="1364">
        <f t="shared" si="22"/>
        <v>0</v>
      </c>
      <c r="DP738" s="1364"/>
      <c r="DQ738" s="1364"/>
      <c r="DR738" s="1364"/>
      <c r="DS738" s="1364"/>
      <c r="DT738" s="6"/>
      <c r="DU738" s="1369">
        <f t="shared" si="23"/>
        <v>0</v>
      </c>
      <c r="DV738" s="1369"/>
      <c r="DW738" s="1369"/>
      <c r="DX738" s="1369"/>
      <c r="DY738" s="1369"/>
      <c r="DZ738" s="1369">
        <f t="shared" si="24"/>
        <v>0</v>
      </c>
      <c r="EA738" s="1369"/>
      <c r="EB738" s="1369"/>
      <c r="EC738" s="1369"/>
      <c r="ED738" s="1369"/>
      <c r="EE738" s="1369">
        <f t="shared" si="25"/>
        <v>0</v>
      </c>
      <c r="EF738" s="1369"/>
      <c r="EG738" s="1369"/>
      <c r="EH738" s="1369"/>
      <c r="EI738" s="1369"/>
      <c r="EJ738" s="1369">
        <f t="shared" si="26"/>
        <v>0</v>
      </c>
      <c r="EK738" s="1369"/>
      <c r="EL738" s="1369"/>
      <c r="EM738" s="1369"/>
      <c r="EN738" s="1369"/>
      <c r="EO738" s="1369">
        <f t="shared" si="27"/>
        <v>0</v>
      </c>
      <c r="EP738" s="1369"/>
      <c r="EQ738" s="1369"/>
      <c r="ER738" s="1369"/>
      <c r="ES738" s="1369"/>
      <c r="ET738" s="1369">
        <f t="shared" si="28"/>
        <v>0</v>
      </c>
      <c r="EU738" s="1369"/>
      <c r="EV738" s="1369"/>
      <c r="EW738" s="1369"/>
      <c r="EX738" s="1369"/>
      <c r="EZ738" s="1361" t="str">
        <f t="shared" si="29"/>
        <v/>
      </c>
      <c r="FA738" s="1362"/>
      <c r="FB738" s="1362"/>
      <c r="FC738" s="1362"/>
      <c r="FD738" s="1363"/>
      <c r="FE738" s="1361" t="str">
        <f t="shared" si="30"/>
        <v/>
      </c>
      <c r="FF738" s="1362"/>
      <c r="FG738" s="1362"/>
      <c r="FH738" s="1362"/>
      <c r="FI738" s="1363"/>
      <c r="FJ738" s="1361" t="str">
        <f t="shared" si="31"/>
        <v/>
      </c>
      <c r="FK738" s="1362"/>
      <c r="FL738" s="1362"/>
      <c r="FM738" s="1362"/>
      <c r="FN738" s="1363"/>
      <c r="FO738" s="1361" t="str">
        <f t="shared" si="32"/>
        <v/>
      </c>
      <c r="FP738" s="1362"/>
      <c r="FQ738" s="1362"/>
      <c r="FR738" s="1362"/>
      <c r="FS738" s="1363"/>
      <c r="FT738" s="1361" t="str">
        <f t="shared" si="33"/>
        <v/>
      </c>
      <c r="FU738" s="1362"/>
      <c r="FV738" s="1362"/>
      <c r="FW738" s="1362"/>
      <c r="FX738" s="1363"/>
      <c r="FY738" s="1361" t="str">
        <f t="shared" si="34"/>
        <v/>
      </c>
      <c r="FZ738" s="1362"/>
      <c r="GA738" s="1362"/>
      <c r="GB738" s="1362"/>
      <c r="GC738" s="1363"/>
    </row>
    <row r="739" spans="1:185" ht="13" customHeight="1">
      <c r="B739" s="1365"/>
      <c r="C739" s="1366"/>
      <c r="D739" s="1366"/>
      <c r="E739" s="1366"/>
      <c r="F739" s="1367"/>
      <c r="G739" s="1597"/>
      <c r="H739" s="1598"/>
      <c r="I739" s="1598"/>
      <c r="J739" s="1599"/>
      <c r="K739" s="1602"/>
      <c r="L739" s="1603"/>
      <c r="M739" s="1603"/>
      <c r="N739" s="1604"/>
      <c r="O739" s="1487"/>
      <c r="P739" s="1488"/>
      <c r="Q739" s="1488"/>
      <c r="R739" s="1488"/>
      <c r="S739" s="1489"/>
      <c r="T739" s="1487"/>
      <c r="U739" s="1488"/>
      <c r="V739" s="1488"/>
      <c r="W739" s="1489"/>
      <c r="X739" s="1402">
        <f t="shared" si="8"/>
        <v>0</v>
      </c>
      <c r="Y739" s="1403"/>
      <c r="Z739" s="1403"/>
      <c r="AA739" s="1403"/>
      <c r="AB739" s="1404"/>
      <c r="AC739" s="1502"/>
      <c r="AD739" s="1503"/>
      <c r="AE739" s="1503"/>
      <c r="AF739" s="1503"/>
      <c r="AG739" s="1504"/>
      <c r="AH739" s="1484" t="str">
        <f t="shared" si="35"/>
        <v/>
      </c>
      <c r="AI739" s="1485"/>
      <c r="AJ739" s="1486"/>
      <c r="AK739" s="1365" t="s">
        <v>590</v>
      </c>
      <c r="AL739" s="1366"/>
      <c r="AM739" s="1366"/>
      <c r="AN739" s="1366"/>
      <c r="AO739" s="1367"/>
      <c r="AP739" s="3"/>
      <c r="AQ739" s="3"/>
      <c r="AR739" s="3"/>
      <c r="AS739" s="3"/>
      <c r="AY739" s="1087"/>
      <c r="AZ739" s="118" t="str">
        <f>IF($G739=0,"N/A",VLOOKUP($T$189,TC_Rent,(MATCH($B739,bedrooms,FALSE)),FALSE))</f>
        <v>N/A</v>
      </c>
      <c r="BA739" s="3"/>
      <c r="BE739" s="205"/>
      <c r="BF739" s="295">
        <f t="shared" si="9"/>
        <v>0</v>
      </c>
      <c r="BG739" s="298">
        <f t="shared" si="10"/>
        <v>0</v>
      </c>
      <c r="BH739" s="299" t="str">
        <f t="shared" si="11"/>
        <v/>
      </c>
      <c r="BK739" s="3"/>
      <c r="BL739" s="3"/>
      <c r="BM739" s="3"/>
      <c r="BN739" s="3"/>
      <c r="BS739" s="295">
        <f t="shared" si="12"/>
        <v>0</v>
      </c>
      <c r="BT739" s="298">
        <f t="shared" si="13"/>
        <v>0</v>
      </c>
      <c r="BU739" s="299" t="str">
        <f t="shared" si="14"/>
        <v/>
      </c>
      <c r="BV739" s="3"/>
      <c r="BW739" s="3"/>
      <c r="BX739" s="3"/>
      <c r="BY739" s="3"/>
      <c r="BZ739" s="3"/>
      <c r="CA739" s="3"/>
      <c r="CB739" s="3"/>
      <c r="CC739" s="3"/>
      <c r="CE739" s="3"/>
      <c r="CF739" s="3"/>
      <c r="CG739" s="1361">
        <f t="shared" si="36"/>
        <v>0</v>
      </c>
      <c r="CH739" s="1363"/>
      <c r="CI739" s="1345">
        <f t="shared" si="37"/>
        <v>0</v>
      </c>
      <c r="CJ739" s="1347"/>
      <c r="CK739" s="1361">
        <f t="shared" si="15"/>
        <v>0</v>
      </c>
      <c r="CL739" s="1363"/>
      <c r="CM739" s="1345">
        <f t="shared" si="16"/>
        <v>0</v>
      </c>
      <c r="CN739" s="1347"/>
      <c r="CO739" s="3"/>
      <c r="CP739" s="1342">
        <f t="shared" si="17"/>
        <v>0</v>
      </c>
      <c r="CQ739" s="1343"/>
      <c r="CR739" s="1343"/>
      <c r="CS739" s="1343"/>
      <c r="CT739" s="1344"/>
      <c r="CU739" s="1364">
        <f t="shared" si="18"/>
        <v>0</v>
      </c>
      <c r="CV739" s="1364"/>
      <c r="CW739" s="1364"/>
      <c r="CX739" s="1364"/>
      <c r="CY739" s="1364"/>
      <c r="CZ739" s="1364">
        <f t="shared" si="19"/>
        <v>0</v>
      </c>
      <c r="DA739" s="1364"/>
      <c r="DB739" s="1364"/>
      <c r="DC739" s="1364"/>
      <c r="DD739" s="1364"/>
      <c r="DE739" s="1364">
        <f t="shared" si="20"/>
        <v>0</v>
      </c>
      <c r="DF739" s="1364"/>
      <c r="DG739" s="1364"/>
      <c r="DH739" s="1364"/>
      <c r="DI739" s="1364"/>
      <c r="DJ739" s="1364">
        <f t="shared" si="21"/>
        <v>0</v>
      </c>
      <c r="DK739" s="1364"/>
      <c r="DL739" s="1364"/>
      <c r="DM739" s="1364"/>
      <c r="DN739" s="1364"/>
      <c r="DO739" s="1364">
        <f t="shared" si="22"/>
        <v>0</v>
      </c>
      <c r="DP739" s="1364"/>
      <c r="DQ739" s="1364"/>
      <c r="DR739" s="1364"/>
      <c r="DS739" s="1364"/>
      <c r="DT739" s="6"/>
      <c r="DU739" s="1369">
        <f t="shared" si="23"/>
        <v>0</v>
      </c>
      <c r="DV739" s="1369"/>
      <c r="DW739" s="1369"/>
      <c r="DX739" s="1369"/>
      <c r="DY739" s="1369"/>
      <c r="DZ739" s="1369">
        <f t="shared" si="24"/>
        <v>0</v>
      </c>
      <c r="EA739" s="1369"/>
      <c r="EB739" s="1369"/>
      <c r="EC739" s="1369"/>
      <c r="ED739" s="1369"/>
      <c r="EE739" s="1369">
        <f t="shared" si="25"/>
        <v>0</v>
      </c>
      <c r="EF739" s="1369"/>
      <c r="EG739" s="1369"/>
      <c r="EH739" s="1369"/>
      <c r="EI739" s="1369"/>
      <c r="EJ739" s="1369">
        <f t="shared" si="26"/>
        <v>0</v>
      </c>
      <c r="EK739" s="1369"/>
      <c r="EL739" s="1369"/>
      <c r="EM739" s="1369"/>
      <c r="EN739" s="1369"/>
      <c r="EO739" s="1369">
        <f t="shared" si="27"/>
        <v>0</v>
      </c>
      <c r="EP739" s="1369"/>
      <c r="EQ739" s="1369"/>
      <c r="ER739" s="1369"/>
      <c r="ES739" s="1369"/>
      <c r="ET739" s="1369">
        <f t="shared" si="28"/>
        <v>0</v>
      </c>
      <c r="EU739" s="1369"/>
      <c r="EV739" s="1369"/>
      <c r="EW739" s="1369"/>
      <c r="EX739" s="1369"/>
      <c r="EZ739" s="1361" t="str">
        <f t="shared" si="29"/>
        <v/>
      </c>
      <c r="FA739" s="1362"/>
      <c r="FB739" s="1362"/>
      <c r="FC739" s="1362"/>
      <c r="FD739" s="1363"/>
      <c r="FE739" s="1361" t="str">
        <f t="shared" si="30"/>
        <v/>
      </c>
      <c r="FF739" s="1362"/>
      <c r="FG739" s="1362"/>
      <c r="FH739" s="1362"/>
      <c r="FI739" s="1363"/>
      <c r="FJ739" s="1361" t="str">
        <f t="shared" si="31"/>
        <v/>
      </c>
      <c r="FK739" s="1362"/>
      <c r="FL739" s="1362"/>
      <c r="FM739" s="1362"/>
      <c r="FN739" s="1363"/>
      <c r="FO739" s="1361" t="str">
        <f t="shared" si="32"/>
        <v/>
      </c>
      <c r="FP739" s="1362"/>
      <c r="FQ739" s="1362"/>
      <c r="FR739" s="1362"/>
      <c r="FS739" s="1363"/>
      <c r="FT739" s="1361" t="str">
        <f t="shared" si="33"/>
        <v/>
      </c>
      <c r="FU739" s="1362"/>
      <c r="FV739" s="1362"/>
      <c r="FW739" s="1362"/>
      <c r="FX739" s="1363"/>
      <c r="FY739" s="1361" t="str">
        <f t="shared" si="34"/>
        <v/>
      </c>
      <c r="FZ739" s="1362"/>
      <c r="GA739" s="1362"/>
      <c r="GB739" s="1362"/>
      <c r="GC739" s="1363"/>
    </row>
    <row r="740" spans="1:185" ht="13" customHeight="1">
      <c r="B740" s="1365"/>
      <c r="C740" s="1366"/>
      <c r="D740" s="1366"/>
      <c r="E740" s="1366"/>
      <c r="F740" s="1367"/>
      <c r="G740" s="1597"/>
      <c r="H740" s="1598"/>
      <c r="I740" s="1598"/>
      <c r="J740" s="1599"/>
      <c r="K740" s="1602"/>
      <c r="L740" s="1603"/>
      <c r="M740" s="1603"/>
      <c r="N740" s="1604"/>
      <c r="O740" s="1487"/>
      <c r="P740" s="1488"/>
      <c r="Q740" s="1488"/>
      <c r="R740" s="1488"/>
      <c r="S740" s="1489"/>
      <c r="T740" s="1487"/>
      <c r="U740" s="1488"/>
      <c r="V740" s="1488"/>
      <c r="W740" s="1489"/>
      <c r="X740" s="1402">
        <f t="shared" si="8"/>
        <v>0</v>
      </c>
      <c r="Y740" s="1403"/>
      <c r="Z740" s="1403"/>
      <c r="AA740" s="1403"/>
      <c r="AB740" s="1404"/>
      <c r="AC740" s="1502"/>
      <c r="AD740" s="1503"/>
      <c r="AE740" s="1503"/>
      <c r="AF740" s="1503"/>
      <c r="AG740" s="1504"/>
      <c r="AH740" s="1484" t="str">
        <f t="shared" si="35"/>
        <v/>
      </c>
      <c r="AI740" s="1485"/>
      <c r="AJ740" s="1486"/>
      <c r="AK740" s="1365" t="s">
        <v>590</v>
      </c>
      <c r="AL740" s="1366"/>
      <c r="AM740" s="1366"/>
      <c r="AN740" s="1366"/>
      <c r="AO740" s="1367"/>
      <c r="AP740" s="3"/>
      <c r="AQ740" s="3"/>
      <c r="AR740" s="3"/>
      <c r="AS740" s="3"/>
      <c r="AY740" s="1087"/>
      <c r="AZ740" s="118" t="str">
        <f>IF($G740=0,"N/A",VLOOKUP($T$189,TC_Rent,(MATCH($B740,bedrooms,FALSE)),FALSE))</f>
        <v>N/A</v>
      </c>
      <c r="BA740" s="3"/>
      <c r="BE740" s="205"/>
      <c r="BF740" s="295">
        <f t="shared" si="9"/>
        <v>0</v>
      </c>
      <c r="BG740" s="298">
        <f t="shared" si="10"/>
        <v>0</v>
      </c>
      <c r="BH740" s="299" t="str">
        <f t="shared" si="11"/>
        <v/>
      </c>
      <c r="BK740" s="3"/>
      <c r="BL740" s="3"/>
      <c r="BM740" s="3"/>
      <c r="BN740" s="3"/>
      <c r="BS740" s="295">
        <f t="shared" si="12"/>
        <v>0</v>
      </c>
      <c r="BT740" s="298">
        <f t="shared" si="13"/>
        <v>0</v>
      </c>
      <c r="BU740" s="299" t="str">
        <f t="shared" si="14"/>
        <v/>
      </c>
      <c r="BV740" s="3"/>
      <c r="BW740" s="3"/>
      <c r="BX740" s="3"/>
      <c r="BY740" s="3"/>
      <c r="BZ740" s="3"/>
      <c r="CA740" s="3"/>
      <c r="CB740" s="3"/>
      <c r="CC740" s="3"/>
      <c r="CE740" s="3"/>
      <c r="CF740" s="3"/>
      <c r="CG740" s="1361">
        <f t="shared" si="36"/>
        <v>0</v>
      </c>
      <c r="CH740" s="1363"/>
      <c r="CI740" s="1345">
        <f t="shared" si="37"/>
        <v>0</v>
      </c>
      <c r="CJ740" s="1347"/>
      <c r="CK740" s="1361">
        <f t="shared" si="15"/>
        <v>0</v>
      </c>
      <c r="CL740" s="1363"/>
      <c r="CM740" s="1345">
        <f t="shared" si="16"/>
        <v>0</v>
      </c>
      <c r="CN740" s="1347"/>
      <c r="CO740" s="3"/>
      <c r="CP740" s="1342">
        <f t="shared" si="17"/>
        <v>0</v>
      </c>
      <c r="CQ740" s="1343"/>
      <c r="CR740" s="1343"/>
      <c r="CS740" s="1343"/>
      <c r="CT740" s="1344"/>
      <c r="CU740" s="1364">
        <f t="shared" si="18"/>
        <v>0</v>
      </c>
      <c r="CV740" s="1364"/>
      <c r="CW740" s="1364"/>
      <c r="CX740" s="1364"/>
      <c r="CY740" s="1364"/>
      <c r="CZ740" s="1364">
        <f t="shared" si="19"/>
        <v>0</v>
      </c>
      <c r="DA740" s="1364"/>
      <c r="DB740" s="1364"/>
      <c r="DC740" s="1364"/>
      <c r="DD740" s="1364"/>
      <c r="DE740" s="1364">
        <f t="shared" si="20"/>
        <v>0</v>
      </c>
      <c r="DF740" s="1364"/>
      <c r="DG740" s="1364"/>
      <c r="DH740" s="1364"/>
      <c r="DI740" s="1364"/>
      <c r="DJ740" s="1364">
        <f t="shared" si="21"/>
        <v>0</v>
      </c>
      <c r="DK740" s="1364"/>
      <c r="DL740" s="1364"/>
      <c r="DM740" s="1364"/>
      <c r="DN740" s="1364"/>
      <c r="DO740" s="1364">
        <f t="shared" si="22"/>
        <v>0</v>
      </c>
      <c r="DP740" s="1364"/>
      <c r="DQ740" s="1364"/>
      <c r="DR740" s="1364"/>
      <c r="DS740" s="1364"/>
      <c r="DT740" s="6"/>
      <c r="DU740" s="1369">
        <f t="shared" si="23"/>
        <v>0</v>
      </c>
      <c r="DV740" s="1369"/>
      <c r="DW740" s="1369"/>
      <c r="DX740" s="1369"/>
      <c r="DY740" s="1369"/>
      <c r="DZ740" s="1369">
        <f t="shared" si="24"/>
        <v>0</v>
      </c>
      <c r="EA740" s="1369"/>
      <c r="EB740" s="1369"/>
      <c r="EC740" s="1369"/>
      <c r="ED740" s="1369"/>
      <c r="EE740" s="1369">
        <f t="shared" si="25"/>
        <v>0</v>
      </c>
      <c r="EF740" s="1369"/>
      <c r="EG740" s="1369"/>
      <c r="EH740" s="1369"/>
      <c r="EI740" s="1369"/>
      <c r="EJ740" s="1369">
        <f t="shared" si="26"/>
        <v>0</v>
      </c>
      <c r="EK740" s="1369"/>
      <c r="EL740" s="1369"/>
      <c r="EM740" s="1369"/>
      <c r="EN740" s="1369"/>
      <c r="EO740" s="1369">
        <f t="shared" si="27"/>
        <v>0</v>
      </c>
      <c r="EP740" s="1369"/>
      <c r="EQ740" s="1369"/>
      <c r="ER740" s="1369"/>
      <c r="ES740" s="1369"/>
      <c r="ET740" s="1369">
        <f t="shared" si="28"/>
        <v>0</v>
      </c>
      <c r="EU740" s="1369"/>
      <c r="EV740" s="1369"/>
      <c r="EW740" s="1369"/>
      <c r="EX740" s="1369"/>
      <c r="EZ740" s="1361" t="str">
        <f t="shared" si="29"/>
        <v/>
      </c>
      <c r="FA740" s="1362"/>
      <c r="FB740" s="1362"/>
      <c r="FC740" s="1362"/>
      <c r="FD740" s="1363"/>
      <c r="FE740" s="1361" t="str">
        <f t="shared" si="30"/>
        <v/>
      </c>
      <c r="FF740" s="1362"/>
      <c r="FG740" s="1362"/>
      <c r="FH740" s="1362"/>
      <c r="FI740" s="1363"/>
      <c r="FJ740" s="1361" t="str">
        <f t="shared" si="31"/>
        <v/>
      </c>
      <c r="FK740" s="1362"/>
      <c r="FL740" s="1362"/>
      <c r="FM740" s="1362"/>
      <c r="FN740" s="1363"/>
      <c r="FO740" s="1361" t="str">
        <f t="shared" si="32"/>
        <v/>
      </c>
      <c r="FP740" s="1362"/>
      <c r="FQ740" s="1362"/>
      <c r="FR740" s="1362"/>
      <c r="FS740" s="1363"/>
      <c r="FT740" s="1361" t="str">
        <f t="shared" si="33"/>
        <v/>
      </c>
      <c r="FU740" s="1362"/>
      <c r="FV740" s="1362"/>
      <c r="FW740" s="1362"/>
      <c r="FX740" s="1363"/>
      <c r="FY740" s="1361" t="str">
        <f t="shared" si="34"/>
        <v/>
      </c>
      <c r="FZ740" s="1362"/>
      <c r="GA740" s="1362"/>
      <c r="GB740" s="1362"/>
      <c r="GC740" s="1363"/>
    </row>
    <row r="741" spans="1:185" ht="13" customHeight="1">
      <c r="B741" s="1365"/>
      <c r="C741" s="1366"/>
      <c r="D741" s="1366"/>
      <c r="E741" s="1366"/>
      <c r="F741" s="1367"/>
      <c r="G741" s="1597"/>
      <c r="H741" s="1598"/>
      <c r="I741" s="1598"/>
      <c r="J741" s="1599"/>
      <c r="K741" s="1602"/>
      <c r="L741" s="1603"/>
      <c r="M741" s="1603"/>
      <c r="N741" s="1604"/>
      <c r="O741" s="1487"/>
      <c r="P741" s="1488"/>
      <c r="Q741" s="1488"/>
      <c r="R741" s="1488"/>
      <c r="S741" s="1489"/>
      <c r="T741" s="1487"/>
      <c r="U741" s="1488"/>
      <c r="V741" s="1488"/>
      <c r="W741" s="1489"/>
      <c r="X741" s="1402">
        <f t="shared" si="8"/>
        <v>0</v>
      </c>
      <c r="Y741" s="1403"/>
      <c r="Z741" s="1403"/>
      <c r="AA741" s="1403"/>
      <c r="AB741" s="1404"/>
      <c r="AC741" s="1502"/>
      <c r="AD741" s="1503"/>
      <c r="AE741" s="1503"/>
      <c r="AF741" s="1503"/>
      <c r="AG741" s="1504"/>
      <c r="AH741" s="1484" t="str">
        <f t="shared" si="35"/>
        <v/>
      </c>
      <c r="AI741" s="1485"/>
      <c r="AJ741" s="1486"/>
      <c r="AK741" s="1365" t="s">
        <v>590</v>
      </c>
      <c r="AL741" s="1366"/>
      <c r="AM741" s="1366"/>
      <c r="AN741" s="1366"/>
      <c r="AO741" s="1367"/>
      <c r="AP741" s="3"/>
      <c r="AQ741" s="3"/>
      <c r="AR741" s="3"/>
      <c r="AS741" s="3"/>
      <c r="AY741" s="1087"/>
      <c r="AZ741" s="118" t="str">
        <f>IF($G741=0,"N/A",VLOOKUP($T$189,TC_Rent,(MATCH($B741,bedrooms,FALSE)),FALSE))</f>
        <v>N/A</v>
      </c>
      <c r="BA741" s="3"/>
      <c r="BE741" s="205"/>
      <c r="BF741" s="295">
        <f t="shared" si="9"/>
        <v>0</v>
      </c>
      <c r="BG741" s="298">
        <f t="shared" si="10"/>
        <v>0</v>
      </c>
      <c r="BH741" s="299" t="str">
        <f t="shared" si="11"/>
        <v/>
      </c>
      <c r="BK741" s="3"/>
      <c r="BL741" s="3"/>
      <c r="BM741" s="3"/>
      <c r="BN741" s="3"/>
      <c r="BS741" s="295">
        <f t="shared" si="12"/>
        <v>0</v>
      </c>
      <c r="BT741" s="298">
        <f t="shared" si="13"/>
        <v>0</v>
      </c>
      <c r="BU741" s="299" t="str">
        <f t="shared" si="14"/>
        <v/>
      </c>
      <c r="BV741" s="3"/>
      <c r="BW741" s="3"/>
      <c r="BX741" s="3"/>
      <c r="BY741" s="3"/>
      <c r="BZ741" s="3"/>
      <c r="CA741" s="3"/>
      <c r="CB741" s="3"/>
      <c r="CC741" s="3"/>
      <c r="CE741" s="3"/>
      <c r="CF741" s="3"/>
      <c r="CG741" s="1361">
        <f t="shared" si="36"/>
        <v>0</v>
      </c>
      <c r="CH741" s="1363"/>
      <c r="CI741" s="1345">
        <f t="shared" si="37"/>
        <v>0</v>
      </c>
      <c r="CJ741" s="1347"/>
      <c r="CK741" s="1361">
        <f t="shared" si="15"/>
        <v>0</v>
      </c>
      <c r="CL741" s="1363"/>
      <c r="CM741" s="1345">
        <f t="shared" si="16"/>
        <v>0</v>
      </c>
      <c r="CN741" s="1347"/>
      <c r="CO741" s="3"/>
      <c r="CP741" s="1342">
        <f t="shared" si="17"/>
        <v>0</v>
      </c>
      <c r="CQ741" s="1343"/>
      <c r="CR741" s="1343"/>
      <c r="CS741" s="1343"/>
      <c r="CT741" s="1344"/>
      <c r="CU741" s="1364">
        <f t="shared" si="18"/>
        <v>0</v>
      </c>
      <c r="CV741" s="1364"/>
      <c r="CW741" s="1364"/>
      <c r="CX741" s="1364"/>
      <c r="CY741" s="1364"/>
      <c r="CZ741" s="1364">
        <f t="shared" si="19"/>
        <v>0</v>
      </c>
      <c r="DA741" s="1364"/>
      <c r="DB741" s="1364"/>
      <c r="DC741" s="1364"/>
      <c r="DD741" s="1364"/>
      <c r="DE741" s="1364">
        <f t="shared" si="20"/>
        <v>0</v>
      </c>
      <c r="DF741" s="1364"/>
      <c r="DG741" s="1364"/>
      <c r="DH741" s="1364"/>
      <c r="DI741" s="1364"/>
      <c r="DJ741" s="1364">
        <f t="shared" si="21"/>
        <v>0</v>
      </c>
      <c r="DK741" s="1364"/>
      <c r="DL741" s="1364"/>
      <c r="DM741" s="1364"/>
      <c r="DN741" s="1364"/>
      <c r="DO741" s="1364">
        <f t="shared" si="22"/>
        <v>0</v>
      </c>
      <c r="DP741" s="1364"/>
      <c r="DQ741" s="1364"/>
      <c r="DR741" s="1364"/>
      <c r="DS741" s="1364"/>
      <c r="DT741" s="6"/>
      <c r="DU741" s="1369">
        <f t="shared" si="23"/>
        <v>0</v>
      </c>
      <c r="DV741" s="1369"/>
      <c r="DW741" s="1369"/>
      <c r="DX741" s="1369"/>
      <c r="DY741" s="1369"/>
      <c r="DZ741" s="1369">
        <f t="shared" si="24"/>
        <v>0</v>
      </c>
      <c r="EA741" s="1369"/>
      <c r="EB741" s="1369"/>
      <c r="EC741" s="1369"/>
      <c r="ED741" s="1369"/>
      <c r="EE741" s="1369">
        <f t="shared" si="25"/>
        <v>0</v>
      </c>
      <c r="EF741" s="1369"/>
      <c r="EG741" s="1369"/>
      <c r="EH741" s="1369"/>
      <c r="EI741" s="1369"/>
      <c r="EJ741" s="1369">
        <f t="shared" si="26"/>
        <v>0</v>
      </c>
      <c r="EK741" s="1369"/>
      <c r="EL741" s="1369"/>
      <c r="EM741" s="1369"/>
      <c r="EN741" s="1369"/>
      <c r="EO741" s="1369">
        <f t="shared" si="27"/>
        <v>0</v>
      </c>
      <c r="EP741" s="1369"/>
      <c r="EQ741" s="1369"/>
      <c r="ER741" s="1369"/>
      <c r="ES741" s="1369"/>
      <c r="ET741" s="1369">
        <f t="shared" si="28"/>
        <v>0</v>
      </c>
      <c r="EU741" s="1369"/>
      <c r="EV741" s="1369"/>
      <c r="EW741" s="1369"/>
      <c r="EX741" s="1369"/>
      <c r="EZ741" s="1361" t="str">
        <f t="shared" si="29"/>
        <v/>
      </c>
      <c r="FA741" s="1362"/>
      <c r="FB741" s="1362"/>
      <c r="FC741" s="1362"/>
      <c r="FD741" s="1363"/>
      <c r="FE741" s="1361" t="str">
        <f t="shared" si="30"/>
        <v/>
      </c>
      <c r="FF741" s="1362"/>
      <c r="FG741" s="1362"/>
      <c r="FH741" s="1362"/>
      <c r="FI741" s="1363"/>
      <c r="FJ741" s="1361" t="str">
        <f t="shared" si="31"/>
        <v/>
      </c>
      <c r="FK741" s="1362"/>
      <c r="FL741" s="1362"/>
      <c r="FM741" s="1362"/>
      <c r="FN741" s="1363"/>
      <c r="FO741" s="1361" t="str">
        <f t="shared" si="32"/>
        <v/>
      </c>
      <c r="FP741" s="1362"/>
      <c r="FQ741" s="1362"/>
      <c r="FR741" s="1362"/>
      <c r="FS741" s="1363"/>
      <c r="FT741" s="1361" t="str">
        <f t="shared" si="33"/>
        <v/>
      </c>
      <c r="FU741" s="1362"/>
      <c r="FV741" s="1362"/>
      <c r="FW741" s="1362"/>
      <c r="FX741" s="1363"/>
      <c r="FY741" s="1361" t="str">
        <f t="shared" si="34"/>
        <v/>
      </c>
      <c r="FZ741" s="1362"/>
      <c r="GA741" s="1362"/>
      <c r="GB741" s="1362"/>
      <c r="GC741" s="1363"/>
    </row>
    <row r="742" spans="1:185" ht="13" customHeight="1">
      <c r="B742" s="1365"/>
      <c r="C742" s="1366"/>
      <c r="D742" s="1366"/>
      <c r="E742" s="1366"/>
      <c r="F742" s="1367"/>
      <c r="G742" s="1597"/>
      <c r="H742" s="1598"/>
      <c r="I742" s="1598"/>
      <c r="J742" s="1599"/>
      <c r="K742" s="1602"/>
      <c r="L742" s="1603"/>
      <c r="M742" s="1603"/>
      <c r="N742" s="1604"/>
      <c r="O742" s="1487"/>
      <c r="P742" s="1488"/>
      <c r="Q742" s="1488"/>
      <c r="R742" s="1488"/>
      <c r="S742" s="1489"/>
      <c r="T742" s="1487"/>
      <c r="U742" s="1488"/>
      <c r="V742" s="1488"/>
      <c r="W742" s="1489"/>
      <c r="X742" s="1402">
        <f t="shared" ref="X742:X751" si="38">O742+T742</f>
        <v>0</v>
      </c>
      <c r="Y742" s="1403"/>
      <c r="Z742" s="1403"/>
      <c r="AA742" s="1403"/>
      <c r="AB742" s="1404"/>
      <c r="AC742" s="1502"/>
      <c r="AD742" s="1503"/>
      <c r="AE742" s="1503"/>
      <c r="AF742" s="1503"/>
      <c r="AG742" s="1504"/>
      <c r="AH742" s="1484" t="str">
        <f t="shared" si="35"/>
        <v/>
      </c>
      <c r="AI742" s="1485"/>
      <c r="AJ742" s="1486"/>
      <c r="AK742" s="1365" t="s">
        <v>590</v>
      </c>
      <c r="AL742" s="1366"/>
      <c r="AM742" s="1366"/>
      <c r="AN742" s="1366"/>
      <c r="AO742" s="1367"/>
      <c r="AP742" s="3"/>
      <c r="AQ742" s="3"/>
      <c r="AR742" s="3"/>
      <c r="AS742" s="3"/>
      <c r="AY742" s="1087"/>
      <c r="AZ742" s="118" t="str">
        <f>IF($G742=0,"N/A",VLOOKUP($T$189,TC_Rent,(MATCH($B742,bedrooms,FALSE)),FALSE))</f>
        <v>N/A</v>
      </c>
      <c r="BA742" s="3"/>
      <c r="BB742" s="3"/>
      <c r="BE742" s="205"/>
      <c r="BF742" s="295">
        <f t="shared" si="9"/>
        <v>0</v>
      </c>
      <c r="BG742" s="298">
        <f t="shared" si="10"/>
        <v>0</v>
      </c>
      <c r="BH742" s="299" t="str">
        <f t="shared" si="11"/>
        <v/>
      </c>
      <c r="BL742" s="3"/>
      <c r="BM742" s="3"/>
      <c r="BN742" s="3"/>
      <c r="BS742" s="295">
        <f t="shared" si="12"/>
        <v>0</v>
      </c>
      <c r="BT742" s="298">
        <f t="shared" si="13"/>
        <v>0</v>
      </c>
      <c r="BU742" s="299" t="str">
        <f t="shared" si="14"/>
        <v/>
      </c>
      <c r="BV742" s="3"/>
      <c r="BW742" s="3"/>
      <c r="BX742" s="3"/>
      <c r="BY742" s="3"/>
      <c r="BZ742" s="3"/>
      <c r="CA742" s="3"/>
      <c r="CB742" s="3"/>
      <c r="CC742" s="3"/>
      <c r="CE742" s="3"/>
      <c r="CF742" s="3"/>
      <c r="CG742" s="1361">
        <f t="shared" si="36"/>
        <v>0</v>
      </c>
      <c r="CH742" s="1363"/>
      <c r="CI742" s="1345">
        <f t="shared" si="37"/>
        <v>0</v>
      </c>
      <c r="CJ742" s="1347"/>
      <c r="CK742" s="1361">
        <f t="shared" si="15"/>
        <v>0</v>
      </c>
      <c r="CL742" s="1363"/>
      <c r="CM742" s="1345">
        <f t="shared" si="16"/>
        <v>0</v>
      </c>
      <c r="CN742" s="1347"/>
      <c r="CO742" s="3"/>
      <c r="CP742" s="1342">
        <f t="shared" si="17"/>
        <v>0</v>
      </c>
      <c r="CQ742" s="1343"/>
      <c r="CR742" s="1343"/>
      <c r="CS742" s="1343"/>
      <c r="CT742" s="1344"/>
      <c r="CU742" s="1364">
        <f t="shared" si="18"/>
        <v>0</v>
      </c>
      <c r="CV742" s="1364"/>
      <c r="CW742" s="1364"/>
      <c r="CX742" s="1364"/>
      <c r="CY742" s="1364"/>
      <c r="CZ742" s="1364">
        <f t="shared" si="19"/>
        <v>0</v>
      </c>
      <c r="DA742" s="1364"/>
      <c r="DB742" s="1364"/>
      <c r="DC742" s="1364"/>
      <c r="DD742" s="1364"/>
      <c r="DE742" s="1364">
        <f t="shared" si="20"/>
        <v>0</v>
      </c>
      <c r="DF742" s="1364"/>
      <c r="DG742" s="1364"/>
      <c r="DH742" s="1364"/>
      <c r="DI742" s="1364"/>
      <c r="DJ742" s="1364">
        <f t="shared" si="21"/>
        <v>0</v>
      </c>
      <c r="DK742" s="1364"/>
      <c r="DL742" s="1364"/>
      <c r="DM742" s="1364"/>
      <c r="DN742" s="1364"/>
      <c r="DO742" s="1364">
        <f t="shared" si="22"/>
        <v>0</v>
      </c>
      <c r="DP742" s="1364"/>
      <c r="DQ742" s="1364"/>
      <c r="DR742" s="1364"/>
      <c r="DS742" s="1364"/>
      <c r="DT742" s="6"/>
      <c r="DU742" s="1369">
        <f t="shared" si="23"/>
        <v>0</v>
      </c>
      <c r="DV742" s="1369"/>
      <c r="DW742" s="1369"/>
      <c r="DX742" s="1369"/>
      <c r="DY742" s="1369"/>
      <c r="DZ742" s="1369">
        <f t="shared" si="24"/>
        <v>0</v>
      </c>
      <c r="EA742" s="1369"/>
      <c r="EB742" s="1369"/>
      <c r="EC742" s="1369"/>
      <c r="ED742" s="1369"/>
      <c r="EE742" s="1369">
        <f t="shared" si="25"/>
        <v>0</v>
      </c>
      <c r="EF742" s="1369"/>
      <c r="EG742" s="1369"/>
      <c r="EH742" s="1369"/>
      <c r="EI742" s="1369"/>
      <c r="EJ742" s="1369">
        <f t="shared" si="26"/>
        <v>0</v>
      </c>
      <c r="EK742" s="1369"/>
      <c r="EL742" s="1369"/>
      <c r="EM742" s="1369"/>
      <c r="EN742" s="1369"/>
      <c r="EO742" s="1369">
        <f t="shared" si="27"/>
        <v>0</v>
      </c>
      <c r="EP742" s="1369"/>
      <c r="EQ742" s="1369"/>
      <c r="ER742" s="1369"/>
      <c r="ES742" s="1369"/>
      <c r="ET742" s="1369">
        <f t="shared" si="28"/>
        <v>0</v>
      </c>
      <c r="EU742" s="1369"/>
      <c r="EV742" s="1369"/>
      <c r="EW742" s="1369"/>
      <c r="EX742" s="1369"/>
      <c r="EZ742" s="1361" t="str">
        <f t="shared" si="29"/>
        <v/>
      </c>
      <c r="FA742" s="1362"/>
      <c r="FB742" s="1362"/>
      <c r="FC742" s="1362"/>
      <c r="FD742" s="1363"/>
      <c r="FE742" s="1361" t="str">
        <f t="shared" si="30"/>
        <v/>
      </c>
      <c r="FF742" s="1362"/>
      <c r="FG742" s="1362"/>
      <c r="FH742" s="1362"/>
      <c r="FI742" s="1363"/>
      <c r="FJ742" s="1361" t="str">
        <f t="shared" si="31"/>
        <v/>
      </c>
      <c r="FK742" s="1362"/>
      <c r="FL742" s="1362"/>
      <c r="FM742" s="1362"/>
      <c r="FN742" s="1363"/>
      <c r="FO742" s="1361" t="str">
        <f t="shared" si="32"/>
        <v/>
      </c>
      <c r="FP742" s="1362"/>
      <c r="FQ742" s="1362"/>
      <c r="FR742" s="1362"/>
      <c r="FS742" s="1363"/>
      <c r="FT742" s="1361" t="str">
        <f t="shared" si="33"/>
        <v/>
      </c>
      <c r="FU742" s="1362"/>
      <c r="FV742" s="1362"/>
      <c r="FW742" s="1362"/>
      <c r="FX742" s="1363"/>
      <c r="FY742" s="1361" t="str">
        <f t="shared" si="34"/>
        <v/>
      </c>
      <c r="FZ742" s="1362"/>
      <c r="GA742" s="1362"/>
      <c r="GB742" s="1362"/>
      <c r="GC742" s="1363"/>
    </row>
    <row r="743" spans="1:185" s="3" customFormat="1" ht="13" customHeight="1">
      <c r="A743"/>
      <c r="B743" s="1365"/>
      <c r="C743" s="1366"/>
      <c r="D743" s="1366"/>
      <c r="E743" s="1366"/>
      <c r="F743" s="1367"/>
      <c r="G743" s="1597"/>
      <c r="H743" s="1598"/>
      <c r="I743" s="1598"/>
      <c r="J743" s="1599"/>
      <c r="K743" s="1602"/>
      <c r="L743" s="1603"/>
      <c r="M743" s="1603"/>
      <c r="N743" s="1604"/>
      <c r="O743" s="1487"/>
      <c r="P743" s="1488"/>
      <c r="Q743" s="1488"/>
      <c r="R743" s="1488"/>
      <c r="S743" s="1489"/>
      <c r="T743" s="1487"/>
      <c r="U743" s="1488"/>
      <c r="V743" s="1488"/>
      <c r="W743" s="1489"/>
      <c r="X743" s="1402">
        <f t="shared" si="38"/>
        <v>0</v>
      </c>
      <c r="Y743" s="1403"/>
      <c r="Z743" s="1403"/>
      <c r="AA743" s="1403"/>
      <c r="AB743" s="1404"/>
      <c r="AC743" s="1502"/>
      <c r="AD743" s="1503"/>
      <c r="AE743" s="1503"/>
      <c r="AF743" s="1503"/>
      <c r="AG743" s="1504"/>
      <c r="AH743" s="1484" t="str">
        <f t="shared" si="35"/>
        <v/>
      </c>
      <c r="AI743" s="1485"/>
      <c r="AJ743" s="1486"/>
      <c r="AK743" s="1365" t="s">
        <v>590</v>
      </c>
      <c r="AL743" s="1366"/>
      <c r="AM743" s="1366"/>
      <c r="AN743" s="1366"/>
      <c r="AO743" s="1367"/>
      <c r="AT743"/>
      <c r="AU743"/>
      <c r="AV743"/>
      <c r="AW743"/>
      <c r="AX743"/>
      <c r="AY743" s="1087"/>
      <c r="AZ743" s="118" t="str">
        <f>IF($G743=0,"N/A",VLOOKUP($T$189,TC_Rent,(MATCH($B743,bedrooms,FALSE)),FALSE))</f>
        <v>N/A</v>
      </c>
      <c r="BD743"/>
      <c r="BE743"/>
      <c r="BF743" s="295">
        <f t="shared" si="9"/>
        <v>0</v>
      </c>
      <c r="BG743" s="298">
        <f t="shared" si="10"/>
        <v>0</v>
      </c>
      <c r="BH743" s="299" t="str">
        <f t="shared" si="11"/>
        <v/>
      </c>
      <c r="BI743"/>
      <c r="BJ743"/>
      <c r="BK743"/>
      <c r="BL743"/>
      <c r="BM743"/>
      <c r="BN743"/>
      <c r="BO743"/>
      <c r="BP743"/>
      <c r="BQ743"/>
      <c r="BR743"/>
      <c r="BS743" s="295">
        <f t="shared" si="12"/>
        <v>0</v>
      </c>
      <c r="BT743" s="298">
        <f t="shared" si="13"/>
        <v>0</v>
      </c>
      <c r="BU743" s="299" t="str">
        <f t="shared" si="14"/>
        <v/>
      </c>
      <c r="CD743"/>
      <c r="CG743" s="1361">
        <f t="shared" si="36"/>
        <v>0</v>
      </c>
      <c r="CH743" s="1363"/>
      <c r="CI743" s="1345">
        <f t="shared" si="37"/>
        <v>0</v>
      </c>
      <c r="CJ743" s="1347"/>
      <c r="CK743" s="1361">
        <f t="shared" si="15"/>
        <v>0</v>
      </c>
      <c r="CL743" s="1363"/>
      <c r="CM743" s="1345">
        <f t="shared" si="16"/>
        <v>0</v>
      </c>
      <c r="CN743" s="1347"/>
      <c r="CP743" s="1342">
        <f t="shared" si="17"/>
        <v>0</v>
      </c>
      <c r="CQ743" s="1343"/>
      <c r="CR743" s="1343"/>
      <c r="CS743" s="1343"/>
      <c r="CT743" s="1344"/>
      <c r="CU743" s="1364">
        <f t="shared" si="18"/>
        <v>0</v>
      </c>
      <c r="CV743" s="1364"/>
      <c r="CW743" s="1364"/>
      <c r="CX743" s="1364"/>
      <c r="CY743" s="1364"/>
      <c r="CZ743" s="1364">
        <f t="shared" si="19"/>
        <v>0</v>
      </c>
      <c r="DA743" s="1364"/>
      <c r="DB743" s="1364"/>
      <c r="DC743" s="1364"/>
      <c r="DD743" s="1364"/>
      <c r="DE743" s="1364">
        <f t="shared" si="20"/>
        <v>0</v>
      </c>
      <c r="DF743" s="1364"/>
      <c r="DG743" s="1364"/>
      <c r="DH743" s="1364"/>
      <c r="DI743" s="1364"/>
      <c r="DJ743" s="1364">
        <f t="shared" si="21"/>
        <v>0</v>
      </c>
      <c r="DK743" s="1364"/>
      <c r="DL743" s="1364"/>
      <c r="DM743" s="1364"/>
      <c r="DN743" s="1364"/>
      <c r="DO743" s="1364">
        <f t="shared" si="22"/>
        <v>0</v>
      </c>
      <c r="DP743" s="1364"/>
      <c r="DQ743" s="1364"/>
      <c r="DR743" s="1364"/>
      <c r="DS743" s="1364"/>
      <c r="DT743" s="6"/>
      <c r="DU743" s="1369">
        <f t="shared" si="23"/>
        <v>0</v>
      </c>
      <c r="DV743" s="1369"/>
      <c r="DW743" s="1369"/>
      <c r="DX743" s="1369"/>
      <c r="DY743" s="1369"/>
      <c r="DZ743" s="1369">
        <f t="shared" si="24"/>
        <v>0</v>
      </c>
      <c r="EA743" s="1369"/>
      <c r="EB743" s="1369"/>
      <c r="EC743" s="1369"/>
      <c r="ED743" s="1369"/>
      <c r="EE743" s="1369">
        <f t="shared" si="25"/>
        <v>0</v>
      </c>
      <c r="EF743" s="1369"/>
      <c r="EG743" s="1369"/>
      <c r="EH743" s="1369"/>
      <c r="EI743" s="1369"/>
      <c r="EJ743" s="1369">
        <f t="shared" si="26"/>
        <v>0</v>
      </c>
      <c r="EK743" s="1369"/>
      <c r="EL743" s="1369"/>
      <c r="EM743" s="1369"/>
      <c r="EN743" s="1369"/>
      <c r="EO743" s="1369">
        <f t="shared" si="27"/>
        <v>0</v>
      </c>
      <c r="EP743" s="1369"/>
      <c r="EQ743" s="1369"/>
      <c r="ER743" s="1369"/>
      <c r="ES743" s="1369"/>
      <c r="ET743" s="1369">
        <f t="shared" si="28"/>
        <v>0</v>
      </c>
      <c r="EU743" s="1369"/>
      <c r="EV743" s="1369"/>
      <c r="EW743" s="1369"/>
      <c r="EX743" s="1369"/>
      <c r="EY743"/>
      <c r="EZ743" s="1361" t="str">
        <f t="shared" si="29"/>
        <v/>
      </c>
      <c r="FA743" s="1362"/>
      <c r="FB743" s="1362"/>
      <c r="FC743" s="1362"/>
      <c r="FD743" s="1363"/>
      <c r="FE743" s="1361" t="str">
        <f t="shared" si="30"/>
        <v/>
      </c>
      <c r="FF743" s="1362"/>
      <c r="FG743" s="1362"/>
      <c r="FH743" s="1362"/>
      <c r="FI743" s="1363"/>
      <c r="FJ743" s="1361" t="str">
        <f t="shared" si="31"/>
        <v/>
      </c>
      <c r="FK743" s="1362"/>
      <c r="FL743" s="1362"/>
      <c r="FM743" s="1362"/>
      <c r="FN743" s="1363"/>
      <c r="FO743" s="1361" t="str">
        <f t="shared" si="32"/>
        <v/>
      </c>
      <c r="FP743" s="1362"/>
      <c r="FQ743" s="1362"/>
      <c r="FR743" s="1362"/>
      <c r="FS743" s="1363"/>
      <c r="FT743" s="1361" t="str">
        <f t="shared" si="33"/>
        <v/>
      </c>
      <c r="FU743" s="1362"/>
      <c r="FV743" s="1362"/>
      <c r="FW743" s="1362"/>
      <c r="FX743" s="1363"/>
      <c r="FY743" s="1361" t="str">
        <f t="shared" si="34"/>
        <v/>
      </c>
      <c r="FZ743" s="1362"/>
      <c r="GA743" s="1362"/>
      <c r="GB743" s="1362"/>
      <c r="GC743" s="1363"/>
    </row>
    <row r="744" spans="1:185" ht="13" customHeight="1">
      <c r="B744" s="1365"/>
      <c r="C744" s="1366"/>
      <c r="D744" s="1366"/>
      <c r="E744" s="1366"/>
      <c r="F744" s="1367"/>
      <c r="G744" s="1597"/>
      <c r="H744" s="1598"/>
      <c r="I744" s="1598"/>
      <c r="J744" s="1599"/>
      <c r="K744" s="1602"/>
      <c r="L744" s="1603"/>
      <c r="M744" s="1603"/>
      <c r="N744" s="1604"/>
      <c r="O744" s="1487"/>
      <c r="P744" s="1488"/>
      <c r="Q744" s="1488"/>
      <c r="R744" s="1488"/>
      <c r="S744" s="1489"/>
      <c r="T744" s="1487"/>
      <c r="U744" s="1488"/>
      <c r="V744" s="1488"/>
      <c r="W744" s="1489"/>
      <c r="X744" s="1402">
        <f t="shared" si="38"/>
        <v>0</v>
      </c>
      <c r="Y744" s="1403"/>
      <c r="Z744" s="1403"/>
      <c r="AA744" s="1403"/>
      <c r="AB744" s="1404"/>
      <c r="AC744" s="1502"/>
      <c r="AD744" s="1503"/>
      <c r="AE744" s="1503"/>
      <c r="AF744" s="1503"/>
      <c r="AG744" s="1504"/>
      <c r="AH744" s="1484" t="str">
        <f t="shared" si="35"/>
        <v/>
      </c>
      <c r="AI744" s="1485"/>
      <c r="AJ744" s="1486"/>
      <c r="AK744" s="1365" t="s">
        <v>590</v>
      </c>
      <c r="AL744" s="1366"/>
      <c r="AM744" s="1366"/>
      <c r="AN744" s="1366"/>
      <c r="AO744" s="1367"/>
      <c r="AP744" s="3"/>
      <c r="AQ744" s="3"/>
      <c r="AR744" s="3"/>
      <c r="AS744" s="3"/>
      <c r="AY744" s="1087"/>
      <c r="AZ744" s="118" t="str">
        <f>IF($G744=0,"N/A",VLOOKUP($T$189,TC_Rent,(MATCH($B744,bedrooms,FALSE)),FALSE))</f>
        <v>N/A</v>
      </c>
      <c r="BA744" s="3"/>
      <c r="BB744" s="3"/>
      <c r="BC744" s="3"/>
      <c r="BD744" s="3"/>
      <c r="BE744" s="3"/>
      <c r="BF744" s="295">
        <f t="shared" si="9"/>
        <v>0</v>
      </c>
      <c r="BG744" s="298">
        <f t="shared" si="10"/>
        <v>0</v>
      </c>
      <c r="BH744" s="299" t="str">
        <f t="shared" si="11"/>
        <v/>
      </c>
      <c r="BI744" s="3"/>
      <c r="BJ744" s="3"/>
      <c r="BK744" s="3"/>
      <c r="BL744" s="3"/>
      <c r="BM744" s="3"/>
      <c r="BN744" s="3"/>
      <c r="BS744" s="295">
        <f t="shared" si="12"/>
        <v>0</v>
      </c>
      <c r="BT744" s="298">
        <f t="shared" si="13"/>
        <v>0</v>
      </c>
      <c r="BU744" s="299" t="str">
        <f t="shared" si="14"/>
        <v/>
      </c>
      <c r="BV744" s="3"/>
      <c r="BW744" s="3"/>
      <c r="BX744" s="3"/>
      <c r="BY744" s="3"/>
      <c r="BZ744" s="3"/>
      <c r="CA744" s="3"/>
      <c r="CB744" s="3"/>
      <c r="CC744" s="3"/>
      <c r="CE744" s="3"/>
      <c r="CF744" s="3"/>
      <c r="CG744" s="1361">
        <f t="shared" si="36"/>
        <v>0</v>
      </c>
      <c r="CH744" s="1363"/>
      <c r="CI744" s="1345">
        <f t="shared" si="37"/>
        <v>0</v>
      </c>
      <c r="CJ744" s="1347"/>
      <c r="CK744" s="1361">
        <f t="shared" si="15"/>
        <v>0</v>
      </c>
      <c r="CL744" s="1363"/>
      <c r="CM744" s="1345">
        <f t="shared" si="16"/>
        <v>0</v>
      </c>
      <c r="CN744" s="1347"/>
      <c r="CO744" s="3"/>
      <c r="CP744" s="1342">
        <f t="shared" si="17"/>
        <v>0</v>
      </c>
      <c r="CQ744" s="1343"/>
      <c r="CR744" s="1343"/>
      <c r="CS744" s="1343"/>
      <c r="CT744" s="1344"/>
      <c r="CU744" s="1364">
        <f t="shared" si="18"/>
        <v>0</v>
      </c>
      <c r="CV744" s="1364"/>
      <c r="CW744" s="1364"/>
      <c r="CX744" s="1364"/>
      <c r="CY744" s="1364"/>
      <c r="CZ744" s="1364">
        <f t="shared" si="19"/>
        <v>0</v>
      </c>
      <c r="DA744" s="1364"/>
      <c r="DB744" s="1364"/>
      <c r="DC744" s="1364"/>
      <c r="DD744" s="1364"/>
      <c r="DE744" s="1364">
        <f t="shared" si="20"/>
        <v>0</v>
      </c>
      <c r="DF744" s="1364"/>
      <c r="DG744" s="1364"/>
      <c r="DH744" s="1364"/>
      <c r="DI744" s="1364"/>
      <c r="DJ744" s="1364">
        <f t="shared" si="21"/>
        <v>0</v>
      </c>
      <c r="DK744" s="1364"/>
      <c r="DL744" s="1364"/>
      <c r="DM744" s="1364"/>
      <c r="DN744" s="1364"/>
      <c r="DO744" s="1364">
        <f t="shared" si="22"/>
        <v>0</v>
      </c>
      <c r="DP744" s="1364"/>
      <c r="DQ744" s="1364"/>
      <c r="DR744" s="1364"/>
      <c r="DS744" s="1364"/>
      <c r="DT744" s="6"/>
      <c r="DU744" s="1369">
        <f t="shared" si="23"/>
        <v>0</v>
      </c>
      <c r="DV744" s="1369"/>
      <c r="DW744" s="1369"/>
      <c r="DX744" s="1369"/>
      <c r="DY744" s="1369"/>
      <c r="DZ744" s="1369">
        <f t="shared" si="24"/>
        <v>0</v>
      </c>
      <c r="EA744" s="1369"/>
      <c r="EB744" s="1369"/>
      <c r="EC744" s="1369"/>
      <c r="ED744" s="1369"/>
      <c r="EE744" s="1369">
        <f t="shared" si="25"/>
        <v>0</v>
      </c>
      <c r="EF744" s="1369"/>
      <c r="EG744" s="1369"/>
      <c r="EH744" s="1369"/>
      <c r="EI744" s="1369"/>
      <c r="EJ744" s="1369">
        <f t="shared" si="26"/>
        <v>0</v>
      </c>
      <c r="EK744" s="1369"/>
      <c r="EL744" s="1369"/>
      <c r="EM744" s="1369"/>
      <c r="EN744" s="1369"/>
      <c r="EO744" s="1369">
        <f t="shared" si="27"/>
        <v>0</v>
      </c>
      <c r="EP744" s="1369"/>
      <c r="EQ744" s="1369"/>
      <c r="ER744" s="1369"/>
      <c r="ES744" s="1369"/>
      <c r="ET744" s="1369">
        <f t="shared" si="28"/>
        <v>0</v>
      </c>
      <c r="EU744" s="1369"/>
      <c r="EV744" s="1369"/>
      <c r="EW744" s="1369"/>
      <c r="EX744" s="1369"/>
      <c r="EZ744" s="1361" t="str">
        <f t="shared" si="29"/>
        <v/>
      </c>
      <c r="FA744" s="1362"/>
      <c r="FB744" s="1362"/>
      <c r="FC744" s="1362"/>
      <c r="FD744" s="1363"/>
      <c r="FE744" s="1361" t="str">
        <f t="shared" si="30"/>
        <v/>
      </c>
      <c r="FF744" s="1362"/>
      <c r="FG744" s="1362"/>
      <c r="FH744" s="1362"/>
      <c r="FI744" s="1363"/>
      <c r="FJ744" s="1361" t="str">
        <f t="shared" si="31"/>
        <v/>
      </c>
      <c r="FK744" s="1362"/>
      <c r="FL744" s="1362"/>
      <c r="FM744" s="1362"/>
      <c r="FN744" s="1363"/>
      <c r="FO744" s="1361" t="str">
        <f t="shared" si="32"/>
        <v/>
      </c>
      <c r="FP744" s="1362"/>
      <c r="FQ744" s="1362"/>
      <c r="FR744" s="1362"/>
      <c r="FS744" s="1363"/>
      <c r="FT744" s="1361" t="str">
        <f t="shared" si="33"/>
        <v/>
      </c>
      <c r="FU744" s="1362"/>
      <c r="FV744" s="1362"/>
      <c r="FW744" s="1362"/>
      <c r="FX744" s="1363"/>
      <c r="FY744" s="1361" t="str">
        <f t="shared" si="34"/>
        <v/>
      </c>
      <c r="FZ744" s="1362"/>
      <c r="GA744" s="1362"/>
      <c r="GB744" s="1362"/>
      <c r="GC744" s="1363"/>
    </row>
    <row r="745" spans="1:185" ht="13" customHeight="1">
      <c r="B745" s="1365"/>
      <c r="C745" s="1366"/>
      <c r="D745" s="1366"/>
      <c r="E745" s="1366"/>
      <c r="F745" s="1367"/>
      <c r="G745" s="1597"/>
      <c r="H745" s="1598"/>
      <c r="I745" s="1598"/>
      <c r="J745" s="1599"/>
      <c r="K745" s="1602"/>
      <c r="L745" s="1603"/>
      <c r="M745" s="1603"/>
      <c r="N745" s="1604"/>
      <c r="O745" s="1487"/>
      <c r="P745" s="1488"/>
      <c r="Q745" s="1488"/>
      <c r="R745" s="1488"/>
      <c r="S745" s="1489"/>
      <c r="T745" s="1487"/>
      <c r="U745" s="1488"/>
      <c r="V745" s="1488"/>
      <c r="W745" s="1489"/>
      <c r="X745" s="1402">
        <f t="shared" si="38"/>
        <v>0</v>
      </c>
      <c r="Y745" s="1403"/>
      <c r="Z745" s="1403"/>
      <c r="AA745" s="1403"/>
      <c r="AB745" s="1404"/>
      <c r="AC745" s="1502"/>
      <c r="AD745" s="1503"/>
      <c r="AE745" s="1503"/>
      <c r="AF745" s="1503"/>
      <c r="AG745" s="1504"/>
      <c r="AH745" s="1484" t="str">
        <f t="shared" si="35"/>
        <v/>
      </c>
      <c r="AI745" s="1485"/>
      <c r="AJ745" s="1486"/>
      <c r="AK745" s="1365" t="s">
        <v>590</v>
      </c>
      <c r="AL745" s="1366"/>
      <c r="AM745" s="1366"/>
      <c r="AN745" s="1366"/>
      <c r="AO745" s="1367"/>
      <c r="AP745" s="3"/>
      <c r="AQ745" s="3"/>
      <c r="AR745" s="3"/>
      <c r="AS745" s="3"/>
      <c r="AY745" s="1087"/>
      <c r="AZ745" s="118" t="str">
        <f>IF($G745=0,"N/A",VLOOKUP($T$189,TC_Rent,(MATCH($B745,bedrooms,FALSE)),FALSE))</f>
        <v>N/A</v>
      </c>
      <c r="BA745" s="3"/>
      <c r="BB745" s="3"/>
      <c r="BC745" s="3"/>
      <c r="BD745" s="3"/>
      <c r="BE745" s="3"/>
      <c r="BF745" s="295">
        <f t="shared" si="9"/>
        <v>0</v>
      </c>
      <c r="BG745" s="298">
        <f t="shared" si="10"/>
        <v>0</v>
      </c>
      <c r="BH745" s="299" t="str">
        <f t="shared" si="11"/>
        <v/>
      </c>
      <c r="BI745" s="3"/>
      <c r="BJ745" s="3"/>
      <c r="BK745" s="3"/>
      <c r="BL745" s="3"/>
      <c r="BM745" s="3"/>
      <c r="BN745" s="3"/>
      <c r="BS745" s="295">
        <f t="shared" si="12"/>
        <v>0</v>
      </c>
      <c r="BT745" s="298">
        <f t="shared" si="13"/>
        <v>0</v>
      </c>
      <c r="BU745" s="299" t="str">
        <f t="shared" si="14"/>
        <v/>
      </c>
      <c r="BV745" s="3"/>
      <c r="BW745" s="3"/>
      <c r="BX745" s="3"/>
      <c r="BY745" s="3"/>
      <c r="BZ745" s="3"/>
      <c r="CA745" s="3"/>
      <c r="CB745" s="3"/>
      <c r="CC745" s="3"/>
      <c r="CE745" s="3"/>
      <c r="CF745" s="3"/>
      <c r="CG745" s="1361">
        <f t="shared" si="36"/>
        <v>0</v>
      </c>
      <c r="CH745" s="1363"/>
      <c r="CI745" s="1345">
        <f t="shared" si="37"/>
        <v>0</v>
      </c>
      <c r="CJ745" s="1347"/>
      <c r="CK745" s="1361">
        <f t="shared" si="15"/>
        <v>0</v>
      </c>
      <c r="CL745" s="1363"/>
      <c r="CM745" s="1345">
        <f t="shared" si="16"/>
        <v>0</v>
      </c>
      <c r="CN745" s="1347"/>
      <c r="CO745" s="3"/>
      <c r="CP745" s="1342">
        <f t="shared" si="17"/>
        <v>0</v>
      </c>
      <c r="CQ745" s="1343"/>
      <c r="CR745" s="1343"/>
      <c r="CS745" s="1343"/>
      <c r="CT745" s="1344"/>
      <c r="CU745" s="1364">
        <f t="shared" si="18"/>
        <v>0</v>
      </c>
      <c r="CV745" s="1364"/>
      <c r="CW745" s="1364"/>
      <c r="CX745" s="1364"/>
      <c r="CY745" s="1364"/>
      <c r="CZ745" s="1364">
        <f t="shared" si="19"/>
        <v>0</v>
      </c>
      <c r="DA745" s="1364"/>
      <c r="DB745" s="1364"/>
      <c r="DC745" s="1364"/>
      <c r="DD745" s="1364"/>
      <c r="DE745" s="1364">
        <f t="shared" si="20"/>
        <v>0</v>
      </c>
      <c r="DF745" s="1364"/>
      <c r="DG745" s="1364"/>
      <c r="DH745" s="1364"/>
      <c r="DI745" s="1364"/>
      <c r="DJ745" s="1364">
        <f t="shared" si="21"/>
        <v>0</v>
      </c>
      <c r="DK745" s="1364"/>
      <c r="DL745" s="1364"/>
      <c r="DM745" s="1364"/>
      <c r="DN745" s="1364"/>
      <c r="DO745" s="1364">
        <f t="shared" si="22"/>
        <v>0</v>
      </c>
      <c r="DP745" s="1364"/>
      <c r="DQ745" s="1364"/>
      <c r="DR745" s="1364"/>
      <c r="DS745" s="1364"/>
      <c r="DT745" s="6"/>
      <c r="DU745" s="1369">
        <f t="shared" si="23"/>
        <v>0</v>
      </c>
      <c r="DV745" s="1369"/>
      <c r="DW745" s="1369"/>
      <c r="DX745" s="1369"/>
      <c r="DY745" s="1369"/>
      <c r="DZ745" s="1369">
        <f t="shared" si="24"/>
        <v>0</v>
      </c>
      <c r="EA745" s="1369"/>
      <c r="EB745" s="1369"/>
      <c r="EC745" s="1369"/>
      <c r="ED745" s="1369"/>
      <c r="EE745" s="1369">
        <f t="shared" si="25"/>
        <v>0</v>
      </c>
      <c r="EF745" s="1369"/>
      <c r="EG745" s="1369"/>
      <c r="EH745" s="1369"/>
      <c r="EI745" s="1369"/>
      <c r="EJ745" s="1369">
        <f t="shared" si="26"/>
        <v>0</v>
      </c>
      <c r="EK745" s="1369"/>
      <c r="EL745" s="1369"/>
      <c r="EM745" s="1369"/>
      <c r="EN745" s="1369"/>
      <c r="EO745" s="1369">
        <f t="shared" si="27"/>
        <v>0</v>
      </c>
      <c r="EP745" s="1369"/>
      <c r="EQ745" s="1369"/>
      <c r="ER745" s="1369"/>
      <c r="ES745" s="1369"/>
      <c r="ET745" s="1369">
        <f t="shared" si="28"/>
        <v>0</v>
      </c>
      <c r="EU745" s="1369"/>
      <c r="EV745" s="1369"/>
      <c r="EW745" s="1369"/>
      <c r="EX745" s="1369"/>
      <c r="EZ745" s="1361" t="str">
        <f t="shared" si="29"/>
        <v/>
      </c>
      <c r="FA745" s="1362"/>
      <c r="FB745" s="1362"/>
      <c r="FC745" s="1362"/>
      <c r="FD745" s="1363"/>
      <c r="FE745" s="1361" t="str">
        <f t="shared" si="30"/>
        <v/>
      </c>
      <c r="FF745" s="1362"/>
      <c r="FG745" s="1362"/>
      <c r="FH745" s="1362"/>
      <c r="FI745" s="1363"/>
      <c r="FJ745" s="1361" t="str">
        <f t="shared" si="31"/>
        <v/>
      </c>
      <c r="FK745" s="1362"/>
      <c r="FL745" s="1362"/>
      <c r="FM745" s="1362"/>
      <c r="FN745" s="1363"/>
      <c r="FO745" s="1361" t="str">
        <f t="shared" si="32"/>
        <v/>
      </c>
      <c r="FP745" s="1362"/>
      <c r="FQ745" s="1362"/>
      <c r="FR745" s="1362"/>
      <c r="FS745" s="1363"/>
      <c r="FT745" s="1361" t="str">
        <f t="shared" si="33"/>
        <v/>
      </c>
      <c r="FU745" s="1362"/>
      <c r="FV745" s="1362"/>
      <c r="FW745" s="1362"/>
      <c r="FX745" s="1363"/>
      <c r="FY745" s="1361" t="str">
        <f t="shared" si="34"/>
        <v/>
      </c>
      <c r="FZ745" s="1362"/>
      <c r="GA745" s="1362"/>
      <c r="GB745" s="1362"/>
      <c r="GC745" s="1363"/>
    </row>
    <row r="746" spans="1:185" ht="13" customHeight="1">
      <c r="B746" s="1365"/>
      <c r="C746" s="1366"/>
      <c r="D746" s="1366"/>
      <c r="E746" s="1366"/>
      <c r="F746" s="1367"/>
      <c r="G746" s="1597"/>
      <c r="H746" s="1598"/>
      <c r="I746" s="1598"/>
      <c r="J746" s="1599"/>
      <c r="K746" s="1602"/>
      <c r="L746" s="1603"/>
      <c r="M746" s="1603"/>
      <c r="N746" s="1604"/>
      <c r="O746" s="1487"/>
      <c r="P746" s="1488"/>
      <c r="Q746" s="1488"/>
      <c r="R746" s="1488"/>
      <c r="S746" s="1489"/>
      <c r="T746" s="1487"/>
      <c r="U746" s="1488"/>
      <c r="V746" s="1488"/>
      <c r="W746" s="1489"/>
      <c r="X746" s="1402">
        <f t="shared" si="38"/>
        <v>0</v>
      </c>
      <c r="Y746" s="1403"/>
      <c r="Z746" s="1403"/>
      <c r="AA746" s="1403"/>
      <c r="AB746" s="1404"/>
      <c r="AC746" s="1502"/>
      <c r="AD746" s="1503"/>
      <c r="AE746" s="1503"/>
      <c r="AF746" s="1503"/>
      <c r="AG746" s="1504"/>
      <c r="AH746" s="1484" t="str">
        <f t="shared" si="35"/>
        <v/>
      </c>
      <c r="AI746" s="1485"/>
      <c r="AJ746" s="1486"/>
      <c r="AK746" s="1365" t="s">
        <v>590</v>
      </c>
      <c r="AL746" s="1366"/>
      <c r="AM746" s="1366"/>
      <c r="AN746" s="1366"/>
      <c r="AO746" s="1367"/>
      <c r="AP746" s="3"/>
      <c r="AQ746" s="3"/>
      <c r="AR746" s="3"/>
      <c r="AS746" s="3"/>
      <c r="AY746" s="1087"/>
      <c r="AZ746" s="118" t="str">
        <f>IF($G746=0,"N/A",VLOOKUP($T$189,TC_Rent,(MATCH($B746,bedrooms,FALSE)),FALSE))</f>
        <v>N/A</v>
      </c>
      <c r="BA746" s="34"/>
      <c r="BB746" s="34"/>
      <c r="BC746" s="34"/>
      <c r="BD746" s="34"/>
      <c r="BE746" s="34"/>
      <c r="BF746" s="295">
        <f t="shared" si="9"/>
        <v>0</v>
      </c>
      <c r="BG746" s="298">
        <f t="shared" si="10"/>
        <v>0</v>
      </c>
      <c r="BH746" s="299" t="str">
        <f t="shared" si="11"/>
        <v/>
      </c>
      <c r="BI746" s="34"/>
      <c r="BJ746" s="34"/>
      <c r="BK746" s="34"/>
      <c r="BL746" s="34"/>
      <c r="BM746" s="34"/>
      <c r="BN746" s="34"/>
      <c r="BS746" s="295">
        <f t="shared" si="12"/>
        <v>0</v>
      </c>
      <c r="BT746" s="298">
        <f t="shared" si="13"/>
        <v>0</v>
      </c>
      <c r="BU746" s="299" t="str">
        <f t="shared" si="14"/>
        <v/>
      </c>
      <c r="BV746" s="3"/>
      <c r="BW746" s="3"/>
      <c r="BX746" s="3"/>
      <c r="BY746" s="3"/>
      <c r="BZ746" s="3"/>
      <c r="CA746" s="3"/>
      <c r="CB746" s="3"/>
      <c r="CC746" s="3"/>
      <c r="CE746" s="3"/>
      <c r="CF746" s="3"/>
      <c r="CG746" s="1361">
        <f t="shared" si="36"/>
        <v>0</v>
      </c>
      <c r="CH746" s="1363"/>
      <c r="CI746" s="1345">
        <f t="shared" si="37"/>
        <v>0</v>
      </c>
      <c r="CJ746" s="1347"/>
      <c r="CK746" s="1361">
        <f t="shared" si="15"/>
        <v>0</v>
      </c>
      <c r="CL746" s="1363"/>
      <c r="CM746" s="1345">
        <f t="shared" si="16"/>
        <v>0</v>
      </c>
      <c r="CN746" s="1347"/>
      <c r="CO746" s="3"/>
      <c r="CP746" s="1342">
        <f t="shared" si="17"/>
        <v>0</v>
      </c>
      <c r="CQ746" s="1343"/>
      <c r="CR746" s="1343"/>
      <c r="CS746" s="1343"/>
      <c r="CT746" s="1344"/>
      <c r="CU746" s="1364">
        <f t="shared" si="18"/>
        <v>0</v>
      </c>
      <c r="CV746" s="1364"/>
      <c r="CW746" s="1364"/>
      <c r="CX746" s="1364"/>
      <c r="CY746" s="1364"/>
      <c r="CZ746" s="1364">
        <f t="shared" si="19"/>
        <v>0</v>
      </c>
      <c r="DA746" s="1364"/>
      <c r="DB746" s="1364"/>
      <c r="DC746" s="1364"/>
      <c r="DD746" s="1364"/>
      <c r="DE746" s="1364">
        <f t="shared" si="20"/>
        <v>0</v>
      </c>
      <c r="DF746" s="1364"/>
      <c r="DG746" s="1364"/>
      <c r="DH746" s="1364"/>
      <c r="DI746" s="1364"/>
      <c r="DJ746" s="1364">
        <f t="shared" si="21"/>
        <v>0</v>
      </c>
      <c r="DK746" s="1364"/>
      <c r="DL746" s="1364"/>
      <c r="DM746" s="1364"/>
      <c r="DN746" s="1364"/>
      <c r="DO746" s="1364">
        <f t="shared" si="22"/>
        <v>0</v>
      </c>
      <c r="DP746" s="1364"/>
      <c r="DQ746" s="1364"/>
      <c r="DR746" s="1364"/>
      <c r="DS746" s="1364"/>
      <c r="DT746" s="6"/>
      <c r="DU746" s="1369">
        <f t="shared" si="23"/>
        <v>0</v>
      </c>
      <c r="DV746" s="1369"/>
      <c r="DW746" s="1369"/>
      <c r="DX746" s="1369"/>
      <c r="DY746" s="1369"/>
      <c r="DZ746" s="1369">
        <f t="shared" si="24"/>
        <v>0</v>
      </c>
      <c r="EA746" s="1369"/>
      <c r="EB746" s="1369"/>
      <c r="EC746" s="1369"/>
      <c r="ED746" s="1369"/>
      <c r="EE746" s="1369">
        <f t="shared" si="25"/>
        <v>0</v>
      </c>
      <c r="EF746" s="1369"/>
      <c r="EG746" s="1369"/>
      <c r="EH746" s="1369"/>
      <c r="EI746" s="1369"/>
      <c r="EJ746" s="1369">
        <f t="shared" si="26"/>
        <v>0</v>
      </c>
      <c r="EK746" s="1369"/>
      <c r="EL746" s="1369"/>
      <c r="EM746" s="1369"/>
      <c r="EN746" s="1369"/>
      <c r="EO746" s="1369">
        <f t="shared" si="27"/>
        <v>0</v>
      </c>
      <c r="EP746" s="1369"/>
      <c r="EQ746" s="1369"/>
      <c r="ER746" s="1369"/>
      <c r="ES746" s="1369"/>
      <c r="ET746" s="1369">
        <f t="shared" si="28"/>
        <v>0</v>
      </c>
      <c r="EU746" s="1369"/>
      <c r="EV746" s="1369"/>
      <c r="EW746" s="1369"/>
      <c r="EX746" s="1369"/>
      <c r="EZ746" s="1361" t="str">
        <f t="shared" si="29"/>
        <v/>
      </c>
      <c r="FA746" s="1362"/>
      <c r="FB746" s="1362"/>
      <c r="FC746" s="1362"/>
      <c r="FD746" s="1363"/>
      <c r="FE746" s="1361" t="str">
        <f t="shared" si="30"/>
        <v/>
      </c>
      <c r="FF746" s="1362"/>
      <c r="FG746" s="1362"/>
      <c r="FH746" s="1362"/>
      <c r="FI746" s="1363"/>
      <c r="FJ746" s="1361" t="str">
        <f t="shared" si="31"/>
        <v/>
      </c>
      <c r="FK746" s="1362"/>
      <c r="FL746" s="1362"/>
      <c r="FM746" s="1362"/>
      <c r="FN746" s="1363"/>
      <c r="FO746" s="1361" t="str">
        <f t="shared" si="32"/>
        <v/>
      </c>
      <c r="FP746" s="1362"/>
      <c r="FQ746" s="1362"/>
      <c r="FR746" s="1362"/>
      <c r="FS746" s="1363"/>
      <c r="FT746" s="1361" t="str">
        <f t="shared" si="33"/>
        <v/>
      </c>
      <c r="FU746" s="1362"/>
      <c r="FV746" s="1362"/>
      <c r="FW746" s="1362"/>
      <c r="FX746" s="1363"/>
      <c r="FY746" s="1361" t="str">
        <f t="shared" si="34"/>
        <v/>
      </c>
      <c r="FZ746" s="1362"/>
      <c r="GA746" s="1362"/>
      <c r="GB746" s="1362"/>
      <c r="GC746" s="1363"/>
    </row>
    <row r="747" spans="1:185" ht="13" customHeight="1">
      <c r="B747" s="1365"/>
      <c r="C747" s="1366"/>
      <c r="D747" s="1366"/>
      <c r="E747" s="1366"/>
      <c r="F747" s="1367"/>
      <c r="G747" s="1597"/>
      <c r="H747" s="1598"/>
      <c r="I747" s="1598"/>
      <c r="J747" s="1599"/>
      <c r="K747" s="1602"/>
      <c r="L747" s="1603"/>
      <c r="M747" s="1603"/>
      <c r="N747" s="1604"/>
      <c r="O747" s="1487"/>
      <c r="P747" s="1488"/>
      <c r="Q747" s="1488"/>
      <c r="R747" s="1488"/>
      <c r="S747" s="1489"/>
      <c r="T747" s="1487"/>
      <c r="U747" s="1488"/>
      <c r="V747" s="1488"/>
      <c r="W747" s="1489"/>
      <c r="X747" s="1402">
        <f t="shared" si="38"/>
        <v>0</v>
      </c>
      <c r="Y747" s="1403"/>
      <c r="Z747" s="1403"/>
      <c r="AA747" s="1403"/>
      <c r="AB747" s="1404"/>
      <c r="AC747" s="1502"/>
      <c r="AD747" s="1503"/>
      <c r="AE747" s="1503"/>
      <c r="AF747" s="1503"/>
      <c r="AG747" s="1504"/>
      <c r="AH747" s="1484" t="str">
        <f t="shared" si="35"/>
        <v/>
      </c>
      <c r="AI747" s="1485"/>
      <c r="AJ747" s="1486"/>
      <c r="AK747" s="1365" t="s">
        <v>590</v>
      </c>
      <c r="AL747" s="1366"/>
      <c r="AM747" s="1366"/>
      <c r="AN747" s="1366"/>
      <c r="AO747" s="1367"/>
      <c r="AP747" s="3"/>
      <c r="AQ747" s="3"/>
      <c r="AR747" s="3"/>
      <c r="AS747" s="3"/>
      <c r="AY747" s="1087"/>
      <c r="AZ747" s="118" t="str">
        <f>IF($G747=0,"N/A",VLOOKUP($T$189,TC_Rent,(MATCH($B747,bedrooms,FALSE)),FALSE))</f>
        <v>N/A</v>
      </c>
      <c r="BA747" s="34"/>
      <c r="BB747" s="34"/>
      <c r="BC747" s="34"/>
      <c r="BD747" s="34"/>
      <c r="BE747" s="34"/>
      <c r="BF747" s="295">
        <f t="shared" si="9"/>
        <v>0</v>
      </c>
      <c r="BG747" s="298">
        <f t="shared" si="10"/>
        <v>0</v>
      </c>
      <c r="BH747" s="299" t="str">
        <f t="shared" si="11"/>
        <v/>
      </c>
      <c r="BI747" s="34"/>
      <c r="BJ747" s="34"/>
      <c r="BK747" s="34"/>
      <c r="BL747" s="34"/>
      <c r="BM747" s="34"/>
      <c r="BN747" s="34"/>
      <c r="BS747" s="295">
        <f t="shared" si="12"/>
        <v>0</v>
      </c>
      <c r="BT747" s="298">
        <f t="shared" si="13"/>
        <v>0</v>
      </c>
      <c r="BU747" s="299" t="str">
        <f t="shared" si="14"/>
        <v/>
      </c>
      <c r="BV747" s="3"/>
      <c r="BW747" s="3"/>
      <c r="BX747" s="3"/>
      <c r="BY747" s="3"/>
      <c r="BZ747" s="3"/>
      <c r="CA747" s="3"/>
      <c r="CB747" s="3"/>
      <c r="CC747" s="3"/>
      <c r="CE747" s="3"/>
      <c r="CF747" s="3"/>
      <c r="CG747" s="1361">
        <f t="shared" si="36"/>
        <v>0</v>
      </c>
      <c r="CH747" s="1363"/>
      <c r="CI747" s="1345">
        <f t="shared" si="37"/>
        <v>0</v>
      </c>
      <c r="CJ747" s="1347"/>
      <c r="CK747" s="1361">
        <f t="shared" si="15"/>
        <v>0</v>
      </c>
      <c r="CL747" s="1363"/>
      <c r="CM747" s="1345">
        <f t="shared" si="16"/>
        <v>0</v>
      </c>
      <c r="CN747" s="1347"/>
      <c r="CO747" s="3"/>
      <c r="CP747" s="1342">
        <f t="shared" si="17"/>
        <v>0</v>
      </c>
      <c r="CQ747" s="1343"/>
      <c r="CR747" s="1343"/>
      <c r="CS747" s="1343"/>
      <c r="CT747" s="1344"/>
      <c r="CU747" s="1364">
        <f t="shared" si="18"/>
        <v>0</v>
      </c>
      <c r="CV747" s="1364"/>
      <c r="CW747" s="1364"/>
      <c r="CX747" s="1364"/>
      <c r="CY747" s="1364"/>
      <c r="CZ747" s="1364">
        <f t="shared" si="19"/>
        <v>0</v>
      </c>
      <c r="DA747" s="1364"/>
      <c r="DB747" s="1364"/>
      <c r="DC747" s="1364"/>
      <c r="DD747" s="1364"/>
      <c r="DE747" s="1364">
        <f t="shared" si="20"/>
        <v>0</v>
      </c>
      <c r="DF747" s="1364"/>
      <c r="DG747" s="1364"/>
      <c r="DH747" s="1364"/>
      <c r="DI747" s="1364"/>
      <c r="DJ747" s="1364">
        <f t="shared" si="21"/>
        <v>0</v>
      </c>
      <c r="DK747" s="1364"/>
      <c r="DL747" s="1364"/>
      <c r="DM747" s="1364"/>
      <c r="DN747" s="1364"/>
      <c r="DO747" s="1364">
        <f t="shared" si="22"/>
        <v>0</v>
      </c>
      <c r="DP747" s="1364"/>
      <c r="DQ747" s="1364"/>
      <c r="DR747" s="1364"/>
      <c r="DS747" s="1364"/>
      <c r="DT747" s="6"/>
      <c r="DU747" s="1369">
        <f t="shared" si="23"/>
        <v>0</v>
      </c>
      <c r="DV747" s="1369"/>
      <c r="DW747" s="1369"/>
      <c r="DX747" s="1369"/>
      <c r="DY747" s="1369"/>
      <c r="DZ747" s="1369">
        <f t="shared" si="24"/>
        <v>0</v>
      </c>
      <c r="EA747" s="1369"/>
      <c r="EB747" s="1369"/>
      <c r="EC747" s="1369"/>
      <c r="ED747" s="1369"/>
      <c r="EE747" s="1369">
        <f t="shared" si="25"/>
        <v>0</v>
      </c>
      <c r="EF747" s="1369"/>
      <c r="EG747" s="1369"/>
      <c r="EH747" s="1369"/>
      <c r="EI747" s="1369"/>
      <c r="EJ747" s="1369">
        <f t="shared" si="26"/>
        <v>0</v>
      </c>
      <c r="EK747" s="1369"/>
      <c r="EL747" s="1369"/>
      <c r="EM747" s="1369"/>
      <c r="EN747" s="1369"/>
      <c r="EO747" s="1369">
        <f t="shared" si="27"/>
        <v>0</v>
      </c>
      <c r="EP747" s="1369"/>
      <c r="EQ747" s="1369"/>
      <c r="ER747" s="1369"/>
      <c r="ES747" s="1369"/>
      <c r="ET747" s="1369">
        <f t="shared" si="28"/>
        <v>0</v>
      </c>
      <c r="EU747" s="1369"/>
      <c r="EV747" s="1369"/>
      <c r="EW747" s="1369"/>
      <c r="EX747" s="1369"/>
      <c r="EZ747" s="1361" t="str">
        <f t="shared" si="29"/>
        <v/>
      </c>
      <c r="FA747" s="1362"/>
      <c r="FB747" s="1362"/>
      <c r="FC747" s="1362"/>
      <c r="FD747" s="1363"/>
      <c r="FE747" s="1361" t="str">
        <f t="shared" si="30"/>
        <v/>
      </c>
      <c r="FF747" s="1362"/>
      <c r="FG747" s="1362"/>
      <c r="FH747" s="1362"/>
      <c r="FI747" s="1363"/>
      <c r="FJ747" s="1361" t="str">
        <f t="shared" si="31"/>
        <v/>
      </c>
      <c r="FK747" s="1362"/>
      <c r="FL747" s="1362"/>
      <c r="FM747" s="1362"/>
      <c r="FN747" s="1363"/>
      <c r="FO747" s="1361" t="str">
        <f t="shared" si="32"/>
        <v/>
      </c>
      <c r="FP747" s="1362"/>
      <c r="FQ747" s="1362"/>
      <c r="FR747" s="1362"/>
      <c r="FS747" s="1363"/>
      <c r="FT747" s="1361" t="str">
        <f t="shared" si="33"/>
        <v/>
      </c>
      <c r="FU747" s="1362"/>
      <c r="FV747" s="1362"/>
      <c r="FW747" s="1362"/>
      <c r="FX747" s="1363"/>
      <c r="FY747" s="1361" t="str">
        <f t="shared" si="34"/>
        <v/>
      </c>
      <c r="FZ747" s="1362"/>
      <c r="GA747" s="1362"/>
      <c r="GB747" s="1362"/>
      <c r="GC747" s="1363"/>
    </row>
    <row r="748" spans="1:185" s="3" customFormat="1" ht="13" customHeight="1">
      <c r="A748"/>
      <c r="B748" s="1365"/>
      <c r="C748" s="1366"/>
      <c r="D748" s="1366"/>
      <c r="E748" s="1366"/>
      <c r="F748" s="1367"/>
      <c r="G748" s="1597"/>
      <c r="H748" s="1598"/>
      <c r="I748" s="1598"/>
      <c r="J748" s="1599"/>
      <c r="K748" s="1602"/>
      <c r="L748" s="1603"/>
      <c r="M748" s="1603"/>
      <c r="N748" s="1604"/>
      <c r="O748" s="1487"/>
      <c r="P748" s="1488"/>
      <c r="Q748" s="1488"/>
      <c r="R748" s="1488"/>
      <c r="S748" s="1489"/>
      <c r="T748" s="1487"/>
      <c r="U748" s="1488"/>
      <c r="V748" s="1488"/>
      <c r="W748" s="1489"/>
      <c r="X748" s="1402">
        <f t="shared" si="38"/>
        <v>0</v>
      </c>
      <c r="Y748" s="1403"/>
      <c r="Z748" s="1403"/>
      <c r="AA748" s="1403"/>
      <c r="AB748" s="1404"/>
      <c r="AC748" s="1502"/>
      <c r="AD748" s="1503"/>
      <c r="AE748" s="1503"/>
      <c r="AF748" s="1503"/>
      <c r="AG748" s="1504"/>
      <c r="AH748" s="1484" t="str">
        <f t="shared" si="35"/>
        <v/>
      </c>
      <c r="AI748" s="1485"/>
      <c r="AJ748" s="1486"/>
      <c r="AK748" s="1365" t="s">
        <v>590</v>
      </c>
      <c r="AL748" s="1366"/>
      <c r="AM748" s="1366"/>
      <c r="AN748" s="1366"/>
      <c r="AO748" s="1367"/>
      <c r="AT748"/>
      <c r="AU748"/>
      <c r="AV748"/>
      <c r="AW748"/>
      <c r="AX748"/>
      <c r="AY748" s="1087"/>
      <c r="AZ748" s="118" t="str">
        <f>IF($G748=0,"N/A",VLOOKUP($T$189,TC_Rent,(MATCH($B748,bedrooms,FALSE)),FALSE))</f>
        <v>N/A</v>
      </c>
      <c r="BA748" s="34"/>
      <c r="BB748" s="34"/>
      <c r="BC748" s="34"/>
      <c r="BD748" s="34"/>
      <c r="BE748" s="34"/>
      <c r="BF748" s="295">
        <f t="shared" si="9"/>
        <v>0</v>
      </c>
      <c r="BG748" s="298">
        <f t="shared" si="10"/>
        <v>0</v>
      </c>
      <c r="BH748" s="299" t="str">
        <f t="shared" si="11"/>
        <v/>
      </c>
      <c r="BJ748" s="34"/>
      <c r="BK748" s="34"/>
      <c r="BL748" s="34"/>
      <c r="BM748" s="34"/>
      <c r="BN748" s="34"/>
      <c r="BO748"/>
      <c r="BP748"/>
      <c r="BQ748"/>
      <c r="BR748"/>
      <c r="BS748" s="295">
        <f t="shared" si="12"/>
        <v>0</v>
      </c>
      <c r="BT748" s="298">
        <f t="shared" si="13"/>
        <v>0</v>
      </c>
      <c r="BU748" s="299" t="str">
        <f t="shared" si="14"/>
        <v/>
      </c>
      <c r="CD748"/>
      <c r="CG748" s="1361">
        <f t="shared" si="36"/>
        <v>0</v>
      </c>
      <c r="CH748" s="1363"/>
      <c r="CI748" s="1345">
        <f t="shared" si="37"/>
        <v>0</v>
      </c>
      <c r="CJ748" s="1347"/>
      <c r="CK748" s="1361">
        <f t="shared" si="15"/>
        <v>0</v>
      </c>
      <c r="CL748" s="1363"/>
      <c r="CM748" s="1345">
        <f t="shared" si="16"/>
        <v>0</v>
      </c>
      <c r="CN748" s="1347"/>
      <c r="CP748" s="1342">
        <f t="shared" si="17"/>
        <v>0</v>
      </c>
      <c r="CQ748" s="1343"/>
      <c r="CR748" s="1343"/>
      <c r="CS748" s="1343"/>
      <c r="CT748" s="1344"/>
      <c r="CU748" s="1364">
        <f t="shared" si="18"/>
        <v>0</v>
      </c>
      <c r="CV748" s="1364"/>
      <c r="CW748" s="1364"/>
      <c r="CX748" s="1364"/>
      <c r="CY748" s="1364"/>
      <c r="CZ748" s="1364">
        <f t="shared" si="19"/>
        <v>0</v>
      </c>
      <c r="DA748" s="1364"/>
      <c r="DB748" s="1364"/>
      <c r="DC748" s="1364"/>
      <c r="DD748" s="1364"/>
      <c r="DE748" s="1364">
        <f t="shared" si="20"/>
        <v>0</v>
      </c>
      <c r="DF748" s="1364"/>
      <c r="DG748" s="1364"/>
      <c r="DH748" s="1364"/>
      <c r="DI748" s="1364"/>
      <c r="DJ748" s="1364">
        <f t="shared" si="21"/>
        <v>0</v>
      </c>
      <c r="DK748" s="1364"/>
      <c r="DL748" s="1364"/>
      <c r="DM748" s="1364"/>
      <c r="DN748" s="1364"/>
      <c r="DO748" s="1364">
        <f t="shared" si="22"/>
        <v>0</v>
      </c>
      <c r="DP748" s="1364"/>
      <c r="DQ748" s="1364"/>
      <c r="DR748" s="1364"/>
      <c r="DS748" s="1364"/>
      <c r="DT748" s="6"/>
      <c r="DU748" s="1369">
        <f t="shared" si="23"/>
        <v>0</v>
      </c>
      <c r="DV748" s="1369"/>
      <c r="DW748" s="1369"/>
      <c r="DX748" s="1369"/>
      <c r="DY748" s="1369"/>
      <c r="DZ748" s="1369">
        <f t="shared" si="24"/>
        <v>0</v>
      </c>
      <c r="EA748" s="1369"/>
      <c r="EB748" s="1369"/>
      <c r="EC748" s="1369"/>
      <c r="ED748" s="1369"/>
      <c r="EE748" s="1369">
        <f t="shared" si="25"/>
        <v>0</v>
      </c>
      <c r="EF748" s="1369"/>
      <c r="EG748" s="1369"/>
      <c r="EH748" s="1369"/>
      <c r="EI748" s="1369"/>
      <c r="EJ748" s="1369">
        <f t="shared" si="26"/>
        <v>0</v>
      </c>
      <c r="EK748" s="1369"/>
      <c r="EL748" s="1369"/>
      <c r="EM748" s="1369"/>
      <c r="EN748" s="1369"/>
      <c r="EO748" s="1369">
        <f t="shared" si="27"/>
        <v>0</v>
      </c>
      <c r="EP748" s="1369"/>
      <c r="EQ748" s="1369"/>
      <c r="ER748" s="1369"/>
      <c r="ES748" s="1369"/>
      <c r="ET748" s="1369">
        <f t="shared" si="28"/>
        <v>0</v>
      </c>
      <c r="EU748" s="1369"/>
      <c r="EV748" s="1369"/>
      <c r="EW748" s="1369"/>
      <c r="EX748" s="1369"/>
      <c r="EY748"/>
      <c r="EZ748" s="1361" t="str">
        <f t="shared" si="29"/>
        <v/>
      </c>
      <c r="FA748" s="1362"/>
      <c r="FB748" s="1362"/>
      <c r="FC748" s="1362"/>
      <c r="FD748" s="1363"/>
      <c r="FE748" s="1361" t="str">
        <f t="shared" si="30"/>
        <v/>
      </c>
      <c r="FF748" s="1362"/>
      <c r="FG748" s="1362"/>
      <c r="FH748" s="1362"/>
      <c r="FI748" s="1363"/>
      <c r="FJ748" s="1361" t="str">
        <f t="shared" si="31"/>
        <v/>
      </c>
      <c r="FK748" s="1362"/>
      <c r="FL748" s="1362"/>
      <c r="FM748" s="1362"/>
      <c r="FN748" s="1363"/>
      <c r="FO748" s="1361" t="str">
        <f t="shared" si="32"/>
        <v/>
      </c>
      <c r="FP748" s="1362"/>
      <c r="FQ748" s="1362"/>
      <c r="FR748" s="1362"/>
      <c r="FS748" s="1363"/>
      <c r="FT748" s="1361" t="str">
        <f t="shared" si="33"/>
        <v/>
      </c>
      <c r="FU748" s="1362"/>
      <c r="FV748" s="1362"/>
      <c r="FW748" s="1362"/>
      <c r="FX748" s="1363"/>
      <c r="FY748" s="1361" t="str">
        <f t="shared" si="34"/>
        <v/>
      </c>
      <c r="FZ748" s="1362"/>
      <c r="GA748" s="1362"/>
      <c r="GB748" s="1362"/>
      <c r="GC748" s="1363"/>
    </row>
    <row r="749" spans="1:185" s="3" customFormat="1" ht="13" customHeight="1">
      <c r="A749"/>
      <c r="B749" s="1365"/>
      <c r="C749" s="1366"/>
      <c r="D749" s="1366"/>
      <c r="E749" s="1366"/>
      <c r="F749" s="1367"/>
      <c r="G749" s="1597"/>
      <c r="H749" s="1598"/>
      <c r="I749" s="1598"/>
      <c r="J749" s="1599"/>
      <c r="K749" s="1602"/>
      <c r="L749" s="1603"/>
      <c r="M749" s="1603"/>
      <c r="N749" s="1604"/>
      <c r="O749" s="1487"/>
      <c r="P749" s="1488"/>
      <c r="Q749" s="1488"/>
      <c r="R749" s="1488"/>
      <c r="S749" s="1489"/>
      <c r="T749" s="1487"/>
      <c r="U749" s="1488"/>
      <c r="V749" s="1488"/>
      <c r="W749" s="1489"/>
      <c r="X749" s="1402">
        <f t="shared" si="38"/>
        <v>0</v>
      </c>
      <c r="Y749" s="1403"/>
      <c r="Z749" s="1403"/>
      <c r="AA749" s="1403"/>
      <c r="AB749" s="1404"/>
      <c r="AC749" s="1502"/>
      <c r="AD749" s="1503"/>
      <c r="AE749" s="1503"/>
      <c r="AF749" s="1503"/>
      <c r="AG749" s="1504"/>
      <c r="AH749" s="1484" t="str">
        <f t="shared" si="35"/>
        <v/>
      </c>
      <c r="AI749" s="1485"/>
      <c r="AJ749" s="1486"/>
      <c r="AK749" s="1365" t="s">
        <v>590</v>
      </c>
      <c r="AL749" s="1366"/>
      <c r="AM749" s="1366"/>
      <c r="AN749" s="1366"/>
      <c r="AO749" s="1367"/>
      <c r="AT749"/>
      <c r="AU749"/>
      <c r="AV749"/>
      <c r="AW749"/>
      <c r="AX749"/>
      <c r="AY749" s="1087"/>
      <c r="AZ749" s="118" t="str">
        <f>IF($G749=0,"N/A",VLOOKUP($T$189,TC_Rent,(MATCH($B749,bedrooms,FALSE)),FALSE))</f>
        <v>N/A</v>
      </c>
      <c r="BA749" s="34"/>
      <c r="BB749" s="34"/>
      <c r="BC749" s="34"/>
      <c r="BD749" s="34"/>
      <c r="BE749" s="34"/>
      <c r="BF749" s="295">
        <f t="shared" si="9"/>
        <v>0</v>
      </c>
      <c r="BG749" s="298">
        <f t="shared" si="10"/>
        <v>0</v>
      </c>
      <c r="BH749" s="299" t="str">
        <f t="shared" si="11"/>
        <v/>
      </c>
      <c r="BJ749" s="34"/>
      <c r="BK749" s="34"/>
      <c r="BL749" s="34"/>
      <c r="BM749" s="34"/>
      <c r="BN749" s="34"/>
      <c r="BO749"/>
      <c r="BP749"/>
      <c r="BQ749"/>
      <c r="BR749"/>
      <c r="BS749" s="295">
        <f t="shared" si="12"/>
        <v>0</v>
      </c>
      <c r="BT749" s="298">
        <f t="shared" si="13"/>
        <v>0</v>
      </c>
      <c r="BU749" s="299" t="str">
        <f t="shared" si="14"/>
        <v/>
      </c>
      <c r="CD749"/>
      <c r="CG749" s="1361">
        <f t="shared" si="36"/>
        <v>0</v>
      </c>
      <c r="CH749" s="1363"/>
      <c r="CI749" s="1345">
        <f t="shared" si="37"/>
        <v>0</v>
      </c>
      <c r="CJ749" s="1347"/>
      <c r="CK749" s="1361">
        <f t="shared" si="15"/>
        <v>0</v>
      </c>
      <c r="CL749" s="1363"/>
      <c r="CM749" s="1345">
        <f t="shared" si="16"/>
        <v>0</v>
      </c>
      <c r="CN749" s="1347"/>
      <c r="CP749" s="1342">
        <f t="shared" si="17"/>
        <v>0</v>
      </c>
      <c r="CQ749" s="1343"/>
      <c r="CR749" s="1343"/>
      <c r="CS749" s="1343"/>
      <c r="CT749" s="1344"/>
      <c r="CU749" s="1364">
        <f t="shared" si="18"/>
        <v>0</v>
      </c>
      <c r="CV749" s="1364"/>
      <c r="CW749" s="1364"/>
      <c r="CX749" s="1364"/>
      <c r="CY749" s="1364"/>
      <c r="CZ749" s="1364">
        <f t="shared" si="19"/>
        <v>0</v>
      </c>
      <c r="DA749" s="1364"/>
      <c r="DB749" s="1364"/>
      <c r="DC749" s="1364"/>
      <c r="DD749" s="1364"/>
      <c r="DE749" s="1364">
        <f t="shared" si="20"/>
        <v>0</v>
      </c>
      <c r="DF749" s="1364"/>
      <c r="DG749" s="1364"/>
      <c r="DH749" s="1364"/>
      <c r="DI749" s="1364"/>
      <c r="DJ749" s="1364">
        <f t="shared" si="21"/>
        <v>0</v>
      </c>
      <c r="DK749" s="1364"/>
      <c r="DL749" s="1364"/>
      <c r="DM749" s="1364"/>
      <c r="DN749" s="1364"/>
      <c r="DO749" s="1364">
        <f t="shared" si="22"/>
        <v>0</v>
      </c>
      <c r="DP749" s="1364"/>
      <c r="DQ749" s="1364"/>
      <c r="DR749" s="1364"/>
      <c r="DS749" s="1364"/>
      <c r="DT749" s="6"/>
      <c r="DU749" s="1369">
        <f t="shared" si="23"/>
        <v>0</v>
      </c>
      <c r="DV749" s="1369"/>
      <c r="DW749" s="1369"/>
      <c r="DX749" s="1369"/>
      <c r="DY749" s="1369"/>
      <c r="DZ749" s="1369">
        <f t="shared" si="24"/>
        <v>0</v>
      </c>
      <c r="EA749" s="1369"/>
      <c r="EB749" s="1369"/>
      <c r="EC749" s="1369"/>
      <c r="ED749" s="1369"/>
      <c r="EE749" s="1369">
        <f t="shared" si="25"/>
        <v>0</v>
      </c>
      <c r="EF749" s="1369"/>
      <c r="EG749" s="1369"/>
      <c r="EH749" s="1369"/>
      <c r="EI749" s="1369"/>
      <c r="EJ749" s="1369">
        <f t="shared" si="26"/>
        <v>0</v>
      </c>
      <c r="EK749" s="1369"/>
      <c r="EL749" s="1369"/>
      <c r="EM749" s="1369"/>
      <c r="EN749" s="1369"/>
      <c r="EO749" s="1369">
        <f t="shared" si="27"/>
        <v>0</v>
      </c>
      <c r="EP749" s="1369"/>
      <c r="EQ749" s="1369"/>
      <c r="ER749" s="1369"/>
      <c r="ES749" s="1369"/>
      <c r="ET749" s="1369">
        <f t="shared" si="28"/>
        <v>0</v>
      </c>
      <c r="EU749" s="1369"/>
      <c r="EV749" s="1369"/>
      <c r="EW749" s="1369"/>
      <c r="EX749" s="1369"/>
      <c r="EY749"/>
      <c r="EZ749" s="1361" t="str">
        <f t="shared" si="29"/>
        <v/>
      </c>
      <c r="FA749" s="1362"/>
      <c r="FB749" s="1362"/>
      <c r="FC749" s="1362"/>
      <c r="FD749" s="1363"/>
      <c r="FE749" s="1361" t="str">
        <f t="shared" si="30"/>
        <v/>
      </c>
      <c r="FF749" s="1362"/>
      <c r="FG749" s="1362"/>
      <c r="FH749" s="1362"/>
      <c r="FI749" s="1363"/>
      <c r="FJ749" s="1361" t="str">
        <f t="shared" si="31"/>
        <v/>
      </c>
      <c r="FK749" s="1362"/>
      <c r="FL749" s="1362"/>
      <c r="FM749" s="1362"/>
      <c r="FN749" s="1363"/>
      <c r="FO749" s="1361" t="str">
        <f t="shared" si="32"/>
        <v/>
      </c>
      <c r="FP749" s="1362"/>
      <c r="FQ749" s="1362"/>
      <c r="FR749" s="1362"/>
      <c r="FS749" s="1363"/>
      <c r="FT749" s="1361" t="str">
        <f t="shared" si="33"/>
        <v/>
      </c>
      <c r="FU749" s="1362"/>
      <c r="FV749" s="1362"/>
      <c r="FW749" s="1362"/>
      <c r="FX749" s="1363"/>
      <c r="FY749" s="1361" t="str">
        <f t="shared" si="34"/>
        <v/>
      </c>
      <c r="FZ749" s="1362"/>
      <c r="GA749" s="1362"/>
      <c r="GB749" s="1362"/>
      <c r="GC749" s="1363"/>
    </row>
    <row r="750" spans="1:185" s="3" customFormat="1" ht="13" customHeight="1">
      <c r="A750"/>
      <c r="B750" s="1365"/>
      <c r="C750" s="1366"/>
      <c r="D750" s="1366"/>
      <c r="E750" s="1366"/>
      <c r="F750" s="1367"/>
      <c r="G750" s="1597"/>
      <c r="H750" s="1598"/>
      <c r="I750" s="1598"/>
      <c r="J750" s="1599"/>
      <c r="K750" s="1602"/>
      <c r="L750" s="1603"/>
      <c r="M750" s="1603"/>
      <c r="N750" s="1604"/>
      <c r="O750" s="1487"/>
      <c r="P750" s="1488"/>
      <c r="Q750" s="1488"/>
      <c r="R750" s="1488"/>
      <c r="S750" s="1489"/>
      <c r="T750" s="1487"/>
      <c r="U750" s="1488"/>
      <c r="V750" s="1488"/>
      <c r="W750" s="1489"/>
      <c r="X750" s="1402">
        <f t="shared" si="38"/>
        <v>0</v>
      </c>
      <c r="Y750" s="1403"/>
      <c r="Z750" s="1403"/>
      <c r="AA750" s="1403"/>
      <c r="AB750" s="1404"/>
      <c r="AC750" s="1502"/>
      <c r="AD750" s="1503"/>
      <c r="AE750" s="1503"/>
      <c r="AF750" s="1503"/>
      <c r="AG750" s="1504"/>
      <c r="AH750" s="1484" t="str">
        <f t="shared" si="35"/>
        <v/>
      </c>
      <c r="AI750" s="1485"/>
      <c r="AJ750" s="1486"/>
      <c r="AK750" s="1365" t="s">
        <v>590</v>
      </c>
      <c r="AL750" s="1366"/>
      <c r="AM750" s="1366"/>
      <c r="AN750" s="1366"/>
      <c r="AO750" s="1367"/>
      <c r="AT750"/>
      <c r="AU750"/>
      <c r="AV750"/>
      <c r="AW750"/>
      <c r="AX750"/>
      <c r="AY750"/>
      <c r="AZ750" s="118" t="str">
        <f>IF($G750=0,"N/A",VLOOKUP($T$189,TC_Rent,(MATCH($B750,bedrooms,FALSE)),FALSE))</f>
        <v>N/A</v>
      </c>
      <c r="BA750" s="34"/>
      <c r="BB750" s="34"/>
      <c r="BC750" s="34"/>
      <c r="BD750" s="34"/>
      <c r="BE750" s="34"/>
      <c r="BF750" s="295">
        <f t="shared" si="9"/>
        <v>0</v>
      </c>
      <c r="BG750" s="298">
        <f t="shared" si="10"/>
        <v>0</v>
      </c>
      <c r="BH750" s="299" t="str">
        <f t="shared" si="11"/>
        <v/>
      </c>
      <c r="BJ750" s="34"/>
      <c r="BK750" s="34"/>
      <c r="BL750" s="34"/>
      <c r="BM750" s="34"/>
      <c r="BN750" s="34"/>
      <c r="BO750"/>
      <c r="BP750"/>
      <c r="BQ750"/>
      <c r="BR750"/>
      <c r="BS750" s="295">
        <f t="shared" si="12"/>
        <v>0</v>
      </c>
      <c r="BT750" s="298">
        <f t="shared" si="13"/>
        <v>0</v>
      </c>
      <c r="BU750" s="299" t="str">
        <f t="shared" si="14"/>
        <v/>
      </c>
      <c r="CD750"/>
      <c r="CG750" s="1361">
        <f t="shared" si="36"/>
        <v>0</v>
      </c>
      <c r="CH750" s="1363"/>
      <c r="CI750" s="1345">
        <f t="shared" si="37"/>
        <v>0</v>
      </c>
      <c r="CJ750" s="1347"/>
      <c r="CK750" s="1361">
        <f t="shared" si="15"/>
        <v>0</v>
      </c>
      <c r="CL750" s="1363"/>
      <c r="CM750" s="1345">
        <f t="shared" si="16"/>
        <v>0</v>
      </c>
      <c r="CN750" s="1347"/>
      <c r="CP750" s="1342">
        <f t="shared" si="17"/>
        <v>0</v>
      </c>
      <c r="CQ750" s="1343"/>
      <c r="CR750" s="1343"/>
      <c r="CS750" s="1343"/>
      <c r="CT750" s="1344"/>
      <c r="CU750" s="1364">
        <f t="shared" si="18"/>
        <v>0</v>
      </c>
      <c r="CV750" s="1364"/>
      <c r="CW750" s="1364"/>
      <c r="CX750" s="1364"/>
      <c r="CY750" s="1364"/>
      <c r="CZ750" s="1364">
        <f t="shared" si="19"/>
        <v>0</v>
      </c>
      <c r="DA750" s="1364"/>
      <c r="DB750" s="1364"/>
      <c r="DC750" s="1364"/>
      <c r="DD750" s="1364"/>
      <c r="DE750" s="1364">
        <f t="shared" si="20"/>
        <v>0</v>
      </c>
      <c r="DF750" s="1364"/>
      <c r="DG750" s="1364"/>
      <c r="DH750" s="1364"/>
      <c r="DI750" s="1364"/>
      <c r="DJ750" s="1364">
        <f t="shared" si="21"/>
        <v>0</v>
      </c>
      <c r="DK750" s="1364"/>
      <c r="DL750" s="1364"/>
      <c r="DM750" s="1364"/>
      <c r="DN750" s="1364"/>
      <c r="DO750" s="1364">
        <f t="shared" si="22"/>
        <v>0</v>
      </c>
      <c r="DP750" s="1364"/>
      <c r="DQ750" s="1364"/>
      <c r="DR750" s="1364"/>
      <c r="DS750" s="1364"/>
      <c r="DT750" s="6"/>
      <c r="DU750" s="1369">
        <f t="shared" si="23"/>
        <v>0</v>
      </c>
      <c r="DV750" s="1369"/>
      <c r="DW750" s="1369"/>
      <c r="DX750" s="1369"/>
      <c r="DY750" s="1369"/>
      <c r="DZ750" s="1369">
        <f t="shared" si="24"/>
        <v>0</v>
      </c>
      <c r="EA750" s="1369"/>
      <c r="EB750" s="1369"/>
      <c r="EC750" s="1369"/>
      <c r="ED750" s="1369"/>
      <c r="EE750" s="1369">
        <f t="shared" si="25"/>
        <v>0</v>
      </c>
      <c r="EF750" s="1369"/>
      <c r="EG750" s="1369"/>
      <c r="EH750" s="1369"/>
      <c r="EI750" s="1369"/>
      <c r="EJ750" s="1369">
        <f t="shared" si="26"/>
        <v>0</v>
      </c>
      <c r="EK750" s="1369"/>
      <c r="EL750" s="1369"/>
      <c r="EM750" s="1369"/>
      <c r="EN750" s="1369"/>
      <c r="EO750" s="1369">
        <f t="shared" si="27"/>
        <v>0</v>
      </c>
      <c r="EP750" s="1369"/>
      <c r="EQ750" s="1369"/>
      <c r="ER750" s="1369"/>
      <c r="ES750" s="1369"/>
      <c r="ET750" s="1369">
        <f t="shared" si="28"/>
        <v>0</v>
      </c>
      <c r="EU750" s="1369"/>
      <c r="EV750" s="1369"/>
      <c r="EW750" s="1369"/>
      <c r="EX750" s="1369"/>
      <c r="EY750"/>
      <c r="EZ750" s="1361" t="str">
        <f t="shared" si="29"/>
        <v/>
      </c>
      <c r="FA750" s="1362"/>
      <c r="FB750" s="1362"/>
      <c r="FC750" s="1362"/>
      <c r="FD750" s="1363"/>
      <c r="FE750" s="1361" t="str">
        <f t="shared" si="30"/>
        <v/>
      </c>
      <c r="FF750" s="1362"/>
      <c r="FG750" s="1362"/>
      <c r="FH750" s="1362"/>
      <c r="FI750" s="1363"/>
      <c r="FJ750" s="1361" t="str">
        <f t="shared" si="31"/>
        <v/>
      </c>
      <c r="FK750" s="1362"/>
      <c r="FL750" s="1362"/>
      <c r="FM750" s="1362"/>
      <c r="FN750" s="1363"/>
      <c r="FO750" s="1361" t="str">
        <f t="shared" si="32"/>
        <v/>
      </c>
      <c r="FP750" s="1362"/>
      <c r="FQ750" s="1362"/>
      <c r="FR750" s="1362"/>
      <c r="FS750" s="1363"/>
      <c r="FT750" s="1361" t="str">
        <f t="shared" si="33"/>
        <v/>
      </c>
      <c r="FU750" s="1362"/>
      <c r="FV750" s="1362"/>
      <c r="FW750" s="1362"/>
      <c r="FX750" s="1363"/>
      <c r="FY750" s="1361" t="str">
        <f t="shared" si="34"/>
        <v/>
      </c>
      <c r="FZ750" s="1362"/>
      <c r="GA750" s="1362"/>
      <c r="GB750" s="1362"/>
      <c r="GC750" s="1363"/>
    </row>
    <row r="751" spans="1:185" s="3" customFormat="1" ht="13" customHeight="1">
      <c r="A751"/>
      <c r="B751" s="1365"/>
      <c r="C751" s="1366"/>
      <c r="D751" s="1366"/>
      <c r="E751" s="1366"/>
      <c r="F751" s="1367"/>
      <c r="G751" s="1597"/>
      <c r="H751" s="1598"/>
      <c r="I751" s="1598"/>
      <c r="J751" s="1599"/>
      <c r="K751" s="1602"/>
      <c r="L751" s="1603"/>
      <c r="M751" s="1603"/>
      <c r="N751" s="1604"/>
      <c r="O751" s="1487"/>
      <c r="P751" s="1488"/>
      <c r="Q751" s="1488"/>
      <c r="R751" s="1488"/>
      <c r="S751" s="1489"/>
      <c r="T751" s="1487"/>
      <c r="U751" s="1488"/>
      <c r="V751" s="1488"/>
      <c r="W751" s="1489"/>
      <c r="X751" s="1402">
        <f t="shared" si="38"/>
        <v>0</v>
      </c>
      <c r="Y751" s="1403"/>
      <c r="Z751" s="1403"/>
      <c r="AA751" s="1403"/>
      <c r="AB751" s="1404"/>
      <c r="AC751" s="1502"/>
      <c r="AD751" s="1503"/>
      <c r="AE751" s="1503"/>
      <c r="AF751" s="1503"/>
      <c r="AG751" s="1504"/>
      <c r="AH751" s="1484" t="str">
        <f t="shared" si="35"/>
        <v/>
      </c>
      <c r="AI751" s="1485"/>
      <c r="AJ751" s="1486"/>
      <c r="AK751" s="1365" t="s">
        <v>590</v>
      </c>
      <c r="AL751" s="1366"/>
      <c r="AM751" s="1366"/>
      <c r="AN751" s="1366"/>
      <c r="AO751" s="1367"/>
      <c r="AT751"/>
      <c r="AU751"/>
      <c r="AV751"/>
      <c r="AW751"/>
      <c r="AX751"/>
      <c r="AY751"/>
      <c r="AZ751" s="118" t="str">
        <f>IF($G751=0,"N/A",VLOOKUP($T$189,TC_Rent,(MATCH($B751,bedrooms,FALSE)),FALSE))</f>
        <v>N/A</v>
      </c>
      <c r="BA751" s="34"/>
      <c r="BB751" s="34"/>
      <c r="BC751" s="34"/>
      <c r="BD751" s="34"/>
      <c r="BE751" s="34"/>
      <c r="BF751" s="295">
        <f t="shared" si="9"/>
        <v>0</v>
      </c>
      <c r="BG751" s="298">
        <f t="shared" si="10"/>
        <v>0</v>
      </c>
      <c r="BH751" s="299" t="str">
        <f t="shared" si="11"/>
        <v/>
      </c>
      <c r="BJ751" s="34"/>
      <c r="BK751" s="34"/>
      <c r="BL751" s="34"/>
      <c r="BM751" s="34"/>
      <c r="BN751" s="34"/>
      <c r="BO751"/>
      <c r="BP751"/>
      <c r="BQ751"/>
      <c r="BR751"/>
      <c r="BS751" s="295">
        <f t="shared" si="12"/>
        <v>0</v>
      </c>
      <c r="BT751" s="298">
        <f t="shared" si="13"/>
        <v>0</v>
      </c>
      <c r="BU751" s="299" t="str">
        <f t="shared" si="14"/>
        <v/>
      </c>
      <c r="CD751"/>
      <c r="CG751" s="1361">
        <f t="shared" si="36"/>
        <v>0</v>
      </c>
      <c r="CH751" s="1363"/>
      <c r="CI751" s="1345">
        <f t="shared" si="37"/>
        <v>0</v>
      </c>
      <c r="CJ751" s="1347"/>
      <c r="CK751" s="1361">
        <f t="shared" si="15"/>
        <v>0</v>
      </c>
      <c r="CL751" s="1363"/>
      <c r="CM751" s="1345">
        <f t="shared" si="16"/>
        <v>0</v>
      </c>
      <c r="CN751" s="1347"/>
      <c r="CP751" s="1342">
        <f t="shared" si="17"/>
        <v>0</v>
      </c>
      <c r="CQ751" s="1343"/>
      <c r="CR751" s="1343"/>
      <c r="CS751" s="1343"/>
      <c r="CT751" s="1344"/>
      <c r="CU751" s="1364">
        <f t="shared" si="18"/>
        <v>0</v>
      </c>
      <c r="CV751" s="1364"/>
      <c r="CW751" s="1364"/>
      <c r="CX751" s="1364"/>
      <c r="CY751" s="1364"/>
      <c r="CZ751" s="1364">
        <f t="shared" si="19"/>
        <v>0</v>
      </c>
      <c r="DA751" s="1364"/>
      <c r="DB751" s="1364"/>
      <c r="DC751" s="1364"/>
      <c r="DD751" s="1364"/>
      <c r="DE751" s="1364">
        <f t="shared" si="20"/>
        <v>0</v>
      </c>
      <c r="DF751" s="1364"/>
      <c r="DG751" s="1364"/>
      <c r="DH751" s="1364"/>
      <c r="DI751" s="1364"/>
      <c r="DJ751" s="1364">
        <f t="shared" si="21"/>
        <v>0</v>
      </c>
      <c r="DK751" s="1364"/>
      <c r="DL751" s="1364"/>
      <c r="DM751" s="1364"/>
      <c r="DN751" s="1364"/>
      <c r="DO751" s="1364">
        <f t="shared" si="22"/>
        <v>0</v>
      </c>
      <c r="DP751" s="1364"/>
      <c r="DQ751" s="1364"/>
      <c r="DR751" s="1364"/>
      <c r="DS751" s="1364"/>
      <c r="DT751" s="6"/>
      <c r="DU751" s="1369">
        <f t="shared" si="23"/>
        <v>0</v>
      </c>
      <c r="DV751" s="1369"/>
      <c r="DW751" s="1369"/>
      <c r="DX751" s="1369"/>
      <c r="DY751" s="1369"/>
      <c r="DZ751" s="1369">
        <f t="shared" si="24"/>
        <v>0</v>
      </c>
      <c r="EA751" s="1369"/>
      <c r="EB751" s="1369"/>
      <c r="EC751" s="1369"/>
      <c r="ED751" s="1369"/>
      <c r="EE751" s="1369">
        <f t="shared" si="25"/>
        <v>0</v>
      </c>
      <c r="EF751" s="1369"/>
      <c r="EG751" s="1369"/>
      <c r="EH751" s="1369"/>
      <c r="EI751" s="1369"/>
      <c r="EJ751" s="1369">
        <f t="shared" si="26"/>
        <v>0</v>
      </c>
      <c r="EK751" s="1369"/>
      <c r="EL751" s="1369"/>
      <c r="EM751" s="1369"/>
      <c r="EN751" s="1369"/>
      <c r="EO751" s="1369">
        <f t="shared" si="27"/>
        <v>0</v>
      </c>
      <c r="EP751" s="1369"/>
      <c r="EQ751" s="1369"/>
      <c r="ER751" s="1369"/>
      <c r="ES751" s="1369"/>
      <c r="ET751" s="1369">
        <f t="shared" si="28"/>
        <v>0</v>
      </c>
      <c r="EU751" s="1369"/>
      <c r="EV751" s="1369"/>
      <c r="EW751" s="1369"/>
      <c r="EX751" s="1369"/>
      <c r="EY751"/>
      <c r="EZ751" s="1361" t="str">
        <f t="shared" si="29"/>
        <v/>
      </c>
      <c r="FA751" s="1362"/>
      <c r="FB751" s="1362"/>
      <c r="FC751" s="1362"/>
      <c r="FD751" s="1363"/>
      <c r="FE751" s="1361" t="str">
        <f t="shared" si="30"/>
        <v/>
      </c>
      <c r="FF751" s="1362"/>
      <c r="FG751" s="1362"/>
      <c r="FH751" s="1362"/>
      <c r="FI751" s="1363"/>
      <c r="FJ751" s="1361" t="str">
        <f t="shared" si="31"/>
        <v/>
      </c>
      <c r="FK751" s="1362"/>
      <c r="FL751" s="1362"/>
      <c r="FM751" s="1362"/>
      <c r="FN751" s="1363"/>
      <c r="FO751" s="1361" t="str">
        <f t="shared" si="32"/>
        <v/>
      </c>
      <c r="FP751" s="1362"/>
      <c r="FQ751" s="1362"/>
      <c r="FR751" s="1362"/>
      <c r="FS751" s="1363"/>
      <c r="FT751" s="1361" t="str">
        <f t="shared" si="33"/>
        <v/>
      </c>
      <c r="FU751" s="1362"/>
      <c r="FV751" s="1362"/>
      <c r="FW751" s="1362"/>
      <c r="FX751" s="1363"/>
      <c r="FY751" s="1361" t="str">
        <f t="shared" si="34"/>
        <v/>
      </c>
      <c r="FZ751" s="1362"/>
      <c r="GA751" s="1362"/>
      <c r="GB751" s="1362"/>
      <c r="GC751" s="1363"/>
    </row>
    <row r="752" spans="1:185" s="3" customFormat="1" ht="13" customHeight="1">
      <c r="A752"/>
      <c r="B752" s="1365"/>
      <c r="C752" s="1366"/>
      <c r="D752" s="1366"/>
      <c r="E752" s="1366"/>
      <c r="F752" s="1367"/>
      <c r="G752" s="1597"/>
      <c r="H752" s="1598"/>
      <c r="I752" s="1598"/>
      <c r="J752" s="1599"/>
      <c r="K752" s="1602"/>
      <c r="L752" s="1603"/>
      <c r="M752" s="1603"/>
      <c r="N752" s="1604"/>
      <c r="O752" s="1487"/>
      <c r="P752" s="1488"/>
      <c r="Q752" s="1488"/>
      <c r="R752" s="1488"/>
      <c r="S752" s="1489"/>
      <c r="T752" s="1487"/>
      <c r="U752" s="1488"/>
      <c r="V752" s="1488"/>
      <c r="W752" s="1489"/>
      <c r="X752" s="1402">
        <f>O752+T752</f>
        <v>0</v>
      </c>
      <c r="Y752" s="1403"/>
      <c r="Z752" s="1403"/>
      <c r="AA752" s="1403"/>
      <c r="AB752" s="1404"/>
      <c r="AC752" s="1502"/>
      <c r="AD752" s="1503"/>
      <c r="AE752" s="1503"/>
      <c r="AF752" s="1503"/>
      <c r="AG752" s="1504"/>
      <c r="AH752" s="1484" t="str">
        <f t="shared" si="35"/>
        <v/>
      </c>
      <c r="AI752" s="1485"/>
      <c r="AJ752" s="1486"/>
      <c r="AK752" s="1365" t="s">
        <v>590</v>
      </c>
      <c r="AL752" s="1366"/>
      <c r="AM752" s="1366"/>
      <c r="AN752" s="1366"/>
      <c r="AO752" s="1367"/>
      <c r="AT752"/>
      <c r="AU752"/>
      <c r="AV752"/>
      <c r="AW752"/>
      <c r="AX752"/>
      <c r="AY752"/>
      <c r="AZ752" s="118" t="str">
        <f>IF($G752=0,"N/A",VLOOKUP($T$189,TC_Rent,(MATCH($B752,bedrooms,FALSE)),FALSE))</f>
        <v>N/A</v>
      </c>
      <c r="BA752" s="34"/>
      <c r="BB752" s="34"/>
      <c r="BC752" s="34"/>
      <c r="BE752"/>
      <c r="BF752" s="295">
        <f t="shared" si="9"/>
        <v>0</v>
      </c>
      <c r="BG752" s="298">
        <f t="shared" si="10"/>
        <v>0</v>
      </c>
      <c r="BH752" s="299" t="str">
        <f t="shared" si="11"/>
        <v/>
      </c>
      <c r="BJ752" s="34"/>
      <c r="BK752" s="34"/>
      <c r="BL752" s="34"/>
      <c r="BM752" s="34"/>
      <c r="BN752" s="34"/>
      <c r="BO752"/>
      <c r="BP752"/>
      <c r="BQ752"/>
      <c r="BR752"/>
      <c r="BS752" s="861">
        <f t="shared" si="12"/>
        <v>0</v>
      </c>
      <c r="BT752" s="298">
        <f t="shared" si="13"/>
        <v>0</v>
      </c>
      <c r="BU752" s="299" t="str">
        <f t="shared" si="14"/>
        <v/>
      </c>
      <c r="CD752"/>
      <c r="CG752" s="1361">
        <f t="shared" si="36"/>
        <v>0</v>
      </c>
      <c r="CH752" s="1363"/>
      <c r="CI752" s="1345">
        <f t="shared" si="37"/>
        <v>0</v>
      </c>
      <c r="CJ752" s="1347"/>
      <c r="CK752" s="1361">
        <f t="shared" si="15"/>
        <v>0</v>
      </c>
      <c r="CL752" s="1363"/>
      <c r="CM752" s="1345">
        <f t="shared" si="16"/>
        <v>0</v>
      </c>
      <c r="CN752" s="1347"/>
      <c r="CP752" s="1342">
        <f t="shared" si="17"/>
        <v>0</v>
      </c>
      <c r="CQ752" s="1343"/>
      <c r="CR752" s="1343"/>
      <c r="CS752" s="1343"/>
      <c r="CT752" s="1344"/>
      <c r="CU752" s="1364">
        <f t="shared" si="18"/>
        <v>0</v>
      </c>
      <c r="CV752" s="1364"/>
      <c r="CW752" s="1364"/>
      <c r="CX752" s="1364"/>
      <c r="CY752" s="1364"/>
      <c r="CZ752" s="1364">
        <f t="shared" si="19"/>
        <v>0</v>
      </c>
      <c r="DA752" s="1364"/>
      <c r="DB752" s="1364"/>
      <c r="DC752" s="1364"/>
      <c r="DD752" s="1364"/>
      <c r="DE752" s="1364">
        <f t="shared" si="20"/>
        <v>0</v>
      </c>
      <c r="DF752" s="1364"/>
      <c r="DG752" s="1364"/>
      <c r="DH752" s="1364"/>
      <c r="DI752" s="1364"/>
      <c r="DJ752" s="1364">
        <f t="shared" si="21"/>
        <v>0</v>
      </c>
      <c r="DK752" s="1364"/>
      <c r="DL752" s="1364"/>
      <c r="DM752" s="1364"/>
      <c r="DN752" s="1364"/>
      <c r="DO752" s="1364">
        <f t="shared" si="22"/>
        <v>0</v>
      </c>
      <c r="DP752" s="1364"/>
      <c r="DQ752" s="1364"/>
      <c r="DR752" s="1364"/>
      <c r="DS752" s="1364"/>
      <c r="DT752" s="6"/>
      <c r="DU752" s="1369">
        <f t="shared" si="23"/>
        <v>0</v>
      </c>
      <c r="DV752" s="1369"/>
      <c r="DW752" s="1369"/>
      <c r="DX752" s="1369"/>
      <c r="DY752" s="1369"/>
      <c r="DZ752" s="1369">
        <f t="shared" si="24"/>
        <v>0</v>
      </c>
      <c r="EA752" s="1369"/>
      <c r="EB752" s="1369"/>
      <c r="EC752" s="1369"/>
      <c r="ED752" s="1369"/>
      <c r="EE752" s="1369">
        <f t="shared" si="25"/>
        <v>0</v>
      </c>
      <c r="EF752" s="1369"/>
      <c r="EG752" s="1369"/>
      <c r="EH752" s="1369"/>
      <c r="EI752" s="1369"/>
      <c r="EJ752" s="1369">
        <f t="shared" si="26"/>
        <v>0</v>
      </c>
      <c r="EK752" s="1369"/>
      <c r="EL752" s="1369"/>
      <c r="EM752" s="1369"/>
      <c r="EN752" s="1369"/>
      <c r="EO752" s="1369">
        <f t="shared" si="27"/>
        <v>0</v>
      </c>
      <c r="EP752" s="1369"/>
      <c r="EQ752" s="1369"/>
      <c r="ER752" s="1369"/>
      <c r="ES752" s="1369"/>
      <c r="ET752" s="1369">
        <f t="shared" si="28"/>
        <v>0</v>
      </c>
      <c r="EU752" s="1369"/>
      <c r="EV752" s="1369"/>
      <c r="EW752" s="1369"/>
      <c r="EX752" s="1369"/>
      <c r="EY752"/>
      <c r="EZ752" s="1361" t="str">
        <f t="shared" si="29"/>
        <v/>
      </c>
      <c r="FA752" s="1362"/>
      <c r="FB752" s="1362"/>
      <c r="FC752" s="1362"/>
      <c r="FD752" s="1363"/>
      <c r="FE752" s="1361" t="str">
        <f t="shared" si="30"/>
        <v/>
      </c>
      <c r="FF752" s="1362"/>
      <c r="FG752" s="1362"/>
      <c r="FH752" s="1362"/>
      <c r="FI752" s="1363"/>
      <c r="FJ752" s="1361" t="str">
        <f t="shared" si="31"/>
        <v/>
      </c>
      <c r="FK752" s="1362"/>
      <c r="FL752" s="1362"/>
      <c r="FM752" s="1362"/>
      <c r="FN752" s="1363"/>
      <c r="FO752" s="1361" t="str">
        <f t="shared" si="32"/>
        <v/>
      </c>
      <c r="FP752" s="1362"/>
      <c r="FQ752" s="1362"/>
      <c r="FR752" s="1362"/>
      <c r="FS752" s="1363"/>
      <c r="FT752" s="1361" t="str">
        <f t="shared" si="33"/>
        <v/>
      </c>
      <c r="FU752" s="1362"/>
      <c r="FV752" s="1362"/>
      <c r="FW752" s="1362"/>
      <c r="FX752" s="1363"/>
      <c r="FY752" s="1361" t="str">
        <f t="shared" si="34"/>
        <v/>
      </c>
      <c r="FZ752" s="1362"/>
      <c r="GA752" s="1362"/>
      <c r="GB752" s="1362"/>
      <c r="GC752" s="1363"/>
    </row>
    <row r="753" spans="1:185" s="3" customFormat="1" ht="13" customHeight="1">
      <c r="A753"/>
      <c r="B753" s="1492" t="s">
        <v>125</v>
      </c>
      <c r="C753" s="1493"/>
      <c r="D753" s="1493"/>
      <c r="E753" s="1493"/>
      <c r="F753" s="1495"/>
      <c r="G753" s="1606">
        <f>SUM(G718:G752)</f>
        <v>60</v>
      </c>
      <c r="H753" s="1607"/>
      <c r="I753" s="1607"/>
      <c r="J753" s="1608"/>
      <c r="K753" s="903" t="s">
        <v>124</v>
      </c>
      <c r="L753" s="5"/>
      <c r="M753" s="5"/>
      <c r="N753" s="46"/>
      <c r="O753" s="1402">
        <f>SUMPRODUCT(G718:G752,O718:O752)</f>
        <v>60600</v>
      </c>
      <c r="P753" s="1403"/>
      <c r="Q753" s="1403"/>
      <c r="R753" s="1403"/>
      <c r="S753" s="1404"/>
      <c r="T753"/>
      <c r="U753"/>
      <c r="V753"/>
      <c r="W753"/>
      <c r="X753" s="905" t="s">
        <v>899</v>
      </c>
      <c r="Y753" s="904"/>
      <c r="Z753" s="904"/>
      <c r="AA753" s="904"/>
      <c r="AB753" s="906"/>
      <c r="AC753" s="1631">
        <f>BH753</f>
        <v>0.4</v>
      </c>
      <c r="AD753" s="1632"/>
      <c r="AE753" s="1632"/>
      <c r="AF753" s="1632"/>
      <c r="AG753" s="1633"/>
      <c r="AH753" s="1631">
        <f>IFERROR(BU753,"")</f>
        <v>0.4</v>
      </c>
      <c r="AI753" s="1632"/>
      <c r="AJ753" s="1633"/>
      <c r="AK753"/>
      <c r="AL753"/>
      <c r="AM753"/>
      <c r="AN753"/>
      <c r="AO753"/>
      <c r="AP753" s="206"/>
      <c r="AQ753" s="206"/>
      <c r="AR753" s="206"/>
      <c r="AS753" s="206"/>
      <c r="AT753"/>
      <c r="AU753"/>
      <c r="AV753"/>
      <c r="AW753"/>
      <c r="AX753"/>
      <c r="AY753"/>
      <c r="AZ753" s="34"/>
      <c r="BA753" s="34"/>
      <c r="BB753" s="34"/>
      <c r="BC753" s="34"/>
      <c r="BE753" s="291" t="s">
        <v>898</v>
      </c>
      <c r="BF753" s="300">
        <f>SUM(BF718:BF752)</f>
        <v>60</v>
      </c>
      <c r="BG753" s="301">
        <f>SUM(BG718:BG752)</f>
        <v>1</v>
      </c>
      <c r="BH753" s="301">
        <f>SUM(BH718:BH752)</f>
        <v>0.4</v>
      </c>
      <c r="BI753"/>
      <c r="BJ753"/>
      <c r="BK753"/>
      <c r="BL753"/>
      <c r="BO753"/>
      <c r="BP753"/>
      <c r="BQ753"/>
      <c r="BR753"/>
      <c r="BS753" s="860">
        <f>SUM(BS718:BS752)</f>
        <v>60</v>
      </c>
      <c r="BT753" s="301">
        <f>SUM(BT718:BT752)</f>
        <v>1</v>
      </c>
      <c r="BU753" s="301">
        <f>SUM(BU718:BU752)</f>
        <v>0.4</v>
      </c>
      <c r="CI753" s="1361">
        <f>SUM(CI718:CJ752)</f>
        <v>30</v>
      </c>
      <c r="CJ753" s="1363"/>
      <c r="CM753" s="1361">
        <f>SUM(CM718:CN752)</f>
        <v>30</v>
      </c>
      <c r="CN753" s="1363"/>
      <c r="CP753" s="1361">
        <f>SUM(CP718:CT752)</f>
        <v>0</v>
      </c>
      <c r="CQ753" s="1362"/>
      <c r="CR753" s="1362"/>
      <c r="CS753" s="1362"/>
      <c r="CT753" s="1363"/>
      <c r="CU753" s="1368">
        <f>SUM(CU718:CY752)</f>
        <v>60</v>
      </c>
      <c r="CV753" s="1368"/>
      <c r="CW753" s="1368"/>
      <c r="CX753" s="1368"/>
      <c r="CY753" s="1368"/>
      <c r="CZ753" s="1368">
        <f>SUM(CZ718:DD752)</f>
        <v>0</v>
      </c>
      <c r="DA753" s="1368"/>
      <c r="DB753" s="1368"/>
      <c r="DC753" s="1368"/>
      <c r="DD753" s="1368"/>
      <c r="DE753" s="1368">
        <f>SUM(DE718:DI752)</f>
        <v>0</v>
      </c>
      <c r="DF753" s="1368"/>
      <c r="DG753" s="1368"/>
      <c r="DH753" s="1368"/>
      <c r="DI753" s="1368"/>
      <c r="DJ753" s="1368">
        <f>SUM(DJ718:DN752)</f>
        <v>0</v>
      </c>
      <c r="DK753" s="1368"/>
      <c r="DL753" s="1368"/>
      <c r="DM753" s="1368"/>
      <c r="DN753" s="1368"/>
      <c r="DO753" s="1368">
        <f>SUM(DO718:DS752)</f>
        <v>0</v>
      </c>
      <c r="DP753" s="1368"/>
      <c r="DQ753" s="1368"/>
      <c r="DR753" s="1368"/>
      <c r="DS753" s="1368"/>
      <c r="DT753" s="355"/>
      <c r="DU753" s="1368">
        <f>SUM(DU718:DY752)</f>
        <v>0</v>
      </c>
      <c r="DV753" s="1368"/>
      <c r="DW753" s="1368"/>
      <c r="DX753" s="1368"/>
      <c r="DY753" s="1368"/>
      <c r="DZ753" s="1368">
        <f>SUM(DZ718:ED752)</f>
        <v>30</v>
      </c>
      <c r="EA753" s="1368"/>
      <c r="EB753" s="1368"/>
      <c r="EC753" s="1368"/>
      <c r="ED753" s="1368"/>
      <c r="EE753" s="1368">
        <f>SUM(EE718:EI752)</f>
        <v>0</v>
      </c>
      <c r="EF753" s="1368"/>
      <c r="EG753" s="1368"/>
      <c r="EH753" s="1368"/>
      <c r="EI753" s="1368"/>
      <c r="EJ753" s="1368">
        <f>SUM(EJ718:EN752)</f>
        <v>0</v>
      </c>
      <c r="EK753" s="1368"/>
      <c r="EL753" s="1368"/>
      <c r="EM753" s="1368"/>
      <c r="EN753" s="1368"/>
      <c r="EO753" s="1368">
        <f>SUM(EO718:ES752)</f>
        <v>0</v>
      </c>
      <c r="EP753" s="1368"/>
      <c r="EQ753" s="1368"/>
      <c r="ER753" s="1368"/>
      <c r="ES753" s="1368"/>
      <c r="ET753" s="1368">
        <f>SUM(ET718:EX752)</f>
        <v>0</v>
      </c>
      <c r="EU753" s="1368"/>
      <c r="EV753" s="1368"/>
      <c r="EW753" s="1368"/>
      <c r="EX753" s="1368"/>
      <c r="EY753"/>
      <c r="EZ753" s="1368">
        <f>SUM(EZ718:FD752)</f>
        <v>0</v>
      </c>
      <c r="FA753" s="1368"/>
      <c r="FB753" s="1368"/>
      <c r="FC753" s="1368"/>
      <c r="FD753" s="1368"/>
      <c r="FE753" s="1368">
        <f>SUM(FE718:FI752)</f>
        <v>2020</v>
      </c>
      <c r="FF753" s="1368"/>
      <c r="FG753" s="1368"/>
      <c r="FH753" s="1368"/>
      <c r="FI753" s="1368"/>
      <c r="FJ753" s="1368">
        <f>SUM(FJ718:FN752)</f>
        <v>0</v>
      </c>
      <c r="FK753" s="1368"/>
      <c r="FL753" s="1368"/>
      <c r="FM753" s="1368"/>
      <c r="FN753" s="1368"/>
      <c r="FO753" s="1368">
        <f>SUM(FO718:FS752)</f>
        <v>0</v>
      </c>
      <c r="FP753" s="1368"/>
      <c r="FQ753" s="1368"/>
      <c r="FR753" s="1368"/>
      <c r="FS753" s="1368"/>
      <c r="FT753" s="1368">
        <f>SUM(FT718:FX752)</f>
        <v>0</v>
      </c>
      <c r="FU753" s="1368"/>
      <c r="FV753" s="1368"/>
      <c r="FW753" s="1368"/>
      <c r="FX753" s="1368"/>
      <c r="FY753" s="1368">
        <f>SUM(FY718:GC752)</f>
        <v>0</v>
      </c>
      <c r="FZ753" s="1368"/>
      <c r="GA753" s="1368"/>
      <c r="GB753" s="1368"/>
      <c r="GC753" s="1368"/>
    </row>
    <row r="754" spans="1:185" s="3" customFormat="1" ht="13" customHeight="1">
      <c r="A754"/>
      <c r="B754" s="1740" t="s">
        <v>1893</v>
      </c>
      <c r="C754" s="1740"/>
      <c r="D754" s="1740"/>
      <c r="E754" s="1740"/>
      <c r="F754" s="1740"/>
      <c r="G754" s="1740"/>
      <c r="H754" s="1740"/>
      <c r="I754" s="1740"/>
      <c r="J754" s="1740"/>
      <c r="K754" s="1740"/>
      <c r="L754" s="1740"/>
      <c r="M754" s="1740"/>
      <c r="N754" s="1740"/>
      <c r="O754" s="1740"/>
      <c r="P754" s="1740"/>
      <c r="Q754" s="1740"/>
      <c r="R754" s="1740"/>
      <c r="S754" s="1740"/>
      <c r="T754" s="1740"/>
      <c r="U754" s="1740"/>
      <c r="V754" s="1740"/>
      <c r="W754" s="1740"/>
      <c r="X754" s="1740"/>
      <c r="Y754" s="1740"/>
      <c r="Z754" s="1740"/>
      <c r="AA754" s="1740"/>
      <c r="AB754" s="1740"/>
      <c r="AC754" s="1740"/>
      <c r="AD754" s="1740"/>
      <c r="AE754" s="1740"/>
      <c r="AF754" s="1740"/>
      <c r="AG754" s="1740"/>
      <c r="AH754" s="1740"/>
      <c r="AI754"/>
      <c r="AJ754"/>
      <c r="AK754"/>
      <c r="AT754"/>
      <c r="AU754"/>
      <c r="AV754"/>
      <c r="AW754"/>
      <c r="AX754"/>
      <c r="AY754"/>
      <c r="CD754"/>
      <c r="DN754" s="56" t="s">
        <v>1860</v>
      </c>
      <c r="DO754" s="1361">
        <f>CP753+CU753+CZ753+DE753+DJ753+DO753</f>
        <v>60</v>
      </c>
      <c r="DP754" s="1362"/>
      <c r="DQ754" s="1362"/>
      <c r="DR754" s="1362"/>
      <c r="DS754" s="1363"/>
      <c r="DT754" s="355"/>
      <c r="EI754"/>
      <c r="EJ754"/>
      <c r="EK754"/>
      <c r="EL754"/>
      <c r="EM754"/>
      <c r="EN754"/>
      <c r="EO754"/>
      <c r="EP754"/>
      <c r="EQ754"/>
      <c r="ER754"/>
      <c r="ES754"/>
      <c r="ET754"/>
      <c r="EU754"/>
      <c r="EV754"/>
      <c r="EW754"/>
      <c r="EX754"/>
      <c r="EY754"/>
      <c r="EZ754"/>
      <c r="FA754"/>
      <c r="FB754"/>
      <c r="FC754"/>
      <c r="FD754"/>
      <c r="FE754"/>
      <c r="FF754"/>
      <c r="FG754"/>
      <c r="FH754"/>
      <c r="FI754"/>
      <c r="FJ754"/>
      <c r="FK754"/>
      <c r="FL754"/>
      <c r="FM754"/>
      <c r="FN754"/>
      <c r="FO754"/>
      <c r="FP754"/>
      <c r="FQ754"/>
      <c r="FR754"/>
      <c r="FS754"/>
      <c r="FT754"/>
      <c r="FU754"/>
      <c r="FV754"/>
      <c r="FW754"/>
      <c r="FX754"/>
      <c r="FY754"/>
      <c r="FZ754"/>
      <c r="GA754"/>
      <c r="GB754"/>
      <c r="GC754"/>
    </row>
    <row r="755" spans="1:185" ht="13" customHeight="1">
      <c r="B755" s="1740"/>
      <c r="C755" s="1740"/>
      <c r="D755" s="1740"/>
      <c r="E755" s="1740"/>
      <c r="F755" s="1740"/>
      <c r="G755" s="1740"/>
      <c r="H755" s="1740"/>
      <c r="I755" s="1740"/>
      <c r="J755" s="1740"/>
      <c r="K755" s="1740"/>
      <c r="L755" s="1740"/>
      <c r="M755" s="1740"/>
      <c r="N755" s="1740"/>
      <c r="O755" s="1740"/>
      <c r="P755" s="1740"/>
      <c r="Q755" s="1740"/>
      <c r="R755" s="1740"/>
      <c r="S755" s="1740"/>
      <c r="T755" s="1740"/>
      <c r="U755" s="1740"/>
      <c r="V755" s="1740"/>
      <c r="W755" s="1740"/>
      <c r="X755" s="1740"/>
      <c r="Y755" s="1740"/>
      <c r="Z755" s="1740"/>
      <c r="AA755" s="1740"/>
      <c r="AB755" s="1740"/>
      <c r="AC755" s="1740"/>
      <c r="AD755" s="1740"/>
      <c r="AE755" s="1740"/>
      <c r="AF755" s="1740"/>
      <c r="AG755" s="1740"/>
      <c r="AH755" s="1740"/>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T755" s="862">
        <f>CP753*1</f>
        <v>0</v>
      </c>
      <c r="CU755" s="3"/>
      <c r="CV755" s="3"/>
      <c r="CW755" s="3"/>
      <c r="CX755" s="3"/>
      <c r="CY755" s="862">
        <f>CU753*1</f>
        <v>60</v>
      </c>
      <c r="CZ755" s="3"/>
      <c r="DA755" s="3"/>
      <c r="DB755" s="3"/>
      <c r="DC755" s="3"/>
      <c r="DD755" s="862">
        <f>CZ753*2</f>
        <v>0</v>
      </c>
      <c r="DE755" s="3"/>
      <c r="DF755" s="3"/>
      <c r="DG755" s="3"/>
      <c r="DH755" s="3"/>
      <c r="DI755" s="862">
        <f>DE753*3</f>
        <v>0</v>
      </c>
      <c r="DJ755" s="3"/>
      <c r="DK755" s="3"/>
      <c r="DL755" s="3"/>
      <c r="DM755" s="3"/>
      <c r="DN755" s="862">
        <f>DJ753*4</f>
        <v>0</v>
      </c>
      <c r="DO755" s="3"/>
      <c r="DP755" s="3"/>
      <c r="DQ755" s="3"/>
      <c r="DR755" s="3"/>
      <c r="DS755" s="862">
        <f>DO753*5</f>
        <v>0</v>
      </c>
      <c r="DU755" s="862">
        <f>CT755+CY755+DD755+DI755+DN755+DS755</f>
        <v>60</v>
      </c>
      <c r="DV755" s="57" t="s">
        <v>1862</v>
      </c>
      <c r="DW755" s="3"/>
      <c r="DX755" s="3"/>
      <c r="DY755" s="3"/>
      <c r="DZ755" s="3"/>
      <c r="EA755" s="3"/>
      <c r="EB755" s="3"/>
      <c r="EC755" s="3"/>
      <c r="ED755" s="3"/>
      <c r="EE755" s="3"/>
      <c r="EF755" s="3"/>
      <c r="EG755" s="3"/>
      <c r="EH755" s="3"/>
    </row>
    <row r="756" spans="1:185" ht="13" customHeight="1">
      <c r="A756" s="3"/>
      <c r="B756" s="3"/>
      <c r="C756" s="118" t="s">
        <v>1891</v>
      </c>
      <c r="D756" s="1033"/>
      <c r="E756" s="1033"/>
      <c r="F756" s="1033"/>
      <c r="G756" s="1034"/>
      <c r="H756" s="1034"/>
      <c r="I756" s="1034"/>
      <c r="J756" s="1034"/>
      <c r="K756" s="1033"/>
      <c r="L756" s="1033"/>
      <c r="M756" s="1033"/>
      <c r="N756" s="1033"/>
      <c r="O756" s="1368">
        <f>DU755</f>
        <v>60</v>
      </c>
      <c r="P756" s="1368"/>
      <c r="Q756" s="1368"/>
      <c r="R756" s="1368"/>
      <c r="S756" s="970"/>
      <c r="T756" s="970"/>
      <c r="U756" s="118" t="s">
        <v>1892</v>
      </c>
      <c r="V756" s="1033"/>
      <c r="W756" s="1033"/>
      <c r="X756" s="1033"/>
      <c r="Y756" s="1034"/>
      <c r="Z756" s="1034"/>
      <c r="AA756" s="1034"/>
      <c r="AB756" s="1034"/>
      <c r="AC756" s="1033"/>
      <c r="AD756" s="1033"/>
      <c r="AE756" s="1033"/>
      <c r="AF756" s="1033"/>
      <c r="AG756" s="1601">
        <v>0</v>
      </c>
      <c r="AH756" s="1601"/>
      <c r="AI756" s="1601"/>
      <c r="AJ756" s="1601"/>
      <c r="AK756" s="3"/>
      <c r="AL756" s="3"/>
      <c r="AM756" s="3"/>
      <c r="AN756" s="3"/>
      <c r="AO756" s="3"/>
      <c r="AP756" s="3"/>
      <c r="AQ756" s="3"/>
      <c r="AR756" s="3"/>
      <c r="AS756" s="3"/>
      <c r="AZ756" s="3"/>
      <c r="BA756" s="3"/>
      <c r="BB756" s="291"/>
      <c r="BC756" s="291"/>
      <c r="BD756" s="291"/>
      <c r="BE756" s="291"/>
      <c r="BF756" s="291"/>
      <c r="BG756" s="291"/>
      <c r="BH756" s="291"/>
      <c r="BI756" s="291"/>
      <c r="BJ756" s="291"/>
      <c r="BK756" s="291"/>
      <c r="BL756" s="291"/>
      <c r="BM756" s="291"/>
      <c r="BN756" s="291"/>
      <c r="BO756" s="291"/>
      <c r="BP756" s="291"/>
      <c r="BQ756" s="291"/>
      <c r="BR756" s="291"/>
      <c r="BS756" s="291"/>
      <c r="BT756" s="291"/>
      <c r="BU756" s="291"/>
      <c r="BV756" s="291"/>
      <c r="BW756" s="291"/>
      <c r="BX756" s="291"/>
      <c r="BY756" s="291"/>
      <c r="BZ756" s="291"/>
      <c r="CA756" s="291"/>
      <c r="CB756" s="291"/>
      <c r="CC756" s="291"/>
      <c r="CE756" s="3"/>
      <c r="CF756" s="291"/>
      <c r="CG756" s="291"/>
      <c r="CH756" s="291"/>
      <c r="CI756" s="291"/>
      <c r="CJ756" s="291"/>
      <c r="CK756" s="291"/>
      <c r="CL756" s="291"/>
      <c r="CM756" s="291"/>
      <c r="CN756" s="291"/>
      <c r="CO756" s="291"/>
      <c r="CP756" s="291"/>
      <c r="CQ756" s="291"/>
      <c r="CR756" s="291"/>
      <c r="CS756" s="291"/>
      <c r="CT756" s="291"/>
      <c r="CU756" s="291"/>
      <c r="CV756" s="291"/>
      <c r="CW756" s="291"/>
      <c r="CX756" s="291"/>
      <c r="CY756" s="291"/>
      <c r="CZ756" s="291"/>
      <c r="DA756" s="291"/>
      <c r="DB756" s="291"/>
      <c r="DC756" s="291"/>
      <c r="DD756" s="291"/>
      <c r="DE756" s="291"/>
      <c r="DF756" s="291"/>
      <c r="DG756" s="291"/>
      <c r="DH756" s="291"/>
      <c r="DI756" s="291"/>
      <c r="DJ756" s="291"/>
      <c r="DK756" s="291"/>
      <c r="DL756" s="291"/>
      <c r="DM756" s="291"/>
      <c r="DN756" s="291"/>
      <c r="DO756" s="291"/>
      <c r="DP756" s="291"/>
      <c r="DQ756" s="291"/>
      <c r="DR756" s="291"/>
      <c r="DS756" s="291"/>
      <c r="DT756" s="291"/>
      <c r="DU756" s="291"/>
      <c r="DV756" s="291"/>
      <c r="DW756" s="291"/>
      <c r="FB756" s="291"/>
      <c r="FC756" s="291"/>
    </row>
    <row r="757" spans="1:185" ht="13" customHeight="1">
      <c r="B757" s="57"/>
      <c r="C757" s="1856" t="str">
        <f>IF(G753&lt;&gt;AG440,"! Total Low-Income Units in the Unit Mix Table above does not match the number of Total Low-Income Units on row #"&amp;TEXT(ROW(D440),"#"),"")</f>
        <v/>
      </c>
      <c r="D757" s="1856"/>
      <c r="E757" s="1856"/>
      <c r="F757" s="1856"/>
      <c r="G757" s="1856"/>
      <c r="H757" s="1856"/>
      <c r="I757" s="1856"/>
      <c r="J757" s="1856"/>
      <c r="K757" s="1856"/>
      <c r="L757" s="1856"/>
      <c r="M757" s="1856"/>
      <c r="N757" s="1856"/>
      <c r="O757" s="1856"/>
      <c r="P757" s="1856"/>
      <c r="Q757" s="1856"/>
      <c r="R757" s="1856"/>
      <c r="S757" s="1856"/>
      <c r="T757" s="1856"/>
      <c r="U757" s="1856"/>
      <c r="V757" s="1856"/>
      <c r="W757" s="1856"/>
      <c r="X757" s="1856"/>
      <c r="Y757" s="1856"/>
      <c r="Z757" s="1856"/>
      <c r="AA757" s="1856"/>
      <c r="AB757" s="1856"/>
      <c r="AC757" s="1856"/>
      <c r="AD757" s="1856"/>
      <c r="AE757" s="1856"/>
      <c r="AF757" s="1856"/>
      <c r="AG757" s="1856"/>
      <c r="AH757" s="1856"/>
      <c r="AI757" s="1856"/>
      <c r="AJ757" s="1856"/>
      <c r="AK757" s="1856"/>
      <c r="AL757" s="1856"/>
      <c r="AM757" s="1856"/>
      <c r="AP757" s="291"/>
      <c r="AQ757" s="291"/>
      <c r="AR757" s="291"/>
      <c r="AS757" s="291"/>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85" ht="13" customHeight="1">
      <c r="B758" s="57"/>
      <c r="C758" s="1856"/>
      <c r="D758" s="1856"/>
      <c r="E758" s="1856"/>
      <c r="F758" s="1856"/>
      <c r="G758" s="1856"/>
      <c r="H758" s="1856"/>
      <c r="I758" s="1856"/>
      <c r="J758" s="1856"/>
      <c r="K758" s="1856"/>
      <c r="L758" s="1856"/>
      <c r="M758" s="1856"/>
      <c r="N758" s="1856"/>
      <c r="O758" s="1856"/>
      <c r="P758" s="1856"/>
      <c r="Q758" s="1856"/>
      <c r="R758" s="1856"/>
      <c r="S758" s="1856"/>
      <c r="T758" s="1856"/>
      <c r="U758" s="1856"/>
      <c r="V758" s="1856"/>
      <c r="W758" s="1856"/>
      <c r="X758" s="1856"/>
      <c r="Y758" s="1856"/>
      <c r="Z758" s="1856"/>
      <c r="AA758" s="1856"/>
      <c r="AB758" s="1856"/>
      <c r="AC758" s="1856"/>
      <c r="AD758" s="1856"/>
      <c r="AE758" s="1856"/>
      <c r="AF758" s="1856"/>
      <c r="AG758" s="1856"/>
      <c r="AH758" s="1856"/>
      <c r="AI758" s="1856"/>
      <c r="AJ758" s="1856"/>
      <c r="AK758" s="1856"/>
      <c r="AL758" s="1856"/>
      <c r="AM758" s="1856"/>
      <c r="AP758" s="291"/>
      <c r="AQ758" s="291"/>
      <c r="AR758" s="291"/>
      <c r="AS758" s="291"/>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85" ht="13" customHeight="1">
      <c r="B759" s="3"/>
      <c r="C759" s="118" t="s">
        <v>1890</v>
      </c>
      <c r="D759" s="1035"/>
      <c r="E759" s="1035"/>
      <c r="F759" s="1035"/>
      <c r="G759" s="1035"/>
      <c r="H759" s="1035"/>
      <c r="I759" s="1035"/>
      <c r="J759" s="1035"/>
      <c r="K759" s="1035"/>
      <c r="L759" s="1035"/>
      <c r="M759" s="1035"/>
      <c r="N759" s="1035"/>
      <c r="O759" s="1035"/>
      <c r="P759" s="1035"/>
      <c r="Q759" s="1035"/>
      <c r="R759" s="1035"/>
      <c r="S759" s="1035"/>
      <c r="T759" s="1035"/>
      <c r="U759" s="1035"/>
      <c r="V759" s="1035"/>
      <c r="W759" s="1035"/>
      <c r="X759" s="1035"/>
      <c r="Y759" s="1035"/>
      <c r="Z759" s="1035"/>
      <c r="AA759" s="1035"/>
      <c r="AB759" s="1035"/>
      <c r="AC759" s="1035"/>
      <c r="AD759" s="1609" t="s">
        <v>590</v>
      </c>
      <c r="AE759" s="1609"/>
      <c r="AF759" s="1609"/>
      <c r="AG759" s="1035"/>
      <c r="AH759" s="1035"/>
      <c r="AI759" s="1035"/>
      <c r="AJ759" s="1035"/>
      <c r="AK759" s="1035"/>
      <c r="AL759" s="1035"/>
      <c r="AM759" s="1035"/>
      <c r="AN759" s="1035"/>
      <c r="AO759" s="1035"/>
      <c r="AP759" s="1035"/>
      <c r="AQ759" s="1035"/>
      <c r="AR759" s="1035"/>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85" ht="13" customHeight="1">
      <c r="C760" s="1036" t="s">
        <v>2089</v>
      </c>
      <c r="D760" s="1035"/>
      <c r="E760" s="1035"/>
      <c r="F760" s="1035"/>
      <c r="G760" s="1035"/>
      <c r="H760" s="1035"/>
      <c r="I760" s="1035"/>
      <c r="J760" s="1035"/>
      <c r="K760" s="1035"/>
      <c r="L760" s="1035"/>
      <c r="M760" s="1035"/>
      <c r="N760" s="1035"/>
      <c r="O760" s="1035"/>
      <c r="P760" s="1035"/>
      <c r="Q760" s="1035"/>
      <c r="R760" s="1035"/>
      <c r="S760" s="1035"/>
      <c r="T760" s="1035"/>
      <c r="U760" s="1035"/>
      <c r="V760" s="1035"/>
      <c r="W760" s="1035"/>
      <c r="X760" s="1035"/>
      <c r="Y760" s="1035"/>
      <c r="Z760" s="1035"/>
      <c r="AA760" s="1035"/>
      <c r="AB760" s="1035"/>
      <c r="AC760" s="1035"/>
      <c r="AD760" s="1035"/>
      <c r="AE760" s="1035"/>
      <c r="AF760" s="1035"/>
      <c r="AG760" s="1035"/>
      <c r="AH760" s="1035"/>
      <c r="AI760" s="1035"/>
      <c r="AJ760" s="1035"/>
      <c r="AK760" s="1035"/>
      <c r="AL760" s="1035"/>
      <c r="AM760" s="1035"/>
      <c r="AN760" s="1035"/>
      <c r="AO760" s="1035"/>
      <c r="AP760" s="1035"/>
      <c r="AQ760" s="1035"/>
      <c r="AR760" s="1035"/>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85" ht="13" customHeight="1">
      <c r="A761" s="2" t="s">
        <v>575</v>
      </c>
      <c r="B761" s="56"/>
      <c r="C761" s="57" t="s">
        <v>423</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DU761" s="3"/>
      <c r="DV761" s="3"/>
      <c r="DW761" s="3"/>
      <c r="FB761" s="3"/>
      <c r="FC761" s="3"/>
    </row>
    <row r="762" spans="1:185" ht="13" customHeight="1">
      <c r="A762" s="3"/>
      <c r="B762" s="1033"/>
      <c r="C762" s="118" t="s">
        <v>176</v>
      </c>
      <c r="D762" s="1033"/>
      <c r="E762" s="1033"/>
      <c r="F762" s="1033"/>
      <c r="G762" s="355"/>
      <c r="H762" s="355"/>
      <c r="I762" s="355"/>
      <c r="J762" s="355"/>
      <c r="K762" s="355"/>
      <c r="L762" s="1033"/>
      <c r="M762" s="1033"/>
      <c r="N762" s="1033"/>
      <c r="O762" s="1033"/>
      <c r="P762" s="1033"/>
      <c r="Q762" s="355"/>
      <c r="R762" s="355"/>
      <c r="S762" s="355"/>
      <c r="T762" s="355"/>
      <c r="U762" s="355"/>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DU762" s="3"/>
      <c r="DV762" s="3"/>
      <c r="DW762" s="3"/>
      <c r="FB762" s="3"/>
      <c r="FC762" s="3"/>
    </row>
    <row r="763" spans="1:185" ht="13" customHeight="1">
      <c r="A763" s="3"/>
      <c r="B763" s="1033"/>
      <c r="C763" s="1276" t="s">
        <v>2090</v>
      </c>
      <c r="D763" s="1276"/>
      <c r="E763" s="1276"/>
      <c r="F763" s="1276"/>
      <c r="G763" s="1276"/>
      <c r="H763" s="1276"/>
      <c r="I763" s="1276"/>
      <c r="J763" s="1276"/>
      <c r="K763" s="1276"/>
      <c r="L763" s="1276"/>
      <c r="M763" s="1276"/>
      <c r="N763" s="1276"/>
      <c r="O763" s="1276"/>
      <c r="P763" s="1276"/>
      <c r="Q763" s="1276"/>
      <c r="R763" s="1276"/>
      <c r="S763" s="1276"/>
      <c r="T763" s="1276"/>
      <c r="U763" s="1276"/>
      <c r="V763" s="1276"/>
      <c r="W763" s="1276"/>
      <c r="X763" s="1276"/>
      <c r="Y763" s="1276"/>
      <c r="Z763" s="1276"/>
      <c r="AA763" s="1276"/>
      <c r="AB763" s="1276"/>
      <c r="AC763" s="1276"/>
      <c r="AD763" s="1276"/>
      <c r="AE763" s="1276"/>
      <c r="AF763" s="1276"/>
      <c r="AG763" s="1276"/>
      <c r="AH763" s="1276"/>
      <c r="AI763" s="1276"/>
      <c r="AJ763" s="1276"/>
      <c r="AK763" s="1276"/>
      <c r="AL763" s="1276"/>
      <c r="AM763" s="1276"/>
      <c r="AN763" s="1276"/>
      <c r="AO763" s="1276"/>
      <c r="AP763" s="1276"/>
      <c r="AQ763" s="1276"/>
      <c r="AR763" s="1276"/>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85" ht="13" customHeight="1">
      <c r="A764" s="3"/>
      <c r="B764" s="1033"/>
      <c r="C764" s="1276"/>
      <c r="D764" s="1276"/>
      <c r="E764" s="1276"/>
      <c r="F764" s="1276"/>
      <c r="G764" s="1276"/>
      <c r="H764" s="1276"/>
      <c r="I764" s="1276"/>
      <c r="J764" s="1276"/>
      <c r="K764" s="1276"/>
      <c r="L764" s="1276"/>
      <c r="M764" s="1276"/>
      <c r="N764" s="1276"/>
      <c r="O764" s="1276"/>
      <c r="P764" s="1276"/>
      <c r="Q764" s="1276"/>
      <c r="R764" s="1276"/>
      <c r="S764" s="1276"/>
      <c r="T764" s="1276"/>
      <c r="U764" s="1276"/>
      <c r="V764" s="1276"/>
      <c r="W764" s="1276"/>
      <c r="X764" s="1276"/>
      <c r="Y764" s="1276"/>
      <c r="Z764" s="1276"/>
      <c r="AA764" s="1276"/>
      <c r="AB764" s="1276"/>
      <c r="AC764" s="1276"/>
      <c r="AD764" s="1276"/>
      <c r="AE764" s="1276"/>
      <c r="AF764" s="1276"/>
      <c r="AG764" s="1276"/>
      <c r="AH764" s="1276"/>
      <c r="AI764" s="1276"/>
      <c r="AJ764" s="1276"/>
      <c r="AK764" s="1276"/>
      <c r="AL764" s="1276"/>
      <c r="AM764" s="1276"/>
      <c r="AN764" s="1276"/>
      <c r="AO764" s="1276"/>
      <c r="AP764" s="1276"/>
      <c r="AQ764" s="1276"/>
      <c r="AR764" s="1276"/>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DU764" s="3"/>
      <c r="DV764" s="3"/>
      <c r="DW764" s="3"/>
      <c r="FB764" s="3"/>
      <c r="FC764" s="3"/>
    </row>
    <row r="765" spans="1:185" ht="13" customHeight="1">
      <c r="A765" s="3"/>
      <c r="B765" s="1033"/>
      <c r="C765" s="1276"/>
      <c r="D765" s="1276"/>
      <c r="E765" s="1276"/>
      <c r="F765" s="1276"/>
      <c r="G765" s="1276"/>
      <c r="H765" s="1276"/>
      <c r="I765" s="1276"/>
      <c r="J765" s="1276"/>
      <c r="K765" s="1276"/>
      <c r="L765" s="1276"/>
      <c r="M765" s="1276"/>
      <c r="N765" s="1276"/>
      <c r="O765" s="1276"/>
      <c r="P765" s="1276"/>
      <c r="Q765" s="1276"/>
      <c r="R765" s="1276"/>
      <c r="S765" s="1276"/>
      <c r="T765" s="1276"/>
      <c r="U765" s="1276"/>
      <c r="V765" s="1276"/>
      <c r="W765" s="1276"/>
      <c r="X765" s="1276"/>
      <c r="Y765" s="1276"/>
      <c r="Z765" s="1276"/>
      <c r="AA765" s="1276"/>
      <c r="AB765" s="1276"/>
      <c r="AC765" s="1276"/>
      <c r="AD765" s="1276"/>
      <c r="AE765" s="1276"/>
      <c r="AF765" s="1276"/>
      <c r="AG765" s="1276"/>
      <c r="AH765" s="1276"/>
      <c r="AI765" s="1276"/>
      <c r="AJ765" s="1276"/>
      <c r="AK765" s="1276"/>
      <c r="AL765" s="1276"/>
      <c r="AM765" s="1276"/>
      <c r="AN765" s="1276"/>
      <c r="AO765" s="1276"/>
      <c r="AP765" s="1276"/>
      <c r="AQ765" s="1276"/>
      <c r="AR765" s="1276"/>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row>
    <row r="766" spans="1:185" ht="13" customHeight="1">
      <c r="A766" s="3"/>
      <c r="B766" s="1033"/>
      <c r="C766" s="1276" t="s">
        <v>2091</v>
      </c>
      <c r="D766" s="1276"/>
      <c r="E766" s="1276"/>
      <c r="F766" s="1276"/>
      <c r="G766" s="1276"/>
      <c r="H766" s="1276"/>
      <c r="I766" s="1276"/>
      <c r="J766" s="1276"/>
      <c r="K766" s="1276"/>
      <c r="L766" s="1276"/>
      <c r="M766" s="1276"/>
      <c r="N766" s="1276"/>
      <c r="O766" s="1276"/>
      <c r="P766" s="1276"/>
      <c r="Q766" s="1276"/>
      <c r="R766" s="1276"/>
      <c r="S766" s="1276"/>
      <c r="T766" s="1276"/>
      <c r="U766" s="1276"/>
      <c r="V766" s="1276"/>
      <c r="W766" s="1276"/>
      <c r="X766" s="1276"/>
      <c r="Y766" s="1276"/>
      <c r="Z766" s="1276"/>
      <c r="AA766" s="1276"/>
      <c r="AB766" s="1276"/>
      <c r="AC766" s="1276"/>
      <c r="AD766" s="1276"/>
      <c r="AE766" s="1276"/>
      <c r="AF766" s="1276"/>
      <c r="AG766" s="1276"/>
      <c r="AH766" s="1276"/>
      <c r="AI766" s="1276"/>
      <c r="AJ766" s="1276"/>
      <c r="AK766" s="1276"/>
      <c r="AL766" s="1276"/>
      <c r="AM766" s="1276"/>
      <c r="AN766" s="1276"/>
      <c r="AO766" s="1276"/>
      <c r="AP766" s="1276"/>
      <c r="AQ766" s="1276"/>
      <c r="AR766" s="1276"/>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DX766" s="291"/>
      <c r="DY766" s="291"/>
      <c r="DZ766" s="291"/>
      <c r="EA766" s="291"/>
      <c r="EB766" s="291"/>
      <c r="EC766" s="291"/>
      <c r="ED766" s="291"/>
      <c r="EE766" s="291"/>
      <c r="EF766" s="291"/>
      <c r="EG766" s="291"/>
      <c r="EH766" s="291"/>
      <c r="EI766" s="291"/>
      <c r="EJ766" s="291"/>
      <c r="EK766" s="291"/>
      <c r="EL766" s="291"/>
      <c r="EM766" s="291"/>
      <c r="EN766" s="291"/>
      <c r="EO766" s="291"/>
      <c r="EP766" s="291"/>
      <c r="EQ766" s="291"/>
      <c r="ER766" s="291"/>
      <c r="ES766" s="291"/>
      <c r="ET766" s="291"/>
      <c r="EU766" s="291"/>
      <c r="EV766" s="291"/>
      <c r="EW766" s="291"/>
      <c r="EX766" s="291"/>
      <c r="EY766" s="291"/>
      <c r="EZ766" s="291"/>
      <c r="FA766" s="291"/>
    </row>
    <row r="767" spans="1:185" ht="13" customHeight="1">
      <c r="A767" s="3"/>
      <c r="B767" s="1033"/>
      <c r="C767" s="1276"/>
      <c r="D767" s="1276"/>
      <c r="E767" s="1276"/>
      <c r="F767" s="1276"/>
      <c r="G767" s="1276"/>
      <c r="H767" s="1276"/>
      <c r="I767" s="1276"/>
      <c r="J767" s="1276"/>
      <c r="K767" s="1276"/>
      <c r="L767" s="1276"/>
      <c r="M767" s="1276"/>
      <c r="N767" s="1276"/>
      <c r="O767" s="1276"/>
      <c r="P767" s="1276"/>
      <c r="Q767" s="1276"/>
      <c r="R767" s="1276"/>
      <c r="S767" s="1276"/>
      <c r="T767" s="1276"/>
      <c r="U767" s="1276"/>
      <c r="V767" s="1276"/>
      <c r="W767" s="1276"/>
      <c r="X767" s="1276"/>
      <c r="Y767" s="1276"/>
      <c r="Z767" s="1276"/>
      <c r="AA767" s="1276"/>
      <c r="AB767" s="1276"/>
      <c r="AC767" s="1276"/>
      <c r="AD767" s="1276"/>
      <c r="AE767" s="1276"/>
      <c r="AF767" s="1276"/>
      <c r="AG767" s="1276"/>
      <c r="AH767" s="1276"/>
      <c r="AI767" s="1276"/>
      <c r="AJ767" s="1276"/>
      <c r="AK767" s="1276"/>
      <c r="AL767" s="1276"/>
      <c r="AM767" s="1276"/>
      <c r="AN767" s="1276"/>
      <c r="AO767" s="1276"/>
      <c r="AP767" s="1276"/>
      <c r="AQ767" s="1276"/>
      <c r="AR767" s="1276"/>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row>
    <row r="768" spans="1:185" ht="13" customHeight="1">
      <c r="A768" s="3"/>
      <c r="B768" s="1033"/>
      <c r="C768" s="1276"/>
      <c r="D768" s="1276"/>
      <c r="E768" s="1276"/>
      <c r="F768" s="1276"/>
      <c r="G768" s="1276"/>
      <c r="H768" s="1276"/>
      <c r="I768" s="1276"/>
      <c r="J768" s="1276"/>
      <c r="K768" s="1276"/>
      <c r="L768" s="1276"/>
      <c r="M768" s="1276"/>
      <c r="N768" s="1276"/>
      <c r="O768" s="1276"/>
      <c r="P768" s="1276"/>
      <c r="Q768" s="1276"/>
      <c r="R768" s="1276"/>
      <c r="S768" s="1276"/>
      <c r="T768" s="1276"/>
      <c r="U768" s="1276"/>
      <c r="V768" s="1276"/>
      <c r="W768" s="1276"/>
      <c r="X768" s="1276"/>
      <c r="Y768" s="1276"/>
      <c r="Z768" s="1276"/>
      <c r="AA768" s="1276"/>
      <c r="AB768" s="1276"/>
      <c r="AC768" s="1276"/>
      <c r="AD768" s="1276"/>
      <c r="AE768" s="1276"/>
      <c r="AF768" s="1276"/>
      <c r="AG768" s="1276"/>
      <c r="AH768" s="1276"/>
      <c r="AI768" s="1276"/>
      <c r="AJ768" s="1276"/>
      <c r="AK768" s="1276"/>
      <c r="AL768" s="1276"/>
      <c r="AM768" s="1276"/>
      <c r="AN768" s="1276"/>
      <c r="AO768" s="1276"/>
      <c r="AP768" s="1276"/>
      <c r="AQ768" s="1276"/>
      <c r="AR768" s="1276"/>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26" ht="13" customHeight="1">
      <c r="J769" s="1610" t="s">
        <v>388</v>
      </c>
      <c r="K769" s="1611"/>
      <c r="L769" s="1611"/>
      <c r="M769" s="1611"/>
      <c r="N769" s="1612"/>
      <c r="O769" s="1647" t="s">
        <v>284</v>
      </c>
      <c r="P769" s="1647"/>
      <c r="Q769" s="1647"/>
      <c r="R769" s="1647"/>
      <c r="S769" s="1647"/>
      <c r="T769" s="1496" t="s">
        <v>1678</v>
      </c>
      <c r="U769" s="1497"/>
      <c r="V769" s="1497"/>
      <c r="W769" s="1498"/>
      <c r="X769" s="1610" t="s">
        <v>446</v>
      </c>
      <c r="Y769" s="1611"/>
      <c r="Z769" s="1611"/>
      <c r="AA769" s="1611"/>
      <c r="AB769" s="1612"/>
      <c r="AC769" s="1610" t="s">
        <v>285</v>
      </c>
      <c r="AD769" s="1611"/>
      <c r="AE769" s="1611"/>
      <c r="AF769" s="1611"/>
      <c r="AG769" s="1612"/>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126" ht="13" customHeight="1">
      <c r="J770" s="1613"/>
      <c r="K770" s="1614"/>
      <c r="L770" s="1614"/>
      <c r="M770" s="1614"/>
      <c r="N770" s="1615"/>
      <c r="O770" s="1647"/>
      <c r="P770" s="1647"/>
      <c r="Q770" s="1647"/>
      <c r="R770" s="1647"/>
      <c r="S770" s="1647"/>
      <c r="T770" s="1499"/>
      <c r="U770" s="1500"/>
      <c r="V770" s="1500"/>
      <c r="W770" s="1501"/>
      <c r="X770" s="1613"/>
      <c r="Y770" s="1614"/>
      <c r="Z770" s="1614"/>
      <c r="AA770" s="1614"/>
      <c r="AB770" s="1615"/>
      <c r="AC770" s="1613"/>
      <c r="AD770" s="1614"/>
      <c r="AE770" s="1614"/>
      <c r="AF770" s="1614"/>
      <c r="AG770" s="1615"/>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126" ht="13" customHeight="1">
      <c r="J771" s="1613"/>
      <c r="K771" s="1614"/>
      <c r="L771" s="1614"/>
      <c r="M771" s="1614"/>
      <c r="N771" s="1615"/>
      <c r="O771" s="1647"/>
      <c r="P771" s="1647"/>
      <c r="Q771" s="1647"/>
      <c r="R771" s="1647"/>
      <c r="S771" s="1647"/>
      <c r="T771" s="1499"/>
      <c r="U771" s="1500"/>
      <c r="V771" s="1500"/>
      <c r="W771" s="1501"/>
      <c r="X771" s="1613"/>
      <c r="Y771" s="1614"/>
      <c r="Z771" s="1614"/>
      <c r="AA771" s="1614"/>
      <c r="AB771" s="1615"/>
      <c r="AC771" s="1613"/>
      <c r="AD771" s="1614"/>
      <c r="AE771" s="1614"/>
      <c r="AF771" s="1614"/>
      <c r="AG771" s="1615"/>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126" ht="13" customHeight="1">
      <c r="J772" s="1616"/>
      <c r="K772" s="1617"/>
      <c r="L772" s="1617"/>
      <c r="M772" s="1617"/>
      <c r="N772" s="1618"/>
      <c r="O772" s="1647"/>
      <c r="P772" s="1647"/>
      <c r="Q772" s="1647"/>
      <c r="R772" s="1647"/>
      <c r="S772" s="1647"/>
      <c r="T772" s="1619"/>
      <c r="U772" s="1620"/>
      <c r="V772" s="1620"/>
      <c r="W772" s="1621"/>
      <c r="X772" s="1616"/>
      <c r="Y772" s="1617"/>
      <c r="Z772" s="1617"/>
      <c r="AA772" s="1617"/>
      <c r="AB772" s="1618"/>
      <c r="AC772" s="1616"/>
      <c r="AD772" s="1617"/>
      <c r="AE772" s="1617"/>
      <c r="AF772" s="1617"/>
      <c r="AG772" s="1618"/>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P772" s="3" t="s">
        <v>103</v>
      </c>
      <c r="CQ772" s="3"/>
      <c r="CR772" s="3"/>
      <c r="CS772" s="3"/>
      <c r="CT772" s="3"/>
      <c r="CU772" s="3"/>
      <c r="CV772" s="3"/>
      <c r="CW772" s="3"/>
      <c r="CX772" s="3"/>
      <c r="CY772" s="3"/>
      <c r="CZ772" s="3"/>
      <c r="DA772" s="3"/>
      <c r="DB772" s="3"/>
      <c r="DC772" s="3"/>
      <c r="DD772" s="3"/>
      <c r="DE772" s="3"/>
      <c r="DF772" s="3"/>
      <c r="DG772" s="3"/>
      <c r="DH772" s="3"/>
      <c r="DI772" s="3"/>
      <c r="DJ772" s="3"/>
      <c r="DK772" s="3"/>
      <c r="DL772" s="3"/>
      <c r="DM772" s="3"/>
      <c r="DN772" s="3"/>
      <c r="DO772" s="3"/>
      <c r="DP772" s="3"/>
      <c r="DQ772" s="3"/>
      <c r="DR772" s="3"/>
      <c r="DS772" s="3"/>
      <c r="DT772" s="6"/>
      <c r="DU772" s="3"/>
      <c r="DV772" s="3"/>
    </row>
    <row r="773" spans="1:126" ht="13" customHeight="1">
      <c r="J773" s="1365" t="s">
        <v>163</v>
      </c>
      <c r="K773" s="1366"/>
      <c r="L773" s="1366"/>
      <c r="M773" s="1366"/>
      <c r="N773" s="1367"/>
      <c r="O773" s="1461">
        <v>1</v>
      </c>
      <c r="P773" s="1461"/>
      <c r="Q773" s="1461"/>
      <c r="R773" s="1461"/>
      <c r="S773" s="1461"/>
      <c r="T773" s="1602">
        <v>875</v>
      </c>
      <c r="U773" s="1603"/>
      <c r="V773" s="1603"/>
      <c r="W773" s="1604"/>
      <c r="X773" s="1487">
        <v>0</v>
      </c>
      <c r="Y773" s="1488"/>
      <c r="Z773" s="1488"/>
      <c r="AA773" s="1488"/>
      <c r="AB773" s="1489"/>
      <c r="AC773" s="1402">
        <f>X773*O773</f>
        <v>0</v>
      </c>
      <c r="AD773" s="1403"/>
      <c r="AE773" s="1403"/>
      <c r="AF773" s="1403"/>
      <c r="AG773" s="1404"/>
      <c r="AH773" s="1022"/>
      <c r="AI773" s="116"/>
      <c r="AJ773" s="116"/>
      <c r="AK773" s="1022"/>
      <c r="AL773" s="1022"/>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P773" s="1342">
        <f>IF(J773="SRO/Studio",O773,0)</f>
        <v>0</v>
      </c>
      <c r="CQ773" s="1343"/>
      <c r="CR773" s="1343"/>
      <c r="CS773" s="1343"/>
      <c r="CT773" s="1344"/>
      <c r="CU773" s="1364">
        <f>IF(J773="1 Bedroom",O773,0)</f>
        <v>0</v>
      </c>
      <c r="CV773" s="1364"/>
      <c r="CW773" s="1364"/>
      <c r="CX773" s="1364"/>
      <c r="CY773" s="1364"/>
      <c r="CZ773" s="1364">
        <f>IF(J773="2 Bedrooms",O773,0)</f>
        <v>1</v>
      </c>
      <c r="DA773" s="1364"/>
      <c r="DB773" s="1364"/>
      <c r="DC773" s="1364"/>
      <c r="DD773" s="1364"/>
      <c r="DE773" s="1364">
        <f>IF(J773="3 Bedrooms",O773,0)</f>
        <v>0</v>
      </c>
      <c r="DF773" s="1364"/>
      <c r="DG773" s="1364"/>
      <c r="DH773" s="1364"/>
      <c r="DI773" s="1364"/>
      <c r="DJ773" s="1364">
        <f>IF(J773="4 Bedrooms",O773,0)</f>
        <v>0</v>
      </c>
      <c r="DK773" s="1364"/>
      <c r="DL773" s="1364"/>
      <c r="DM773" s="1364"/>
      <c r="DN773" s="1364"/>
      <c r="DO773" s="1364">
        <f>IF(J773="5 Bedrooms",O773,0)</f>
        <v>0</v>
      </c>
      <c r="DP773" s="1364"/>
      <c r="DQ773" s="1364"/>
      <c r="DR773" s="1364"/>
      <c r="DS773" s="1364"/>
      <c r="DT773" s="6"/>
      <c r="DU773" s="3"/>
      <c r="DV773" s="3"/>
    </row>
    <row r="774" spans="1:126" ht="13" customHeight="1">
      <c r="J774" s="1365"/>
      <c r="K774" s="1366"/>
      <c r="L774" s="1366"/>
      <c r="M774" s="1366"/>
      <c r="N774" s="1367"/>
      <c r="O774" s="1461"/>
      <c r="P774" s="1461"/>
      <c r="Q774" s="1461"/>
      <c r="R774" s="1461"/>
      <c r="S774" s="1461"/>
      <c r="T774" s="1602"/>
      <c r="U774" s="1603"/>
      <c r="V774" s="1603"/>
      <c r="W774" s="1604"/>
      <c r="X774" s="1487"/>
      <c r="Y774" s="1488"/>
      <c r="Z774" s="1488"/>
      <c r="AA774" s="1488"/>
      <c r="AB774" s="1489"/>
      <c r="AC774" s="1402">
        <f>X774*O774</f>
        <v>0</v>
      </c>
      <c r="AD774" s="1403"/>
      <c r="AE774" s="1403"/>
      <c r="AF774" s="1403"/>
      <c r="AG774" s="1404"/>
      <c r="AH774" s="1022"/>
      <c r="AI774" s="1022"/>
      <c r="AJ774" s="1022"/>
      <c r="AK774" s="1022"/>
      <c r="AL774" s="1022"/>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P774" s="1342">
        <f>IF(J774="SRO/Studio",O774,0)</f>
        <v>0</v>
      </c>
      <c r="CQ774" s="1343"/>
      <c r="CR774" s="1343"/>
      <c r="CS774" s="1343"/>
      <c r="CT774" s="1344"/>
      <c r="CU774" s="1364">
        <f>IF(J774="1 Bedroom",O774,0)</f>
        <v>0</v>
      </c>
      <c r="CV774" s="1364"/>
      <c r="CW774" s="1364"/>
      <c r="CX774" s="1364"/>
      <c r="CY774" s="1364"/>
      <c r="CZ774" s="1364">
        <f>IF(J774="2 Bedrooms",O774,0)</f>
        <v>0</v>
      </c>
      <c r="DA774" s="1364"/>
      <c r="DB774" s="1364"/>
      <c r="DC774" s="1364"/>
      <c r="DD774" s="1364"/>
      <c r="DE774" s="1364">
        <f>IF(J774="3 Bedrooms",O774,0)</f>
        <v>0</v>
      </c>
      <c r="DF774" s="1364"/>
      <c r="DG774" s="1364"/>
      <c r="DH774" s="1364"/>
      <c r="DI774" s="1364"/>
      <c r="DJ774" s="1364">
        <f>IF(J774="4 Bedrooms",O774,0)</f>
        <v>0</v>
      </c>
      <c r="DK774" s="1364"/>
      <c r="DL774" s="1364"/>
      <c r="DM774" s="1364"/>
      <c r="DN774" s="1364"/>
      <c r="DO774" s="1364">
        <f>IF(J774="5 Bedrooms",O774,0)</f>
        <v>0</v>
      </c>
      <c r="DP774" s="1364"/>
      <c r="DQ774" s="1364"/>
      <c r="DR774" s="1364"/>
      <c r="DS774" s="1364"/>
      <c r="DT774" s="6"/>
      <c r="DU774" s="3"/>
      <c r="DV774" s="3"/>
    </row>
    <row r="775" spans="1:126" ht="13" customHeight="1">
      <c r="J775" s="1365"/>
      <c r="K775" s="1366"/>
      <c r="L775" s="1366"/>
      <c r="M775" s="1366"/>
      <c r="N775" s="1367"/>
      <c r="O775" s="1461"/>
      <c r="P775" s="1461"/>
      <c r="Q775" s="1461"/>
      <c r="R775" s="1461"/>
      <c r="S775" s="1461"/>
      <c r="T775" s="1602"/>
      <c r="U775" s="1603"/>
      <c r="V775" s="1603"/>
      <c r="W775" s="1604"/>
      <c r="X775" s="1487"/>
      <c r="Y775" s="1488"/>
      <c r="Z775" s="1488"/>
      <c r="AA775" s="1488"/>
      <c r="AB775" s="1489"/>
      <c r="AC775" s="1402">
        <f>X775*O775</f>
        <v>0</v>
      </c>
      <c r="AD775" s="1403"/>
      <c r="AE775" s="1403"/>
      <c r="AF775" s="1403"/>
      <c r="AG775" s="1404"/>
      <c r="AH775" s="1022"/>
      <c r="AI775" s="1022"/>
      <c r="AJ775" s="1022"/>
      <c r="AK775" s="1022"/>
      <c r="AL775" s="1022"/>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P775" s="1342">
        <f>IF(J775="SRO/Studio",O775,0)</f>
        <v>0</v>
      </c>
      <c r="CQ775" s="1343"/>
      <c r="CR775" s="1343"/>
      <c r="CS775" s="1343"/>
      <c r="CT775" s="1344"/>
      <c r="CU775" s="1364">
        <f>IF(J775="1 Bedroom",O775,0)</f>
        <v>0</v>
      </c>
      <c r="CV775" s="1364"/>
      <c r="CW775" s="1364"/>
      <c r="CX775" s="1364"/>
      <c r="CY775" s="1364"/>
      <c r="CZ775" s="1364">
        <f>IF(J775="2 Bedrooms",O775,0)</f>
        <v>0</v>
      </c>
      <c r="DA775" s="1364"/>
      <c r="DB775" s="1364"/>
      <c r="DC775" s="1364"/>
      <c r="DD775" s="1364"/>
      <c r="DE775" s="1364">
        <f>IF(J775="3 Bedrooms",O775,0)</f>
        <v>0</v>
      </c>
      <c r="DF775" s="1364"/>
      <c r="DG775" s="1364"/>
      <c r="DH775" s="1364"/>
      <c r="DI775" s="1364"/>
      <c r="DJ775" s="1364">
        <f>IF(J775="4 Bedrooms",O775,0)</f>
        <v>0</v>
      </c>
      <c r="DK775" s="1364"/>
      <c r="DL775" s="1364"/>
      <c r="DM775" s="1364"/>
      <c r="DN775" s="1364"/>
      <c r="DO775" s="1364">
        <f>IF(J775="5 Bedrooms",O775,0)</f>
        <v>0</v>
      </c>
      <c r="DP775" s="1364"/>
      <c r="DQ775" s="1364"/>
      <c r="DR775" s="1364"/>
      <c r="DS775" s="1364"/>
      <c r="DT775" s="1013"/>
    </row>
    <row r="776" spans="1:126" ht="13" customHeight="1">
      <c r="J776" s="1365"/>
      <c r="K776" s="1366"/>
      <c r="L776" s="1366"/>
      <c r="M776" s="1366"/>
      <c r="N776" s="1367"/>
      <c r="O776" s="1461"/>
      <c r="P776" s="1461"/>
      <c r="Q776" s="1461"/>
      <c r="R776" s="1461"/>
      <c r="S776" s="1461"/>
      <c r="T776" s="1602"/>
      <c r="U776" s="1603"/>
      <c r="V776" s="1603"/>
      <c r="W776" s="1604"/>
      <c r="X776" s="1487"/>
      <c r="Y776" s="1488"/>
      <c r="Z776" s="1488"/>
      <c r="AA776" s="1488"/>
      <c r="AB776" s="1489"/>
      <c r="AC776" s="1402">
        <f>X776*O776</f>
        <v>0</v>
      </c>
      <c r="AD776" s="1403"/>
      <c r="AE776" s="1403"/>
      <c r="AF776" s="1403"/>
      <c r="AG776" s="1404"/>
      <c r="AH776" s="1022"/>
      <c r="AI776" s="1022"/>
      <c r="AJ776" s="1022"/>
      <c r="AK776" s="1022"/>
      <c r="AL776" s="1022"/>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P776" s="1342">
        <f>IF(J776="SRO/Studio",O776,0)</f>
        <v>0</v>
      </c>
      <c r="CQ776" s="1343"/>
      <c r="CR776" s="1343"/>
      <c r="CS776" s="1343"/>
      <c r="CT776" s="1344"/>
      <c r="CU776" s="1364">
        <f>IF(J776="1 Bedroom",O776,0)</f>
        <v>0</v>
      </c>
      <c r="CV776" s="1364"/>
      <c r="CW776" s="1364"/>
      <c r="CX776" s="1364"/>
      <c r="CY776" s="1364"/>
      <c r="CZ776" s="1364">
        <f>IF(J776="2 Bedrooms",O776,0)</f>
        <v>0</v>
      </c>
      <c r="DA776" s="1364"/>
      <c r="DB776" s="1364"/>
      <c r="DC776" s="1364"/>
      <c r="DD776" s="1364"/>
      <c r="DE776" s="1364">
        <f>IF(J776="3 Bedrooms",O776,0)</f>
        <v>0</v>
      </c>
      <c r="DF776" s="1364"/>
      <c r="DG776" s="1364"/>
      <c r="DH776" s="1364"/>
      <c r="DI776" s="1364"/>
      <c r="DJ776" s="1364">
        <f>IF(J776="4 Bedrooms",O776,0)</f>
        <v>0</v>
      </c>
      <c r="DK776" s="1364"/>
      <c r="DL776" s="1364"/>
      <c r="DM776" s="1364"/>
      <c r="DN776" s="1364"/>
      <c r="DO776" s="1364">
        <f>IF(J776="5 Bedrooms",O776,0)</f>
        <v>0</v>
      </c>
      <c r="DP776" s="1364"/>
      <c r="DQ776" s="1364"/>
      <c r="DR776" s="1364"/>
      <c r="DS776" s="1364"/>
    </row>
    <row r="777" spans="1:126" ht="13" customHeight="1">
      <c r="J777" s="1492" t="s">
        <v>125</v>
      </c>
      <c r="K777" s="1493"/>
      <c r="L777" s="1493"/>
      <c r="M777" s="1493"/>
      <c r="N777" s="1495"/>
      <c r="O777" s="1345">
        <f>SUM(O773:S776)</f>
        <v>1</v>
      </c>
      <c r="P777" s="1346"/>
      <c r="Q777" s="1346"/>
      <c r="R777" s="1346"/>
      <c r="S777" s="1347"/>
      <c r="X777" s="1492" t="s">
        <v>124</v>
      </c>
      <c r="Y777" s="1493"/>
      <c r="Z777" s="1493"/>
      <c r="AA777" s="1493"/>
      <c r="AB777" s="1495"/>
      <c r="AC777" s="1402">
        <f>SUM(AC773:AG776)</f>
        <v>0</v>
      </c>
      <c r="AD777" s="1403"/>
      <c r="AE777" s="1403"/>
      <c r="AF777" s="1403"/>
      <c r="AG777" s="1404"/>
      <c r="AI777" s="1022"/>
      <c r="AJ777" s="1022"/>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P777" s="1345">
        <f>SUM(CP773:CT776)</f>
        <v>0</v>
      </c>
      <c r="CQ777" s="1346"/>
      <c r="CR777" s="1346"/>
      <c r="CS777" s="1346"/>
      <c r="CT777" s="1347"/>
      <c r="CU777" s="1348">
        <f>SUM(CU773:CY776)</f>
        <v>0</v>
      </c>
      <c r="CV777" s="1349"/>
      <c r="CW777" s="1349"/>
      <c r="CX777" s="1349"/>
      <c r="CY777" s="1350"/>
      <c r="CZ777" s="1348">
        <f>SUM(CZ773:DD776)</f>
        <v>1</v>
      </c>
      <c r="DA777" s="1349"/>
      <c r="DB777" s="1349"/>
      <c r="DC777" s="1349"/>
      <c r="DD777" s="1350"/>
      <c r="DE777" s="1348">
        <f>SUM(DE773:DI776)</f>
        <v>0</v>
      </c>
      <c r="DF777" s="1349"/>
      <c r="DG777" s="1349"/>
      <c r="DH777" s="1349"/>
      <c r="DI777" s="1350"/>
      <c r="DJ777" s="1348">
        <f>SUM(DJ773:DN776)</f>
        <v>0</v>
      </c>
      <c r="DK777" s="1349"/>
      <c r="DL777" s="1349"/>
      <c r="DM777" s="1349"/>
      <c r="DN777" s="1350"/>
      <c r="DO777" s="1348">
        <f>SUM(DO773:DS776)</f>
        <v>0</v>
      </c>
      <c r="DP777" s="1349"/>
      <c r="DQ777" s="1349"/>
      <c r="DR777" s="1349"/>
      <c r="DS777" s="1350"/>
      <c r="DU777" s="862">
        <f>CP777+CU777+CZ777+DE777+DJ777+DO777</f>
        <v>1</v>
      </c>
      <c r="DV777" s="57" t="s">
        <v>1859</v>
      </c>
    </row>
    <row r="778" spans="1:126" ht="13" customHeight="1">
      <c r="J778" s="56"/>
      <c r="K778" s="56"/>
      <c r="L778" s="56"/>
      <c r="M778" s="56"/>
      <c r="N778" s="56"/>
      <c r="O778" s="6"/>
      <c r="P778" s="6"/>
      <c r="Q778" s="6"/>
      <c r="R778" s="6"/>
      <c r="S778" s="6"/>
      <c r="T778" s="56"/>
      <c r="U778" s="56"/>
      <c r="V778" s="56"/>
      <c r="W778" s="56"/>
      <c r="X778" s="56"/>
      <c r="Y778" s="176"/>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T778" s="862">
        <f>CP777*1</f>
        <v>0</v>
      </c>
      <c r="CU778" s="3"/>
      <c r="CV778" s="3"/>
      <c r="CW778" s="3"/>
      <c r="CX778" s="3"/>
      <c r="CY778" s="862">
        <f>CU777*1</f>
        <v>0</v>
      </c>
      <c r="CZ778" s="3"/>
      <c r="DA778" s="3"/>
      <c r="DB778" s="3"/>
      <c r="DC778" s="3"/>
      <c r="DD778" s="862">
        <f>CZ777*2</f>
        <v>2</v>
      </c>
      <c r="DE778" s="3"/>
      <c r="DF778" s="3"/>
      <c r="DG778" s="3"/>
      <c r="DH778" s="3"/>
      <c r="DI778" s="862">
        <f>DE777*3</f>
        <v>0</v>
      </c>
      <c r="DJ778" s="3"/>
      <c r="DK778" s="3"/>
      <c r="DL778" s="3"/>
      <c r="DM778" s="3"/>
      <c r="DN778" s="862">
        <f>DJ777*4</f>
        <v>0</v>
      </c>
      <c r="DO778" s="3"/>
      <c r="DP778" s="3"/>
      <c r="DQ778" s="3"/>
      <c r="DR778" s="3"/>
      <c r="DS778" s="862">
        <f>DO777*5</f>
        <v>0</v>
      </c>
      <c r="DU778" s="862">
        <f>CT778+CY778+DD778+DI778+DN778+DS778</f>
        <v>2</v>
      </c>
      <c r="DV778" s="57" t="s">
        <v>1861</v>
      </c>
    </row>
    <row r="779" spans="1:126" ht="13" customHeight="1">
      <c r="B779" s="56"/>
      <c r="C779" s="56"/>
      <c r="D779" s="56"/>
      <c r="E779" s="56"/>
      <c r="F779" s="56"/>
      <c r="G779" s="6"/>
      <c r="H779" s="6"/>
      <c r="I779" s="6"/>
      <c r="J779" s="1374" t="s">
        <v>668</v>
      </c>
      <c r="K779" s="1374"/>
      <c r="L779" s="56"/>
      <c r="M779" s="35" t="s">
        <v>976</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26" ht="13" customHeight="1">
      <c r="B780" s="56"/>
      <c r="C780" s="56"/>
      <c r="D780" s="56"/>
      <c r="E780" s="56"/>
      <c r="F780" s="56"/>
      <c r="G780" s="6"/>
      <c r="H780" s="6"/>
      <c r="I780" s="6"/>
      <c r="J780" s="6"/>
      <c r="K780" s="6"/>
      <c r="L780" s="56"/>
      <c r="M780" s="35" t="s">
        <v>2092</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26" ht="13" customHeight="1">
      <c r="A781" s="2" t="s">
        <v>585</v>
      </c>
      <c r="B781" s="57"/>
      <c r="C781" s="57" t="s">
        <v>286</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26" ht="13" customHeight="1">
      <c r="B782" s="56"/>
      <c r="C782" s="56"/>
      <c r="D782" s="56"/>
      <c r="E782" s="56"/>
      <c r="F782" s="56"/>
      <c r="G782" s="6"/>
      <c r="H782" s="6"/>
      <c r="I782" s="6"/>
      <c r="J782" s="513"/>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26" ht="13" customHeight="1">
      <c r="J783" s="1610" t="s">
        <v>388</v>
      </c>
      <c r="K783" s="1611"/>
      <c r="L783" s="1611"/>
      <c r="M783" s="1611"/>
      <c r="N783" s="1612"/>
      <c r="O783" s="1647" t="s">
        <v>284</v>
      </c>
      <c r="P783" s="1647"/>
      <c r="Q783" s="1647"/>
      <c r="R783" s="1647"/>
      <c r="S783" s="1647"/>
      <c r="T783" s="1496" t="s">
        <v>1678</v>
      </c>
      <c r="U783" s="1497"/>
      <c r="V783" s="1497"/>
      <c r="W783" s="1498"/>
      <c r="X783" s="1610" t="s">
        <v>446</v>
      </c>
      <c r="Y783" s="1611"/>
      <c r="Z783" s="1611"/>
      <c r="AA783" s="1611"/>
      <c r="AB783" s="1612"/>
      <c r="AC783" s="1610" t="s">
        <v>285</v>
      </c>
      <c r="AD783" s="1611"/>
      <c r="AE783" s="1611"/>
      <c r="AF783" s="1611"/>
      <c r="AG783" s="1612"/>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26" ht="13" customHeight="1">
      <c r="J784" s="1613"/>
      <c r="K784" s="1614"/>
      <c r="L784" s="1614"/>
      <c r="M784" s="1614"/>
      <c r="N784" s="1615"/>
      <c r="O784" s="1647"/>
      <c r="P784" s="1647"/>
      <c r="Q784" s="1647"/>
      <c r="R784" s="1647"/>
      <c r="S784" s="1647"/>
      <c r="T784" s="1499"/>
      <c r="U784" s="1500"/>
      <c r="V784" s="1500"/>
      <c r="W784" s="1501"/>
      <c r="X784" s="1613"/>
      <c r="Y784" s="1614"/>
      <c r="Z784" s="1614"/>
      <c r="AA784" s="1614"/>
      <c r="AB784" s="1615"/>
      <c r="AC784" s="1613"/>
      <c r="AD784" s="1614"/>
      <c r="AE784" s="1614"/>
      <c r="AF784" s="1614"/>
      <c r="AG784" s="1615"/>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4" ht="13" customHeight="1">
      <c r="J785" s="1613"/>
      <c r="K785" s="1614"/>
      <c r="L785" s="1614"/>
      <c r="M785" s="1614"/>
      <c r="N785" s="1615"/>
      <c r="O785" s="1647"/>
      <c r="P785" s="1647"/>
      <c r="Q785" s="1647"/>
      <c r="R785" s="1647"/>
      <c r="S785" s="1647"/>
      <c r="T785" s="1499"/>
      <c r="U785" s="1500"/>
      <c r="V785" s="1500"/>
      <c r="W785" s="1501"/>
      <c r="X785" s="1613"/>
      <c r="Y785" s="1614"/>
      <c r="Z785" s="1614"/>
      <c r="AA785" s="1614"/>
      <c r="AB785" s="1615"/>
      <c r="AC785" s="1613"/>
      <c r="AD785" s="1614"/>
      <c r="AE785" s="1614"/>
      <c r="AF785" s="1614"/>
      <c r="AG785" s="1615"/>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4" ht="13" customHeight="1">
      <c r="J786" s="1616"/>
      <c r="K786" s="1617"/>
      <c r="L786" s="1617"/>
      <c r="M786" s="1617"/>
      <c r="N786" s="1618"/>
      <c r="O786" s="1647"/>
      <c r="P786" s="1647"/>
      <c r="Q786" s="1647"/>
      <c r="R786" s="1647"/>
      <c r="S786" s="1647"/>
      <c r="T786" s="1619"/>
      <c r="U786" s="1620"/>
      <c r="V786" s="1620"/>
      <c r="W786" s="1621"/>
      <c r="X786" s="1616"/>
      <c r="Y786" s="1617"/>
      <c r="Z786" s="1617"/>
      <c r="AA786" s="1617"/>
      <c r="AB786" s="1618"/>
      <c r="AC786" s="1616"/>
      <c r="AD786" s="1617"/>
      <c r="AE786" s="1617"/>
      <c r="AF786" s="1617"/>
      <c r="AG786" s="1618"/>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P786" s="34" t="s">
        <v>104</v>
      </c>
      <c r="CQ786" s="34"/>
      <c r="CR786" s="34"/>
      <c r="CS786" s="3"/>
      <c r="CT786" s="3"/>
      <c r="CU786" s="3"/>
      <c r="CV786" s="3"/>
      <c r="CW786" s="3"/>
      <c r="CX786" s="3"/>
      <c r="CY786" s="3"/>
      <c r="CZ786" s="3"/>
      <c r="DA786" s="3"/>
      <c r="DB786" s="3"/>
      <c r="DC786" s="3"/>
      <c r="DD786" s="3"/>
      <c r="DE786" s="3"/>
      <c r="DF786" s="3"/>
      <c r="DG786" s="3"/>
      <c r="DH786" s="3"/>
      <c r="DI786" s="3"/>
      <c r="DJ786" s="3"/>
      <c r="DK786" s="3"/>
      <c r="DL786" s="3"/>
      <c r="DM786" s="3"/>
      <c r="DN786" s="3"/>
      <c r="DO786" s="3"/>
      <c r="DP786" s="3"/>
      <c r="DQ786" s="3"/>
      <c r="DR786" s="3"/>
      <c r="DS786" s="3"/>
      <c r="DT786" s="3"/>
      <c r="DU786" s="3" t="s">
        <v>1866</v>
      </c>
      <c r="DV786" s="3"/>
      <c r="DW786" s="3"/>
      <c r="DX786" s="3"/>
      <c r="DY786" s="3"/>
      <c r="DZ786" s="3"/>
      <c r="EA786" s="3"/>
      <c r="EB786" s="3"/>
      <c r="EC786" s="3"/>
      <c r="ED786" s="3"/>
      <c r="EE786" s="3"/>
      <c r="EF786" s="3"/>
      <c r="EG786" s="3"/>
      <c r="EH786" s="3"/>
    </row>
    <row r="787" spans="1:154" ht="13" customHeight="1">
      <c r="J787" s="1365"/>
      <c r="K787" s="1366"/>
      <c r="L787" s="1366"/>
      <c r="M787" s="1366"/>
      <c r="N787" s="1367"/>
      <c r="O787" s="1461"/>
      <c r="P787" s="1461"/>
      <c r="Q787" s="1461"/>
      <c r="R787" s="1461"/>
      <c r="S787" s="1461"/>
      <c r="T787" s="1602"/>
      <c r="U787" s="1603"/>
      <c r="V787" s="1603"/>
      <c r="W787" s="1604"/>
      <c r="X787" s="1487"/>
      <c r="Y787" s="1488"/>
      <c r="Z787" s="1488"/>
      <c r="AA787" s="1488"/>
      <c r="AB787" s="1489"/>
      <c r="AC787" s="1402">
        <f t="shared" ref="AC787:AC796" si="39">X787*O787</f>
        <v>0</v>
      </c>
      <c r="AD787" s="1403"/>
      <c r="AE787" s="1403"/>
      <c r="AF787" s="1403"/>
      <c r="AG787" s="1404"/>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P787" s="1342">
        <f t="shared" ref="CP787:CP796" si="40">IF(J787="SRO/Studio",O787,0)</f>
        <v>0</v>
      </c>
      <c r="CQ787" s="1343"/>
      <c r="CR787" s="1343"/>
      <c r="CS787" s="1343"/>
      <c r="CT787" s="1344"/>
      <c r="CU787" s="1342">
        <f t="shared" ref="CU787:CU796" si="41">IF(J787="1 Bedroom",O787,0)</f>
        <v>0</v>
      </c>
      <c r="CV787" s="1343"/>
      <c r="CW787" s="1343"/>
      <c r="CX787" s="1343"/>
      <c r="CY787" s="1344"/>
      <c r="CZ787" s="1342">
        <f t="shared" ref="CZ787:CZ796" si="42">IF(J787="2 Bedrooms",O787,0)</f>
        <v>0</v>
      </c>
      <c r="DA787" s="1343"/>
      <c r="DB787" s="1343"/>
      <c r="DC787" s="1343"/>
      <c r="DD787" s="1344"/>
      <c r="DE787" s="1342">
        <f t="shared" ref="DE787:DE796" si="43">IF(J787="3 Bedrooms",O787,0)</f>
        <v>0</v>
      </c>
      <c r="DF787" s="1343"/>
      <c r="DG787" s="1343"/>
      <c r="DH787" s="1343"/>
      <c r="DI787" s="1344"/>
      <c r="DJ787" s="1342">
        <f t="shared" ref="DJ787:DJ796" si="44">IF(J787="4 Bedrooms",O787,0)</f>
        <v>0</v>
      </c>
      <c r="DK787" s="1343"/>
      <c r="DL787" s="1343"/>
      <c r="DM787" s="1343"/>
      <c r="DN787" s="1344"/>
      <c r="DO787" s="1342">
        <f t="shared" ref="DO787:DO796" si="45">IF(J787="5 Bedrooms",O787,0)</f>
        <v>0</v>
      </c>
      <c r="DP787" s="1343"/>
      <c r="DQ787" s="1343"/>
      <c r="DR787" s="1343"/>
      <c r="DS787" s="1344"/>
      <c r="DT787" s="6"/>
      <c r="DU787" s="1342">
        <f t="shared" ref="DU787:DU796" si="46">IF(AND(CP787&gt;=1,AH787&gt;=0.1,AH787&lt;=1),O787,0)</f>
        <v>0</v>
      </c>
      <c r="DV787" s="1343"/>
      <c r="DW787" s="1343"/>
      <c r="DX787" s="1343"/>
      <c r="DY787" s="1344"/>
      <c r="DZ787" s="1342">
        <f t="shared" ref="DZ787:DZ796" si="47">IF(AND(CU787&gt;=1,AH787&gt;=0.1,AH787&lt;=1),O787,0)</f>
        <v>0</v>
      </c>
      <c r="EA787" s="1343"/>
      <c r="EB787" s="1343"/>
      <c r="EC787" s="1343"/>
      <c r="ED787" s="1344"/>
      <c r="EE787" s="1342">
        <f t="shared" ref="EE787:EE796" si="48">IF(AND(CZ787&gt;=1,AH787&gt;=0.1,AH787&lt;=1),O787,0)</f>
        <v>0</v>
      </c>
      <c r="EF787" s="1343"/>
      <c r="EG787" s="1343"/>
      <c r="EH787" s="1343"/>
      <c r="EI787" s="1344"/>
      <c r="EJ787" s="1342">
        <f t="shared" ref="EJ787:EJ796" si="49">IF(AND(DE787&gt;=1,AH787&gt;=0.1,AH787&lt;=1),O787,0)</f>
        <v>0</v>
      </c>
      <c r="EK787" s="1343"/>
      <c r="EL787" s="1343"/>
      <c r="EM787" s="1343"/>
      <c r="EN787" s="1344"/>
      <c r="EO787" s="1342">
        <f t="shared" ref="EO787:EO796" si="50">IF(AND(DJ787&gt;=1,AH787&gt;=0.1,AH787&lt;=1),O787,0)</f>
        <v>0</v>
      </c>
      <c r="EP787" s="1343"/>
      <c r="EQ787" s="1343"/>
      <c r="ER787" s="1343"/>
      <c r="ES787" s="1344"/>
      <c r="ET787" s="1342">
        <f t="shared" ref="ET787:ET796" si="51">IF(AND(DO787&gt;=1,AH787&gt;=0.1,AH787&lt;=1),O787,0)</f>
        <v>0</v>
      </c>
      <c r="EU787" s="1343"/>
      <c r="EV787" s="1343"/>
      <c r="EW787" s="1343"/>
      <c r="EX787" s="1344"/>
    </row>
    <row r="788" spans="1:154" s="14" customFormat="1" ht="13" customHeight="1">
      <c r="A788"/>
      <c r="B788"/>
      <c r="C788"/>
      <c r="D788"/>
      <c r="E788"/>
      <c r="F788"/>
      <c r="G788"/>
      <c r="H788"/>
      <c r="I788"/>
      <c r="J788" s="1365"/>
      <c r="K788" s="1366"/>
      <c r="L788" s="1366"/>
      <c r="M788" s="1366"/>
      <c r="N788" s="1367"/>
      <c r="O788" s="1461"/>
      <c r="P788" s="1461"/>
      <c r="Q788" s="1461"/>
      <c r="R788" s="1461"/>
      <c r="S788" s="1461"/>
      <c r="T788" s="1602"/>
      <c r="U788" s="1603"/>
      <c r="V788" s="1603"/>
      <c r="W788" s="1604"/>
      <c r="X788" s="1487"/>
      <c r="Y788" s="1488"/>
      <c r="Z788" s="1488"/>
      <c r="AA788" s="1488"/>
      <c r="AB788" s="1489"/>
      <c r="AC788" s="1402">
        <f t="shared" si="39"/>
        <v>0</v>
      </c>
      <c r="AD788" s="1403"/>
      <c r="AE788" s="1403"/>
      <c r="AF788" s="1403"/>
      <c r="AG788" s="1404"/>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P788" s="1342">
        <f t="shared" si="40"/>
        <v>0</v>
      </c>
      <c r="CQ788" s="1343"/>
      <c r="CR788" s="1343"/>
      <c r="CS788" s="1343"/>
      <c r="CT788" s="1344"/>
      <c r="CU788" s="1342">
        <f t="shared" si="41"/>
        <v>0</v>
      </c>
      <c r="CV788" s="1343"/>
      <c r="CW788" s="1343"/>
      <c r="CX788" s="1343"/>
      <c r="CY788" s="1344"/>
      <c r="CZ788" s="1342">
        <f t="shared" si="42"/>
        <v>0</v>
      </c>
      <c r="DA788" s="1343"/>
      <c r="DB788" s="1343"/>
      <c r="DC788" s="1343"/>
      <c r="DD788" s="1344"/>
      <c r="DE788" s="1342">
        <f t="shared" si="43"/>
        <v>0</v>
      </c>
      <c r="DF788" s="1343"/>
      <c r="DG788" s="1343"/>
      <c r="DH788" s="1343"/>
      <c r="DI788" s="1344"/>
      <c r="DJ788" s="1342">
        <f t="shared" si="44"/>
        <v>0</v>
      </c>
      <c r="DK788" s="1343"/>
      <c r="DL788" s="1343"/>
      <c r="DM788" s="1343"/>
      <c r="DN788" s="1344"/>
      <c r="DO788" s="1342">
        <f t="shared" si="45"/>
        <v>0</v>
      </c>
      <c r="DP788" s="1343"/>
      <c r="DQ788" s="1343"/>
      <c r="DR788" s="1343"/>
      <c r="DS788" s="1344"/>
      <c r="DT788" s="6"/>
      <c r="DU788" s="1342">
        <f t="shared" si="46"/>
        <v>0</v>
      </c>
      <c r="DV788" s="1343"/>
      <c r="DW788" s="1343"/>
      <c r="DX788" s="1343"/>
      <c r="DY788" s="1344"/>
      <c r="DZ788" s="1342">
        <f t="shared" si="47"/>
        <v>0</v>
      </c>
      <c r="EA788" s="1343"/>
      <c r="EB788" s="1343"/>
      <c r="EC788" s="1343"/>
      <c r="ED788" s="1344"/>
      <c r="EE788" s="1342">
        <f t="shared" si="48"/>
        <v>0</v>
      </c>
      <c r="EF788" s="1343"/>
      <c r="EG788" s="1343"/>
      <c r="EH788" s="1343"/>
      <c r="EI788" s="1344"/>
      <c r="EJ788" s="1342">
        <f t="shared" si="49"/>
        <v>0</v>
      </c>
      <c r="EK788" s="1343"/>
      <c r="EL788" s="1343"/>
      <c r="EM788" s="1343"/>
      <c r="EN788" s="1344"/>
      <c r="EO788" s="1342">
        <f t="shared" si="50"/>
        <v>0</v>
      </c>
      <c r="EP788" s="1343"/>
      <c r="EQ788" s="1343"/>
      <c r="ER788" s="1343"/>
      <c r="ES788" s="1344"/>
      <c r="ET788" s="1342">
        <f t="shared" si="51"/>
        <v>0</v>
      </c>
      <c r="EU788" s="1343"/>
      <c r="EV788" s="1343"/>
      <c r="EW788" s="1343"/>
      <c r="EX788" s="1344"/>
    </row>
    <row r="789" spans="1:154" s="14" customFormat="1" ht="13" customHeight="1">
      <c r="A789"/>
      <c r="B789"/>
      <c r="C789"/>
      <c r="D789"/>
      <c r="E789"/>
      <c r="F789"/>
      <c r="G789"/>
      <c r="H789"/>
      <c r="I789"/>
      <c r="J789" s="1365"/>
      <c r="K789" s="1366"/>
      <c r="L789" s="1366"/>
      <c r="M789" s="1366"/>
      <c r="N789" s="1367"/>
      <c r="O789" s="1461"/>
      <c r="P789" s="1461"/>
      <c r="Q789" s="1461"/>
      <c r="R789" s="1461"/>
      <c r="S789" s="1461"/>
      <c r="T789" s="1602"/>
      <c r="U789" s="1603"/>
      <c r="V789" s="1603"/>
      <c r="W789" s="1604"/>
      <c r="X789" s="1487"/>
      <c r="Y789" s="1488"/>
      <c r="Z789" s="1488"/>
      <c r="AA789" s="1488"/>
      <c r="AB789" s="1489"/>
      <c r="AC789" s="1402">
        <f t="shared" si="39"/>
        <v>0</v>
      </c>
      <c r="AD789" s="1403"/>
      <c r="AE789" s="1403"/>
      <c r="AF789" s="1403"/>
      <c r="AG789" s="1404"/>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P789" s="1342">
        <f t="shared" si="40"/>
        <v>0</v>
      </c>
      <c r="CQ789" s="1343"/>
      <c r="CR789" s="1343"/>
      <c r="CS789" s="1343"/>
      <c r="CT789" s="1344"/>
      <c r="CU789" s="1342">
        <f t="shared" si="41"/>
        <v>0</v>
      </c>
      <c r="CV789" s="1343"/>
      <c r="CW789" s="1343"/>
      <c r="CX789" s="1343"/>
      <c r="CY789" s="1344"/>
      <c r="CZ789" s="1342">
        <f t="shared" si="42"/>
        <v>0</v>
      </c>
      <c r="DA789" s="1343"/>
      <c r="DB789" s="1343"/>
      <c r="DC789" s="1343"/>
      <c r="DD789" s="1344"/>
      <c r="DE789" s="1342">
        <f t="shared" si="43"/>
        <v>0</v>
      </c>
      <c r="DF789" s="1343"/>
      <c r="DG789" s="1343"/>
      <c r="DH789" s="1343"/>
      <c r="DI789" s="1344"/>
      <c r="DJ789" s="1342">
        <f t="shared" si="44"/>
        <v>0</v>
      </c>
      <c r="DK789" s="1343"/>
      <c r="DL789" s="1343"/>
      <c r="DM789" s="1343"/>
      <c r="DN789" s="1344"/>
      <c r="DO789" s="1342">
        <f t="shared" si="45"/>
        <v>0</v>
      </c>
      <c r="DP789" s="1343"/>
      <c r="DQ789" s="1343"/>
      <c r="DR789" s="1343"/>
      <c r="DS789" s="1344"/>
      <c r="DT789" s="6"/>
      <c r="DU789" s="1342">
        <f t="shared" si="46"/>
        <v>0</v>
      </c>
      <c r="DV789" s="1343"/>
      <c r="DW789" s="1343"/>
      <c r="DX789" s="1343"/>
      <c r="DY789" s="1344"/>
      <c r="DZ789" s="1342">
        <f t="shared" si="47"/>
        <v>0</v>
      </c>
      <c r="EA789" s="1343"/>
      <c r="EB789" s="1343"/>
      <c r="EC789" s="1343"/>
      <c r="ED789" s="1344"/>
      <c r="EE789" s="1342">
        <f t="shared" si="48"/>
        <v>0</v>
      </c>
      <c r="EF789" s="1343"/>
      <c r="EG789" s="1343"/>
      <c r="EH789" s="1343"/>
      <c r="EI789" s="1344"/>
      <c r="EJ789" s="1342">
        <f t="shared" si="49"/>
        <v>0</v>
      </c>
      <c r="EK789" s="1343"/>
      <c r="EL789" s="1343"/>
      <c r="EM789" s="1343"/>
      <c r="EN789" s="1344"/>
      <c r="EO789" s="1342">
        <f t="shared" si="50"/>
        <v>0</v>
      </c>
      <c r="EP789" s="1343"/>
      <c r="EQ789" s="1343"/>
      <c r="ER789" s="1343"/>
      <c r="ES789" s="1344"/>
      <c r="ET789" s="1342">
        <f t="shared" si="51"/>
        <v>0</v>
      </c>
      <c r="EU789" s="1343"/>
      <c r="EV789" s="1343"/>
      <c r="EW789" s="1343"/>
      <c r="EX789" s="1344"/>
    </row>
    <row r="790" spans="1:154" s="14" customFormat="1" ht="13" customHeight="1">
      <c r="A790"/>
      <c r="B790"/>
      <c r="C790"/>
      <c r="D790"/>
      <c r="E790"/>
      <c r="F790"/>
      <c r="G790"/>
      <c r="H790"/>
      <c r="I790"/>
      <c r="J790" s="1365"/>
      <c r="K790" s="1366"/>
      <c r="L790" s="1366"/>
      <c r="M790" s="1366"/>
      <c r="N790" s="1367"/>
      <c r="O790" s="1461"/>
      <c r="P790" s="1461"/>
      <c r="Q790" s="1461"/>
      <c r="R790" s="1461"/>
      <c r="S790" s="1461"/>
      <c r="T790" s="1602"/>
      <c r="U790" s="1603"/>
      <c r="V790" s="1603"/>
      <c r="W790" s="1604"/>
      <c r="X790" s="1487"/>
      <c r="Y790" s="1488"/>
      <c r="Z790" s="1488"/>
      <c r="AA790" s="1488"/>
      <c r="AB790" s="1489"/>
      <c r="AC790" s="1402">
        <f t="shared" si="39"/>
        <v>0</v>
      </c>
      <c r="AD790" s="1403"/>
      <c r="AE790" s="1403"/>
      <c r="AF790" s="1403"/>
      <c r="AG790" s="1404"/>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P790" s="1342">
        <f t="shared" si="40"/>
        <v>0</v>
      </c>
      <c r="CQ790" s="1343"/>
      <c r="CR790" s="1343"/>
      <c r="CS790" s="1343"/>
      <c r="CT790" s="1344"/>
      <c r="CU790" s="1342">
        <f t="shared" si="41"/>
        <v>0</v>
      </c>
      <c r="CV790" s="1343"/>
      <c r="CW790" s="1343"/>
      <c r="CX790" s="1343"/>
      <c r="CY790" s="1344"/>
      <c r="CZ790" s="1342">
        <f t="shared" si="42"/>
        <v>0</v>
      </c>
      <c r="DA790" s="1343"/>
      <c r="DB790" s="1343"/>
      <c r="DC790" s="1343"/>
      <c r="DD790" s="1344"/>
      <c r="DE790" s="1342">
        <f t="shared" si="43"/>
        <v>0</v>
      </c>
      <c r="DF790" s="1343"/>
      <c r="DG790" s="1343"/>
      <c r="DH790" s="1343"/>
      <c r="DI790" s="1344"/>
      <c r="DJ790" s="1342">
        <f t="shared" si="44"/>
        <v>0</v>
      </c>
      <c r="DK790" s="1343"/>
      <c r="DL790" s="1343"/>
      <c r="DM790" s="1343"/>
      <c r="DN790" s="1344"/>
      <c r="DO790" s="1342">
        <f t="shared" si="45"/>
        <v>0</v>
      </c>
      <c r="DP790" s="1343"/>
      <c r="DQ790" s="1343"/>
      <c r="DR790" s="1343"/>
      <c r="DS790" s="1344"/>
      <c r="DT790" s="6"/>
      <c r="DU790" s="1342">
        <f t="shared" si="46"/>
        <v>0</v>
      </c>
      <c r="DV790" s="1343"/>
      <c r="DW790" s="1343"/>
      <c r="DX790" s="1343"/>
      <c r="DY790" s="1344"/>
      <c r="DZ790" s="1342">
        <f t="shared" si="47"/>
        <v>0</v>
      </c>
      <c r="EA790" s="1343"/>
      <c r="EB790" s="1343"/>
      <c r="EC790" s="1343"/>
      <c r="ED790" s="1344"/>
      <c r="EE790" s="1342">
        <f t="shared" si="48"/>
        <v>0</v>
      </c>
      <c r="EF790" s="1343"/>
      <c r="EG790" s="1343"/>
      <c r="EH790" s="1343"/>
      <c r="EI790" s="1344"/>
      <c r="EJ790" s="1342">
        <f t="shared" si="49"/>
        <v>0</v>
      </c>
      <c r="EK790" s="1343"/>
      <c r="EL790" s="1343"/>
      <c r="EM790" s="1343"/>
      <c r="EN790" s="1344"/>
      <c r="EO790" s="1342">
        <f t="shared" si="50"/>
        <v>0</v>
      </c>
      <c r="EP790" s="1343"/>
      <c r="EQ790" s="1343"/>
      <c r="ER790" s="1343"/>
      <c r="ES790" s="1344"/>
      <c r="ET790" s="1342">
        <f t="shared" si="51"/>
        <v>0</v>
      </c>
      <c r="EU790" s="1343"/>
      <c r="EV790" s="1343"/>
      <c r="EW790" s="1343"/>
      <c r="EX790" s="1344"/>
    </row>
    <row r="791" spans="1:154" s="14" customFormat="1" ht="13" customHeight="1">
      <c r="A791"/>
      <c r="B791"/>
      <c r="C791"/>
      <c r="D791"/>
      <c r="E791"/>
      <c r="F791"/>
      <c r="G791"/>
      <c r="H791"/>
      <c r="I791"/>
      <c r="J791" s="1365"/>
      <c r="K791" s="1366"/>
      <c r="L791" s="1366"/>
      <c r="M791" s="1366"/>
      <c r="N791" s="1367"/>
      <c r="O791" s="1461"/>
      <c r="P791" s="1461"/>
      <c r="Q791" s="1461"/>
      <c r="R791" s="1461"/>
      <c r="S791" s="1461"/>
      <c r="T791" s="1602"/>
      <c r="U791" s="1603"/>
      <c r="V791" s="1603"/>
      <c r="W791" s="1604"/>
      <c r="X791" s="1487"/>
      <c r="Y791" s="1488"/>
      <c r="Z791" s="1488"/>
      <c r="AA791" s="1488"/>
      <c r="AB791" s="1489"/>
      <c r="AC791" s="1402">
        <f t="shared" si="39"/>
        <v>0</v>
      </c>
      <c r="AD791" s="1403"/>
      <c r="AE791" s="1403"/>
      <c r="AF791" s="1403"/>
      <c r="AG791" s="1404"/>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P791" s="1342">
        <f t="shared" si="40"/>
        <v>0</v>
      </c>
      <c r="CQ791" s="1343"/>
      <c r="CR791" s="1343"/>
      <c r="CS791" s="1343"/>
      <c r="CT791" s="1344"/>
      <c r="CU791" s="1342">
        <f t="shared" si="41"/>
        <v>0</v>
      </c>
      <c r="CV791" s="1343"/>
      <c r="CW791" s="1343"/>
      <c r="CX791" s="1343"/>
      <c r="CY791" s="1344"/>
      <c r="CZ791" s="1342">
        <f t="shared" si="42"/>
        <v>0</v>
      </c>
      <c r="DA791" s="1343"/>
      <c r="DB791" s="1343"/>
      <c r="DC791" s="1343"/>
      <c r="DD791" s="1344"/>
      <c r="DE791" s="1342">
        <f t="shared" si="43"/>
        <v>0</v>
      </c>
      <c r="DF791" s="1343"/>
      <c r="DG791" s="1343"/>
      <c r="DH791" s="1343"/>
      <c r="DI791" s="1344"/>
      <c r="DJ791" s="1342">
        <f t="shared" si="44"/>
        <v>0</v>
      </c>
      <c r="DK791" s="1343"/>
      <c r="DL791" s="1343"/>
      <c r="DM791" s="1343"/>
      <c r="DN791" s="1344"/>
      <c r="DO791" s="1342">
        <f t="shared" si="45"/>
        <v>0</v>
      </c>
      <c r="DP791" s="1343"/>
      <c r="DQ791" s="1343"/>
      <c r="DR791" s="1343"/>
      <c r="DS791" s="1344"/>
      <c r="DT791" s="6"/>
      <c r="DU791" s="1342">
        <f t="shared" si="46"/>
        <v>0</v>
      </c>
      <c r="DV791" s="1343"/>
      <c r="DW791" s="1343"/>
      <c r="DX791" s="1343"/>
      <c r="DY791" s="1344"/>
      <c r="DZ791" s="1342">
        <f t="shared" si="47"/>
        <v>0</v>
      </c>
      <c r="EA791" s="1343"/>
      <c r="EB791" s="1343"/>
      <c r="EC791" s="1343"/>
      <c r="ED791" s="1344"/>
      <c r="EE791" s="1342">
        <f t="shared" si="48"/>
        <v>0</v>
      </c>
      <c r="EF791" s="1343"/>
      <c r="EG791" s="1343"/>
      <c r="EH791" s="1343"/>
      <c r="EI791" s="1344"/>
      <c r="EJ791" s="1342">
        <f t="shared" si="49"/>
        <v>0</v>
      </c>
      <c r="EK791" s="1343"/>
      <c r="EL791" s="1343"/>
      <c r="EM791" s="1343"/>
      <c r="EN791" s="1344"/>
      <c r="EO791" s="1342">
        <f t="shared" si="50"/>
        <v>0</v>
      </c>
      <c r="EP791" s="1343"/>
      <c r="EQ791" s="1343"/>
      <c r="ER791" s="1343"/>
      <c r="ES791" s="1344"/>
      <c r="ET791" s="1342">
        <f t="shared" si="51"/>
        <v>0</v>
      </c>
      <c r="EU791" s="1343"/>
      <c r="EV791" s="1343"/>
      <c r="EW791" s="1343"/>
      <c r="EX791" s="1344"/>
    </row>
    <row r="792" spans="1:154" s="14" customFormat="1" ht="13" customHeight="1">
      <c r="A792"/>
      <c r="B792"/>
      <c r="C792"/>
      <c r="D792"/>
      <c r="E792"/>
      <c r="F792"/>
      <c r="G792"/>
      <c r="H792"/>
      <c r="I792"/>
      <c r="J792" s="1365"/>
      <c r="K792" s="1366"/>
      <c r="L792" s="1366"/>
      <c r="M792" s="1366"/>
      <c r="N792" s="1367"/>
      <c r="O792" s="1461"/>
      <c r="P792" s="1461"/>
      <c r="Q792" s="1461"/>
      <c r="R792" s="1461"/>
      <c r="S792" s="1461"/>
      <c r="T792" s="1602"/>
      <c r="U792" s="1603"/>
      <c r="V792" s="1603"/>
      <c r="W792" s="1604"/>
      <c r="X792" s="1487"/>
      <c r="Y792" s="1488"/>
      <c r="Z792" s="1488"/>
      <c r="AA792" s="1488"/>
      <c r="AB792" s="1489"/>
      <c r="AC792" s="1402">
        <f t="shared" si="39"/>
        <v>0</v>
      </c>
      <c r="AD792" s="1403"/>
      <c r="AE792" s="1403"/>
      <c r="AF792" s="1403"/>
      <c r="AG792" s="1404"/>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P792" s="1342">
        <f t="shared" si="40"/>
        <v>0</v>
      </c>
      <c r="CQ792" s="1343"/>
      <c r="CR792" s="1343"/>
      <c r="CS792" s="1343"/>
      <c r="CT792" s="1344"/>
      <c r="CU792" s="1342">
        <f t="shared" si="41"/>
        <v>0</v>
      </c>
      <c r="CV792" s="1343"/>
      <c r="CW792" s="1343"/>
      <c r="CX792" s="1343"/>
      <c r="CY792" s="1344"/>
      <c r="CZ792" s="1342">
        <f t="shared" si="42"/>
        <v>0</v>
      </c>
      <c r="DA792" s="1343"/>
      <c r="DB792" s="1343"/>
      <c r="DC792" s="1343"/>
      <c r="DD792" s="1344"/>
      <c r="DE792" s="1342">
        <f t="shared" si="43"/>
        <v>0</v>
      </c>
      <c r="DF792" s="1343"/>
      <c r="DG792" s="1343"/>
      <c r="DH792" s="1343"/>
      <c r="DI792" s="1344"/>
      <c r="DJ792" s="1342">
        <f t="shared" si="44"/>
        <v>0</v>
      </c>
      <c r="DK792" s="1343"/>
      <c r="DL792" s="1343"/>
      <c r="DM792" s="1343"/>
      <c r="DN792" s="1344"/>
      <c r="DO792" s="1342">
        <f t="shared" si="45"/>
        <v>0</v>
      </c>
      <c r="DP792" s="1343"/>
      <c r="DQ792" s="1343"/>
      <c r="DR792" s="1343"/>
      <c r="DS792" s="1344"/>
      <c r="DT792" s="6"/>
      <c r="DU792" s="1342">
        <f t="shared" si="46"/>
        <v>0</v>
      </c>
      <c r="DV792" s="1343"/>
      <c r="DW792" s="1343"/>
      <c r="DX792" s="1343"/>
      <c r="DY792" s="1344"/>
      <c r="DZ792" s="1342">
        <f t="shared" si="47"/>
        <v>0</v>
      </c>
      <c r="EA792" s="1343"/>
      <c r="EB792" s="1343"/>
      <c r="EC792" s="1343"/>
      <c r="ED792" s="1344"/>
      <c r="EE792" s="1342">
        <f t="shared" si="48"/>
        <v>0</v>
      </c>
      <c r="EF792" s="1343"/>
      <c r="EG792" s="1343"/>
      <c r="EH792" s="1343"/>
      <c r="EI792" s="1344"/>
      <c r="EJ792" s="1342">
        <f t="shared" si="49"/>
        <v>0</v>
      </c>
      <c r="EK792" s="1343"/>
      <c r="EL792" s="1343"/>
      <c r="EM792" s="1343"/>
      <c r="EN792" s="1344"/>
      <c r="EO792" s="1342">
        <f t="shared" si="50"/>
        <v>0</v>
      </c>
      <c r="EP792" s="1343"/>
      <c r="EQ792" s="1343"/>
      <c r="ER792" s="1343"/>
      <c r="ES792" s="1344"/>
      <c r="ET792" s="1342">
        <f t="shared" si="51"/>
        <v>0</v>
      </c>
      <c r="EU792" s="1343"/>
      <c r="EV792" s="1343"/>
      <c r="EW792" s="1343"/>
      <c r="EX792" s="1344"/>
    </row>
    <row r="793" spans="1:154" s="14" customFormat="1" ht="13" customHeight="1">
      <c r="A793"/>
      <c r="B793"/>
      <c r="C793"/>
      <c r="D793"/>
      <c r="E793"/>
      <c r="F793"/>
      <c r="G793"/>
      <c r="H793"/>
      <c r="I793"/>
      <c r="J793" s="1365"/>
      <c r="K793" s="1366"/>
      <c r="L793" s="1366"/>
      <c r="M793" s="1366"/>
      <c r="N793" s="1367"/>
      <c r="O793" s="1461"/>
      <c r="P793" s="1461"/>
      <c r="Q793" s="1461"/>
      <c r="R793" s="1461"/>
      <c r="S793" s="1461"/>
      <c r="T793" s="1602"/>
      <c r="U793" s="1603"/>
      <c r="V793" s="1603"/>
      <c r="W793" s="1604"/>
      <c r="X793" s="1487"/>
      <c r="Y793" s="1488"/>
      <c r="Z793" s="1488"/>
      <c r="AA793" s="1488"/>
      <c r="AB793" s="1489"/>
      <c r="AC793" s="1402">
        <f t="shared" si="39"/>
        <v>0</v>
      </c>
      <c r="AD793" s="1403"/>
      <c r="AE793" s="1403"/>
      <c r="AF793" s="1403"/>
      <c r="AG793" s="1404"/>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P793" s="1342">
        <f t="shared" si="40"/>
        <v>0</v>
      </c>
      <c r="CQ793" s="1343"/>
      <c r="CR793" s="1343"/>
      <c r="CS793" s="1343"/>
      <c r="CT793" s="1344"/>
      <c r="CU793" s="1342">
        <f t="shared" si="41"/>
        <v>0</v>
      </c>
      <c r="CV793" s="1343"/>
      <c r="CW793" s="1343"/>
      <c r="CX793" s="1343"/>
      <c r="CY793" s="1344"/>
      <c r="CZ793" s="1342">
        <f t="shared" si="42"/>
        <v>0</v>
      </c>
      <c r="DA793" s="1343"/>
      <c r="DB793" s="1343"/>
      <c r="DC793" s="1343"/>
      <c r="DD793" s="1344"/>
      <c r="DE793" s="1342">
        <f t="shared" si="43"/>
        <v>0</v>
      </c>
      <c r="DF793" s="1343"/>
      <c r="DG793" s="1343"/>
      <c r="DH793" s="1343"/>
      <c r="DI793" s="1344"/>
      <c r="DJ793" s="1342">
        <f t="shared" si="44"/>
        <v>0</v>
      </c>
      <c r="DK793" s="1343"/>
      <c r="DL793" s="1343"/>
      <c r="DM793" s="1343"/>
      <c r="DN793" s="1344"/>
      <c r="DO793" s="1342">
        <f t="shared" si="45"/>
        <v>0</v>
      </c>
      <c r="DP793" s="1343"/>
      <c r="DQ793" s="1343"/>
      <c r="DR793" s="1343"/>
      <c r="DS793" s="1344"/>
      <c r="DT793" s="6"/>
      <c r="DU793" s="1342">
        <f t="shared" si="46"/>
        <v>0</v>
      </c>
      <c r="DV793" s="1343"/>
      <c r="DW793" s="1343"/>
      <c r="DX793" s="1343"/>
      <c r="DY793" s="1344"/>
      <c r="DZ793" s="1342">
        <f t="shared" si="47"/>
        <v>0</v>
      </c>
      <c r="EA793" s="1343"/>
      <c r="EB793" s="1343"/>
      <c r="EC793" s="1343"/>
      <c r="ED793" s="1344"/>
      <c r="EE793" s="1342">
        <f t="shared" si="48"/>
        <v>0</v>
      </c>
      <c r="EF793" s="1343"/>
      <c r="EG793" s="1343"/>
      <c r="EH793" s="1343"/>
      <c r="EI793" s="1344"/>
      <c r="EJ793" s="1342">
        <f t="shared" si="49"/>
        <v>0</v>
      </c>
      <c r="EK793" s="1343"/>
      <c r="EL793" s="1343"/>
      <c r="EM793" s="1343"/>
      <c r="EN793" s="1344"/>
      <c r="EO793" s="1342">
        <f t="shared" si="50"/>
        <v>0</v>
      </c>
      <c r="EP793" s="1343"/>
      <c r="EQ793" s="1343"/>
      <c r="ER793" s="1343"/>
      <c r="ES793" s="1344"/>
      <c r="ET793" s="1342">
        <f t="shared" si="51"/>
        <v>0</v>
      </c>
      <c r="EU793" s="1343"/>
      <c r="EV793" s="1343"/>
      <c r="EW793" s="1343"/>
      <c r="EX793" s="1344"/>
    </row>
    <row r="794" spans="1:154" s="14" customFormat="1" ht="13" customHeight="1">
      <c r="A794"/>
      <c r="B794"/>
      <c r="C794"/>
      <c r="D794"/>
      <c r="E794"/>
      <c r="F794"/>
      <c r="G794"/>
      <c r="H794"/>
      <c r="I794"/>
      <c r="J794" s="1365"/>
      <c r="K794" s="1366"/>
      <c r="L794" s="1366"/>
      <c r="M794" s="1366"/>
      <c r="N794" s="1367"/>
      <c r="O794" s="1461"/>
      <c r="P794" s="1461"/>
      <c r="Q794" s="1461"/>
      <c r="R794" s="1461"/>
      <c r="S794" s="1461"/>
      <c r="T794" s="1602"/>
      <c r="U794" s="1603"/>
      <c r="V794" s="1603"/>
      <c r="W794" s="1604"/>
      <c r="X794" s="1487"/>
      <c r="Y794" s="1488"/>
      <c r="Z794" s="1488"/>
      <c r="AA794" s="1488"/>
      <c r="AB794" s="1489"/>
      <c r="AC794" s="1402">
        <f t="shared" si="39"/>
        <v>0</v>
      </c>
      <c r="AD794" s="1403"/>
      <c r="AE794" s="1403"/>
      <c r="AF794" s="1403"/>
      <c r="AG794" s="1404"/>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1342">
        <f t="shared" si="40"/>
        <v>0</v>
      </c>
      <c r="CQ794" s="1343"/>
      <c r="CR794" s="1343"/>
      <c r="CS794" s="1343"/>
      <c r="CT794" s="1344"/>
      <c r="CU794" s="1342">
        <f t="shared" si="41"/>
        <v>0</v>
      </c>
      <c r="CV794" s="1343"/>
      <c r="CW794" s="1343"/>
      <c r="CX794" s="1343"/>
      <c r="CY794" s="1344"/>
      <c r="CZ794" s="1342">
        <f t="shared" si="42"/>
        <v>0</v>
      </c>
      <c r="DA794" s="1343"/>
      <c r="DB794" s="1343"/>
      <c r="DC794" s="1343"/>
      <c r="DD794" s="1344"/>
      <c r="DE794" s="1342">
        <f t="shared" si="43"/>
        <v>0</v>
      </c>
      <c r="DF794" s="1343"/>
      <c r="DG794" s="1343"/>
      <c r="DH794" s="1343"/>
      <c r="DI794" s="1344"/>
      <c r="DJ794" s="1342">
        <f t="shared" si="44"/>
        <v>0</v>
      </c>
      <c r="DK794" s="1343"/>
      <c r="DL794" s="1343"/>
      <c r="DM794" s="1343"/>
      <c r="DN794" s="1344"/>
      <c r="DO794" s="1342">
        <f t="shared" si="45"/>
        <v>0</v>
      </c>
      <c r="DP794" s="1343"/>
      <c r="DQ794" s="1343"/>
      <c r="DR794" s="1343"/>
      <c r="DS794" s="1344"/>
      <c r="DT794" s="6"/>
      <c r="DU794" s="1342">
        <f t="shared" si="46"/>
        <v>0</v>
      </c>
      <c r="DV794" s="1343"/>
      <c r="DW794" s="1343"/>
      <c r="DX794" s="1343"/>
      <c r="DY794" s="1344"/>
      <c r="DZ794" s="1342">
        <f t="shared" si="47"/>
        <v>0</v>
      </c>
      <c r="EA794" s="1343"/>
      <c r="EB794" s="1343"/>
      <c r="EC794" s="1343"/>
      <c r="ED794" s="1344"/>
      <c r="EE794" s="1342">
        <f t="shared" si="48"/>
        <v>0</v>
      </c>
      <c r="EF794" s="1343"/>
      <c r="EG794" s="1343"/>
      <c r="EH794" s="1343"/>
      <c r="EI794" s="1344"/>
      <c r="EJ794" s="1342">
        <f t="shared" si="49"/>
        <v>0</v>
      </c>
      <c r="EK794" s="1343"/>
      <c r="EL794" s="1343"/>
      <c r="EM794" s="1343"/>
      <c r="EN794" s="1344"/>
      <c r="EO794" s="1342">
        <f t="shared" si="50"/>
        <v>0</v>
      </c>
      <c r="EP794" s="1343"/>
      <c r="EQ794" s="1343"/>
      <c r="ER794" s="1343"/>
      <c r="ES794" s="1344"/>
      <c r="ET794" s="1342">
        <f t="shared" si="51"/>
        <v>0</v>
      </c>
      <c r="EU794" s="1343"/>
      <c r="EV794" s="1343"/>
      <c r="EW794" s="1343"/>
      <c r="EX794" s="1344"/>
    </row>
    <row r="795" spans="1:154" s="14" customFormat="1" ht="13" customHeight="1">
      <c r="A795"/>
      <c r="B795"/>
      <c r="C795"/>
      <c r="D795"/>
      <c r="E795"/>
      <c r="F795"/>
      <c r="G795"/>
      <c r="H795"/>
      <c r="I795"/>
      <c r="J795" s="1365"/>
      <c r="K795" s="1366"/>
      <c r="L795" s="1366"/>
      <c r="M795" s="1366"/>
      <c r="N795" s="1367"/>
      <c r="O795" s="1461"/>
      <c r="P795" s="1461"/>
      <c r="Q795" s="1461"/>
      <c r="R795" s="1461"/>
      <c r="S795" s="1461"/>
      <c r="T795" s="1602"/>
      <c r="U795" s="1603"/>
      <c r="V795" s="1603"/>
      <c r="W795" s="1604"/>
      <c r="X795" s="1487"/>
      <c r="Y795" s="1488"/>
      <c r="Z795" s="1488"/>
      <c r="AA795" s="1488"/>
      <c r="AB795" s="1489"/>
      <c r="AC795" s="1402">
        <f t="shared" si="39"/>
        <v>0</v>
      </c>
      <c r="AD795" s="1403"/>
      <c r="AE795" s="1403"/>
      <c r="AF795" s="1403"/>
      <c r="AG795" s="1404"/>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342">
        <f t="shared" si="40"/>
        <v>0</v>
      </c>
      <c r="CQ795" s="1343"/>
      <c r="CR795" s="1343"/>
      <c r="CS795" s="1343"/>
      <c r="CT795" s="1344"/>
      <c r="CU795" s="1342">
        <f t="shared" si="41"/>
        <v>0</v>
      </c>
      <c r="CV795" s="1343"/>
      <c r="CW795" s="1343"/>
      <c r="CX795" s="1343"/>
      <c r="CY795" s="1344"/>
      <c r="CZ795" s="1342">
        <f t="shared" si="42"/>
        <v>0</v>
      </c>
      <c r="DA795" s="1343"/>
      <c r="DB795" s="1343"/>
      <c r="DC795" s="1343"/>
      <c r="DD795" s="1344"/>
      <c r="DE795" s="1342">
        <f t="shared" si="43"/>
        <v>0</v>
      </c>
      <c r="DF795" s="1343"/>
      <c r="DG795" s="1343"/>
      <c r="DH795" s="1343"/>
      <c r="DI795" s="1344"/>
      <c r="DJ795" s="1342">
        <f t="shared" si="44"/>
        <v>0</v>
      </c>
      <c r="DK795" s="1343"/>
      <c r="DL795" s="1343"/>
      <c r="DM795" s="1343"/>
      <c r="DN795" s="1344"/>
      <c r="DO795" s="1342">
        <f t="shared" si="45"/>
        <v>0</v>
      </c>
      <c r="DP795" s="1343"/>
      <c r="DQ795" s="1343"/>
      <c r="DR795" s="1343"/>
      <c r="DS795" s="1344"/>
      <c r="DT795" s="6"/>
      <c r="DU795" s="1342">
        <f t="shared" si="46"/>
        <v>0</v>
      </c>
      <c r="DV795" s="1343"/>
      <c r="DW795" s="1343"/>
      <c r="DX795" s="1343"/>
      <c r="DY795" s="1344"/>
      <c r="DZ795" s="1342">
        <f t="shared" si="47"/>
        <v>0</v>
      </c>
      <c r="EA795" s="1343"/>
      <c r="EB795" s="1343"/>
      <c r="EC795" s="1343"/>
      <c r="ED795" s="1344"/>
      <c r="EE795" s="1342">
        <f t="shared" si="48"/>
        <v>0</v>
      </c>
      <c r="EF795" s="1343"/>
      <c r="EG795" s="1343"/>
      <c r="EH795" s="1343"/>
      <c r="EI795" s="1344"/>
      <c r="EJ795" s="1342">
        <f t="shared" si="49"/>
        <v>0</v>
      </c>
      <c r="EK795" s="1343"/>
      <c r="EL795" s="1343"/>
      <c r="EM795" s="1343"/>
      <c r="EN795" s="1344"/>
      <c r="EO795" s="1342">
        <f t="shared" si="50"/>
        <v>0</v>
      </c>
      <c r="EP795" s="1343"/>
      <c r="EQ795" s="1343"/>
      <c r="ER795" s="1343"/>
      <c r="ES795" s="1344"/>
      <c r="ET795" s="1342">
        <f t="shared" si="51"/>
        <v>0</v>
      </c>
      <c r="EU795" s="1343"/>
      <c r="EV795" s="1343"/>
      <c r="EW795" s="1343"/>
      <c r="EX795" s="1344"/>
    </row>
    <row r="796" spans="1:154" s="4" customFormat="1" ht="13" customHeight="1">
      <c r="A796"/>
      <c r="B796"/>
      <c r="C796"/>
      <c r="D796"/>
      <c r="E796"/>
      <c r="F796"/>
      <c r="G796"/>
      <c r="H796"/>
      <c r="I796"/>
      <c r="J796" s="1365"/>
      <c r="K796" s="1366"/>
      <c r="L796" s="1366"/>
      <c r="M796" s="1366"/>
      <c r="N796" s="1367"/>
      <c r="O796" s="1461"/>
      <c r="P796" s="1461"/>
      <c r="Q796" s="1461"/>
      <c r="R796" s="1461"/>
      <c r="S796" s="1461"/>
      <c r="T796" s="1602"/>
      <c r="U796" s="1603"/>
      <c r="V796" s="1603"/>
      <c r="W796" s="1604"/>
      <c r="X796" s="1487"/>
      <c r="Y796" s="1488"/>
      <c r="Z796" s="1488"/>
      <c r="AA796" s="1488"/>
      <c r="AB796" s="1489"/>
      <c r="AC796" s="1402">
        <f t="shared" si="39"/>
        <v>0</v>
      </c>
      <c r="AD796" s="1403"/>
      <c r="AE796" s="1403"/>
      <c r="AF796" s="1403"/>
      <c r="AG796" s="1404"/>
      <c r="AH796"/>
      <c r="AI796"/>
      <c r="AJ796"/>
      <c r="AK796"/>
      <c r="AL796"/>
      <c r="AM796"/>
      <c r="AN796"/>
      <c r="AO796"/>
      <c r="AP796"/>
      <c r="AQ796"/>
      <c r="AR796"/>
      <c r="AS796"/>
      <c r="AT796"/>
      <c r="AU796"/>
      <c r="AV796"/>
      <c r="AW796"/>
      <c r="AX796"/>
      <c r="AY796"/>
      <c r="AZ796" s="3"/>
      <c r="CP796" s="1342">
        <f t="shared" si="40"/>
        <v>0</v>
      </c>
      <c r="CQ796" s="1343"/>
      <c r="CR796" s="1343"/>
      <c r="CS796" s="1343"/>
      <c r="CT796" s="1344"/>
      <c r="CU796" s="1342">
        <f t="shared" si="41"/>
        <v>0</v>
      </c>
      <c r="CV796" s="1343"/>
      <c r="CW796" s="1343"/>
      <c r="CX796" s="1343"/>
      <c r="CY796" s="1344"/>
      <c r="CZ796" s="1342">
        <f t="shared" si="42"/>
        <v>0</v>
      </c>
      <c r="DA796" s="1343"/>
      <c r="DB796" s="1343"/>
      <c r="DC796" s="1343"/>
      <c r="DD796" s="1344"/>
      <c r="DE796" s="1342">
        <f t="shared" si="43"/>
        <v>0</v>
      </c>
      <c r="DF796" s="1343"/>
      <c r="DG796" s="1343"/>
      <c r="DH796" s="1343"/>
      <c r="DI796" s="1344"/>
      <c r="DJ796" s="1342">
        <f t="shared" si="44"/>
        <v>0</v>
      </c>
      <c r="DK796" s="1343"/>
      <c r="DL796" s="1343"/>
      <c r="DM796" s="1343"/>
      <c r="DN796" s="1344"/>
      <c r="DO796" s="1342">
        <f t="shared" si="45"/>
        <v>0</v>
      </c>
      <c r="DP796" s="1343"/>
      <c r="DQ796" s="1343"/>
      <c r="DR796" s="1343"/>
      <c r="DS796" s="1344"/>
      <c r="DT796" s="6"/>
      <c r="DU796" s="1342">
        <f t="shared" si="46"/>
        <v>0</v>
      </c>
      <c r="DV796" s="1343"/>
      <c r="DW796" s="1343"/>
      <c r="DX796" s="1343"/>
      <c r="DY796" s="1344"/>
      <c r="DZ796" s="1342">
        <f t="shared" si="47"/>
        <v>0</v>
      </c>
      <c r="EA796" s="1343"/>
      <c r="EB796" s="1343"/>
      <c r="EC796" s="1343"/>
      <c r="ED796" s="1344"/>
      <c r="EE796" s="1342">
        <f t="shared" si="48"/>
        <v>0</v>
      </c>
      <c r="EF796" s="1343"/>
      <c r="EG796" s="1343"/>
      <c r="EH796" s="1343"/>
      <c r="EI796" s="1344"/>
      <c r="EJ796" s="1342">
        <f t="shared" si="49"/>
        <v>0</v>
      </c>
      <c r="EK796" s="1343"/>
      <c r="EL796" s="1343"/>
      <c r="EM796" s="1343"/>
      <c r="EN796" s="1344"/>
      <c r="EO796" s="1342">
        <f t="shared" si="50"/>
        <v>0</v>
      </c>
      <c r="EP796" s="1343"/>
      <c r="EQ796" s="1343"/>
      <c r="ER796" s="1343"/>
      <c r="ES796" s="1344"/>
      <c r="ET796" s="1342">
        <f t="shared" si="51"/>
        <v>0</v>
      </c>
      <c r="EU796" s="1343"/>
      <c r="EV796" s="1343"/>
      <c r="EW796" s="1343"/>
      <c r="EX796" s="1344"/>
    </row>
    <row r="797" spans="1:154" s="4" customFormat="1" ht="13" customHeight="1">
      <c r="A797"/>
      <c r="B797"/>
      <c r="C797"/>
      <c r="D797"/>
      <c r="E797"/>
      <c r="F797"/>
      <c r="G797"/>
      <c r="H797"/>
      <c r="I797"/>
      <c r="J797" s="1492" t="s">
        <v>125</v>
      </c>
      <c r="K797" s="1493"/>
      <c r="L797" s="1493"/>
      <c r="M797" s="1493"/>
      <c r="N797" s="1495"/>
      <c r="O797" s="1626">
        <f>SUM(O787:S796)</f>
        <v>0</v>
      </c>
      <c r="P797" s="1626"/>
      <c r="Q797" s="1626"/>
      <c r="R797" s="1626"/>
      <c r="S797" s="1626"/>
      <c r="T797"/>
      <c r="U797"/>
      <c r="V797"/>
      <c r="W797"/>
      <c r="X797" s="903" t="s">
        <v>124</v>
      </c>
      <c r="Y797" s="11"/>
      <c r="Z797" s="11"/>
      <c r="AA797" s="11"/>
      <c r="AB797" s="910"/>
      <c r="AC797" s="1402">
        <f>SUM(AC787:AG796)</f>
        <v>0</v>
      </c>
      <c r="AD797" s="1403"/>
      <c r="AE797" s="1403"/>
      <c r="AF797" s="1403"/>
      <c r="AG797" s="1404"/>
      <c r="AH797"/>
      <c r="AI797"/>
      <c r="AJ797"/>
      <c r="AK797"/>
      <c r="AL797"/>
      <c r="AM797"/>
      <c r="AN797"/>
      <c r="AO797"/>
      <c r="AP797"/>
      <c r="AQ797"/>
      <c r="AR797"/>
      <c r="AS797"/>
      <c r="AT797"/>
      <c r="AU797"/>
      <c r="AV797"/>
      <c r="AW797"/>
      <c r="AX797"/>
      <c r="AY797"/>
      <c r="AZ797" s="3"/>
      <c r="BA797"/>
      <c r="CP797" s="1345">
        <f>SUM(CP787:CT796)</f>
        <v>0</v>
      </c>
      <c r="CQ797" s="1346"/>
      <c r="CR797" s="1346"/>
      <c r="CS797" s="1346"/>
      <c r="CT797" s="1347"/>
      <c r="CU797" s="1348">
        <f>SUM(CU787:CY796)</f>
        <v>0</v>
      </c>
      <c r="CV797" s="1349"/>
      <c r="CW797" s="1349"/>
      <c r="CX797" s="1349"/>
      <c r="CY797" s="1350"/>
      <c r="CZ797" s="1348">
        <f>SUM(CZ787:DD796)</f>
        <v>0</v>
      </c>
      <c r="DA797" s="1349"/>
      <c r="DB797" s="1349"/>
      <c r="DC797" s="1349"/>
      <c r="DD797" s="1350"/>
      <c r="DE797" s="1348">
        <f>SUM(DE787:DI796)</f>
        <v>0</v>
      </c>
      <c r="DF797" s="1349"/>
      <c r="DG797" s="1349"/>
      <c r="DH797" s="1349"/>
      <c r="DI797" s="1350"/>
      <c r="DJ797" s="1348">
        <f>SUM(DJ787:DN796)</f>
        <v>0</v>
      </c>
      <c r="DK797" s="1349"/>
      <c r="DL797" s="1349"/>
      <c r="DM797" s="1349"/>
      <c r="DN797" s="1350"/>
      <c r="DO797" s="1348">
        <f>SUM(DO787:DS796)</f>
        <v>0</v>
      </c>
      <c r="DP797" s="1349"/>
      <c r="DQ797" s="1349"/>
      <c r="DR797" s="1349"/>
      <c r="DS797" s="1350"/>
      <c r="DT797" s="1013"/>
      <c r="DU797" s="1345">
        <f>SUM(DU787:DY796)</f>
        <v>0</v>
      </c>
      <c r="DV797" s="1346"/>
      <c r="DW797" s="1346"/>
      <c r="DX797" s="1346"/>
      <c r="DY797" s="1347"/>
      <c r="DZ797" s="1345">
        <f>SUM(DZ787:ED796)</f>
        <v>0</v>
      </c>
      <c r="EA797" s="1346"/>
      <c r="EB797" s="1346"/>
      <c r="EC797" s="1346"/>
      <c r="ED797" s="1347"/>
      <c r="EE797" s="1345">
        <f>SUM(EE787:EI796)</f>
        <v>0</v>
      </c>
      <c r="EF797" s="1346"/>
      <c r="EG797" s="1346"/>
      <c r="EH797" s="1346"/>
      <c r="EI797" s="1347"/>
      <c r="EJ797" s="1345">
        <f>SUM(EJ787:EN796)</f>
        <v>0</v>
      </c>
      <c r="EK797" s="1346"/>
      <c r="EL797" s="1346"/>
      <c r="EM797" s="1346"/>
      <c r="EN797" s="1347"/>
      <c r="EO797" s="1345">
        <f>SUM(EO787:ES796)</f>
        <v>0</v>
      </c>
      <c r="EP797" s="1346"/>
      <c r="EQ797" s="1346"/>
      <c r="ER797" s="1346"/>
      <c r="ES797" s="1347"/>
      <c r="ET797" s="1345">
        <f>SUM(ET787:EX796)</f>
        <v>0</v>
      </c>
      <c r="EU797" s="1346"/>
      <c r="EV797" s="1346"/>
      <c r="EW797" s="1346"/>
      <c r="EX797" s="1347"/>
    </row>
    <row r="798" spans="1:154" s="4" customFormat="1" ht="13" customHeight="1">
      <c r="A798"/>
      <c r="B798"/>
      <c r="C798" s="1384" t="str">
        <f>IF(O797&lt;&gt;AG438,"! Total market rate units in the Unit Mix Table above does not match the number of  market rate units on row #"&amp;TEXT(ROW(D438),"#"),"")</f>
        <v/>
      </c>
      <c r="D798" s="1384"/>
      <c r="E798" s="1384"/>
      <c r="F798" s="1384"/>
      <c r="G798" s="1384"/>
      <c r="H798" s="1384"/>
      <c r="I798" s="1384"/>
      <c r="J798" s="1384"/>
      <c r="K798" s="1384"/>
      <c r="L798" s="1384"/>
      <c r="M798" s="1384"/>
      <c r="N798" s="1384"/>
      <c r="O798" s="1384"/>
      <c r="P798" s="1384"/>
      <c r="Q798" s="1384"/>
      <c r="R798" s="1384"/>
      <c r="S798" s="1384"/>
      <c r="T798" s="1384"/>
      <c r="U798" s="1384"/>
      <c r="V798" s="1384"/>
      <c r="W798" s="1384"/>
      <c r="X798" s="1384"/>
      <c r="Y798" s="1384"/>
      <c r="Z798" s="1384"/>
      <c r="AA798" s="1384"/>
      <c r="AB798" s="1384"/>
      <c r="AC798" s="1384"/>
      <c r="AD798" s="1384"/>
      <c r="AE798" s="1384"/>
      <c r="AF798" s="1384"/>
      <c r="AG798" s="1384"/>
      <c r="AH798" s="1384"/>
      <c r="AI798" s="1384"/>
      <c r="AJ798" s="1384"/>
      <c r="AK798" s="1384"/>
      <c r="AL798" s="1384"/>
      <c r="AM798" s="1384"/>
      <c r="AN798" s="1384"/>
      <c r="AO798"/>
      <c r="AP798"/>
      <c r="AQ798"/>
      <c r="AR798"/>
      <c r="AS798"/>
      <c r="AT798"/>
      <c r="AU798"/>
      <c r="AV798"/>
      <c r="AW798"/>
      <c r="AX798"/>
      <c r="AY798"/>
      <c r="AZ798" s="30"/>
      <c r="BA798" s="30"/>
      <c r="CP798"/>
      <c r="CQ798"/>
      <c r="CR798"/>
      <c r="CS798"/>
      <c r="CT798" s="862">
        <f>CP797*1</f>
        <v>0</v>
      </c>
      <c r="CU798" s="3"/>
      <c r="CV798" s="3"/>
      <c r="CW798" s="3"/>
      <c r="CX798" s="3"/>
      <c r="CY798" s="862">
        <f>CU797*1</f>
        <v>0</v>
      </c>
      <c r="CZ798" s="3"/>
      <c r="DA798" s="3"/>
      <c r="DB798" s="3"/>
      <c r="DC798" s="3"/>
      <c r="DD798" s="862">
        <f>CZ797*2</f>
        <v>0</v>
      </c>
      <c r="DE798" s="3"/>
      <c r="DF798" s="3"/>
      <c r="DG798" s="3"/>
      <c r="DH798" s="3"/>
      <c r="DI798" s="862">
        <f>DE797*3</f>
        <v>0</v>
      </c>
      <c r="DJ798" s="3"/>
      <c r="DK798" s="3"/>
      <c r="DL798" s="3"/>
      <c r="DM798" s="3"/>
      <c r="DN798" s="862">
        <f>DJ797*4</f>
        <v>0</v>
      </c>
      <c r="DO798" s="3"/>
      <c r="DP798" s="3"/>
      <c r="DQ798" s="3"/>
      <c r="DR798" s="3"/>
      <c r="DS798" s="862">
        <f>DO797*5</f>
        <v>0</v>
      </c>
      <c r="DT798" s="3"/>
      <c r="DU798"/>
      <c r="DV798"/>
      <c r="DW798"/>
      <c r="DX798"/>
      <c r="DY798" s="3"/>
      <c r="DZ798" s="3"/>
      <c r="EA798" s="3"/>
      <c r="EB798" s="3"/>
      <c r="EC798" s="3"/>
      <c r="ED798" s="3"/>
      <c r="EE798" s="3"/>
      <c r="EF798" s="3"/>
      <c r="EG798" s="3"/>
      <c r="EH798" s="3"/>
      <c r="EI798" s="3"/>
      <c r="EJ798" s="3"/>
      <c r="EK798" s="3"/>
      <c r="EL798" s="3"/>
      <c r="EM798" s="3"/>
      <c r="EN798" s="3"/>
      <c r="EO798" s="3"/>
      <c r="EP798" s="3"/>
      <c r="EQ798" s="3"/>
      <c r="ER798" s="3"/>
      <c r="ES798" s="3"/>
      <c r="ET798" s="3"/>
      <c r="EU798" s="3"/>
      <c r="EV798" s="3"/>
      <c r="EW798" s="3"/>
      <c r="EX798" s="3"/>
    </row>
    <row r="799" spans="1:154" s="4" customFormat="1" ht="13" customHeight="1">
      <c r="A799"/>
      <c r="B799"/>
      <c r="C799" s="1384"/>
      <c r="D799" s="1384"/>
      <c r="E799" s="1384"/>
      <c r="F799" s="1384"/>
      <c r="G799" s="1384"/>
      <c r="H799" s="1384"/>
      <c r="I799" s="1384"/>
      <c r="J799" s="1384"/>
      <c r="K799" s="1384"/>
      <c r="L799" s="1384"/>
      <c r="M799" s="1384"/>
      <c r="N799" s="1384"/>
      <c r="O799" s="1384"/>
      <c r="P799" s="1384"/>
      <c r="Q799" s="1384"/>
      <c r="R799" s="1384"/>
      <c r="S799" s="1384"/>
      <c r="T799" s="1384"/>
      <c r="U799" s="1384"/>
      <c r="V799" s="1384"/>
      <c r="W799" s="1384"/>
      <c r="X799" s="1384"/>
      <c r="Y799" s="1384"/>
      <c r="Z799" s="1384"/>
      <c r="AA799" s="1384"/>
      <c r="AB799" s="1384"/>
      <c r="AC799" s="1384"/>
      <c r="AD799" s="1384"/>
      <c r="AE799" s="1384"/>
      <c r="AF799" s="1384"/>
      <c r="AG799" s="1384"/>
      <c r="AH799" s="1384"/>
      <c r="AI799" s="1384"/>
      <c r="AJ799" s="1384"/>
      <c r="AK799" s="1384"/>
      <c r="AL799" s="1384"/>
      <c r="AM799" s="1384"/>
      <c r="AN799" s="1384"/>
      <c r="AO799"/>
      <c r="AP799"/>
      <c r="AQ799"/>
      <c r="AR799"/>
      <c r="AS799"/>
      <c r="AT799"/>
      <c r="AU799"/>
      <c r="AV799"/>
      <c r="AW799"/>
      <c r="AX799"/>
      <c r="AY799"/>
      <c r="AZ799" s="30"/>
      <c r="BA799" s="30"/>
      <c r="CP799"/>
      <c r="CQ799"/>
      <c r="CR799"/>
      <c r="CS799"/>
      <c r="CT799"/>
      <c r="CU799"/>
      <c r="CV799"/>
      <c r="CW799"/>
      <c r="CX799"/>
      <c r="CY799"/>
      <c r="CZ799"/>
      <c r="DA799"/>
      <c r="DB799"/>
      <c r="DC799"/>
      <c r="DD799"/>
      <c r="DE799"/>
      <c r="DF799"/>
      <c r="DG799"/>
      <c r="DH799"/>
      <c r="DI799"/>
      <c r="DJ799"/>
      <c r="DK799"/>
      <c r="DL799"/>
      <c r="DM799"/>
      <c r="DN799"/>
      <c r="DO799"/>
      <c r="DP799"/>
      <c r="DQ799"/>
      <c r="DR799"/>
      <c r="DS799"/>
      <c r="DT799" s="3"/>
      <c r="DU799" s="862">
        <f>CP797+CU797+CZ797+DE797+DJ797+DO797</f>
        <v>0</v>
      </c>
      <c r="DV799" s="57" t="s">
        <v>1858</v>
      </c>
      <c r="DW799" s="3"/>
      <c r="DX799" s="3"/>
      <c r="DY799" s="3"/>
      <c r="DZ799" s="3"/>
      <c r="EA799" s="3"/>
      <c r="EB799" s="3"/>
      <c r="EC799" s="3"/>
      <c r="ED799" s="3"/>
      <c r="EE799" s="3"/>
      <c r="EF799" s="3"/>
      <c r="EG799" s="3"/>
      <c r="EH799" s="3"/>
      <c r="EI799"/>
      <c r="EJ799"/>
      <c r="EK799"/>
      <c r="EL799"/>
      <c r="EM799"/>
      <c r="EN799"/>
      <c r="EO799"/>
      <c r="EP799"/>
      <c r="EQ799"/>
      <c r="ER799"/>
      <c r="ES799" s="56" t="s">
        <v>1867</v>
      </c>
      <c r="ET799" s="1358">
        <f>SUM(DU797:EX797)</f>
        <v>0</v>
      </c>
      <c r="EU799" s="1359"/>
      <c r="EV799" s="1359"/>
      <c r="EW799" s="1359"/>
      <c r="EX799" s="1360"/>
    </row>
    <row r="800" spans="1:154" s="4" customFormat="1" ht="13" customHeight="1">
      <c r="A800"/>
      <c r="B800"/>
      <c r="C800"/>
      <c r="D800"/>
      <c r="E800"/>
      <c r="F800"/>
      <c r="G800"/>
      <c r="H800"/>
      <c r="I800"/>
      <c r="J800" s="45"/>
      <c r="K800" s="5"/>
      <c r="L800" s="5"/>
      <c r="M800" s="5"/>
      <c r="N800" s="5"/>
      <c r="O800" s="5"/>
      <c r="P800" s="5"/>
      <c r="Q800" s="5"/>
      <c r="R800" s="5"/>
      <c r="S800" s="5"/>
      <c r="T800" s="5"/>
      <c r="U800" s="5"/>
      <c r="V800" s="5"/>
      <c r="W800" s="5"/>
      <c r="X800" s="54" t="s">
        <v>161</v>
      </c>
      <c r="Y800" s="1600">
        <f>O753+AC777+AC797</f>
        <v>60600</v>
      </c>
      <c r="Z800" s="1600"/>
      <c r="AA800" s="1600"/>
      <c r="AB800" s="1600"/>
      <c r="AC800" s="1600"/>
      <c r="AD800"/>
      <c r="AE800"/>
      <c r="AF800"/>
      <c r="AG800"/>
      <c r="AH800"/>
      <c r="AI800"/>
      <c r="AJ800"/>
      <c r="AK800"/>
      <c r="AL800"/>
      <c r="AM800"/>
      <c r="AN800"/>
      <c r="AO800"/>
      <c r="AP800"/>
      <c r="AQ800"/>
      <c r="AR800"/>
      <c r="AS800"/>
      <c r="AT800"/>
      <c r="AU800"/>
      <c r="AV800"/>
      <c r="AW800"/>
      <c r="AX800"/>
      <c r="AY800"/>
      <c r="AZ800" s="30"/>
      <c r="BA800" s="30"/>
      <c r="CP800"/>
      <c r="CQ800"/>
      <c r="CR800"/>
      <c r="CS800"/>
      <c r="CT800"/>
      <c r="CU800"/>
      <c r="CV800"/>
      <c r="CW800"/>
      <c r="CX800"/>
      <c r="CY800"/>
      <c r="CZ800"/>
      <c r="DA800"/>
      <c r="DB800"/>
      <c r="DC800"/>
      <c r="DD800"/>
      <c r="DE800"/>
      <c r="DF800"/>
      <c r="DG800"/>
      <c r="DH800"/>
      <c r="DI800"/>
      <c r="DJ800"/>
      <c r="DK800"/>
      <c r="DL800"/>
      <c r="DM800"/>
      <c r="DN800"/>
      <c r="DO800"/>
      <c r="DP800"/>
      <c r="DQ800"/>
      <c r="DR800"/>
      <c r="DS800"/>
      <c r="DT800" s="3"/>
      <c r="DU800" s="862">
        <f>CT798+CY798+DD798+DI798+DN798+DS798</f>
        <v>0</v>
      </c>
      <c r="DV800" s="57" t="s">
        <v>1629</v>
      </c>
      <c r="DW800" s="3"/>
      <c r="DX800" s="3"/>
      <c r="DY800" s="3"/>
      <c r="DZ800" s="3"/>
      <c r="EA800" s="3"/>
      <c r="EB800" s="3"/>
      <c r="EC800" s="3"/>
      <c r="ED800" s="3"/>
      <c r="EE800" s="3"/>
      <c r="EF800" s="3"/>
      <c r="EG800" s="3"/>
      <c r="EH800" s="3"/>
      <c r="EI800"/>
      <c r="EJ800"/>
      <c r="EK800"/>
      <c r="EL800"/>
      <c r="EM800"/>
      <c r="EN800"/>
      <c r="EO800"/>
      <c r="EP800"/>
      <c r="EQ800"/>
      <c r="ER800"/>
      <c r="ES800"/>
      <c r="ET800"/>
      <c r="EU800"/>
      <c r="EV800"/>
      <c r="EW800"/>
      <c r="EX800"/>
    </row>
    <row r="801" spans="1:126" s="4" customFormat="1" ht="13"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600">
        <f>(O753+AC777+AC797)*12</f>
        <v>727200</v>
      </c>
      <c r="Z801" s="1600"/>
      <c r="AA801" s="1600"/>
      <c r="AB801" s="1600"/>
      <c r="AC801" s="1600"/>
      <c r="AD801"/>
      <c r="AE801"/>
      <c r="AF801"/>
      <c r="AG801"/>
      <c r="AH801"/>
      <c r="AI801"/>
      <c r="AJ801"/>
      <c r="AK801"/>
      <c r="AL801"/>
      <c r="AM801"/>
      <c r="AN801"/>
      <c r="AO801"/>
      <c r="AP801"/>
      <c r="AQ801"/>
      <c r="AR801"/>
      <c r="AS801"/>
      <c r="AT801"/>
      <c r="AU801"/>
      <c r="AV801"/>
      <c r="AW801"/>
      <c r="AX801"/>
      <c r="AY801"/>
      <c r="AZ801" s="14"/>
      <c r="BA801" s="14"/>
      <c r="CP801" s="34" t="s">
        <v>105</v>
      </c>
      <c r="CQ801" s="3"/>
      <c r="CR801" s="3"/>
      <c r="CS801" s="3"/>
      <c r="CT801" s="3"/>
      <c r="CU801" s="3"/>
      <c r="CV801" s="3"/>
      <c r="CW801" s="3"/>
      <c r="CX801" s="3"/>
      <c r="CY801" s="3"/>
      <c r="CZ801" s="3"/>
      <c r="DA801" s="3"/>
      <c r="DB801" s="3"/>
      <c r="DC801" s="3"/>
      <c r="DD801" s="3"/>
      <c r="DE801" s="3"/>
      <c r="DF801" s="3"/>
      <c r="DG801" s="3"/>
      <c r="DH801" s="3"/>
      <c r="DI801" s="3"/>
      <c r="DJ801" s="3"/>
      <c r="DK801" s="3"/>
      <c r="DL801" s="3"/>
      <c r="DM801" s="3"/>
      <c r="DN801" s="3"/>
      <c r="DO801" s="3"/>
      <c r="DP801" s="3"/>
      <c r="DQ801" s="3"/>
      <c r="DR801" s="3"/>
      <c r="DS801" s="3"/>
      <c r="DT801" s="3"/>
      <c r="DU801"/>
      <c r="DV801"/>
    </row>
    <row r="802" spans="1:126" s="4" customFormat="1" ht="13"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CB802" s="70"/>
      <c r="CC802" s="70"/>
      <c r="CD802" s="70"/>
      <c r="CE802" s="70"/>
      <c r="CF802" s="70"/>
      <c r="CP802" s="1348">
        <f>CP753+CP777+CP797</f>
        <v>0</v>
      </c>
      <c r="CQ802" s="1349"/>
      <c r="CR802" s="1349"/>
      <c r="CS802" s="1349"/>
      <c r="CT802" s="1350"/>
      <c r="CU802" s="1348">
        <f>CU753+CU777+CU797</f>
        <v>60</v>
      </c>
      <c r="CV802" s="1349"/>
      <c r="CW802" s="1349"/>
      <c r="CX802" s="1349"/>
      <c r="CY802" s="1350"/>
      <c r="CZ802" s="1348">
        <f>CZ753+CZ777+CZ797</f>
        <v>1</v>
      </c>
      <c r="DA802" s="1349"/>
      <c r="DB802" s="1349"/>
      <c r="DC802" s="1349"/>
      <c r="DD802" s="1350"/>
      <c r="DE802" s="1348">
        <f>DE753+DE777+DE797</f>
        <v>0</v>
      </c>
      <c r="DF802" s="1349"/>
      <c r="DG802" s="1349"/>
      <c r="DH802" s="1349"/>
      <c r="DI802" s="1350"/>
      <c r="DJ802" s="1348">
        <f>DJ753+DJ777+DJ797</f>
        <v>0</v>
      </c>
      <c r="DK802" s="1349"/>
      <c r="DL802" s="1349"/>
      <c r="DM802" s="1349"/>
      <c r="DN802" s="1350"/>
      <c r="DO802" s="1361">
        <f>DO797+DO777+DO753</f>
        <v>0</v>
      </c>
      <c r="DP802" s="1362"/>
      <c r="DQ802" s="1362"/>
      <c r="DR802" s="1362"/>
      <c r="DS802" s="1363"/>
      <c r="DT802" s="3"/>
      <c r="DU802" s="862">
        <f>DU755+DU800</f>
        <v>60</v>
      </c>
      <c r="DV802" s="57" t="s">
        <v>1863</v>
      </c>
    </row>
    <row r="803" spans="1:126" s="4" customFormat="1" ht="13" customHeight="1">
      <c r="A803" s="2" t="s">
        <v>588</v>
      </c>
      <c r="B803" s="2"/>
      <c r="C803" s="2" t="s">
        <v>611</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CB803" s="70"/>
      <c r="CC803" s="70"/>
      <c r="CD803" s="70"/>
      <c r="CE803" s="70"/>
      <c r="CF803" s="70"/>
      <c r="CP803" s="34"/>
      <c r="CQ803" s="3"/>
      <c r="CR803" s="3"/>
      <c r="CS803" s="3"/>
      <c r="CT803" s="3"/>
      <c r="CU803" s="3"/>
      <c r="CV803" s="3"/>
      <c r="CW803" s="3"/>
      <c r="CX803" s="3"/>
      <c r="CY803" s="3"/>
      <c r="CZ803" s="3"/>
      <c r="DA803" s="3"/>
      <c r="DB803" s="3"/>
      <c r="DC803" s="3"/>
      <c r="DD803" s="3"/>
      <c r="DE803" s="3"/>
      <c r="DF803" s="3"/>
      <c r="DG803" s="3"/>
      <c r="DH803" s="3"/>
      <c r="DI803" s="3"/>
      <c r="DJ803" s="3"/>
      <c r="DK803" s="3"/>
      <c r="DL803" s="3"/>
      <c r="DM803" s="3"/>
      <c r="DN803" s="3"/>
      <c r="DO803" s="3"/>
      <c r="DP803" s="3"/>
      <c r="DQ803" s="3"/>
      <c r="DR803" s="3"/>
      <c r="DS803" s="3"/>
      <c r="DT803" s="3"/>
      <c r="DU803" s="3"/>
      <c r="DV803" s="3"/>
    </row>
    <row r="804" spans="1:126" s="4" customFormat="1" ht="13" customHeight="1">
      <c r="A804" s="2"/>
      <c r="B804" s="2"/>
      <c r="C804" s="2" t="s">
        <v>915</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row>
    <row r="805" spans="1:126" s="4" customFormat="1" ht="13"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row>
    <row r="806" spans="1:126" s="4" customFormat="1" ht="13" customHeight="1">
      <c r="A806"/>
      <c r="B806"/>
      <c r="C806"/>
      <c r="D806"/>
      <c r="E806"/>
      <c r="F806"/>
      <c r="G806"/>
      <c r="H806" s="45" t="s">
        <v>356</v>
      </c>
      <c r="I806" s="5"/>
      <c r="J806" s="5"/>
      <c r="K806" s="5"/>
      <c r="L806" s="5"/>
      <c r="M806" s="5"/>
      <c r="N806" s="5"/>
      <c r="O806" s="5"/>
      <c r="P806" s="5"/>
      <c r="Q806" s="5"/>
      <c r="R806" s="5"/>
      <c r="S806" s="5"/>
      <c r="T806" s="5"/>
      <c r="U806" s="5"/>
      <c r="V806" s="5"/>
      <c r="W806" s="5"/>
      <c r="X806" s="5"/>
      <c r="Y806" s="5"/>
      <c r="Z806" s="1652">
        <v>60</v>
      </c>
      <c r="AA806" s="1653"/>
      <c r="AB806" s="1653"/>
      <c r="AC806" s="1653"/>
      <c r="AD806" s="1653"/>
      <c r="AE806" s="1654"/>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row>
    <row r="807" spans="1:126" s="4" customFormat="1" ht="13" customHeight="1">
      <c r="A807"/>
      <c r="B807"/>
      <c r="C807"/>
      <c r="D807"/>
      <c r="E807"/>
      <c r="F807"/>
      <c r="G807"/>
      <c r="H807" s="45" t="s">
        <v>357</v>
      </c>
      <c r="I807" s="5"/>
      <c r="J807" s="5"/>
      <c r="K807" s="5"/>
      <c r="L807" s="5"/>
      <c r="M807" s="5"/>
      <c r="N807" s="5"/>
      <c r="O807" s="5"/>
      <c r="P807" s="5"/>
      <c r="Q807" s="5"/>
      <c r="R807" s="5"/>
      <c r="S807" s="5"/>
      <c r="T807" s="5"/>
      <c r="U807" s="5"/>
      <c r="V807" s="5"/>
      <c r="W807" s="5"/>
      <c r="X807" s="5"/>
      <c r="Y807" s="5"/>
      <c r="Z807" s="1655">
        <v>20</v>
      </c>
      <c r="AA807" s="1653"/>
      <c r="AB807" s="1653"/>
      <c r="AC807" s="1653"/>
      <c r="AD807" s="1653"/>
      <c r="AE807" s="1654"/>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row>
    <row r="808" spans="1:126" s="4" customFormat="1" ht="13"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648">
        <v>53813</v>
      </c>
      <c r="AA808" s="1649"/>
      <c r="AB808" s="1649"/>
      <c r="AC808" s="1649"/>
      <c r="AD808" s="1649"/>
      <c r="AE808" s="1650"/>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row>
    <row r="809" spans="1:126" s="4" customFormat="1" ht="13"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505">
        <f>'Subsidy Contract Calculation'!J40</f>
        <v>886320</v>
      </c>
      <c r="AA809" s="1506"/>
      <c r="AB809" s="1506"/>
      <c r="AC809" s="1506"/>
      <c r="AD809" s="1506"/>
      <c r="AE809" s="1507"/>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26" s="4" customFormat="1" ht="13"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26" s="4" customFormat="1" ht="13" customHeight="1">
      <c r="A811" s="2" t="s">
        <v>589</v>
      </c>
      <c r="B811" s="2"/>
      <c r="C811" s="2" t="s">
        <v>287</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26" s="4" customFormat="1" ht="13"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26" s="4" customFormat="1" ht="13"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478">
        <v>4500</v>
      </c>
      <c r="AA813" s="1479"/>
      <c r="AB813" s="1479"/>
      <c r="AC813" s="1479"/>
      <c r="AD813" s="1479"/>
      <c r="AE813" s="1480"/>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26" s="4" customFormat="1" ht="13"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478"/>
      <c r="AA814" s="1479"/>
      <c r="AB814" s="1479"/>
      <c r="AC814" s="1479"/>
      <c r="AD814" s="1479"/>
      <c r="AE814" s="1480"/>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26" s="4" customFormat="1" ht="13"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478"/>
      <c r="AA815" s="1479"/>
      <c r="AB815" s="1479"/>
      <c r="AC815" s="1479"/>
      <c r="AD815" s="1479"/>
      <c r="AE815" s="1480"/>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26" s="4" customFormat="1" ht="13" customHeight="1">
      <c r="A816"/>
      <c r="B816"/>
      <c r="C816"/>
      <c r="D816"/>
      <c r="E816"/>
      <c r="F816"/>
      <c r="G816"/>
      <c r="H816" s="45" t="s">
        <v>39</v>
      </c>
      <c r="I816" s="5"/>
      <c r="J816" s="5"/>
      <c r="K816" s="5"/>
      <c r="L816" s="5"/>
      <c r="M816" s="5"/>
      <c r="N816" s="5"/>
      <c r="O816" s="5"/>
      <c r="P816" s="1638" t="s">
        <v>333</v>
      </c>
      <c r="Q816" s="1639"/>
      <c r="R816" s="1639"/>
      <c r="S816" s="1639"/>
      <c r="T816" s="1639"/>
      <c r="U816" s="1639"/>
      <c r="V816" s="1639"/>
      <c r="W816" s="1639"/>
      <c r="X816" s="1639"/>
      <c r="Y816" s="1640"/>
      <c r="Z816" s="1478"/>
      <c r="AA816" s="1479"/>
      <c r="AB816" s="1479"/>
      <c r="AC816" s="1479"/>
      <c r="AD816" s="1479"/>
      <c r="AE816" s="1480"/>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55" s="4" customFormat="1" ht="13"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505">
        <f>SUM(Z813:AE816)</f>
        <v>4500</v>
      </c>
      <c r="AA817" s="1506"/>
      <c r="AB817" s="1506"/>
      <c r="AC817" s="1506"/>
      <c r="AD817" s="1506"/>
      <c r="AE817" s="1507"/>
      <c r="AF817"/>
      <c r="AG817"/>
      <c r="AH817"/>
      <c r="AI817"/>
      <c r="AJ817"/>
      <c r="AK817"/>
      <c r="AL817"/>
      <c r="AM817"/>
      <c r="AN817"/>
      <c r="AO817"/>
      <c r="AP817"/>
      <c r="AQ817"/>
      <c r="AR817"/>
      <c r="AS817"/>
      <c r="AT817"/>
      <c r="AU817" s="3"/>
      <c r="AV817"/>
      <c r="AW817"/>
      <c r="AX817"/>
      <c r="AY817"/>
      <c r="AZ817" s="30"/>
      <c r="BA817" s="30"/>
      <c r="BB817" s="14"/>
      <c r="BC817" s="14"/>
    </row>
    <row r="818" spans="1:55" s="4" customFormat="1" ht="13" customHeight="1">
      <c r="A818"/>
      <c r="B818"/>
      <c r="C818"/>
      <c r="D818"/>
      <c r="E818"/>
      <c r="F818"/>
      <c r="G818"/>
      <c r="H818" s="45"/>
      <c r="I818" s="5"/>
      <c r="J818" s="5"/>
      <c r="K818" s="5"/>
      <c r="L818" s="5"/>
      <c r="M818" s="5"/>
      <c r="N818" s="5"/>
      <c r="O818" s="5"/>
      <c r="P818" s="5"/>
      <c r="Q818" s="5"/>
      <c r="R818" s="5"/>
      <c r="S818" s="5"/>
      <c r="T818" s="5"/>
      <c r="U818" s="5"/>
      <c r="V818" s="5"/>
      <c r="W818" s="5"/>
      <c r="X818" s="5"/>
      <c r="Y818" s="53" t="s">
        <v>643</v>
      </c>
      <c r="Z818" s="1505">
        <f>Z817+Y801+Z809</f>
        <v>1618020</v>
      </c>
      <c r="AA818" s="1506"/>
      <c r="AB818" s="1506"/>
      <c r="AC818" s="1506"/>
      <c r="AD818" s="1506"/>
      <c r="AE818" s="1507"/>
      <c r="AF818"/>
      <c r="AG818"/>
      <c r="AH818"/>
      <c r="AI818"/>
      <c r="AJ818"/>
      <c r="AK818"/>
      <c r="AL818"/>
      <c r="AM818"/>
      <c r="AN818"/>
      <c r="AO818"/>
      <c r="AP818"/>
      <c r="AQ818"/>
      <c r="AR818"/>
      <c r="AS818"/>
      <c r="AT818"/>
      <c r="AU818" s="3"/>
      <c r="AV818" s="3"/>
      <c r="AW818" s="3"/>
      <c r="AX818" s="3"/>
      <c r="AY818" s="3"/>
      <c r="AZ818" s="30"/>
      <c r="BA818" s="30"/>
      <c r="BB818" s="14"/>
      <c r="BC818" s="14"/>
    </row>
    <row r="819" spans="1:55" s="4" customFormat="1" ht="13"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row>
    <row r="820" spans="1:55" s="4" customFormat="1" ht="13" customHeight="1">
      <c r="A820" s="2" t="s">
        <v>591</v>
      </c>
      <c r="B820" s="2"/>
      <c r="C820" s="2" t="s">
        <v>424</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row>
    <row r="821" spans="1:55" s="4" customFormat="1" ht="13" customHeight="1">
      <c r="A821"/>
      <c r="B821"/>
      <c r="C821" s="22" t="s">
        <v>816</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row>
    <row r="822" spans="1:55" s="4" customFormat="1" ht="13"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row>
    <row r="823" spans="1:55" s="4" customFormat="1" ht="13" customHeight="1">
      <c r="A823"/>
      <c r="B823"/>
      <c r="C823" s="41"/>
      <c r="D823" s="42"/>
      <c r="E823" s="42"/>
      <c r="F823" s="42"/>
      <c r="G823" s="42"/>
      <c r="H823" s="42"/>
      <c r="I823" s="42"/>
      <c r="J823" s="42"/>
      <c r="K823" s="42"/>
      <c r="L823" s="58"/>
      <c r="M823" s="1622" t="s">
        <v>126</v>
      </c>
      <c r="N823" s="1622"/>
      <c r="O823" s="1622"/>
      <c r="P823" s="1623"/>
      <c r="Q823" s="1605" t="s">
        <v>289</v>
      </c>
      <c r="R823" s="1605"/>
      <c r="S823" s="1605"/>
      <c r="T823" s="1605"/>
      <c r="U823" s="1605" t="s">
        <v>290</v>
      </c>
      <c r="V823" s="1605"/>
      <c r="W823" s="1605"/>
      <c r="X823" s="1605"/>
      <c r="Y823" s="1605" t="s">
        <v>291</v>
      </c>
      <c r="Z823" s="1605"/>
      <c r="AA823" s="1605"/>
      <c r="AB823" s="1605"/>
      <c r="AC823" s="1605" t="s">
        <v>360</v>
      </c>
      <c r="AD823" s="1605"/>
      <c r="AE823" s="1605"/>
      <c r="AF823" s="1605"/>
      <c r="AG823" s="1630" t="s">
        <v>334</v>
      </c>
      <c r="AH823" s="1630"/>
      <c r="AI823" s="1630"/>
      <c r="AJ823" s="1630"/>
      <c r="AK823"/>
      <c r="AL823" s="3"/>
      <c r="AM823" s="3"/>
      <c r="AN823" s="3"/>
      <c r="AO823" s="3"/>
      <c r="AP823" s="3"/>
      <c r="AQ823" s="3"/>
      <c r="AR823" s="3"/>
      <c r="AS823" s="3"/>
      <c r="AT823" s="3"/>
      <c r="AU823" s="3"/>
      <c r="AV823" s="3"/>
      <c r="AW823" s="3"/>
      <c r="AX823" s="3"/>
      <c r="AY823" s="3"/>
      <c r="AZ823" s="30"/>
      <c r="BA823" s="30"/>
      <c r="BB823" s="14"/>
      <c r="BC823" s="14"/>
    </row>
    <row r="824" spans="1:55" s="14" customFormat="1" ht="13" customHeight="1">
      <c r="A824"/>
      <c r="B824"/>
      <c r="C824" s="47"/>
      <c r="D824" s="48"/>
      <c r="E824" s="48"/>
      <c r="F824" s="48"/>
      <c r="G824" s="48"/>
      <c r="H824" s="48"/>
      <c r="I824" s="48"/>
      <c r="J824" s="48"/>
      <c r="K824" s="48"/>
      <c r="L824" s="49"/>
      <c r="M824" s="1624"/>
      <c r="N824" s="1624"/>
      <c r="O824" s="1624"/>
      <c r="P824" s="1625"/>
      <c r="Q824" s="1605"/>
      <c r="R824" s="1605"/>
      <c r="S824" s="1605"/>
      <c r="T824" s="1605"/>
      <c r="U824" s="1605"/>
      <c r="V824" s="1605"/>
      <c r="W824" s="1605"/>
      <c r="X824" s="1605"/>
      <c r="Y824" s="1605"/>
      <c r="Z824" s="1605"/>
      <c r="AA824" s="1605"/>
      <c r="AB824" s="1605"/>
      <c r="AC824" s="1605"/>
      <c r="AD824" s="1605"/>
      <c r="AE824" s="1605"/>
      <c r="AF824" s="1605"/>
      <c r="AG824" s="1630"/>
      <c r="AH824" s="1630"/>
      <c r="AI824" s="1630"/>
      <c r="AJ824" s="1630"/>
      <c r="AK824"/>
      <c r="AL824" s="3"/>
      <c r="AM824" s="3"/>
      <c r="AN824" s="3"/>
      <c r="AO824" s="3"/>
      <c r="AP824" s="3"/>
      <c r="AQ824" s="3"/>
      <c r="AR824" s="3"/>
      <c r="AS824" s="3"/>
      <c r="AT824" s="3"/>
      <c r="AU824"/>
      <c r="AV824" s="3"/>
      <c r="AW824" s="3"/>
      <c r="AX824" s="3"/>
      <c r="AY824" s="3"/>
      <c r="AZ824" s="30"/>
      <c r="BA824" s="30"/>
    </row>
    <row r="825" spans="1:55" s="14" customFormat="1" ht="13" customHeight="1">
      <c r="A825"/>
      <c r="B825"/>
      <c r="C825" s="1651" t="s">
        <v>40</v>
      </c>
      <c r="D825" s="1476"/>
      <c r="E825" s="1476"/>
      <c r="F825" s="1476"/>
      <c r="G825" s="1476"/>
      <c r="H825" s="1476"/>
      <c r="I825" s="48"/>
      <c r="J825" s="48"/>
      <c r="K825" s="48"/>
      <c r="L825" s="49"/>
      <c r="M825" s="1596"/>
      <c r="N825" s="1596"/>
      <c r="O825" s="1596"/>
      <c r="P825" s="1596"/>
      <c r="Q825" s="1596"/>
      <c r="R825" s="1596"/>
      <c r="S825" s="1596"/>
      <c r="T825" s="1596"/>
      <c r="U825" s="1596"/>
      <c r="V825" s="1596"/>
      <c r="W825" s="1596"/>
      <c r="X825" s="1596"/>
      <c r="Y825" s="1596"/>
      <c r="Z825" s="1596"/>
      <c r="AA825" s="1596"/>
      <c r="AB825" s="1596"/>
      <c r="AC825" s="1470"/>
      <c r="AD825" s="1471"/>
      <c r="AE825" s="1471"/>
      <c r="AF825" s="1472"/>
      <c r="AG825" s="1470"/>
      <c r="AH825" s="1471"/>
      <c r="AI825" s="1471"/>
      <c r="AJ825" s="1472"/>
      <c r="AK825"/>
      <c r="AL825" s="3"/>
      <c r="AM825" s="3"/>
      <c r="AN825" s="3"/>
      <c r="AO825" s="3"/>
      <c r="AP825" s="3"/>
      <c r="AQ825" s="3"/>
      <c r="AR825" s="3"/>
      <c r="AS825" s="3"/>
      <c r="AT825" s="3"/>
      <c r="AU825"/>
      <c r="AV825" s="3"/>
      <c r="AW825" s="3"/>
      <c r="AX825" s="3"/>
      <c r="AY825" s="3"/>
      <c r="AZ825" s="30"/>
      <c r="BA825" s="30"/>
    </row>
    <row r="826" spans="1:55" s="14" customFormat="1" ht="13" customHeight="1">
      <c r="A826"/>
      <c r="B826"/>
      <c r="C826" s="1454" t="s">
        <v>41</v>
      </c>
      <c r="D826" s="1455"/>
      <c r="E826" s="1455"/>
      <c r="F826" s="1455"/>
      <c r="G826" s="1455"/>
      <c r="H826" s="1455"/>
      <c r="I826" s="5"/>
      <c r="J826" s="5"/>
      <c r="K826" s="5"/>
      <c r="L826" s="46"/>
      <c r="M826" s="1596"/>
      <c r="N826" s="1596"/>
      <c r="O826" s="1596"/>
      <c r="P826" s="1596"/>
      <c r="Q826" s="1596"/>
      <c r="R826" s="1596"/>
      <c r="S826" s="1596"/>
      <c r="T826" s="1596"/>
      <c r="U826" s="1596"/>
      <c r="V826" s="1596"/>
      <c r="W826" s="1596"/>
      <c r="X826" s="1596"/>
      <c r="Y826" s="1596"/>
      <c r="Z826" s="1596"/>
      <c r="AA826" s="1596"/>
      <c r="AB826" s="1596"/>
      <c r="AC826" s="1470"/>
      <c r="AD826" s="1471"/>
      <c r="AE826" s="1471"/>
      <c r="AF826" s="1472"/>
      <c r="AG826" s="1470"/>
      <c r="AH826" s="1471"/>
      <c r="AI826" s="1471"/>
      <c r="AJ826" s="1472"/>
      <c r="AK826"/>
      <c r="AL826" s="3"/>
      <c r="AM826" s="3"/>
      <c r="AN826" s="3"/>
      <c r="AO826" s="3"/>
      <c r="AP826" s="3"/>
      <c r="AQ826" s="3"/>
      <c r="AR826" s="3"/>
      <c r="AS826" s="3"/>
      <c r="AT826" s="3"/>
      <c r="AU826"/>
      <c r="AV826" s="3"/>
      <c r="AW826" s="3"/>
      <c r="AX826" s="3"/>
      <c r="AY826" s="3"/>
      <c r="AZ826" s="30"/>
      <c r="BA826" s="30"/>
    </row>
    <row r="827" spans="1:55" s="14" customFormat="1" ht="13" customHeight="1">
      <c r="A827"/>
      <c r="B827"/>
      <c r="C827" s="1454" t="s">
        <v>42</v>
      </c>
      <c r="D827" s="1455"/>
      <c r="E827" s="1455"/>
      <c r="F827" s="1455"/>
      <c r="G827" s="1455"/>
      <c r="H827" s="1455"/>
      <c r="I827" s="60"/>
      <c r="J827" s="60"/>
      <c r="K827" s="60"/>
      <c r="L827" s="61"/>
      <c r="M827" s="1596"/>
      <c r="N827" s="1596"/>
      <c r="O827" s="1596"/>
      <c r="P827" s="1596"/>
      <c r="Q827" s="1596"/>
      <c r="R827" s="1596"/>
      <c r="S827" s="1596"/>
      <c r="T827" s="1596"/>
      <c r="U827" s="1596"/>
      <c r="V827" s="1596"/>
      <c r="W827" s="1596"/>
      <c r="X827" s="1596"/>
      <c r="Y827" s="1596"/>
      <c r="Z827" s="1596"/>
      <c r="AA827" s="1596"/>
      <c r="AB827" s="1596"/>
      <c r="AC827" s="1470"/>
      <c r="AD827" s="1471"/>
      <c r="AE827" s="1471"/>
      <c r="AF827" s="1472"/>
      <c r="AG827" s="1470"/>
      <c r="AH827" s="1471"/>
      <c r="AI827" s="1471"/>
      <c r="AJ827" s="1472"/>
      <c r="AK827"/>
      <c r="AL827" s="3"/>
      <c r="AM827" s="3"/>
      <c r="AN827" s="3"/>
      <c r="AO827" s="3"/>
      <c r="AP827" s="3"/>
      <c r="AQ827" s="3"/>
      <c r="AR827" s="3"/>
      <c r="AS827" s="3"/>
      <c r="AT827" s="3"/>
      <c r="AU827"/>
      <c r="AV827" s="3"/>
      <c r="AW827" s="3"/>
      <c r="AX827" s="3"/>
      <c r="AY827" s="3"/>
      <c r="AZ827" s="30"/>
      <c r="BA827" s="30"/>
    </row>
    <row r="828" spans="1:55" s="14" customFormat="1" ht="13" customHeight="1">
      <c r="A828"/>
      <c r="B828"/>
      <c r="C828" s="1454" t="s">
        <v>761</v>
      </c>
      <c r="D828" s="1455"/>
      <c r="E828" s="1455"/>
      <c r="F828" s="1455"/>
      <c r="G828" s="1455"/>
      <c r="H828" s="1455"/>
      <c r="I828" s="60"/>
      <c r="J828" s="60"/>
      <c r="K828" s="60"/>
      <c r="L828" s="61"/>
      <c r="M828" s="1596"/>
      <c r="N828" s="1596"/>
      <c r="O828" s="1596"/>
      <c r="P828" s="1596"/>
      <c r="Q828" s="1596"/>
      <c r="R828" s="1596"/>
      <c r="S828" s="1596"/>
      <c r="T828" s="1596"/>
      <c r="U828" s="1596"/>
      <c r="V828" s="1596"/>
      <c r="W828" s="1596"/>
      <c r="X828" s="1596"/>
      <c r="Y828" s="1596"/>
      <c r="Z828" s="1596"/>
      <c r="AA828" s="1596"/>
      <c r="AB828" s="1596"/>
      <c r="AC828" s="1470"/>
      <c r="AD828" s="1471"/>
      <c r="AE828" s="1471"/>
      <c r="AF828" s="1472"/>
      <c r="AG828" s="1470"/>
      <c r="AH828" s="1471"/>
      <c r="AI828" s="1471"/>
      <c r="AJ828" s="1472"/>
      <c r="AK828"/>
      <c r="AL828" s="3"/>
      <c r="AM828" s="3"/>
      <c r="AN828" s="3"/>
      <c r="AO828" s="3"/>
      <c r="AP828" s="3"/>
      <c r="AQ828" s="3"/>
      <c r="AR828" s="3"/>
      <c r="AS828" s="3"/>
      <c r="AT828" s="3"/>
      <c r="AU828"/>
      <c r="AV828" s="3"/>
      <c r="AW828" s="3"/>
      <c r="AX828" s="3"/>
      <c r="AY828" s="3"/>
      <c r="AZ828" s="30"/>
      <c r="BA828" s="30"/>
    </row>
    <row r="829" spans="1:55" s="14" customFormat="1" ht="13" customHeight="1">
      <c r="A829"/>
      <c r="B829"/>
      <c r="C829" s="1454" t="s">
        <v>458</v>
      </c>
      <c r="D829" s="1455"/>
      <c r="E829" s="1455"/>
      <c r="F829" s="1455"/>
      <c r="G829" s="1455"/>
      <c r="H829" s="1455"/>
      <c r="I829" s="60"/>
      <c r="J829" s="60"/>
      <c r="K829" s="60"/>
      <c r="L829" s="61"/>
      <c r="M829" s="1596"/>
      <c r="N829" s="1596"/>
      <c r="O829" s="1596"/>
      <c r="P829" s="1596"/>
      <c r="Q829" s="1596">
        <v>30</v>
      </c>
      <c r="R829" s="1596"/>
      <c r="S829" s="1596"/>
      <c r="T829" s="1596"/>
      <c r="U829" s="1596"/>
      <c r="V829" s="1596"/>
      <c r="W829" s="1596"/>
      <c r="X829" s="1596"/>
      <c r="Y829" s="1596"/>
      <c r="Z829" s="1596"/>
      <c r="AA829" s="1596"/>
      <c r="AB829" s="1596"/>
      <c r="AC829" s="1470"/>
      <c r="AD829" s="1471"/>
      <c r="AE829" s="1471"/>
      <c r="AF829" s="1472"/>
      <c r="AG829" s="1470"/>
      <c r="AH829" s="1471"/>
      <c r="AI829" s="1471"/>
      <c r="AJ829" s="1472"/>
      <c r="AK829"/>
      <c r="AL829" s="3"/>
      <c r="AM829" s="3"/>
      <c r="AN829" s="3"/>
      <c r="AO829" s="3"/>
      <c r="AP829" s="3"/>
      <c r="AQ829" s="3"/>
      <c r="AR829" s="3"/>
      <c r="AS829" s="3"/>
      <c r="AT829" s="3"/>
      <c r="AU829"/>
      <c r="AV829" s="3"/>
      <c r="AW829" s="3"/>
      <c r="AX829" s="3"/>
      <c r="AY829" s="3"/>
      <c r="AZ829" s="30"/>
      <c r="BA829" s="30"/>
    </row>
    <row r="830" spans="1:55" s="14" customFormat="1" ht="13" customHeight="1">
      <c r="A830"/>
      <c r="B830"/>
      <c r="C830" s="1702" t="s">
        <v>782</v>
      </c>
      <c r="D830" s="1455"/>
      <c r="E830" s="1455"/>
      <c r="F830" s="1455"/>
      <c r="G830" s="1455"/>
      <c r="H830" s="1455"/>
      <c r="I830" s="60"/>
      <c r="J830" s="60"/>
      <c r="K830" s="60"/>
      <c r="L830" s="61"/>
      <c r="M830" s="1596"/>
      <c r="N830" s="1596"/>
      <c r="O830" s="1596"/>
      <c r="P830" s="1596"/>
      <c r="Q830" s="1596"/>
      <c r="R830" s="1596"/>
      <c r="S830" s="1596"/>
      <c r="T830" s="1596"/>
      <c r="U830" s="1596"/>
      <c r="V830" s="1596"/>
      <c r="W830" s="1596"/>
      <c r="X830" s="1596"/>
      <c r="Y830" s="1596"/>
      <c r="Z830" s="1596"/>
      <c r="AA830" s="1596"/>
      <c r="AB830" s="1596"/>
      <c r="AC830" s="1470"/>
      <c r="AD830" s="1471"/>
      <c r="AE830" s="1471"/>
      <c r="AF830" s="1472"/>
      <c r="AG830" s="1470"/>
      <c r="AH830" s="1471"/>
      <c r="AI830" s="1471"/>
      <c r="AJ830" s="1472"/>
      <c r="AK830"/>
      <c r="AL830" s="3"/>
      <c r="AM830" s="3"/>
      <c r="AN830" s="3"/>
      <c r="AO830" s="3"/>
      <c r="AP830" s="3"/>
      <c r="AQ830" s="3"/>
      <c r="AR830" s="3"/>
      <c r="AS830" s="3"/>
      <c r="AT830" s="3"/>
      <c r="AU830"/>
      <c r="AV830" s="3"/>
      <c r="AW830" s="3"/>
      <c r="AX830" s="3"/>
      <c r="AY830" s="3"/>
      <c r="AZ830" s="30"/>
      <c r="BA830" s="30"/>
    </row>
    <row r="831" spans="1:55" s="14" customFormat="1" ht="13" customHeight="1">
      <c r="A831"/>
      <c r="B831"/>
      <c r="C831" s="59" t="s">
        <v>292</v>
      </c>
      <c r="D831" s="60"/>
      <c r="E831" s="60"/>
      <c r="F831" s="1638" t="s">
        <v>333</v>
      </c>
      <c r="G831" s="1639"/>
      <c r="H831" s="1639"/>
      <c r="I831" s="1639"/>
      <c r="J831" s="1639"/>
      <c r="K831" s="1639"/>
      <c r="L831" s="1639"/>
      <c r="M831" s="1596"/>
      <c r="N831" s="1596"/>
      <c r="O831" s="1596"/>
      <c r="P831" s="1596"/>
      <c r="Q831" s="1596"/>
      <c r="R831" s="1596"/>
      <c r="S831" s="1596"/>
      <c r="T831" s="1596"/>
      <c r="U831" s="1596"/>
      <c r="V831" s="1596"/>
      <c r="W831" s="1596"/>
      <c r="X831" s="1596"/>
      <c r="Y831" s="1596"/>
      <c r="Z831" s="1596"/>
      <c r="AA831" s="1596"/>
      <c r="AB831" s="1596"/>
      <c r="AC831" s="1470"/>
      <c r="AD831" s="1471"/>
      <c r="AE831" s="1471"/>
      <c r="AF831" s="1472"/>
      <c r="AG831" s="1470"/>
      <c r="AH831" s="1471"/>
      <c r="AI831" s="1471"/>
      <c r="AJ831" s="1472"/>
      <c r="AK831"/>
      <c r="AL831" s="3"/>
      <c r="AM831" s="3"/>
      <c r="AN831" s="3"/>
      <c r="AO831" s="3"/>
      <c r="AP831" s="3"/>
      <c r="AQ831" s="3"/>
      <c r="AR831" s="3"/>
      <c r="AS831" s="3"/>
      <c r="AT831" s="3"/>
      <c r="AU831"/>
      <c r="AV831" s="3"/>
      <c r="AW831" s="3"/>
      <c r="AX831" s="3"/>
      <c r="AY831" s="3"/>
      <c r="AZ831" s="30"/>
      <c r="BA831" s="30"/>
    </row>
    <row r="832" spans="1:55" s="14" customFormat="1" ht="13" customHeight="1">
      <c r="A832"/>
      <c r="B832"/>
      <c r="C832" s="1492" t="s">
        <v>124</v>
      </c>
      <c r="D832" s="1493"/>
      <c r="E832" s="1493"/>
      <c r="F832" s="1493"/>
      <c r="G832" s="1493"/>
      <c r="H832" s="1493"/>
      <c r="I832" s="1493"/>
      <c r="J832" s="1493"/>
      <c r="K832" s="1493"/>
      <c r="L832" s="1495"/>
      <c r="M832" s="1668">
        <f>SUM(M825:P831)</f>
        <v>0</v>
      </c>
      <c r="N832" s="1668"/>
      <c r="O832" s="1668"/>
      <c r="P832" s="1668"/>
      <c r="Q832" s="1668">
        <f>SUM(Q825:T831)</f>
        <v>30</v>
      </c>
      <c r="R832" s="1668"/>
      <c r="S832" s="1668"/>
      <c r="T832" s="1668"/>
      <c r="U832" s="1668">
        <f>SUM(U825:X831)</f>
        <v>0</v>
      </c>
      <c r="V832" s="1668"/>
      <c r="W832" s="1668"/>
      <c r="X832" s="1668"/>
      <c r="Y832" s="1668">
        <f>SUM(Y825:AB831)</f>
        <v>0</v>
      </c>
      <c r="Z832" s="1668"/>
      <c r="AA832" s="1668"/>
      <c r="AB832" s="1668"/>
      <c r="AC832" s="1668">
        <f>SUM(AC825:AF831)</f>
        <v>0</v>
      </c>
      <c r="AD832" s="1668"/>
      <c r="AE832" s="1668"/>
      <c r="AF832" s="1668"/>
      <c r="AG832" s="1668">
        <f>SUM(AG825:AJ831)</f>
        <v>0</v>
      </c>
      <c r="AH832" s="1668"/>
      <c r="AI832" s="1668"/>
      <c r="AJ832" s="1668"/>
      <c r="AK832"/>
      <c r="AL832" s="3"/>
      <c r="AM832" s="3"/>
      <c r="AN832" s="3"/>
      <c r="AO832" s="3"/>
      <c r="AP832" s="3"/>
      <c r="AQ832" s="3"/>
      <c r="AR832" s="3"/>
      <c r="AS832" s="3"/>
      <c r="AT832" s="3"/>
      <c r="AU832"/>
      <c r="AV832" s="3"/>
      <c r="AW832" s="3"/>
      <c r="AX832" s="3"/>
      <c r="AY832" s="3"/>
      <c r="AZ832" s="30"/>
      <c r="BA832" s="30"/>
    </row>
    <row r="833" spans="1:64" s="14" customFormat="1" ht="13" customHeight="1">
      <c r="A833"/>
      <c r="B833"/>
      <c r="C833" s="57" t="s">
        <v>783</v>
      </c>
      <c r="D833" s="56"/>
      <c r="E833" s="56"/>
      <c r="F833" s="56"/>
      <c r="G833" s="56"/>
      <c r="H833" s="56"/>
      <c r="I833" s="56"/>
      <c r="J833" s="56"/>
      <c r="K833" s="56"/>
      <c r="L833" s="56"/>
      <c r="M833" s="179"/>
      <c r="N833" s="179"/>
      <c r="O833" s="179"/>
      <c r="P833" s="179"/>
      <c r="Q833" s="179"/>
      <c r="R833" s="179"/>
      <c r="S833" s="179"/>
      <c r="T833" s="179"/>
      <c r="U833" s="179"/>
      <c r="V833" s="179"/>
      <c r="W833" s="179"/>
      <c r="X833" s="179"/>
      <c r="Y833" s="179"/>
      <c r="Z833" s="179"/>
      <c r="AA833" s="179"/>
      <c r="AB833" s="179"/>
      <c r="AC833" s="179"/>
      <c r="AD833" s="179"/>
      <c r="AE833" s="179"/>
      <c r="AF833" s="179"/>
      <c r="AG833" s="179"/>
      <c r="AH833" s="179"/>
      <c r="AI833" s="179"/>
      <c r="AJ833" s="179"/>
      <c r="AK833"/>
      <c r="AL833" s="3"/>
      <c r="AM833" s="3"/>
      <c r="AN833" s="3"/>
      <c r="AO833" s="3"/>
      <c r="AP833" s="3"/>
      <c r="AQ833" s="3"/>
      <c r="AR833" s="3"/>
      <c r="AS833" s="3"/>
      <c r="AT833" s="3"/>
      <c r="AU833"/>
      <c r="AV833" s="3"/>
      <c r="AW833" s="3"/>
      <c r="AX833" s="3"/>
      <c r="AY833" s="3"/>
      <c r="AZ833" s="30"/>
      <c r="BA833" s="30"/>
    </row>
    <row r="834" spans="1:64" s="14" customFormat="1" ht="13" customHeight="1">
      <c r="A834"/>
      <c r="B834"/>
      <c r="C834" s="57" t="s">
        <v>784</v>
      </c>
      <c r="D834" s="56"/>
      <c r="E834" s="56"/>
      <c r="F834" s="56"/>
      <c r="G834" s="56"/>
      <c r="H834" s="56"/>
      <c r="I834" s="56"/>
      <c r="J834" s="56"/>
      <c r="K834" s="56"/>
      <c r="L834" s="56"/>
      <c r="M834" s="179"/>
      <c r="N834" s="179"/>
      <c r="O834" s="179"/>
      <c r="P834" s="179"/>
      <c r="Q834" s="179"/>
      <c r="R834" s="179"/>
      <c r="S834" s="179"/>
      <c r="T834" s="179"/>
      <c r="U834" s="179"/>
      <c r="V834" s="179"/>
      <c r="W834" s="179"/>
      <c r="X834" s="179"/>
      <c r="Y834" s="179"/>
      <c r="Z834" s="179"/>
      <c r="AA834" s="179"/>
      <c r="AB834" s="179"/>
      <c r="AC834" s="179"/>
      <c r="AD834" s="179"/>
      <c r="AE834" s="179"/>
      <c r="AF834" s="179"/>
      <c r="AG834" s="179"/>
      <c r="AH834" s="179"/>
      <c r="AI834" s="179"/>
      <c r="AJ834" s="179"/>
      <c r="AK834"/>
      <c r="AL834" s="3"/>
      <c r="AM834" s="3"/>
      <c r="AN834" s="3"/>
      <c r="AO834" s="3"/>
      <c r="AP834" s="3"/>
      <c r="AQ834" s="3"/>
      <c r="AR834" s="3"/>
      <c r="AS834" s="3"/>
      <c r="AT834" s="3"/>
      <c r="AU834"/>
      <c r="AV834"/>
      <c r="AW834"/>
      <c r="AX834"/>
      <c r="AY834"/>
      <c r="AZ834" s="30"/>
      <c r="BA834" s="30"/>
    </row>
    <row r="835" spans="1:64" s="14" customFormat="1" ht="13" customHeight="1">
      <c r="A835"/>
      <c r="B835"/>
      <c r="C835" s="56"/>
      <c r="D835" s="56"/>
      <c r="E835" s="56"/>
      <c r="F835" s="56"/>
      <c r="G835" s="56"/>
      <c r="H835" s="56"/>
      <c r="I835" s="56"/>
      <c r="J835" s="56"/>
      <c r="K835" s="56"/>
      <c r="L835" s="56"/>
      <c r="M835" s="179"/>
      <c r="N835" s="179"/>
      <c r="O835" s="179"/>
      <c r="P835" s="179"/>
      <c r="Q835" s="179"/>
      <c r="R835" s="179"/>
      <c r="S835" s="179"/>
      <c r="T835" s="179"/>
      <c r="U835" s="179"/>
      <c r="V835" s="179"/>
      <c r="W835" s="179"/>
      <c r="X835" s="179"/>
      <c r="Y835" s="179"/>
      <c r="Z835" s="179"/>
      <c r="AA835" s="179"/>
      <c r="AB835" s="179"/>
      <c r="AC835" s="179"/>
      <c r="AD835" s="179"/>
      <c r="AE835" s="179"/>
      <c r="AF835" s="179"/>
      <c r="AG835" s="179"/>
      <c r="AH835" s="179"/>
      <c r="AI835" s="179"/>
      <c r="AJ835" s="179"/>
      <c r="AK835"/>
      <c r="AL835" s="3"/>
      <c r="AM835" s="3"/>
      <c r="AN835" s="3"/>
      <c r="AO835" s="3"/>
      <c r="AP835" s="3"/>
      <c r="AQ835" s="3"/>
      <c r="AR835" s="3"/>
      <c r="AS835" s="3"/>
      <c r="AT835" s="3"/>
      <c r="AU835"/>
      <c r="AV835"/>
      <c r="AW835"/>
      <c r="AX835"/>
      <c r="AY835"/>
      <c r="AZ835" s="30"/>
      <c r="BA835" s="30"/>
    </row>
    <row r="836" spans="1:64" s="14" customFormat="1" ht="13"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row>
    <row r="837" spans="1:64" s="14" customFormat="1" ht="13" customHeight="1">
      <c r="A837"/>
      <c r="B837"/>
      <c r="C837" s="1643" t="s">
        <v>2707</v>
      </c>
      <c r="D837" s="1644"/>
      <c r="E837" s="1644"/>
      <c r="F837" s="1644"/>
      <c r="G837" s="1644"/>
      <c r="H837" s="1644"/>
      <c r="I837" s="1644"/>
      <c r="J837" s="1644"/>
      <c r="K837" s="1644"/>
      <c r="L837" s="1644"/>
      <c r="M837" s="1644"/>
      <c r="N837" s="1644"/>
      <c r="O837" s="1644"/>
      <c r="P837" s="1644"/>
      <c r="Q837" s="1644"/>
      <c r="R837" s="1644"/>
      <c r="S837" s="1644"/>
      <c r="T837" s="1644"/>
      <c r="U837" s="1644"/>
      <c r="V837" s="1644"/>
      <c r="W837" s="1644"/>
      <c r="X837" s="1644"/>
      <c r="Y837" s="1644"/>
      <c r="Z837" s="1644"/>
      <c r="AA837" s="1644"/>
      <c r="AB837" s="1644"/>
      <c r="AC837" s="1644"/>
      <c r="AD837" s="1644"/>
      <c r="AE837" s="1644"/>
      <c r="AF837" s="1644"/>
      <c r="AG837" s="1644"/>
      <c r="AH837" s="1644"/>
      <c r="AI837" s="1644"/>
      <c r="AJ837" s="1645"/>
      <c r="AK837"/>
      <c r="AL837" s="3"/>
      <c r="AM837" s="3"/>
      <c r="AN837" s="3"/>
      <c r="AO837" s="3"/>
      <c r="AP837" s="3"/>
      <c r="AQ837" s="3"/>
      <c r="AR837" s="3"/>
      <c r="AS837" s="3"/>
      <c r="AT837" s="3"/>
      <c r="AU837"/>
      <c r="AV837"/>
      <c r="AW837"/>
      <c r="AX837"/>
      <c r="AY837"/>
      <c r="AZ837" s="30"/>
      <c r="BA837" s="30"/>
    </row>
    <row r="838" spans="1:64" s="14" customFormat="1" ht="13" customHeight="1">
      <c r="A838"/>
      <c r="B838" s="4"/>
      <c r="C838" s="3" t="s">
        <v>1156</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row>
    <row r="839" spans="1:64" s="14" customFormat="1" ht="13"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row>
    <row r="840" spans="1:64" s="14" customFormat="1" ht="13" customHeight="1">
      <c r="A840" s="2" t="s">
        <v>466</v>
      </c>
      <c r="B840"/>
      <c r="C840" s="2" t="s">
        <v>759</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row>
    <row r="841" spans="1:64" s="14" customFormat="1" ht="13"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700"/>
      <c r="BJ841" s="1700"/>
      <c r="BK841" s="1700"/>
      <c r="BL841" s="1700"/>
    </row>
    <row r="842" spans="1:64" s="14" customFormat="1" ht="13" customHeight="1">
      <c r="A842"/>
      <c r="B842"/>
      <c r="C842" s="2" t="s">
        <v>342</v>
      </c>
      <c r="D842"/>
      <c r="E842"/>
      <c r="F842"/>
      <c r="G842"/>
      <c r="H842"/>
      <c r="I842"/>
      <c r="J842" s="45" t="s">
        <v>355</v>
      </c>
      <c r="K842" s="5"/>
      <c r="L842" s="5"/>
      <c r="M842" s="5"/>
      <c r="N842" s="5"/>
      <c r="O842" s="5"/>
      <c r="P842" s="5"/>
      <c r="Q842" s="5"/>
      <c r="R842" s="5"/>
      <c r="S842" s="5"/>
      <c r="T842" s="5"/>
      <c r="U842" s="5"/>
      <c r="V842" s="46"/>
      <c r="W842" s="1646">
        <v>3200</v>
      </c>
      <c r="X842" s="1646"/>
      <c r="Y842" s="1646"/>
      <c r="Z842" s="1646"/>
      <c r="AA842" s="1646"/>
      <c r="AB842" s="1646"/>
      <c r="AC842" s="1646"/>
      <c r="AD842"/>
      <c r="AE842"/>
      <c r="AF842"/>
      <c r="AG842"/>
      <c r="AH842"/>
      <c r="AI842"/>
      <c r="AJ842"/>
      <c r="AK842"/>
      <c r="AL842"/>
      <c r="AM842"/>
      <c r="AN842"/>
      <c r="AO842"/>
      <c r="AP842"/>
      <c r="AQ842"/>
      <c r="AR842"/>
      <c r="AS842"/>
      <c r="AT842"/>
      <c r="AU842"/>
      <c r="AV842"/>
      <c r="AW842"/>
      <c r="AX842"/>
      <c r="AY842"/>
      <c r="AZ842" s="30"/>
      <c r="BA842" s="30"/>
    </row>
    <row r="843" spans="1:64" s="14" customFormat="1" ht="13" customHeight="1">
      <c r="A843"/>
      <c r="B843"/>
      <c r="C843"/>
      <c r="D843"/>
      <c r="E843"/>
      <c r="F843"/>
      <c r="G843"/>
      <c r="H843"/>
      <c r="I843"/>
      <c r="J843" s="45" t="s">
        <v>354</v>
      </c>
      <c r="K843" s="5"/>
      <c r="L843" s="5"/>
      <c r="M843" s="5"/>
      <c r="N843" s="5"/>
      <c r="O843" s="5"/>
      <c r="P843" s="5"/>
      <c r="Q843" s="5"/>
      <c r="R843" s="5"/>
      <c r="S843" s="5"/>
      <c r="T843" s="5"/>
      <c r="U843" s="5"/>
      <c r="V843" s="46"/>
      <c r="W843" s="1646"/>
      <c r="X843" s="1646"/>
      <c r="Y843" s="1646"/>
      <c r="Z843" s="1646"/>
      <c r="AA843" s="1646"/>
      <c r="AB843" s="1646"/>
      <c r="AC843" s="1646"/>
      <c r="AD843"/>
      <c r="AE843"/>
      <c r="AF843"/>
      <c r="AG843"/>
      <c r="AH843"/>
      <c r="AI843"/>
      <c r="AJ843"/>
      <c r="AK843"/>
      <c r="AL843"/>
      <c r="AM843"/>
      <c r="AN843"/>
      <c r="AO843"/>
      <c r="AP843"/>
      <c r="AQ843"/>
      <c r="AR843"/>
      <c r="AS843"/>
      <c r="AT843"/>
      <c r="AU843"/>
      <c r="AV843"/>
      <c r="AW843"/>
      <c r="AX843"/>
      <c r="AY843"/>
      <c r="AZ843" s="30"/>
      <c r="BA843" s="30"/>
    </row>
    <row r="844" spans="1:64" ht="13" customHeight="1">
      <c r="J844" s="45" t="s">
        <v>353</v>
      </c>
      <c r="K844" s="5"/>
      <c r="L844" s="5"/>
      <c r="M844" s="5"/>
      <c r="N844" s="5"/>
      <c r="O844" s="5"/>
      <c r="P844" s="5"/>
      <c r="Q844" s="5"/>
      <c r="R844" s="5"/>
      <c r="S844" s="5"/>
      <c r="T844" s="5"/>
      <c r="U844" s="5"/>
      <c r="V844" s="46"/>
      <c r="W844" s="1646">
        <v>28670</v>
      </c>
      <c r="X844" s="1646"/>
      <c r="Y844" s="1646"/>
      <c r="Z844" s="1646"/>
      <c r="AA844" s="1646"/>
      <c r="AB844" s="1646"/>
      <c r="AC844" s="1646"/>
      <c r="AZ844" s="30"/>
      <c r="BA844" s="30"/>
      <c r="BB844" s="14"/>
      <c r="BC844" s="14"/>
      <c r="BD844" s="14"/>
      <c r="BE844" s="14"/>
      <c r="BF844" s="14"/>
      <c r="BG844" s="14"/>
      <c r="BH844" s="14"/>
      <c r="BI844" s="14"/>
      <c r="BJ844" s="14"/>
      <c r="BK844" s="14"/>
      <c r="BL844" s="14"/>
    </row>
    <row r="845" spans="1:64" ht="13" customHeight="1">
      <c r="J845" s="45" t="s">
        <v>352</v>
      </c>
      <c r="K845" s="5"/>
      <c r="L845" s="5"/>
      <c r="M845" s="5"/>
      <c r="N845" s="5"/>
      <c r="O845" s="5"/>
      <c r="P845" s="5"/>
      <c r="Q845" s="5"/>
      <c r="R845" s="5"/>
      <c r="S845" s="5"/>
      <c r="T845" s="5"/>
      <c r="U845" s="5"/>
      <c r="V845" s="46"/>
      <c r="W845" s="1646">
        <v>29520</v>
      </c>
      <c r="X845" s="1646"/>
      <c r="Y845" s="1646"/>
      <c r="Z845" s="1646"/>
      <c r="AA845" s="1646"/>
      <c r="AB845" s="1646"/>
      <c r="AC845" s="1646"/>
      <c r="AZ845" s="30"/>
      <c r="BA845" s="30"/>
      <c r="BB845" s="14"/>
      <c r="BC845" s="14"/>
      <c r="BD845" s="14"/>
      <c r="BE845" s="14"/>
      <c r="BF845" s="14"/>
      <c r="BG845" s="14"/>
      <c r="BH845" s="14"/>
      <c r="BI845" s="14"/>
      <c r="BJ845" s="14"/>
      <c r="BK845" s="14"/>
      <c r="BL845" s="14"/>
    </row>
    <row r="846" spans="1:64" ht="13" customHeight="1">
      <c r="J846" s="45" t="s">
        <v>169</v>
      </c>
      <c r="K846" s="5"/>
      <c r="L846" s="5"/>
      <c r="M846" s="1638" t="s">
        <v>2709</v>
      </c>
      <c r="N846" s="1639"/>
      <c r="O846" s="1639"/>
      <c r="P846" s="1639"/>
      <c r="Q846" s="1639"/>
      <c r="R846" s="1639"/>
      <c r="S846" s="1639"/>
      <c r="T846" s="1639"/>
      <c r="U846" s="1639"/>
      <c r="V846" s="1640"/>
      <c r="W846" s="1646">
        <v>98887</v>
      </c>
      <c r="X846" s="1646"/>
      <c r="Y846" s="1646"/>
      <c r="Z846" s="1646"/>
      <c r="AA846" s="1646"/>
      <c r="AB846" s="1646"/>
      <c r="AC846" s="1646"/>
      <c r="AZ846" s="30"/>
      <c r="BA846" s="30"/>
      <c r="BB846" s="14"/>
      <c r="BC846" s="14"/>
      <c r="BD846" s="14"/>
      <c r="BE846" s="14"/>
      <c r="BF846" s="14"/>
      <c r="BG846" s="14"/>
      <c r="BH846" s="14"/>
      <c r="BI846" s="14"/>
      <c r="BJ846" s="14"/>
      <c r="BK846" s="14"/>
      <c r="BL846" s="14"/>
    </row>
    <row r="847" spans="1:64" ht="13" customHeight="1">
      <c r="J847" s="45"/>
      <c r="K847" s="5"/>
      <c r="L847" s="5"/>
      <c r="M847" s="5"/>
      <c r="N847" s="5"/>
      <c r="O847" s="5"/>
      <c r="P847" s="5"/>
      <c r="Q847" s="5"/>
      <c r="R847" s="5"/>
      <c r="S847" s="5"/>
      <c r="T847" s="5"/>
      <c r="U847" s="5"/>
      <c r="V847" s="54" t="s">
        <v>341</v>
      </c>
      <c r="W847" s="1505">
        <f>SUM(W842:AC846)</f>
        <v>160277</v>
      </c>
      <c r="X847" s="1506"/>
      <c r="Y847" s="1506"/>
      <c r="Z847" s="1506"/>
      <c r="AA847" s="1506"/>
      <c r="AB847" s="1506"/>
      <c r="AC847" s="1507"/>
      <c r="AZ847" s="30"/>
      <c r="BA847" s="30"/>
      <c r="BB847" s="14"/>
      <c r="BC847" s="14"/>
      <c r="BD847" s="14"/>
      <c r="BE847" s="14"/>
      <c r="BF847" s="14"/>
      <c r="BG847" s="14"/>
      <c r="BH847" s="14"/>
      <c r="BI847" s="14"/>
      <c r="BJ847" s="14"/>
      <c r="BK847" s="14"/>
      <c r="BL847" s="14"/>
    </row>
    <row r="848" spans="1:64" ht="13" customHeight="1">
      <c r="AZ848" s="30"/>
      <c r="BA848" s="30"/>
      <c r="BB848" s="14"/>
      <c r="BC848" s="14"/>
      <c r="BD848" s="14"/>
      <c r="BE848" s="14"/>
      <c r="BF848" s="14"/>
      <c r="BG848" s="1656"/>
      <c r="BH848" s="1656"/>
      <c r="BI848" s="1656"/>
      <c r="BJ848" s="1656"/>
      <c r="BK848" s="1656"/>
      <c r="BL848" s="1656"/>
    </row>
    <row r="849" spans="3:55" ht="13" customHeight="1">
      <c r="C849" s="2" t="s">
        <v>343</v>
      </c>
      <c r="J849" s="1492" t="s">
        <v>344</v>
      </c>
      <c r="K849" s="1493"/>
      <c r="L849" s="1493"/>
      <c r="M849" s="1493"/>
      <c r="N849" s="1493"/>
      <c r="O849" s="1493"/>
      <c r="P849" s="1493"/>
      <c r="Q849" s="1493"/>
      <c r="R849" s="1493"/>
      <c r="S849" s="1493"/>
      <c r="T849" s="1493"/>
      <c r="U849" s="1493"/>
      <c r="V849" s="1495"/>
      <c r="W849" s="1478">
        <v>59292</v>
      </c>
      <c r="X849" s="1479"/>
      <c r="Y849" s="1479"/>
      <c r="Z849" s="1479"/>
      <c r="AA849" s="1479"/>
      <c r="AB849" s="1479"/>
      <c r="AC849" s="1480"/>
      <c r="AD849" s="534"/>
      <c r="AZ849" s="30"/>
      <c r="BA849" s="30"/>
      <c r="BB849" s="14"/>
      <c r="BC849" s="14"/>
    </row>
    <row r="850" spans="3:55" ht="13" customHeight="1">
      <c r="AD850" s="534"/>
      <c r="AZ850" s="30"/>
      <c r="BA850" s="30"/>
      <c r="BB850" s="14"/>
      <c r="BC850" s="14"/>
    </row>
    <row r="851" spans="3:55" ht="13" customHeight="1">
      <c r="C851" s="2" t="s">
        <v>560</v>
      </c>
      <c r="J851" s="45" t="s">
        <v>351</v>
      </c>
      <c r="K851" s="5"/>
      <c r="L851" s="5"/>
      <c r="M851" s="5"/>
      <c r="N851" s="5"/>
      <c r="O851" s="5"/>
      <c r="P851" s="5"/>
      <c r="Q851" s="5"/>
      <c r="R851" s="5"/>
      <c r="S851" s="5"/>
      <c r="T851" s="5"/>
      <c r="U851" s="5"/>
      <c r="V851" s="46"/>
      <c r="W851" s="1641"/>
      <c r="X851" s="1641"/>
      <c r="Y851" s="1641"/>
      <c r="Z851" s="1641"/>
      <c r="AA851" s="1641"/>
      <c r="AB851" s="1641"/>
      <c r="AC851" s="1641"/>
      <c r="AZ851" s="1634"/>
      <c r="BA851" s="1634"/>
      <c r="BB851" s="14"/>
      <c r="BC851" s="14"/>
    </row>
    <row r="852" spans="3:55" ht="13" customHeight="1">
      <c r="J852" s="45" t="s">
        <v>350</v>
      </c>
      <c r="K852" s="5"/>
      <c r="L852" s="5"/>
      <c r="M852" s="5"/>
      <c r="N852" s="5"/>
      <c r="O852" s="5"/>
      <c r="P852" s="5"/>
      <c r="Q852" s="5"/>
      <c r="R852" s="5"/>
      <c r="S852" s="5"/>
      <c r="T852" s="5"/>
      <c r="U852" s="5"/>
      <c r="V852" s="46"/>
      <c r="W852" s="1641">
        <v>15165</v>
      </c>
      <c r="X852" s="1641"/>
      <c r="Y852" s="1641"/>
      <c r="Z852" s="1641"/>
      <c r="AA852" s="1641"/>
      <c r="AB852" s="1641"/>
      <c r="AC852" s="1641"/>
      <c r="AZ852" s="30"/>
      <c r="BA852" s="30"/>
      <c r="BB852" s="14"/>
      <c r="BC852" s="14"/>
    </row>
    <row r="853" spans="3:55" ht="13" customHeight="1">
      <c r="J853" s="45" t="s">
        <v>458</v>
      </c>
      <c r="K853" s="5"/>
      <c r="L853" s="5"/>
      <c r="M853" s="5"/>
      <c r="N853" s="5"/>
      <c r="O853" s="5"/>
      <c r="P853" s="5"/>
      <c r="Q853" s="5"/>
      <c r="R853" s="5"/>
      <c r="S853" s="5"/>
      <c r="T853" s="5"/>
      <c r="U853" s="5"/>
      <c r="V853" s="46"/>
      <c r="W853" s="1641">
        <v>41740</v>
      </c>
      <c r="X853" s="1641"/>
      <c r="Y853" s="1641"/>
      <c r="Z853" s="1641"/>
      <c r="AA853" s="1641"/>
      <c r="AB853" s="1641"/>
      <c r="AC853" s="1641"/>
      <c r="AZ853" s="30"/>
      <c r="BA853" s="30"/>
      <c r="BB853" s="14"/>
      <c r="BC853" s="14"/>
    </row>
    <row r="854" spans="3:55" ht="13" customHeight="1">
      <c r="J854" s="62" t="s">
        <v>619</v>
      </c>
      <c r="K854" s="5"/>
      <c r="L854" s="5"/>
      <c r="M854" s="5"/>
      <c r="N854" s="5"/>
      <c r="O854" s="5"/>
      <c r="P854" s="5"/>
      <c r="Q854" s="5"/>
      <c r="R854" s="5"/>
      <c r="S854" s="5"/>
      <c r="T854" s="5"/>
      <c r="U854" s="5"/>
      <c r="V854" s="46"/>
      <c r="W854" s="1641">
        <v>30759</v>
      </c>
      <c r="X854" s="1641"/>
      <c r="Y854" s="1641"/>
      <c r="Z854" s="1641"/>
      <c r="AA854" s="1641"/>
      <c r="AB854" s="1641"/>
      <c r="AC854" s="1641"/>
      <c r="AZ854" s="34"/>
      <c r="BA854" s="34"/>
      <c r="BB854" s="34"/>
      <c r="BC854" s="34"/>
    </row>
    <row r="855" spans="3:55" ht="13" customHeight="1">
      <c r="J855" s="63"/>
      <c r="K855" s="48"/>
      <c r="L855" s="48"/>
      <c r="M855" s="48"/>
      <c r="N855" s="48"/>
      <c r="O855" s="48"/>
      <c r="P855" s="48"/>
      <c r="Q855" s="48"/>
      <c r="R855" s="48"/>
      <c r="S855" s="48"/>
      <c r="T855" s="48"/>
      <c r="U855" s="48"/>
      <c r="V855" s="54" t="s">
        <v>271</v>
      </c>
      <c r="W855" s="1642">
        <f>SUM(W851:AC854)</f>
        <v>87664</v>
      </c>
      <c r="X855" s="1642"/>
      <c r="Y855" s="1642"/>
      <c r="Z855" s="1642"/>
      <c r="AA855" s="1642"/>
      <c r="AB855" s="1642"/>
      <c r="AC855" s="1642"/>
      <c r="AZ855" s="34"/>
      <c r="BA855" s="34"/>
      <c r="BB855" s="34"/>
      <c r="BC855" s="34"/>
    </row>
    <row r="856" spans="3:55" ht="13" customHeight="1">
      <c r="AZ856" s="34"/>
      <c r="BA856" s="34"/>
      <c r="BB856" s="34"/>
      <c r="BC856" s="34"/>
    </row>
    <row r="857" spans="3:55" ht="13" customHeight="1">
      <c r="C857" s="2" t="s">
        <v>345</v>
      </c>
      <c r="J857" s="45" t="s">
        <v>618</v>
      </c>
      <c r="K857" s="5"/>
      <c r="L857" s="5"/>
      <c r="M857" s="5"/>
      <c r="N857" s="5"/>
      <c r="O857" s="5"/>
      <c r="P857" s="5"/>
      <c r="Q857" s="5"/>
      <c r="R857" s="5"/>
      <c r="S857" s="5"/>
      <c r="T857" s="5"/>
      <c r="U857" s="5"/>
      <c r="V857" s="46"/>
      <c r="W857" s="1635">
        <v>131804</v>
      </c>
      <c r="X857" s="1636"/>
      <c r="Y857" s="1636"/>
      <c r="Z857" s="1636"/>
      <c r="AA857" s="1636"/>
      <c r="AB857" s="1636"/>
      <c r="AC857" s="1637"/>
      <c r="AD857" s="529"/>
      <c r="AZ857" s="34"/>
      <c r="BA857" s="34"/>
      <c r="BB857" s="34"/>
      <c r="BC857" s="34"/>
    </row>
    <row r="858" spans="3:55" ht="13" customHeight="1">
      <c r="C858" s="2" t="s">
        <v>346</v>
      </c>
      <c r="J858" s="121" t="s">
        <v>1654</v>
      </c>
      <c r="K858" s="5"/>
      <c r="L858" s="5"/>
      <c r="M858" s="5"/>
      <c r="N858" s="5"/>
      <c r="O858" s="5"/>
      <c r="P858" s="5"/>
      <c r="Q858" s="5"/>
      <c r="R858" s="5"/>
      <c r="S858" s="5"/>
      <c r="T858" s="1658">
        <v>2</v>
      </c>
      <c r="U858" s="1659"/>
      <c r="V858" s="1660"/>
      <c r="W858" s="875"/>
      <c r="X858" s="876"/>
      <c r="Y858" s="876"/>
      <c r="Z858" s="876"/>
      <c r="AA858" s="876"/>
      <c r="AB858" s="876"/>
      <c r="AC858" s="877"/>
      <c r="AD858" s="529"/>
      <c r="AZ858" s="34"/>
      <c r="BA858" s="34"/>
      <c r="BB858" s="34"/>
      <c r="BC858" s="34"/>
    </row>
    <row r="859" spans="3:55" ht="13" customHeight="1">
      <c r="C859" s="2"/>
      <c r="J859" s="45" t="s">
        <v>617</v>
      </c>
      <c r="K859" s="5"/>
      <c r="L859" s="5"/>
      <c r="M859" s="5"/>
      <c r="N859" s="5"/>
      <c r="O859" s="5"/>
      <c r="P859" s="5"/>
      <c r="Q859" s="5"/>
      <c r="R859" s="5"/>
      <c r="S859" s="5"/>
      <c r="T859" s="5"/>
      <c r="U859" s="5"/>
      <c r="V859" s="46"/>
      <c r="W859" s="1635">
        <v>112649</v>
      </c>
      <c r="X859" s="1636"/>
      <c r="Y859" s="1636"/>
      <c r="Z859" s="1636"/>
      <c r="AA859" s="1636"/>
      <c r="AB859" s="1636"/>
      <c r="AC859" s="1637"/>
      <c r="AD859" s="534"/>
      <c r="AZ859" s="34"/>
      <c r="BA859" s="34"/>
      <c r="BB859" s="34"/>
      <c r="BC859" s="34"/>
    </row>
    <row r="860" spans="3:55" ht="13" customHeight="1">
      <c r="C860" s="2"/>
      <c r="J860" s="121" t="s">
        <v>1655</v>
      </c>
      <c r="K860" s="5"/>
      <c r="L860" s="5"/>
      <c r="M860" s="5"/>
      <c r="N860" s="5"/>
      <c r="O860" s="5"/>
      <c r="P860" s="5"/>
      <c r="Q860" s="5"/>
      <c r="R860" s="5"/>
      <c r="S860" s="5"/>
      <c r="T860" s="1658"/>
      <c r="U860" s="1659"/>
      <c r="V860" s="1660"/>
      <c r="W860" s="875"/>
      <c r="X860" s="876"/>
      <c r="Y860" s="876"/>
      <c r="Z860" s="876"/>
      <c r="AA860" s="876"/>
      <c r="AB860" s="876"/>
      <c r="AC860" s="877"/>
      <c r="AD860" s="534"/>
      <c r="AZ860" s="34"/>
      <c r="BA860" s="34"/>
      <c r="BB860" s="34"/>
      <c r="BC860" s="34"/>
    </row>
    <row r="861" spans="3:55" ht="13" customHeight="1">
      <c r="J861" s="45" t="s">
        <v>169</v>
      </c>
      <c r="K861" s="5"/>
      <c r="L861" s="5"/>
      <c r="M861" s="1638" t="s">
        <v>346</v>
      </c>
      <c r="N861" s="1639"/>
      <c r="O861" s="1639"/>
      <c r="P861" s="1639"/>
      <c r="Q861" s="1639"/>
      <c r="R861" s="1639"/>
      <c r="S861" s="1639"/>
      <c r="T861" s="1639"/>
      <c r="U861" s="1639"/>
      <c r="V861" s="1640"/>
      <c r="W861" s="1635">
        <v>77284</v>
      </c>
      <c r="X861" s="1636"/>
      <c r="Y861" s="1636"/>
      <c r="Z861" s="1636"/>
      <c r="AA861" s="1636"/>
      <c r="AB861" s="1636"/>
      <c r="AC861" s="1637"/>
      <c r="AD861" s="529"/>
      <c r="AU861" s="14"/>
      <c r="AZ861" s="34"/>
      <c r="BA861" s="34"/>
      <c r="BB861" s="34"/>
      <c r="BC861" s="34"/>
    </row>
    <row r="862" spans="3:55" ht="13" customHeight="1">
      <c r="J862" s="45"/>
      <c r="K862" s="5"/>
      <c r="L862" s="5"/>
      <c r="M862" s="5"/>
      <c r="N862" s="5"/>
      <c r="O862" s="5"/>
      <c r="P862" s="5"/>
      <c r="Q862" s="5"/>
      <c r="R862" s="5"/>
      <c r="S862" s="5"/>
      <c r="T862" s="5"/>
      <c r="U862" s="5"/>
      <c r="V862" s="54" t="s">
        <v>272</v>
      </c>
      <c r="W862" s="1661">
        <f>SUM(W857:AC861)</f>
        <v>321737</v>
      </c>
      <c r="X862" s="1662"/>
      <c r="Y862" s="1662"/>
      <c r="Z862" s="1662"/>
      <c r="AA862" s="1662"/>
      <c r="AB862" s="1662"/>
      <c r="AC862" s="1663"/>
      <c r="AD862" s="534"/>
      <c r="AU862" s="14"/>
      <c r="AZ862" s="34"/>
      <c r="BA862" s="34"/>
      <c r="BB862" s="34"/>
      <c r="BC862" s="34"/>
    </row>
    <row r="863" spans="3:55" ht="13" customHeight="1">
      <c r="J863" s="45"/>
      <c r="K863" s="5"/>
      <c r="L863" s="5"/>
      <c r="M863" s="5"/>
      <c r="N863" s="5"/>
      <c r="O863" s="5"/>
      <c r="P863" s="5"/>
      <c r="Q863" s="5"/>
      <c r="R863" s="5"/>
      <c r="S863" s="5"/>
      <c r="T863" s="5"/>
      <c r="U863" s="5"/>
      <c r="V863" s="54" t="s">
        <v>273</v>
      </c>
      <c r="W863" s="1635">
        <v>38043</v>
      </c>
      <c r="X863" s="1636"/>
      <c r="Y863" s="1636"/>
      <c r="Z863" s="1636"/>
      <c r="AA863" s="1636"/>
      <c r="AB863" s="1636"/>
      <c r="AC863" s="1637"/>
      <c r="AU863" s="14"/>
      <c r="AZ863" s="34"/>
      <c r="BA863" s="34"/>
      <c r="BB863" s="34"/>
      <c r="BC863" s="34"/>
    </row>
    <row r="864" spans="3:55" ht="13" customHeight="1">
      <c r="J864" s="513"/>
      <c r="AU864" s="14"/>
      <c r="AZ864" s="34"/>
      <c r="BA864" s="34"/>
      <c r="BB864" s="34"/>
      <c r="BC864" s="34"/>
    </row>
    <row r="865" spans="3:55" ht="13" customHeight="1">
      <c r="C865" s="2" t="s">
        <v>389</v>
      </c>
      <c r="J865" s="45" t="s">
        <v>616</v>
      </c>
      <c r="K865" s="5"/>
      <c r="L865" s="5"/>
      <c r="M865" s="5"/>
      <c r="N865" s="5"/>
      <c r="O865" s="5"/>
      <c r="P865" s="5"/>
      <c r="Q865" s="5"/>
      <c r="R865" s="5"/>
      <c r="S865" s="5"/>
      <c r="T865" s="5"/>
      <c r="U865" s="5"/>
      <c r="V865" s="46"/>
      <c r="W865" s="1646"/>
      <c r="X865" s="1646"/>
      <c r="Y865" s="1646"/>
      <c r="Z865" s="1646"/>
      <c r="AA865" s="1646"/>
      <c r="AB865" s="1646"/>
      <c r="AC865" s="1646"/>
      <c r="AU865" s="14"/>
      <c r="AZ865" s="34"/>
      <c r="BA865" s="34"/>
      <c r="BB865" s="34"/>
      <c r="BC865" s="34"/>
    </row>
    <row r="866" spans="3:55" ht="13" customHeight="1">
      <c r="J866" s="45" t="s">
        <v>521</v>
      </c>
      <c r="K866" s="5"/>
      <c r="L866" s="5"/>
      <c r="M866" s="5"/>
      <c r="N866" s="5"/>
      <c r="O866" s="5"/>
      <c r="P866" s="5"/>
      <c r="Q866" s="5"/>
      <c r="R866" s="5"/>
      <c r="S866" s="5"/>
      <c r="T866" s="5"/>
      <c r="U866" s="5"/>
      <c r="V866" s="46"/>
      <c r="W866" s="1646">
        <v>4593</v>
      </c>
      <c r="X866" s="1646"/>
      <c r="Y866" s="1646"/>
      <c r="Z866" s="1646"/>
      <c r="AA866" s="1646"/>
      <c r="AB866" s="1646"/>
      <c r="AC866" s="1646"/>
      <c r="AU866" s="4"/>
      <c r="AZ866" s="34"/>
      <c r="BA866" s="34"/>
      <c r="BB866" s="34"/>
      <c r="BC866" s="34"/>
    </row>
    <row r="867" spans="3:55" ht="13" customHeight="1">
      <c r="J867" s="45" t="s">
        <v>520</v>
      </c>
      <c r="K867" s="5"/>
      <c r="L867" s="5"/>
      <c r="M867" s="5"/>
      <c r="N867" s="5"/>
      <c r="O867" s="5"/>
      <c r="P867" s="5"/>
      <c r="Q867" s="5"/>
      <c r="R867" s="5"/>
      <c r="S867" s="5"/>
      <c r="T867" s="5"/>
      <c r="U867" s="5"/>
      <c r="V867" s="46"/>
      <c r="W867" s="1646">
        <v>18227</v>
      </c>
      <c r="X867" s="1646"/>
      <c r="Y867" s="1646"/>
      <c r="Z867" s="1646"/>
      <c r="AA867" s="1646"/>
      <c r="AB867" s="1646"/>
      <c r="AC867" s="1646"/>
      <c r="AU867" s="4"/>
      <c r="AZ867" s="34"/>
      <c r="BA867" s="34"/>
      <c r="BB867" s="34"/>
      <c r="BC867" s="34"/>
    </row>
    <row r="868" spans="3:55" ht="13" customHeight="1">
      <c r="J868" s="45" t="s">
        <v>519</v>
      </c>
      <c r="K868" s="5"/>
      <c r="L868" s="5"/>
      <c r="M868" s="5"/>
      <c r="N868" s="5"/>
      <c r="O868" s="5"/>
      <c r="P868" s="5"/>
      <c r="Q868" s="5"/>
      <c r="R868" s="5"/>
      <c r="S868" s="5"/>
      <c r="T868" s="5"/>
      <c r="U868" s="5"/>
      <c r="V868" s="46"/>
      <c r="W868" s="1646"/>
      <c r="X868" s="1646"/>
      <c r="Y868" s="1646"/>
      <c r="Z868" s="1646"/>
      <c r="AA868" s="1646"/>
      <c r="AB868" s="1646"/>
      <c r="AC868" s="1646"/>
      <c r="AU868" s="4"/>
      <c r="AZ868" s="34"/>
      <c r="BA868" s="34"/>
      <c r="BB868" s="34"/>
      <c r="BC868" s="34"/>
    </row>
    <row r="869" spans="3:55" ht="13" customHeight="1">
      <c r="J869" s="45" t="s">
        <v>518</v>
      </c>
      <c r="K869" s="5"/>
      <c r="L869" s="5"/>
      <c r="M869" s="5"/>
      <c r="N869" s="5"/>
      <c r="O869" s="5"/>
      <c r="P869" s="5"/>
      <c r="Q869" s="5"/>
      <c r="R869" s="5"/>
      <c r="S869" s="5"/>
      <c r="T869" s="5"/>
      <c r="U869" s="5"/>
      <c r="V869" s="46"/>
      <c r="W869" s="1646"/>
      <c r="X869" s="1646"/>
      <c r="Y869" s="1646"/>
      <c r="Z869" s="1646"/>
      <c r="AA869" s="1646"/>
      <c r="AB869" s="1646"/>
      <c r="AC869" s="1646"/>
      <c r="AU869" s="4"/>
      <c r="AZ869" s="34"/>
      <c r="BA869" s="34"/>
      <c r="BB869" s="34"/>
      <c r="BC869" s="34"/>
    </row>
    <row r="870" spans="3:55" ht="13" customHeight="1">
      <c r="J870" s="45" t="s">
        <v>517</v>
      </c>
      <c r="K870" s="5"/>
      <c r="L870" s="5"/>
      <c r="M870" s="5"/>
      <c r="N870" s="5"/>
      <c r="O870" s="5"/>
      <c r="P870" s="5"/>
      <c r="Q870" s="5"/>
      <c r="R870" s="5"/>
      <c r="S870" s="5"/>
      <c r="T870" s="5"/>
      <c r="U870" s="5"/>
      <c r="V870" s="46"/>
      <c r="W870" s="1646"/>
      <c r="X870" s="1646"/>
      <c r="Y870" s="1646"/>
      <c r="Z870" s="1646"/>
      <c r="AA870" s="1646"/>
      <c r="AB870" s="1646"/>
      <c r="AC870" s="1646"/>
      <c r="AU870" s="4"/>
      <c r="AZ870" s="34"/>
      <c r="BA870" s="34"/>
      <c r="BB870" s="34"/>
      <c r="BC870" s="34"/>
    </row>
    <row r="871" spans="3:55" ht="13" customHeight="1">
      <c r="J871" s="45" t="s">
        <v>169</v>
      </c>
      <c r="K871" s="5"/>
      <c r="L871" s="5"/>
      <c r="M871" s="1638" t="s">
        <v>2710</v>
      </c>
      <c r="N871" s="1639"/>
      <c r="O871" s="1639"/>
      <c r="P871" s="1639"/>
      <c r="Q871" s="1639"/>
      <c r="R871" s="1639"/>
      <c r="S871" s="1639"/>
      <c r="T871" s="1639"/>
      <c r="U871" s="1639"/>
      <c r="V871" s="1640"/>
      <c r="W871" s="1646">
        <v>147648</v>
      </c>
      <c r="X871" s="1646"/>
      <c r="Y871" s="1646"/>
      <c r="Z871" s="1646"/>
      <c r="AA871" s="1646"/>
      <c r="AB871" s="1646"/>
      <c r="AC871" s="1646"/>
      <c r="AD871" s="534"/>
      <c r="AU871" s="4"/>
      <c r="AV871" s="14"/>
      <c r="AW871" s="14"/>
      <c r="AX871" s="14"/>
      <c r="AY871" s="14"/>
      <c r="AZ871" s="34"/>
      <c r="BA871" s="34"/>
      <c r="BB871" s="34"/>
      <c r="BC871" s="34"/>
    </row>
    <row r="872" spans="3:55" ht="13" customHeight="1">
      <c r="J872" s="45"/>
      <c r="K872" s="5"/>
      <c r="L872" s="5"/>
      <c r="M872" s="5"/>
      <c r="N872" s="5"/>
      <c r="O872" s="5"/>
      <c r="P872" s="5"/>
      <c r="Q872" s="5"/>
      <c r="R872" s="5"/>
      <c r="S872" s="5"/>
      <c r="T872" s="5"/>
      <c r="U872" s="5"/>
      <c r="V872" s="54" t="s">
        <v>274</v>
      </c>
      <c r="W872" s="1600">
        <f>SUM(W865:AC871)</f>
        <v>170468</v>
      </c>
      <c r="X872" s="1600"/>
      <c r="Y872" s="1600"/>
      <c r="Z872" s="1600"/>
      <c r="AA872" s="1600"/>
      <c r="AB872" s="1600"/>
      <c r="AC872" s="1600"/>
      <c r="AU872" s="4"/>
      <c r="AV872" s="14"/>
      <c r="AW872" s="14"/>
      <c r="AX872" s="14"/>
      <c r="AY872" s="14"/>
      <c r="AZ872" s="34"/>
      <c r="BA872" s="34"/>
      <c r="BB872" s="34"/>
      <c r="BC872" s="34"/>
    </row>
    <row r="873" spans="3:55" ht="13" customHeight="1">
      <c r="AU873" s="4"/>
      <c r="AV873" s="14"/>
      <c r="AW873" s="14"/>
      <c r="AX873" s="14"/>
      <c r="AY873" s="14"/>
      <c r="AZ873" s="34"/>
      <c r="BA873" s="34"/>
      <c r="BB873" s="34"/>
      <c r="BC873" s="34"/>
    </row>
    <row r="874" spans="3:55" ht="13" customHeight="1">
      <c r="C874" s="2" t="s">
        <v>1242</v>
      </c>
      <c r="J874" s="45" t="s">
        <v>169</v>
      </c>
      <c r="K874" s="5"/>
      <c r="L874" s="5"/>
      <c r="M874" s="1638" t="s">
        <v>2711</v>
      </c>
      <c r="N874" s="1639"/>
      <c r="O874" s="1639"/>
      <c r="P874" s="1639"/>
      <c r="Q874" s="1639"/>
      <c r="R874" s="1639"/>
      <c r="S874" s="1639"/>
      <c r="T874" s="1639"/>
      <c r="U874" s="1639"/>
      <c r="V874" s="1640"/>
      <c r="W874" s="1478">
        <v>4351</v>
      </c>
      <c r="X874" s="1479"/>
      <c r="Y874" s="1479"/>
      <c r="Z874" s="1479"/>
      <c r="AA874" s="1479"/>
      <c r="AB874" s="1479"/>
      <c r="AC874" s="1480"/>
      <c r="AD874" s="534"/>
      <c r="AV874" s="14"/>
      <c r="AW874" s="14"/>
      <c r="AX874" s="14"/>
      <c r="AY874" s="14"/>
      <c r="AZ874" s="34"/>
      <c r="BA874" s="34"/>
      <c r="BB874" s="34"/>
      <c r="BC874" s="34"/>
    </row>
    <row r="875" spans="3:55" ht="13" customHeight="1">
      <c r="C875" s="2" t="s">
        <v>1243</v>
      </c>
      <c r="J875" s="45" t="s">
        <v>169</v>
      </c>
      <c r="K875" s="5"/>
      <c r="L875" s="5"/>
      <c r="M875" s="1638"/>
      <c r="N875" s="1639"/>
      <c r="O875" s="1639"/>
      <c r="P875" s="1639"/>
      <c r="Q875" s="1639"/>
      <c r="R875" s="1639"/>
      <c r="S875" s="1639"/>
      <c r="T875" s="1639"/>
      <c r="U875" s="1639"/>
      <c r="V875" s="1640"/>
      <c r="W875" s="1478"/>
      <c r="X875" s="1479"/>
      <c r="Y875" s="1479"/>
      <c r="Z875" s="1479"/>
      <c r="AA875" s="1479"/>
      <c r="AB875" s="1479"/>
      <c r="AC875" s="1480"/>
      <c r="AD875" s="534"/>
      <c r="AV875" s="14"/>
      <c r="AW875" s="14"/>
      <c r="AX875" s="14"/>
      <c r="AY875" s="14"/>
      <c r="AZ875" s="34"/>
      <c r="BA875" s="34"/>
      <c r="BB875" s="34"/>
      <c r="BC875" s="34"/>
    </row>
    <row r="876" spans="3:55" ht="13" customHeight="1">
      <c r="J876" s="45" t="s">
        <v>169</v>
      </c>
      <c r="K876" s="5"/>
      <c r="L876" s="5"/>
      <c r="M876" s="1638"/>
      <c r="N876" s="1639"/>
      <c r="O876" s="1639"/>
      <c r="P876" s="1639"/>
      <c r="Q876" s="1639"/>
      <c r="R876" s="1639"/>
      <c r="S876" s="1639"/>
      <c r="T876" s="1639"/>
      <c r="U876" s="1639"/>
      <c r="V876" s="1640"/>
      <c r="W876" s="1478"/>
      <c r="X876" s="1479"/>
      <c r="Y876" s="1479"/>
      <c r="Z876" s="1479"/>
      <c r="AA876" s="1479"/>
      <c r="AB876" s="1479"/>
      <c r="AC876" s="1480"/>
      <c r="AL876" s="14"/>
      <c r="AM876" s="14"/>
      <c r="AN876" s="14"/>
      <c r="AO876" s="14"/>
      <c r="AP876" s="14"/>
      <c r="AQ876" s="14"/>
      <c r="AR876" s="14"/>
      <c r="AS876" s="14"/>
      <c r="AT876" s="14"/>
      <c r="AV876" s="4"/>
      <c r="AW876" s="4"/>
      <c r="AX876" s="4"/>
      <c r="AY876" s="4"/>
      <c r="AZ876" s="34"/>
      <c r="BA876" s="34"/>
      <c r="BB876" s="34"/>
      <c r="BC876" s="34"/>
    </row>
    <row r="877" spans="3:55" ht="13" customHeight="1">
      <c r="J877" s="45" t="s">
        <v>169</v>
      </c>
      <c r="K877" s="5"/>
      <c r="L877" s="5"/>
      <c r="M877" s="1638"/>
      <c r="N877" s="1639"/>
      <c r="O877" s="1639"/>
      <c r="P877" s="1639"/>
      <c r="Q877" s="1639"/>
      <c r="R877" s="1639"/>
      <c r="S877" s="1639"/>
      <c r="T877" s="1639"/>
      <c r="U877" s="1639"/>
      <c r="V877" s="1640"/>
      <c r="W877" s="1478"/>
      <c r="X877" s="1479"/>
      <c r="Y877" s="1479"/>
      <c r="Z877" s="1479"/>
      <c r="AA877" s="1479"/>
      <c r="AB877" s="1479"/>
      <c r="AC877" s="1480"/>
      <c r="AL877" s="14"/>
      <c r="AM877" s="14"/>
      <c r="AN877" s="14"/>
      <c r="AO877" s="14"/>
      <c r="AP877" s="14"/>
      <c r="AQ877" s="14"/>
      <c r="AR877" s="14"/>
      <c r="AS877" s="14"/>
      <c r="AT877" s="14"/>
      <c r="AV877" s="4"/>
      <c r="AW877" s="4"/>
      <c r="AX877" s="4"/>
      <c r="AY877" s="4"/>
      <c r="AZ877" s="34"/>
      <c r="BA877" s="34"/>
      <c r="BB877" s="34"/>
      <c r="BC877" s="34"/>
    </row>
    <row r="878" spans="3:55" ht="13" customHeight="1">
      <c r="J878" s="45" t="s">
        <v>169</v>
      </c>
      <c r="K878" s="5"/>
      <c r="L878" s="5"/>
      <c r="M878" s="1638"/>
      <c r="N878" s="1639"/>
      <c r="O878" s="1639"/>
      <c r="P878" s="1639"/>
      <c r="Q878" s="1639"/>
      <c r="R878" s="1639"/>
      <c r="S878" s="1639"/>
      <c r="T878" s="1639"/>
      <c r="U878" s="1639"/>
      <c r="V878" s="1640"/>
      <c r="W878" s="1478"/>
      <c r="X878" s="1479"/>
      <c r="Y878" s="1479"/>
      <c r="Z878" s="1479"/>
      <c r="AA878" s="1479"/>
      <c r="AB878" s="1479"/>
      <c r="AC878" s="1480"/>
      <c r="AL878" s="14"/>
      <c r="AM878" s="14"/>
      <c r="AN878" s="14"/>
      <c r="AO878" s="14"/>
      <c r="AP878" s="14"/>
      <c r="AQ878" s="14"/>
      <c r="AR878" s="14"/>
      <c r="AS878" s="14"/>
      <c r="AT878" s="14"/>
      <c r="AV878" s="4"/>
      <c r="AW878" s="4"/>
      <c r="AX878" s="4"/>
      <c r="AY878" s="4"/>
      <c r="AZ878" s="34"/>
      <c r="BA878" s="34"/>
      <c r="BB878" s="34"/>
      <c r="BC878" s="34"/>
    </row>
    <row r="879" spans="3:55" ht="13" customHeight="1">
      <c r="J879" s="45"/>
      <c r="K879" s="5"/>
      <c r="L879" s="5"/>
      <c r="M879" s="5"/>
      <c r="N879" s="5"/>
      <c r="O879" s="5"/>
      <c r="P879" s="5"/>
      <c r="Q879" s="5"/>
      <c r="R879" s="5"/>
      <c r="S879" s="5"/>
      <c r="T879" s="5"/>
      <c r="U879" s="5"/>
      <c r="V879" s="54" t="s">
        <v>275</v>
      </c>
      <c r="W879" s="1505">
        <f>SUM(W874:AC878)</f>
        <v>4351</v>
      </c>
      <c r="X879" s="1506"/>
      <c r="Y879" s="1506"/>
      <c r="Z879" s="1506"/>
      <c r="AA879" s="1506"/>
      <c r="AB879" s="1506"/>
      <c r="AC879" s="1507"/>
      <c r="AL879" s="14"/>
      <c r="AM879" s="14"/>
      <c r="AN879" s="14"/>
      <c r="AO879" s="14"/>
      <c r="AP879" s="14"/>
      <c r="AQ879" s="14"/>
      <c r="AR879" s="14"/>
      <c r="AS879" s="14"/>
      <c r="AT879" s="14"/>
      <c r="AV879" s="4"/>
      <c r="AW879" s="4"/>
      <c r="AX879" s="4"/>
      <c r="AY879" s="4"/>
      <c r="AZ879" s="34"/>
      <c r="BA879" s="34"/>
      <c r="BB879" s="34"/>
      <c r="BC879" s="34"/>
    </row>
    <row r="880" spans="3:55" ht="13" customHeight="1">
      <c r="E880" s="513"/>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row>
    <row r="881" spans="3:55" ht="13" customHeight="1">
      <c r="C881" s="2" t="s">
        <v>177</v>
      </c>
      <c r="I881" s="534"/>
      <c r="J881" s="534"/>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row>
    <row r="882" spans="3:55" ht="13" customHeight="1">
      <c r="E882" s="513"/>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row>
    <row r="883" spans="3:55" ht="13"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894" t="s">
        <v>276</v>
      </c>
      <c r="AC883" s="1506">
        <f>W847+W855+W862+W863+W872+W879+W849</f>
        <v>841832</v>
      </c>
      <c r="AD883" s="1506"/>
      <c r="AE883" s="1506"/>
      <c r="AF883" s="1506"/>
      <c r="AG883" s="1506"/>
      <c r="AH883" s="1507"/>
      <c r="AL883" s="4"/>
      <c r="AM883" s="4"/>
      <c r="AN883" s="4"/>
      <c r="AO883" s="4"/>
      <c r="AP883" s="4"/>
      <c r="AQ883" s="4"/>
      <c r="AR883" s="4"/>
      <c r="AS883" s="4"/>
      <c r="AT883" s="4"/>
      <c r="AV883" s="4"/>
      <c r="AW883" s="4"/>
      <c r="AX883" s="4"/>
      <c r="AY883" s="4"/>
      <c r="AZ883" s="34"/>
      <c r="BA883" s="34"/>
      <c r="BB883" s="34"/>
      <c r="BC883" s="34"/>
    </row>
    <row r="884" spans="3:55" ht="13"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894" t="s">
        <v>510</v>
      </c>
      <c r="AC884" s="1664">
        <f>O797+O777+G753</f>
        <v>61</v>
      </c>
      <c r="AD884" s="1664"/>
      <c r="AE884" s="1664"/>
      <c r="AF884" s="1664"/>
      <c r="AG884" s="1664"/>
      <c r="AH884" s="1665"/>
      <c r="AL884" s="4"/>
      <c r="AM884" s="4"/>
      <c r="AN884" s="4"/>
      <c r="AO884" s="4"/>
      <c r="AP884" s="4"/>
      <c r="AQ884" s="4"/>
      <c r="AR884" s="4"/>
      <c r="AS884" s="4"/>
      <c r="AT884" s="4"/>
      <c r="AZ884" s="34"/>
      <c r="BA884" s="34"/>
      <c r="BB884" s="34"/>
      <c r="BC884" s="34"/>
    </row>
    <row r="885" spans="3:55" ht="13" customHeight="1">
      <c r="C885" s="41"/>
      <c r="D885" s="42"/>
      <c r="E885" s="1712" t="s">
        <v>32</v>
      </c>
      <c r="F885" s="1712"/>
      <c r="G885" s="1712"/>
      <c r="H885" s="1712"/>
      <c r="I885" s="1712"/>
      <c r="J885" s="1712"/>
      <c r="K885" s="1712"/>
      <c r="L885" s="1712"/>
      <c r="M885" s="1712"/>
      <c r="N885" s="1712"/>
      <c r="O885" s="1712"/>
      <c r="P885" s="1712"/>
      <c r="Q885" s="1712"/>
      <c r="R885" s="1712"/>
      <c r="S885" s="1712"/>
      <c r="T885" s="1712"/>
      <c r="U885" s="1712"/>
      <c r="V885" s="1712"/>
      <c r="W885" s="1712"/>
      <c r="X885" s="1712"/>
      <c r="Y885" s="1712"/>
      <c r="Z885" s="1712"/>
      <c r="AA885" s="1712"/>
      <c r="AB885" s="1713"/>
      <c r="AC885" s="1600">
        <f>IF(ISERROR((ROUNDDOWN(AC883/AC884,0))),0,(ROUNDDOWN(AC883/AC884,0)))</f>
        <v>13800</v>
      </c>
      <c r="AD885" s="1600"/>
      <c r="AE885" s="1600"/>
      <c r="AF885" s="1600"/>
      <c r="AG885" s="1600"/>
      <c r="AH885" s="1600"/>
      <c r="AL885" s="4"/>
      <c r="AM885" s="4"/>
      <c r="AN885" s="4"/>
      <c r="AO885" s="4"/>
      <c r="AP885" s="4"/>
      <c r="AQ885" s="4"/>
      <c r="AR885" s="4"/>
      <c r="AS885" s="4"/>
      <c r="AT885" s="4"/>
      <c r="AZ885" s="34"/>
      <c r="BA885" s="34"/>
      <c r="BB885" s="34"/>
      <c r="BC885" s="34"/>
    </row>
    <row r="886" spans="3:55" ht="13"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760</v>
      </c>
      <c r="AC886" s="1666">
        <f>ROUND(726377/2,0)</f>
        <v>363189</v>
      </c>
      <c r="AD886" s="1667"/>
      <c r="AE886" s="1667"/>
      <c r="AF886" s="1667"/>
      <c r="AG886" s="1667"/>
      <c r="AH886" s="1667"/>
      <c r="AL886" s="4"/>
      <c r="AM886" s="4"/>
      <c r="AN886" s="4"/>
      <c r="AO886" s="4"/>
      <c r="AP886" s="4"/>
      <c r="AQ886" s="4"/>
      <c r="AR886" s="4"/>
      <c r="AS886" s="4"/>
      <c r="AT886" s="4"/>
      <c r="AZ886" s="34"/>
      <c r="BA886" s="34"/>
      <c r="BB886" s="34"/>
      <c r="BC886" s="34"/>
    </row>
    <row r="887" spans="3:55" ht="13"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1159</v>
      </c>
      <c r="AC887" s="1480"/>
      <c r="AD887" s="1646"/>
      <c r="AE887" s="1646"/>
      <c r="AF887" s="1646"/>
      <c r="AG887" s="1646"/>
      <c r="AH887" s="1646"/>
      <c r="AL887" s="4"/>
      <c r="AM887" s="4"/>
      <c r="AN887" s="4"/>
      <c r="AO887" s="4"/>
      <c r="AP887" s="4"/>
      <c r="AQ887" s="4"/>
      <c r="AR887" s="4"/>
      <c r="AS887" s="4"/>
      <c r="AT887" s="4"/>
      <c r="AZ887" s="34"/>
      <c r="BA887" s="34"/>
      <c r="BB887" s="34"/>
      <c r="BC887" s="34"/>
    </row>
    <row r="888" spans="3:55" ht="13"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509</v>
      </c>
      <c r="AC888" s="1479">
        <v>80295</v>
      </c>
      <c r="AD888" s="1479"/>
      <c r="AE888" s="1479"/>
      <c r="AF888" s="1479"/>
      <c r="AG888" s="1479"/>
      <c r="AH888" s="1480"/>
      <c r="AL888" s="4"/>
      <c r="AM888" s="4"/>
      <c r="AN888" s="4"/>
      <c r="AO888" s="4"/>
      <c r="AP888" s="4"/>
      <c r="AQ888" s="4"/>
      <c r="AR888" s="4"/>
      <c r="AS888" s="4"/>
      <c r="AT888" s="4"/>
      <c r="AZ888" s="34"/>
      <c r="BA888" s="34"/>
      <c r="BB888" s="34"/>
      <c r="BC888" s="34"/>
    </row>
    <row r="889" spans="3:55" ht="13"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479">
        <v>21350</v>
      </c>
      <c r="AD889" s="1479"/>
      <c r="AE889" s="1479"/>
      <c r="AF889" s="1479"/>
      <c r="AG889" s="1479"/>
      <c r="AH889" s="1480"/>
      <c r="AZ889" s="34"/>
      <c r="BA889" s="34"/>
      <c r="BB889" s="34"/>
      <c r="BC889" s="34"/>
    </row>
    <row r="890" spans="3:55" ht="13"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1677</v>
      </c>
      <c r="AC890" s="1470"/>
      <c r="AD890" s="1471"/>
      <c r="AE890" s="1471"/>
      <c r="AF890" s="1471"/>
      <c r="AG890" s="1471"/>
      <c r="AH890" s="1472"/>
      <c r="AZ890" s="34"/>
      <c r="BA890" s="34"/>
      <c r="BB890" s="34"/>
      <c r="BC890" s="34"/>
    </row>
    <row r="891" spans="3:55" ht="13"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479">
        <v>16362</v>
      </c>
      <c r="AD891" s="1479"/>
      <c r="AE891" s="1479"/>
      <c r="AF891" s="1479"/>
      <c r="AG891" s="1479"/>
      <c r="AH891" s="1480"/>
      <c r="AZ891" s="34"/>
      <c r="BA891" s="34"/>
      <c r="BB891" s="34"/>
      <c r="BC891" s="34"/>
    </row>
    <row r="892" spans="3:55" ht="13" hidden="1" customHeight="1">
      <c r="C892" s="1492" t="s">
        <v>2235</v>
      </c>
      <c r="D892" s="1493"/>
      <c r="E892" s="1493"/>
      <c r="F892" s="1493"/>
      <c r="G892" s="1493"/>
      <c r="H892" s="1493"/>
      <c r="I892" s="1493"/>
      <c r="J892" s="1493"/>
      <c r="K892" s="1493"/>
      <c r="L892" s="1493"/>
      <c r="M892" s="1493"/>
      <c r="N892" s="1493"/>
      <c r="O892" s="1493"/>
      <c r="P892" s="1493"/>
      <c r="Q892" s="1493"/>
      <c r="R892" s="1493"/>
      <c r="S892" s="1493"/>
      <c r="T892" s="1493"/>
      <c r="U892" s="1493"/>
      <c r="V892" s="1493"/>
      <c r="W892" s="1493"/>
      <c r="X892" s="1493"/>
      <c r="Y892" s="1493"/>
      <c r="Z892" s="1493"/>
      <c r="AA892" s="1493"/>
      <c r="AB892" s="1495"/>
      <c r="AC892" s="1479"/>
      <c r="AD892" s="1479"/>
      <c r="AE892" s="1479"/>
      <c r="AF892" s="1479"/>
      <c r="AG892" s="1479"/>
      <c r="AH892" s="1480"/>
      <c r="AZ892" s="34"/>
      <c r="BA892" s="34"/>
      <c r="BB892" s="34"/>
      <c r="BC892" s="34"/>
    </row>
    <row r="893" spans="3:55" ht="13" customHeight="1">
      <c r="C893" s="45"/>
      <c r="D893" s="5"/>
      <c r="E893" s="5"/>
      <c r="F893" s="5"/>
      <c r="G893" s="5"/>
      <c r="H893" s="5"/>
      <c r="I893" s="5"/>
      <c r="J893" s="5"/>
      <c r="K893" s="5"/>
      <c r="L893" s="5"/>
      <c r="M893" s="5"/>
      <c r="N893" s="5"/>
      <c r="O893" s="5"/>
      <c r="P893" s="5"/>
      <c r="Q893" s="5"/>
      <c r="R893" s="5"/>
      <c r="S893" s="5"/>
      <c r="T893" s="5"/>
      <c r="U893" s="5"/>
      <c r="V893" s="5"/>
      <c r="W893" s="5"/>
      <c r="X893" s="5"/>
      <c r="Y893" s="5"/>
      <c r="Z893" s="5"/>
      <c r="AA893" s="5"/>
      <c r="AB893" s="54" t="s">
        <v>1656</v>
      </c>
      <c r="AC893" s="1479"/>
      <c r="AD893" s="1479"/>
      <c r="AE893" s="1479"/>
      <c r="AF893" s="1479"/>
      <c r="AG893" s="1479"/>
      <c r="AH893" s="1480"/>
      <c r="AZ893" s="34"/>
      <c r="BA893" s="34"/>
      <c r="BB893" s="34"/>
      <c r="BC893" s="34"/>
    </row>
    <row r="894" spans="3:55" ht="13" customHeight="1">
      <c r="C894" s="1697" t="s">
        <v>2725</v>
      </c>
      <c r="D894" s="1698"/>
      <c r="E894" s="1698"/>
      <c r="F894" s="1698"/>
      <c r="G894" s="1698"/>
      <c r="H894" s="1698"/>
      <c r="I894" s="1698"/>
      <c r="J894" s="1698"/>
      <c r="K894" s="1698"/>
      <c r="L894" s="1698"/>
      <c r="M894" s="1698"/>
      <c r="N894" s="1698"/>
      <c r="O894" s="1698"/>
      <c r="P894" s="1698"/>
      <c r="Q894" s="1698"/>
      <c r="R894" s="1698"/>
      <c r="S894" s="1698"/>
      <c r="T894" s="1698"/>
      <c r="U894" s="1698"/>
      <c r="V894" s="1698"/>
      <c r="W894" s="1698"/>
      <c r="X894" s="1698"/>
      <c r="Y894" s="1698"/>
      <c r="Z894" s="1698"/>
      <c r="AA894" s="1698"/>
      <c r="AB894" s="1699"/>
      <c r="AC894" s="1646">
        <v>4000</v>
      </c>
      <c r="AD894" s="1646"/>
      <c r="AE894" s="1646"/>
      <c r="AF894" s="1646"/>
      <c r="AG894" s="1646"/>
      <c r="AH894" s="1646"/>
      <c r="AZ894" s="34"/>
      <c r="BA894" s="34"/>
      <c r="BB894" s="34"/>
      <c r="BC894" s="34"/>
    </row>
    <row r="895" spans="3:55" ht="13" customHeight="1">
      <c r="C895" s="1697" t="s">
        <v>955</v>
      </c>
      <c r="D895" s="1698"/>
      <c r="E895" s="1698"/>
      <c r="F895" s="1698"/>
      <c r="G895" s="1698"/>
      <c r="H895" s="1698"/>
      <c r="I895" s="1698"/>
      <c r="J895" s="1698"/>
      <c r="K895" s="1698"/>
      <c r="L895" s="1698"/>
      <c r="M895" s="1698"/>
      <c r="N895" s="1698"/>
      <c r="O895" s="1698"/>
      <c r="P895" s="1698"/>
      <c r="Q895" s="1698"/>
      <c r="R895" s="1698"/>
      <c r="S895" s="1698"/>
      <c r="T895" s="1698"/>
      <c r="U895" s="1698"/>
      <c r="V895" s="1698"/>
      <c r="W895" s="1698"/>
      <c r="X895" s="1698"/>
      <c r="Y895" s="1698"/>
      <c r="Z895" s="1698"/>
      <c r="AA895" s="1698"/>
      <c r="AB895" s="1699"/>
      <c r="AC895" s="1646"/>
      <c r="AD895" s="1646"/>
      <c r="AE895" s="1646"/>
      <c r="AF895" s="1646"/>
      <c r="AG895" s="1646"/>
      <c r="AH895" s="1646"/>
      <c r="AU895" s="95"/>
      <c r="AZ895" s="34"/>
      <c r="BA895" s="34"/>
      <c r="BB895" s="34"/>
      <c r="BC895" s="34"/>
    </row>
    <row r="896" spans="3:55" ht="13" customHeight="1">
      <c r="E896" s="513"/>
      <c r="AB896" s="56"/>
      <c r="AC896" s="123"/>
      <c r="AD896" s="123"/>
      <c r="AE896" s="123"/>
      <c r="AF896" s="123"/>
      <c r="AG896" s="123"/>
      <c r="AH896" s="123"/>
      <c r="AU896" s="95"/>
      <c r="AZ896" s="34"/>
      <c r="BA896" s="34"/>
      <c r="BB896" s="34"/>
      <c r="BC896" s="34"/>
    </row>
    <row r="897" spans="1:58" ht="13" customHeight="1">
      <c r="A897" s="2" t="s">
        <v>612</v>
      </c>
      <c r="C897" s="2" t="s">
        <v>236</v>
      </c>
      <c r="X897" s="12"/>
      <c r="Y897" s="12"/>
      <c r="Z897" s="12"/>
      <c r="AA897" s="12"/>
      <c r="AB897" s="12"/>
      <c r="AC897" s="12"/>
      <c r="AD897" s="12"/>
      <c r="AU897" s="95"/>
      <c r="AZ897" s="34"/>
      <c r="BB897" s="30"/>
      <c r="BC897" s="30"/>
    </row>
    <row r="898" spans="1:58" ht="13" customHeight="1">
      <c r="X898" s="12"/>
      <c r="Y898" s="12"/>
      <c r="Z898" s="12"/>
      <c r="AA898" s="12"/>
      <c r="AB898" s="12"/>
      <c r="AC898" s="12"/>
      <c r="AD898" s="12"/>
      <c r="AF898" s="534"/>
      <c r="AG898" s="180"/>
      <c r="AH898" s="180"/>
      <c r="AI898" s="180"/>
      <c r="AU898" s="95"/>
      <c r="AZ898" s="34"/>
      <c r="BB898" s="30"/>
      <c r="BC898" s="30"/>
      <c r="BD898" s="14"/>
      <c r="BE898" s="14"/>
      <c r="BF898" s="14"/>
    </row>
    <row r="899" spans="1:58" ht="13" customHeight="1">
      <c r="B899" s="2"/>
      <c r="H899" s="121" t="s">
        <v>237</v>
      </c>
      <c r="I899" s="5"/>
      <c r="J899" s="5"/>
      <c r="K899" s="5"/>
      <c r="L899" s="5"/>
      <c r="M899" s="5"/>
      <c r="N899" s="5"/>
      <c r="O899" s="5"/>
      <c r="P899" s="5"/>
      <c r="Q899" s="5"/>
      <c r="R899" s="5"/>
      <c r="S899" s="5"/>
      <c r="T899" s="5"/>
      <c r="U899" s="5"/>
      <c r="V899" s="5"/>
      <c r="W899" s="5"/>
      <c r="X899" s="5"/>
      <c r="Y899" s="46"/>
      <c r="Z899" s="1478"/>
      <c r="AA899" s="1479"/>
      <c r="AB899" s="1479"/>
      <c r="AC899" s="1479"/>
      <c r="AD899" s="1479"/>
      <c r="AE899" s="1480"/>
      <c r="AF899" s="534"/>
      <c r="AZ899" s="34"/>
      <c r="BB899" s="30"/>
      <c r="BC899" s="817"/>
      <c r="BD899" s="1657"/>
      <c r="BE899" s="1657"/>
      <c r="BF899" s="14"/>
    </row>
    <row r="900" spans="1:58" ht="13" customHeight="1">
      <c r="H900" s="121" t="s">
        <v>238</v>
      </c>
      <c r="I900" s="5"/>
      <c r="J900" s="5"/>
      <c r="K900" s="5"/>
      <c r="L900" s="5"/>
      <c r="M900" s="5"/>
      <c r="N900" s="5"/>
      <c r="O900" s="5"/>
      <c r="P900" s="5"/>
      <c r="Q900" s="5"/>
      <c r="R900" s="5"/>
      <c r="S900" s="5"/>
      <c r="T900" s="5"/>
      <c r="U900" s="5"/>
      <c r="V900" s="5"/>
      <c r="W900" s="5"/>
      <c r="X900" s="5"/>
      <c r="Y900" s="5"/>
      <c r="Z900" s="1478"/>
      <c r="AA900" s="1479"/>
      <c r="AB900" s="1479"/>
      <c r="AC900" s="1479"/>
      <c r="AD900" s="1479"/>
      <c r="AE900" s="1480"/>
      <c r="AZ900" s="34"/>
      <c r="BB900" s="30"/>
      <c r="BC900" s="817"/>
      <c r="BD900" s="1657"/>
      <c r="BE900" s="1657"/>
      <c r="BF900" s="14"/>
    </row>
    <row r="901" spans="1:58" ht="13" customHeight="1">
      <c r="H901" s="121" t="s">
        <v>239</v>
      </c>
      <c r="I901" s="5"/>
      <c r="J901" s="5"/>
      <c r="K901" s="5"/>
      <c r="L901" s="5"/>
      <c r="M901" s="5"/>
      <c r="N901" s="5"/>
      <c r="O901" s="5"/>
      <c r="P901" s="5"/>
      <c r="Q901" s="5"/>
      <c r="R901" s="5"/>
      <c r="S901" s="5"/>
      <c r="T901" s="5"/>
      <c r="U901" s="5"/>
      <c r="V901" s="5"/>
      <c r="W901" s="5"/>
      <c r="X901" s="5"/>
      <c r="Y901" s="5"/>
      <c r="Z901" s="1478"/>
      <c r="AA901" s="1479"/>
      <c r="AB901" s="1479"/>
      <c r="AC901" s="1479"/>
      <c r="AD901" s="1479"/>
      <c r="AE901" s="1480"/>
      <c r="AZ901" s="34"/>
      <c r="BB901" s="30"/>
      <c r="BC901" s="817"/>
      <c r="BD901" s="1656"/>
      <c r="BE901" s="1656"/>
      <c r="BF901" s="14"/>
    </row>
    <row r="902" spans="1:58" ht="13" customHeight="1">
      <c r="H902" s="45"/>
      <c r="I902" s="5"/>
      <c r="J902" s="5"/>
      <c r="K902" s="5"/>
      <c r="L902" s="5"/>
      <c r="M902" s="5"/>
      <c r="N902" s="5"/>
      <c r="O902" s="5"/>
      <c r="P902" s="5"/>
      <c r="Q902" s="5"/>
      <c r="R902" s="5"/>
      <c r="S902" s="5"/>
      <c r="T902" s="5"/>
      <c r="U902" s="5"/>
      <c r="V902" s="5"/>
      <c r="W902" s="5"/>
      <c r="X902" s="5"/>
      <c r="Y902" s="181" t="s">
        <v>240</v>
      </c>
      <c r="Z902" s="1505">
        <f>Z899-(Z900+Z901)</f>
        <v>0</v>
      </c>
      <c r="AA902" s="1506"/>
      <c r="AB902" s="1506"/>
      <c r="AC902" s="1506"/>
      <c r="AD902" s="1506"/>
      <c r="AE902" s="1507"/>
      <c r="AZ902" s="34"/>
      <c r="BB902" s="30"/>
      <c r="BC902" s="817"/>
      <c r="BD902" s="1656"/>
      <c r="BE902" s="1656"/>
      <c r="BF902" s="14"/>
    </row>
    <row r="903" spans="1:58" ht="13" customHeight="1">
      <c r="C903" s="513"/>
      <c r="D903" s="6"/>
      <c r="E903" s="180"/>
      <c r="F903" s="180"/>
      <c r="G903" s="180"/>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0"/>
      <c r="AZ903" s="34"/>
      <c r="BB903" s="30"/>
      <c r="BC903" s="817"/>
      <c r="BD903" s="1656"/>
      <c r="BE903" s="1656"/>
      <c r="BF903" s="14"/>
    </row>
    <row r="904" spans="1:58" ht="13" customHeight="1">
      <c r="C904" t="s">
        <v>244</v>
      </c>
      <c r="D904" s="164"/>
      <c r="E904" s="180"/>
      <c r="F904" s="180"/>
      <c r="G904" s="180"/>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0"/>
      <c r="AZ904" s="34"/>
      <c r="BB904" s="30"/>
      <c r="BC904" s="817"/>
      <c r="BD904" s="1657"/>
      <c r="BE904" s="1656"/>
      <c r="BF904" s="14"/>
    </row>
    <row r="905" spans="1:58" ht="13" customHeight="1">
      <c r="C905" s="182" t="s">
        <v>245</v>
      </c>
      <c r="D905" s="164"/>
      <c r="E905" s="180"/>
      <c r="F905" s="180"/>
      <c r="G905" s="180"/>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0"/>
      <c r="AV905" s="95"/>
      <c r="AW905" s="95"/>
      <c r="AX905" s="95"/>
      <c r="AY905" s="95"/>
      <c r="AZ905" s="34"/>
      <c r="BB905" s="30"/>
      <c r="BC905" s="817"/>
      <c r="BD905" s="1701"/>
      <c r="BE905" s="1701"/>
      <c r="BF905" s="1701"/>
    </row>
    <row r="906" spans="1:58" ht="13" customHeight="1">
      <c r="C906" s="182" t="s">
        <v>246</v>
      </c>
      <c r="D906" s="164"/>
      <c r="E906" s="180"/>
      <c r="F906" s="180"/>
      <c r="G906" s="180"/>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0"/>
      <c r="AV906" s="95"/>
      <c r="AW906" s="95"/>
      <c r="AX906" s="95"/>
      <c r="AY906" s="95"/>
      <c r="AZ906" s="34"/>
      <c r="BB906" s="30"/>
      <c r="BC906" s="817"/>
      <c r="BD906" s="1700"/>
      <c r="BE906" s="1700"/>
      <c r="BF906" s="1700"/>
    </row>
    <row r="907" spans="1:58" ht="13" customHeight="1">
      <c r="C907" s="341" t="s">
        <v>1012</v>
      </c>
      <c r="D907" s="164"/>
      <c r="E907" s="180"/>
      <c r="F907" s="180"/>
      <c r="G907" s="180"/>
      <c r="H907" s="4"/>
      <c r="I907" s="4"/>
      <c r="J907" s="4"/>
      <c r="K907" s="4"/>
      <c r="L907" s="4"/>
      <c r="M907" s="4"/>
      <c r="N907" s="4"/>
      <c r="O907" s="4"/>
      <c r="P907" s="4"/>
      <c r="Q907" s="4"/>
      <c r="R907" s="4"/>
      <c r="S907" s="4"/>
      <c r="T907" s="4"/>
      <c r="U907" s="4"/>
      <c r="V907" s="4"/>
      <c r="W907" s="4"/>
      <c r="X907" s="4"/>
      <c r="Y907" s="4"/>
      <c r="Z907" s="4"/>
      <c r="AA907" s="4"/>
      <c r="AB907" s="4"/>
      <c r="AC907" s="4"/>
      <c r="AD907" s="4"/>
      <c r="AE907" s="4"/>
      <c r="AF907" s="180"/>
      <c r="AV907" s="95"/>
      <c r="AW907" s="95"/>
      <c r="AX907" s="95"/>
      <c r="AY907" s="95"/>
      <c r="AZ907" s="34"/>
      <c r="BB907" s="30"/>
      <c r="BC907" s="817"/>
      <c r="BD907" s="1656"/>
      <c r="BE907" s="1656"/>
      <c r="BF907" s="14"/>
    </row>
    <row r="908" spans="1:58" ht="13" customHeight="1">
      <c r="D908" s="164"/>
      <c r="E908" s="40"/>
      <c r="F908" s="40"/>
      <c r="G908" s="40"/>
      <c r="H908" s="40"/>
      <c r="I908" s="40"/>
      <c r="J908" s="40"/>
      <c r="K908" s="40"/>
      <c r="L908" s="40"/>
      <c r="M908" s="40"/>
      <c r="N908" s="40"/>
      <c r="O908" s="40"/>
      <c r="P908" s="40"/>
      <c r="Q908" s="40"/>
      <c r="R908" s="40"/>
      <c r="S908" s="40"/>
      <c r="T908" s="40"/>
      <c r="U908" s="40"/>
      <c r="V908" s="40"/>
      <c r="W908" s="40"/>
      <c r="X908" s="40"/>
      <c r="Y908" s="40"/>
      <c r="Z908" s="40"/>
      <c r="AA908" s="40"/>
      <c r="AB908" s="40"/>
      <c r="AC908" s="40"/>
      <c r="AD908" s="40"/>
      <c r="AE908" s="40"/>
      <c r="AF908" s="40"/>
      <c r="AG908" s="40"/>
      <c r="AH908" s="40"/>
      <c r="AI908" s="40"/>
      <c r="AV908" s="95"/>
      <c r="AW908" s="95"/>
      <c r="AX908" s="95"/>
      <c r="AY908" s="95"/>
      <c r="AZ908" s="34"/>
      <c r="BB908" s="30"/>
      <c r="BC908" s="817"/>
      <c r="BD908" s="1657"/>
      <c r="BE908" s="1656"/>
      <c r="BF908" s="14"/>
    </row>
    <row r="909" spans="1:58" ht="13" customHeight="1">
      <c r="AZ909" s="34"/>
      <c r="BB909" s="30"/>
      <c r="BC909" s="817"/>
    </row>
    <row r="910" spans="1:58" ht="13" customHeight="1">
      <c r="A910" s="1549" t="s">
        <v>96</v>
      </c>
      <c r="B910" s="1549"/>
      <c r="C910" s="1549"/>
      <c r="D910" s="1549"/>
      <c r="E910" s="1549"/>
      <c r="F910" s="1549"/>
      <c r="G910" s="1549"/>
      <c r="H910" s="1549"/>
      <c r="I910" s="1549"/>
      <c r="J910" s="1549"/>
      <c r="K910" s="1549"/>
      <c r="L910" s="1549"/>
      <c r="M910" s="1549"/>
      <c r="N910" s="1549"/>
      <c r="O910" s="1549"/>
      <c r="P910" s="1549"/>
      <c r="Q910" s="1549"/>
      <c r="R910" s="1549"/>
      <c r="S910" s="1549"/>
      <c r="T910" s="1549"/>
      <c r="U910" s="1549"/>
      <c r="V910" s="1549"/>
      <c r="W910" s="1549"/>
      <c r="X910" s="1549"/>
      <c r="Y910" s="1549"/>
      <c r="Z910" s="1549"/>
      <c r="AA910" s="1549"/>
      <c r="AB910" s="1549"/>
      <c r="AC910" s="1549"/>
      <c r="AD910" s="1549"/>
      <c r="AE910" s="1549"/>
      <c r="AF910" s="1549"/>
      <c r="AG910" s="1549"/>
      <c r="AH910" s="1549"/>
      <c r="AI910" s="1549"/>
      <c r="AJ910" s="1549"/>
      <c r="AK910" s="1549"/>
      <c r="AL910" s="1549"/>
      <c r="AM910" s="1549"/>
      <c r="AN910" s="1549"/>
      <c r="AO910" s="1549"/>
      <c r="AP910" s="1549"/>
      <c r="AQ910" s="1549"/>
      <c r="AR910" s="1549"/>
      <c r="AS910" s="1549"/>
      <c r="AT910" s="1549"/>
      <c r="AZ910" s="34"/>
      <c r="BA910" s="34"/>
      <c r="BB910" s="30"/>
      <c r="BC910" s="30"/>
      <c r="BD910" s="1657"/>
      <c r="BE910" s="1656"/>
      <c r="BF910" s="912"/>
    </row>
    <row r="911" spans="1:58" ht="13" customHeight="1">
      <c r="A911" s="1549"/>
      <c r="B911" s="1549"/>
      <c r="C911" s="1549"/>
      <c r="D911" s="1549"/>
      <c r="E911" s="1549"/>
      <c r="F911" s="1549"/>
      <c r="G911" s="1549"/>
      <c r="H911" s="1549"/>
      <c r="I911" s="1549"/>
      <c r="J911" s="1549"/>
      <c r="K911" s="1549"/>
      <c r="L911" s="1549"/>
      <c r="M911" s="1549"/>
      <c r="N911" s="1549"/>
      <c r="O911" s="1549"/>
      <c r="P911" s="1549"/>
      <c r="Q911" s="1549"/>
      <c r="R911" s="1549"/>
      <c r="S911" s="1549"/>
      <c r="T911" s="1549"/>
      <c r="U911" s="1549"/>
      <c r="V911" s="1549"/>
      <c r="W911" s="1549"/>
      <c r="X911" s="1549"/>
      <c r="Y911" s="1549"/>
      <c r="Z911" s="1549"/>
      <c r="AA911" s="1549"/>
      <c r="AB911" s="1549"/>
      <c r="AC911" s="1549"/>
      <c r="AD911" s="1549"/>
      <c r="AE911" s="1549"/>
      <c r="AF911" s="1549"/>
      <c r="AG911" s="1549"/>
      <c r="AH911" s="1549"/>
      <c r="AI911" s="1549"/>
      <c r="AJ911" s="1549"/>
      <c r="AK911" s="1549"/>
      <c r="AL911" s="1549"/>
      <c r="AM911" s="1549"/>
      <c r="AN911" s="1549"/>
      <c r="AO911" s="1549"/>
      <c r="AP911" s="1549"/>
      <c r="AQ911" s="1549"/>
      <c r="AR911" s="1549"/>
      <c r="AS911" s="1549"/>
      <c r="AT911" s="1549"/>
      <c r="AZ911" s="34"/>
      <c r="BA911" s="34"/>
      <c r="BB911" s="34"/>
      <c r="BC911" s="34"/>
      <c r="BD911" s="34"/>
      <c r="BE911" s="34"/>
      <c r="BF911" s="34"/>
    </row>
    <row r="912" spans="1:58" ht="13" customHeight="1">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A912" s="34"/>
      <c r="BB912" s="34"/>
      <c r="BC912" s="34"/>
      <c r="BD912" s="34"/>
      <c r="BE912" s="34"/>
      <c r="BF912" s="34"/>
    </row>
    <row r="913" spans="1:58" ht="13" customHeight="1">
      <c r="A913" s="2" t="s">
        <v>318</v>
      </c>
      <c r="C913" s="2" t="s">
        <v>263</v>
      </c>
      <c r="D913" s="95"/>
      <c r="E913" s="95"/>
      <c r="F913" s="95"/>
      <c r="G913" s="95"/>
      <c r="H913" s="95"/>
      <c r="I913" s="95"/>
      <c r="J913" s="95"/>
      <c r="K913" s="95"/>
      <c r="L913" s="95"/>
      <c r="M913" s="95"/>
      <c r="N913" s="95"/>
      <c r="O913" s="95"/>
      <c r="P913" s="95"/>
      <c r="Q913" s="95"/>
      <c r="R913" s="95"/>
      <c r="S913" s="95"/>
      <c r="T913" s="95"/>
      <c r="U913" s="95"/>
      <c r="V913" s="95"/>
      <c r="W913" s="95"/>
      <c r="X913" s="95"/>
      <c r="Y913" s="95"/>
      <c r="Z913" s="95"/>
      <c r="AA913" s="95"/>
      <c r="AB913" s="95"/>
      <c r="AC913" s="95"/>
      <c r="AD913" s="95"/>
      <c r="AE913" s="95"/>
      <c r="AF913" s="95"/>
      <c r="AG913" s="95"/>
      <c r="AH913" s="95"/>
      <c r="AI913" s="95"/>
      <c r="AJ913" s="95"/>
      <c r="AK913" s="95"/>
      <c r="AL913" s="95"/>
      <c r="AM913" s="95"/>
      <c r="AN913" s="95"/>
      <c r="AO913" s="95"/>
      <c r="AP913" s="95"/>
      <c r="AQ913" s="95"/>
      <c r="AR913" s="95"/>
      <c r="AS913" s="95"/>
      <c r="AT913" s="95"/>
      <c r="AZ913" s="34"/>
      <c r="BB913" s="34"/>
      <c r="BC913" s="34"/>
      <c r="BD913" s="34"/>
      <c r="BE913" s="34"/>
      <c r="BF913" s="34"/>
    </row>
    <row r="914" spans="1:58" ht="13" customHeight="1">
      <c r="AZ914" s="34"/>
      <c r="BA914" s="34"/>
      <c r="BB914" s="34"/>
      <c r="BC914" s="34"/>
    </row>
    <row r="915" spans="1:58" ht="13" customHeight="1">
      <c r="F915" s="1714" t="s">
        <v>791</v>
      </c>
      <c r="G915" s="1715"/>
      <c r="H915" s="1715"/>
      <c r="I915" s="1715"/>
      <c r="J915" s="1715"/>
      <c r="K915" s="1715"/>
      <c r="L915" s="1715"/>
      <c r="M915" s="1715"/>
      <c r="N915" s="1715"/>
      <c r="O915" s="1715"/>
      <c r="P915" s="1715"/>
      <c r="Q915" s="1715"/>
      <c r="R915" s="1715"/>
      <c r="S915" s="1715"/>
      <c r="T915" s="1716"/>
      <c r="U915" s="1723" t="s">
        <v>31</v>
      </c>
      <c r="V915" s="1622"/>
      <c r="W915" s="1622"/>
      <c r="X915" s="1622"/>
      <c r="Y915" s="1622"/>
      <c r="Z915" s="1622"/>
      <c r="AA915" s="43"/>
      <c r="AB915" s="105"/>
      <c r="AC915" s="105"/>
      <c r="AD915" s="105"/>
      <c r="AE915" s="105"/>
      <c r="AF915" s="106"/>
      <c r="AZ915" s="34"/>
      <c r="BA915" s="34"/>
      <c r="BB915" s="34"/>
      <c r="BC915" s="34"/>
    </row>
    <row r="916" spans="1:58" ht="13" customHeight="1">
      <c r="B916" s="2"/>
      <c r="F916" s="1724" t="s">
        <v>817</v>
      </c>
      <c r="G916" s="1725"/>
      <c r="H916" s="1725"/>
      <c r="I916" s="1725"/>
      <c r="J916" s="1725"/>
      <c r="K916" s="1725"/>
      <c r="L916" s="1725"/>
      <c r="M916" s="1725"/>
      <c r="N916" s="1725"/>
      <c r="O916" s="1725"/>
      <c r="P916" s="1725"/>
      <c r="Q916" s="1725"/>
      <c r="R916" s="1725"/>
      <c r="S916" s="1725"/>
      <c r="T916" s="1736"/>
      <c r="U916" s="1724"/>
      <c r="V916" s="1725"/>
      <c r="W916" s="1725"/>
      <c r="X916" s="1725"/>
      <c r="Y916" s="1725"/>
      <c r="Z916" s="1725"/>
      <c r="AA916" s="44"/>
      <c r="AB916" s="4"/>
      <c r="AC916" s="4"/>
      <c r="AD916" s="4"/>
      <c r="AE916" s="4"/>
      <c r="AF916" s="107"/>
      <c r="AZ916" s="34"/>
      <c r="BA916" s="34"/>
      <c r="BB916" s="34"/>
      <c r="BC916" s="34"/>
    </row>
    <row r="917" spans="1:58" ht="13" customHeight="1">
      <c r="B917" s="2"/>
      <c r="F917" s="1726"/>
      <c r="G917" s="1624"/>
      <c r="H917" s="1624"/>
      <c r="I917" s="1624"/>
      <c r="J917" s="1624"/>
      <c r="K917" s="1624"/>
      <c r="L917" s="1624"/>
      <c r="M917" s="1624"/>
      <c r="N917" s="1624"/>
      <c r="O917" s="1624"/>
      <c r="P917" s="1624"/>
      <c r="Q917" s="1624"/>
      <c r="R917" s="1624"/>
      <c r="S917" s="1624"/>
      <c r="T917" s="1625"/>
      <c r="U917" s="1726"/>
      <c r="V917" s="1624"/>
      <c r="W917" s="1624"/>
      <c r="X917" s="1624"/>
      <c r="Y917" s="1624"/>
      <c r="Z917" s="1624"/>
      <c r="AA917" s="108"/>
      <c r="AB917" s="1576" t="s">
        <v>390</v>
      </c>
      <c r="AC917" s="1576"/>
      <c r="AD917" s="1576"/>
      <c r="AE917" s="1576"/>
      <c r="AF917" s="109"/>
      <c r="AZ917" s="34"/>
      <c r="BA917" s="34"/>
      <c r="BB917" s="34"/>
      <c r="BC917" s="34"/>
    </row>
    <row r="918" spans="1:58" ht="13" customHeight="1">
      <c r="B918" s="2"/>
      <c r="F918" s="45" t="s">
        <v>757</v>
      </c>
      <c r="G918" s="48"/>
      <c r="H918" s="48"/>
      <c r="I918" s="48"/>
      <c r="J918" s="48"/>
      <c r="K918" s="48"/>
      <c r="L918" s="48"/>
      <c r="M918" s="48"/>
      <c r="N918" s="48"/>
      <c r="O918" s="48"/>
      <c r="P918" s="48"/>
      <c r="Q918" s="48"/>
      <c r="R918" s="48"/>
      <c r="S918" s="48"/>
      <c r="T918" s="49"/>
      <c r="U918" s="1627" t="s">
        <v>544</v>
      </c>
      <c r="V918" s="1407"/>
      <c r="W918" s="1407"/>
      <c r="X918" s="1407"/>
      <c r="Y918" s="1407"/>
      <c r="Z918" s="1408"/>
      <c r="AA918" s="1628">
        <v>16812000</v>
      </c>
      <c r="AB918" s="1522"/>
      <c r="AC918" s="1522"/>
      <c r="AD918" s="1522"/>
      <c r="AE918" s="1522"/>
      <c r="AF918" s="1629"/>
      <c r="AZ918" s="34"/>
      <c r="BA918" s="34"/>
      <c r="BB918" s="34"/>
      <c r="BC918" s="34"/>
    </row>
    <row r="919" spans="1:58" ht="13" customHeight="1">
      <c r="B919" s="2"/>
      <c r="F919" s="66" t="s">
        <v>674</v>
      </c>
      <c r="G919" s="48"/>
      <c r="H919" s="48"/>
      <c r="I919" s="48"/>
      <c r="J919" s="48"/>
      <c r="K919" s="48"/>
      <c r="L919" s="48"/>
      <c r="M919" s="48"/>
      <c r="N919" s="48"/>
      <c r="O919" s="48"/>
      <c r="P919" s="48"/>
      <c r="Q919" s="48"/>
      <c r="R919" s="48"/>
      <c r="S919" s="48"/>
      <c r="T919" s="49"/>
      <c r="U919" s="1627" t="s">
        <v>590</v>
      </c>
      <c r="V919" s="1407"/>
      <c r="W919" s="1407"/>
      <c r="X919" s="1407"/>
      <c r="Y919" s="1407"/>
      <c r="Z919" s="1408"/>
      <c r="AA919" s="1628"/>
      <c r="AB919" s="1522"/>
      <c r="AC919" s="1522"/>
      <c r="AD919" s="1522"/>
      <c r="AE919" s="1522"/>
      <c r="AF919" s="1629"/>
      <c r="AZ919" s="34"/>
      <c r="BA919" s="34"/>
      <c r="BB919" s="34"/>
      <c r="BC919" s="34"/>
    </row>
    <row r="920" spans="1:58" ht="13" customHeight="1">
      <c r="F920" s="45" t="s">
        <v>800</v>
      </c>
      <c r="G920" s="5"/>
      <c r="H920" s="5"/>
      <c r="I920" s="5"/>
      <c r="J920" s="5"/>
      <c r="K920" s="5"/>
      <c r="L920" s="5"/>
      <c r="M920" s="5"/>
      <c r="N920" s="5"/>
      <c r="O920" s="5"/>
      <c r="P920" s="5"/>
      <c r="Q920" s="5"/>
      <c r="R920" s="5"/>
      <c r="S920" s="5"/>
      <c r="T920" s="46"/>
      <c r="U920" s="1627" t="s">
        <v>590</v>
      </c>
      <c r="V920" s="1407"/>
      <c r="W920" s="1407"/>
      <c r="X920" s="1407"/>
      <c r="Y920" s="1407"/>
      <c r="Z920" s="1408"/>
      <c r="AA920" s="1628"/>
      <c r="AB920" s="1522"/>
      <c r="AC920" s="1522"/>
      <c r="AD920" s="1522"/>
      <c r="AE920" s="1522"/>
      <c r="AF920" s="1629"/>
      <c r="AZ920" s="34"/>
      <c r="BA920" s="34"/>
      <c r="BB920" s="34"/>
      <c r="BC920" s="34"/>
    </row>
    <row r="921" spans="1:58" ht="13" customHeight="1">
      <c r="F921" s="45" t="s">
        <v>677</v>
      </c>
      <c r="G921" s="5"/>
      <c r="H921" s="5"/>
      <c r="I921" s="5"/>
      <c r="J921" s="5"/>
      <c r="K921" s="5"/>
      <c r="L921" s="5"/>
      <c r="M921" s="5"/>
      <c r="N921" s="5"/>
      <c r="O921" s="5"/>
      <c r="P921" s="5"/>
      <c r="Q921" s="5"/>
      <c r="R921" s="5"/>
      <c r="S921" s="5"/>
      <c r="T921" s="46"/>
      <c r="U921" s="1627" t="s">
        <v>590</v>
      </c>
      <c r="V921" s="1407"/>
      <c r="W921" s="1407"/>
      <c r="X921" s="1407"/>
      <c r="Y921" s="1407"/>
      <c r="Z921" s="1408"/>
      <c r="AA921" s="1628"/>
      <c r="AB921" s="1522"/>
      <c r="AC921" s="1522"/>
      <c r="AD921" s="1522"/>
      <c r="AE921" s="1522"/>
      <c r="AF921" s="1629"/>
      <c r="AZ921" s="34"/>
      <c r="BA921" s="34"/>
      <c r="BB921" s="34"/>
      <c r="BC921" s="34"/>
    </row>
    <row r="922" spans="1:58" ht="13" customHeight="1">
      <c r="F922" s="66" t="s">
        <v>785</v>
      </c>
      <c r="G922" s="5"/>
      <c r="H922" s="5"/>
      <c r="I922" s="5"/>
      <c r="J922" s="5"/>
      <c r="K922" s="5"/>
      <c r="L922" s="5"/>
      <c r="M922" s="5"/>
      <c r="N922" s="5"/>
      <c r="O922" s="5"/>
      <c r="P922" s="5"/>
      <c r="Q922" s="5"/>
      <c r="R922" s="5"/>
      <c r="S922" s="5"/>
      <c r="T922" s="46"/>
      <c r="U922" s="1627" t="s">
        <v>590</v>
      </c>
      <c r="V922" s="1407"/>
      <c r="W922" s="1407"/>
      <c r="X922" s="1407"/>
      <c r="Y922" s="1407"/>
      <c r="Z922" s="1408"/>
      <c r="AA922" s="1628"/>
      <c r="AB922" s="1522"/>
      <c r="AC922" s="1522"/>
      <c r="AD922" s="1522"/>
      <c r="AE922" s="1522"/>
      <c r="AF922" s="1629"/>
      <c r="AZ922" s="34"/>
      <c r="BA922" s="34"/>
      <c r="BB922" s="34"/>
      <c r="BC922" s="34"/>
    </row>
    <row r="923" spans="1:58" ht="13" customHeight="1">
      <c r="F923" s="66" t="s">
        <v>786</v>
      </c>
      <c r="G923" s="5"/>
      <c r="H923" s="5"/>
      <c r="I923" s="5"/>
      <c r="J923" s="5"/>
      <c r="K923" s="5"/>
      <c r="L923" s="5"/>
      <c r="M923" s="5"/>
      <c r="N923" s="5"/>
      <c r="O923" s="5"/>
      <c r="P923" s="5"/>
      <c r="Q923" s="5"/>
      <c r="R923" s="5"/>
      <c r="S923" s="5"/>
      <c r="T923" s="46"/>
      <c r="U923" s="1627" t="s">
        <v>590</v>
      </c>
      <c r="V923" s="1407"/>
      <c r="W923" s="1407"/>
      <c r="X923" s="1407"/>
      <c r="Y923" s="1407"/>
      <c r="Z923" s="1408"/>
      <c r="AA923" s="1628"/>
      <c r="AB923" s="1522"/>
      <c r="AC923" s="1522"/>
      <c r="AD923" s="1522"/>
      <c r="AE923" s="1522"/>
      <c r="AF923" s="1629"/>
      <c r="AZ923" s="34"/>
      <c r="BA923" s="34"/>
      <c r="BB923" s="34"/>
      <c r="BC923" s="34"/>
    </row>
    <row r="924" spans="1:58" ht="13" customHeight="1">
      <c r="F924" s="66" t="s">
        <v>787</v>
      </c>
      <c r="G924" s="5"/>
      <c r="H924" s="5"/>
      <c r="I924" s="5"/>
      <c r="J924" s="5"/>
      <c r="K924" s="5"/>
      <c r="L924" s="5"/>
      <c r="M924" s="5"/>
      <c r="N924" s="5"/>
      <c r="O924" s="5"/>
      <c r="P924" s="5"/>
      <c r="Q924" s="5"/>
      <c r="R924" s="5"/>
      <c r="S924" s="5"/>
      <c r="T924" s="46"/>
      <c r="U924" s="1627" t="s">
        <v>590</v>
      </c>
      <c r="V924" s="1407"/>
      <c r="W924" s="1407"/>
      <c r="X924" s="1407"/>
      <c r="Y924" s="1407"/>
      <c r="Z924" s="1408"/>
      <c r="AA924" s="1628"/>
      <c r="AB924" s="1522"/>
      <c r="AC924" s="1522"/>
      <c r="AD924" s="1522"/>
      <c r="AE924" s="1522"/>
      <c r="AF924" s="1629"/>
      <c r="AZ924" s="34"/>
      <c r="BA924" s="34"/>
      <c r="BB924" s="34"/>
      <c r="BC924" s="34"/>
    </row>
    <row r="925" spans="1:58" ht="13" customHeight="1">
      <c r="F925" s="45" t="s">
        <v>676</v>
      </c>
      <c r="G925" s="5"/>
      <c r="H925" s="5"/>
      <c r="I925" s="5"/>
      <c r="J925" s="5"/>
      <c r="K925" s="5"/>
      <c r="L925" s="5"/>
      <c r="M925" s="5"/>
      <c r="N925" s="5"/>
      <c r="O925" s="5"/>
      <c r="P925" s="5"/>
      <c r="Q925" s="5"/>
      <c r="R925" s="5"/>
      <c r="S925" s="5"/>
      <c r="T925" s="46"/>
      <c r="U925" s="1627" t="s">
        <v>590</v>
      </c>
      <c r="V925" s="1407"/>
      <c r="W925" s="1407"/>
      <c r="X925" s="1407"/>
      <c r="Y925" s="1407"/>
      <c r="Z925" s="1408"/>
      <c r="AA925" s="1628"/>
      <c r="AB925" s="1522"/>
      <c r="AC925" s="1522"/>
      <c r="AD925" s="1522"/>
      <c r="AE925" s="1522"/>
      <c r="AF925" s="1629"/>
      <c r="AZ925" s="34"/>
      <c r="BA925" s="34"/>
      <c r="BB925" s="34"/>
      <c r="BC925" s="34"/>
    </row>
    <row r="926" spans="1:58" ht="13" customHeight="1">
      <c r="F926" s="1703" t="s">
        <v>2193</v>
      </c>
      <c r="G926" s="1704"/>
      <c r="H926" s="1704"/>
      <c r="I926" s="1704"/>
      <c r="J926" s="1704"/>
      <c r="K926" s="1704"/>
      <c r="L926" s="1704"/>
      <c r="M926" s="1704"/>
      <c r="N926" s="1704"/>
      <c r="O926" s="1704"/>
      <c r="P926" s="1704"/>
      <c r="Q926" s="1704"/>
      <c r="R926" s="1704"/>
      <c r="S926" s="1704"/>
      <c r="T926" s="1705"/>
      <c r="U926" s="1627" t="s">
        <v>590</v>
      </c>
      <c r="V926" s="1407"/>
      <c r="W926" s="1407"/>
      <c r="X926" s="1407"/>
      <c r="Y926" s="1407"/>
      <c r="Z926" s="1408"/>
      <c r="AA926" s="1628"/>
      <c r="AB926" s="1522"/>
      <c r="AC926" s="1522"/>
      <c r="AD926" s="1522"/>
      <c r="AE926" s="1522"/>
      <c r="AF926" s="1629"/>
      <c r="AZ926" s="34"/>
      <c r="BA926" s="34"/>
      <c r="BB926" s="34"/>
      <c r="BC926" s="34"/>
    </row>
    <row r="927" spans="1:58" ht="13" customHeight="1">
      <c r="F927" s="1703" t="s">
        <v>678</v>
      </c>
      <c r="G927" s="1704"/>
      <c r="H927" s="1704"/>
      <c r="I927" s="1704"/>
      <c r="J927" s="1704"/>
      <c r="K927" s="1704"/>
      <c r="L927" s="1704"/>
      <c r="M927" s="1704"/>
      <c r="N927" s="1704"/>
      <c r="O927" s="1704"/>
      <c r="P927" s="1704"/>
      <c r="Q927" s="1704"/>
      <c r="R927" s="1704"/>
      <c r="S927" s="1704"/>
      <c r="T927" s="1705"/>
      <c r="U927" s="1627" t="s">
        <v>590</v>
      </c>
      <c r="V927" s="1407"/>
      <c r="W927" s="1407"/>
      <c r="X927" s="1407"/>
      <c r="Y927" s="1407"/>
      <c r="Z927" s="1408"/>
      <c r="AA927" s="1628"/>
      <c r="AB927" s="1522"/>
      <c r="AC927" s="1522"/>
      <c r="AD927" s="1522"/>
      <c r="AE927" s="1522"/>
      <c r="AF927" s="1629"/>
      <c r="AU927" s="2"/>
      <c r="AZ927" s="34"/>
      <c r="BA927" s="34"/>
      <c r="BB927" s="34"/>
      <c r="BC927" s="34"/>
    </row>
    <row r="928" spans="1:58" ht="13" customHeight="1">
      <c r="F928" s="1703" t="s">
        <v>2194</v>
      </c>
      <c r="G928" s="1704"/>
      <c r="H928" s="1704"/>
      <c r="I928" s="1704"/>
      <c r="J928" s="1704"/>
      <c r="K928" s="1704"/>
      <c r="L928" s="1704"/>
      <c r="M928" s="1704"/>
      <c r="N928" s="1704"/>
      <c r="O928" s="1704"/>
      <c r="P928" s="1704"/>
      <c r="Q928" s="1704"/>
      <c r="R928" s="1704"/>
      <c r="S928" s="1704"/>
      <c r="T928" s="1705"/>
      <c r="U928" s="1627" t="s">
        <v>590</v>
      </c>
      <c r="V928" s="1407"/>
      <c r="W928" s="1407"/>
      <c r="X928" s="1407"/>
      <c r="Y928" s="1407"/>
      <c r="Z928" s="1408"/>
      <c r="AA928" s="1628"/>
      <c r="AB928" s="1522"/>
      <c r="AC928" s="1522"/>
      <c r="AD928" s="1522"/>
      <c r="AE928" s="1522"/>
      <c r="AF928" s="1629"/>
      <c r="AU928" s="2"/>
      <c r="AZ928" s="34"/>
      <c r="BA928" s="34"/>
      <c r="BB928" s="34"/>
      <c r="BC928" s="34"/>
    </row>
    <row r="929" spans="6:55" ht="13" customHeight="1">
      <c r="F929" s="1703" t="s">
        <v>2195</v>
      </c>
      <c r="G929" s="1704"/>
      <c r="H929" s="1704"/>
      <c r="I929" s="1704"/>
      <c r="J929" s="1704"/>
      <c r="K929" s="1704"/>
      <c r="L929" s="1704"/>
      <c r="M929" s="1704"/>
      <c r="N929" s="1704"/>
      <c r="O929" s="1704"/>
      <c r="P929" s="1704"/>
      <c r="Q929" s="1704"/>
      <c r="R929" s="1704"/>
      <c r="S929" s="1704"/>
      <c r="T929" s="1705"/>
      <c r="U929" s="1627" t="s">
        <v>590</v>
      </c>
      <c r="V929" s="1407"/>
      <c r="W929" s="1407"/>
      <c r="X929" s="1407"/>
      <c r="Y929" s="1407"/>
      <c r="Z929" s="1408"/>
      <c r="AA929" s="1628"/>
      <c r="AB929" s="1522"/>
      <c r="AC929" s="1522"/>
      <c r="AD929" s="1522"/>
      <c r="AE929" s="1522"/>
      <c r="AF929" s="1629"/>
      <c r="AU929" s="2"/>
      <c r="AZ929" s="34"/>
      <c r="BA929" s="34"/>
      <c r="BB929" s="34"/>
      <c r="BC929" s="34"/>
    </row>
    <row r="930" spans="6:55" ht="13" customHeight="1">
      <c r="F930" s="1703" t="s">
        <v>2196</v>
      </c>
      <c r="G930" s="1704"/>
      <c r="H930" s="1704"/>
      <c r="I930" s="1704"/>
      <c r="J930" s="1704"/>
      <c r="K930" s="1704"/>
      <c r="L930" s="1704"/>
      <c r="M930" s="1704"/>
      <c r="N930" s="1704"/>
      <c r="O930" s="1704"/>
      <c r="P930" s="1704"/>
      <c r="Q930" s="1704"/>
      <c r="R930" s="1704"/>
      <c r="S930" s="1704"/>
      <c r="T930" s="1705"/>
      <c r="U930" s="1627" t="s">
        <v>590</v>
      </c>
      <c r="V930" s="1407"/>
      <c r="W930" s="1407"/>
      <c r="X930" s="1407"/>
      <c r="Y930" s="1407"/>
      <c r="Z930" s="1408"/>
      <c r="AA930" s="1628"/>
      <c r="AB930" s="1522"/>
      <c r="AC930" s="1522"/>
      <c r="AD930" s="1522"/>
      <c r="AE930" s="1522"/>
      <c r="AF930" s="1629"/>
      <c r="AU930" s="2"/>
      <c r="AZ930" s="34"/>
      <c r="BA930" s="34"/>
      <c r="BB930" s="34"/>
      <c r="BC930" s="34"/>
    </row>
    <row r="931" spans="6:55" ht="13" customHeight="1">
      <c r="F931" s="1703" t="s">
        <v>2197</v>
      </c>
      <c r="G931" s="1704"/>
      <c r="H931" s="1704"/>
      <c r="I931" s="1704"/>
      <c r="J931" s="1704"/>
      <c r="K931" s="1704"/>
      <c r="L931" s="1704"/>
      <c r="M931" s="1704"/>
      <c r="N931" s="1704"/>
      <c r="O931" s="1704"/>
      <c r="P931" s="1704"/>
      <c r="Q931" s="1704"/>
      <c r="R931" s="1704"/>
      <c r="S931" s="1704"/>
      <c r="T931" s="1705"/>
      <c r="U931" s="1627" t="s">
        <v>590</v>
      </c>
      <c r="V931" s="1407"/>
      <c r="W931" s="1407"/>
      <c r="X931" s="1407"/>
      <c r="Y931" s="1407"/>
      <c r="Z931" s="1408"/>
      <c r="AA931" s="1628"/>
      <c r="AB931" s="1522"/>
      <c r="AC931" s="1522"/>
      <c r="AD931" s="1522"/>
      <c r="AE931" s="1522"/>
      <c r="AF931" s="1629"/>
      <c r="AU931" s="2"/>
      <c r="AZ931" s="34"/>
      <c r="BA931" s="34"/>
      <c r="BB931" s="34"/>
      <c r="BC931" s="34"/>
    </row>
    <row r="932" spans="6:55" ht="13" customHeight="1">
      <c r="F932" s="1703" t="s">
        <v>2198</v>
      </c>
      <c r="G932" s="1704"/>
      <c r="H932" s="1704"/>
      <c r="I932" s="1704"/>
      <c r="J932" s="1704"/>
      <c r="K932" s="1704"/>
      <c r="L932" s="1704"/>
      <c r="M932" s="1704"/>
      <c r="N932" s="1704"/>
      <c r="O932" s="1704"/>
      <c r="P932" s="1704"/>
      <c r="Q932" s="1704"/>
      <c r="R932" s="1704"/>
      <c r="S932" s="1704"/>
      <c r="T932" s="1705"/>
      <c r="U932" s="1627" t="s">
        <v>590</v>
      </c>
      <c r="V932" s="1407"/>
      <c r="W932" s="1407"/>
      <c r="X932" s="1407"/>
      <c r="Y932" s="1407"/>
      <c r="Z932" s="1408"/>
      <c r="AA932" s="1628"/>
      <c r="AB932" s="1522"/>
      <c r="AC932" s="1522"/>
      <c r="AD932" s="1522"/>
      <c r="AE932" s="1522"/>
      <c r="AF932" s="1629"/>
      <c r="AZ932" s="30"/>
      <c r="BA932" s="30"/>
    </row>
    <row r="933" spans="6:55" ht="13" customHeight="1">
      <c r="F933" s="178" t="s">
        <v>675</v>
      </c>
      <c r="G933" s="5"/>
      <c r="H933" s="5"/>
      <c r="I933" s="5"/>
      <c r="J933" s="5"/>
      <c r="K933" s="5"/>
      <c r="L933" s="5"/>
      <c r="M933" s="5"/>
      <c r="N933" s="5"/>
      <c r="O933" s="5"/>
      <c r="P933" s="5"/>
      <c r="Q933" s="5"/>
      <c r="R933" s="5"/>
      <c r="S933" s="5"/>
      <c r="T933" s="46"/>
      <c r="U933" s="1627" t="s">
        <v>590</v>
      </c>
      <c r="V933" s="1407"/>
      <c r="W933" s="1407"/>
      <c r="X933" s="1407"/>
      <c r="Y933" s="1407"/>
      <c r="Z933" s="1408"/>
      <c r="AA933" s="1628"/>
      <c r="AB933" s="1522"/>
      <c r="AC933" s="1522"/>
      <c r="AD933" s="1522"/>
      <c r="AE933" s="1522"/>
      <c r="AF933" s="1629"/>
    </row>
    <row r="934" spans="6:55" ht="13" customHeight="1">
      <c r="F934" s="121" t="s">
        <v>1276</v>
      </c>
      <c r="G934" s="5"/>
      <c r="H934" s="5"/>
      <c r="I934" s="5"/>
      <c r="J934" s="5"/>
      <c r="K934" s="5"/>
      <c r="L934" s="5"/>
      <c r="M934" s="5"/>
      <c r="N934" s="5"/>
      <c r="O934" s="5"/>
      <c r="P934" s="5"/>
      <c r="Q934" s="5"/>
      <c r="R934" s="5"/>
      <c r="S934" s="5"/>
      <c r="T934" s="46"/>
      <c r="U934" s="1627" t="s">
        <v>590</v>
      </c>
      <c r="V934" s="1407"/>
      <c r="W934" s="1407"/>
      <c r="X934" s="1407"/>
      <c r="Y934" s="1407"/>
      <c r="Z934" s="1408"/>
      <c r="AA934" s="1628"/>
      <c r="AB934" s="1522"/>
      <c r="AC934" s="1522"/>
      <c r="AD934" s="1522"/>
      <c r="AE934" s="1522"/>
      <c r="AF934" s="1629"/>
      <c r="AZ934" s="30"/>
      <c r="BA934" s="14"/>
    </row>
    <row r="935" spans="6:55" ht="13" customHeight="1">
      <c r="F935" s="66" t="s">
        <v>801</v>
      </c>
      <c r="G935" s="5"/>
      <c r="H935" s="5"/>
      <c r="I935" s="5"/>
      <c r="J935" s="5"/>
      <c r="K935" s="5"/>
      <c r="L935" s="5"/>
      <c r="M935" s="5"/>
      <c r="N935" s="5"/>
      <c r="O935" s="5"/>
      <c r="P935" s="5"/>
      <c r="Q935" s="5"/>
      <c r="R935" s="5"/>
      <c r="S935" s="5"/>
      <c r="T935" s="46"/>
      <c r="U935" s="1627" t="s">
        <v>590</v>
      </c>
      <c r="V935" s="1407"/>
      <c r="W935" s="1407"/>
      <c r="X935" s="1407"/>
      <c r="Y935" s="1407"/>
      <c r="Z935" s="1408"/>
      <c r="AA935" s="1628"/>
      <c r="AB935" s="1522"/>
      <c r="AC935" s="1522"/>
      <c r="AD935" s="1522"/>
      <c r="AE935" s="1522"/>
      <c r="AF935" s="1629"/>
      <c r="AZ935" s="30"/>
      <c r="BA935" s="14"/>
    </row>
    <row r="936" spans="6:55" ht="13" customHeight="1">
      <c r="F936" s="1709" t="s">
        <v>2202</v>
      </c>
      <c r="G936" s="1710"/>
      <c r="H936" s="1710"/>
      <c r="I936" s="1710"/>
      <c r="J936" s="1710"/>
      <c r="K936" s="1710"/>
      <c r="L936" s="1710"/>
      <c r="M936" s="1710"/>
      <c r="N936" s="1710"/>
      <c r="O936" s="1710"/>
      <c r="P936" s="1710"/>
      <c r="Q936" s="1710"/>
      <c r="R936" s="1710"/>
      <c r="S936" s="1710"/>
      <c r="T936" s="1711"/>
      <c r="U936" s="1627" t="s">
        <v>590</v>
      </c>
      <c r="V936" s="1407"/>
      <c r="W936" s="1407"/>
      <c r="X936" s="1407"/>
      <c r="Y936" s="1407"/>
      <c r="Z936" s="1408"/>
      <c r="AA936" s="1628"/>
      <c r="AB936" s="1522"/>
      <c r="AC936" s="1522"/>
      <c r="AD936" s="1522"/>
      <c r="AE936" s="1522"/>
      <c r="AF936" s="1629"/>
      <c r="AZ936" s="30"/>
      <c r="BA936" s="14"/>
    </row>
    <row r="937" spans="6:55" ht="13" customHeight="1">
      <c r="F937" s="1709" t="s">
        <v>2203</v>
      </c>
      <c r="G937" s="1710"/>
      <c r="H937" s="1710"/>
      <c r="I937" s="1710"/>
      <c r="J937" s="1710"/>
      <c r="K937" s="1710"/>
      <c r="L937" s="1710"/>
      <c r="M937" s="1710"/>
      <c r="N937" s="1710"/>
      <c r="O937" s="1710"/>
      <c r="P937" s="1710"/>
      <c r="Q937" s="1710"/>
      <c r="R937" s="1710"/>
      <c r="S937" s="1710"/>
      <c r="T937" s="1711"/>
      <c r="U937" s="1627" t="s">
        <v>590</v>
      </c>
      <c r="V937" s="1407"/>
      <c r="W937" s="1407"/>
      <c r="X937" s="1407"/>
      <c r="Y937" s="1407"/>
      <c r="Z937" s="1408"/>
      <c r="AA937" s="1628"/>
      <c r="AB937" s="1522"/>
      <c r="AC937" s="1522"/>
      <c r="AD937" s="1522"/>
      <c r="AE937" s="1522"/>
      <c r="AF937" s="1629"/>
      <c r="AZ937" s="30"/>
      <c r="BA937" s="30"/>
    </row>
    <row r="938" spans="6:55" ht="13" customHeight="1">
      <c r="F938" s="1703" t="s">
        <v>2199</v>
      </c>
      <c r="G938" s="1704"/>
      <c r="H938" s="1704"/>
      <c r="I938" s="1704"/>
      <c r="J938" s="1704"/>
      <c r="K938" s="1704"/>
      <c r="L938" s="1704"/>
      <c r="M938" s="1704"/>
      <c r="N938" s="1704"/>
      <c r="O938" s="1704"/>
      <c r="P938" s="1704"/>
      <c r="Q938" s="1704"/>
      <c r="R938" s="1704"/>
      <c r="S938" s="1704"/>
      <c r="T938" s="1705"/>
      <c r="U938" s="1627" t="s">
        <v>590</v>
      </c>
      <c r="V938" s="1407"/>
      <c r="W938" s="1407"/>
      <c r="X938" s="1407"/>
      <c r="Y938" s="1407"/>
      <c r="Z938" s="1408"/>
      <c r="AA938" s="1628"/>
      <c r="AB938" s="1522"/>
      <c r="AC938" s="1522"/>
      <c r="AD938" s="1522"/>
      <c r="AE938" s="1522"/>
      <c r="AF938" s="1629"/>
      <c r="AZ938" s="30"/>
      <c r="BA938" s="30"/>
    </row>
    <row r="939" spans="6:55" ht="13" customHeight="1">
      <c r="F939" s="1703" t="s">
        <v>2200</v>
      </c>
      <c r="G939" s="1704"/>
      <c r="H939" s="1704"/>
      <c r="I939" s="1704"/>
      <c r="J939" s="1704"/>
      <c r="K939" s="1704"/>
      <c r="L939" s="1704"/>
      <c r="M939" s="1704"/>
      <c r="N939" s="1704"/>
      <c r="O939" s="1704"/>
      <c r="P939" s="1704"/>
      <c r="Q939" s="1704"/>
      <c r="R939" s="1704"/>
      <c r="S939" s="1704"/>
      <c r="T939" s="1705"/>
      <c r="U939" s="1627" t="s">
        <v>590</v>
      </c>
      <c r="V939" s="1407"/>
      <c r="W939" s="1407"/>
      <c r="X939" s="1407"/>
      <c r="Y939" s="1407"/>
      <c r="Z939" s="1408"/>
      <c r="AA939" s="1628"/>
      <c r="AB939" s="1522"/>
      <c r="AC939" s="1522"/>
      <c r="AD939" s="1522"/>
      <c r="AE939" s="1522"/>
      <c r="AF939" s="1629"/>
      <c r="AZ939" s="30"/>
      <c r="BA939" s="30"/>
    </row>
    <row r="940" spans="6:55" ht="13" customHeight="1">
      <c r="F940" s="1703" t="s">
        <v>2201</v>
      </c>
      <c r="G940" s="1704"/>
      <c r="H940" s="1704"/>
      <c r="I940" s="1704"/>
      <c r="J940" s="1704"/>
      <c r="K940" s="1704"/>
      <c r="L940" s="1704"/>
      <c r="M940" s="1704"/>
      <c r="N940" s="1704"/>
      <c r="O940" s="1704"/>
      <c r="P940" s="1704"/>
      <c r="Q940" s="1704"/>
      <c r="R940" s="1704"/>
      <c r="S940" s="1704"/>
      <c r="T940" s="1705"/>
      <c r="U940" s="1627" t="s">
        <v>590</v>
      </c>
      <c r="V940" s="1407"/>
      <c r="W940" s="1407"/>
      <c r="X940" s="1407"/>
      <c r="Y940" s="1407"/>
      <c r="Z940" s="1408"/>
      <c r="AA940" s="1628"/>
      <c r="AB940" s="1522"/>
      <c r="AC940" s="1522"/>
      <c r="AD940" s="1522"/>
      <c r="AE940" s="1522"/>
      <c r="AF940" s="1629"/>
      <c r="AZ940" s="34"/>
      <c r="BA940" s="34"/>
      <c r="BB940" s="14"/>
      <c r="BC940" s="14"/>
    </row>
    <row r="941" spans="6:55" ht="13" customHeight="1">
      <c r="F941" s="121" t="s">
        <v>1260</v>
      </c>
      <c r="G941" s="5"/>
      <c r="H941" s="5"/>
      <c r="I941" s="5"/>
      <c r="J941" s="5"/>
      <c r="K941" s="5"/>
      <c r="L941" s="5"/>
      <c r="M941" s="5"/>
      <c r="N941" s="5"/>
      <c r="O941" s="5"/>
      <c r="P941" s="5"/>
      <c r="Q941" s="5"/>
      <c r="R941" s="5"/>
      <c r="S941" s="5"/>
      <c r="T941" s="46"/>
      <c r="U941" s="1627" t="s">
        <v>590</v>
      </c>
      <c r="V941" s="1407"/>
      <c r="W941" s="1407"/>
      <c r="X941" s="1407"/>
      <c r="Y941" s="1407"/>
      <c r="Z941" s="1408"/>
      <c r="AA941" s="1628"/>
      <c r="AB941" s="1522"/>
      <c r="AC941" s="1522"/>
      <c r="AD941" s="1522"/>
      <c r="AE941" s="1522"/>
      <c r="AF941" s="1629"/>
      <c r="AZ941" s="34"/>
      <c r="BA941" s="34"/>
      <c r="BB941" s="14"/>
      <c r="BC941" s="14"/>
    </row>
    <row r="942" spans="6:55" ht="13" customHeight="1">
      <c r="F942" s="1709" t="s">
        <v>2204</v>
      </c>
      <c r="G942" s="1710"/>
      <c r="H942" s="1710"/>
      <c r="I942" s="1710"/>
      <c r="J942" s="1710"/>
      <c r="K942" s="1710"/>
      <c r="L942" s="1710"/>
      <c r="M942" s="1710"/>
      <c r="N942" s="1710"/>
      <c r="O942" s="1710"/>
      <c r="P942" s="1710"/>
      <c r="Q942" s="1710"/>
      <c r="R942" s="1710"/>
      <c r="S942" s="1710"/>
      <c r="T942" s="1711"/>
      <c r="U942" s="1627" t="s">
        <v>590</v>
      </c>
      <c r="V942" s="1407"/>
      <c r="W942" s="1407"/>
      <c r="X942" s="1407"/>
      <c r="Y942" s="1407"/>
      <c r="Z942" s="1408"/>
      <c r="AA942" s="1628"/>
      <c r="AB942" s="1522"/>
      <c r="AC942" s="1522"/>
      <c r="AD942" s="1522"/>
      <c r="AE942" s="1522"/>
      <c r="AF942" s="1629"/>
      <c r="AZ942" s="34"/>
      <c r="BA942" s="34"/>
      <c r="BB942" s="34"/>
      <c r="BC942" s="34"/>
    </row>
    <row r="943" spans="6:55" ht="13" customHeight="1">
      <c r="F943" s="121" t="s">
        <v>1261</v>
      </c>
      <c r="G943" s="5"/>
      <c r="H943" s="5"/>
      <c r="I943" s="5"/>
      <c r="J943" s="5"/>
      <c r="K943" s="5"/>
      <c r="L943" s="5"/>
      <c r="M943" s="5"/>
      <c r="N943" s="5"/>
      <c r="O943" s="5"/>
      <c r="P943" s="5"/>
      <c r="Q943" s="5"/>
      <c r="R943" s="5"/>
      <c r="S943" s="5"/>
      <c r="T943" s="46"/>
      <c r="U943" s="1627" t="s">
        <v>590</v>
      </c>
      <c r="V943" s="1407"/>
      <c r="W943" s="1407"/>
      <c r="X943" s="1407"/>
      <c r="Y943" s="1407"/>
      <c r="Z943" s="1408"/>
      <c r="AA943" s="1628"/>
      <c r="AB943" s="1522"/>
      <c r="AC943" s="1522"/>
      <c r="AD943" s="1522"/>
      <c r="AE943" s="1522"/>
      <c r="AF943" s="1629"/>
      <c r="AZ943" s="34"/>
      <c r="BA943" s="34"/>
      <c r="BB943" s="34"/>
      <c r="BC943" s="34"/>
    </row>
    <row r="944" spans="6:55" ht="13" customHeight="1">
      <c r="F944" s="1709" t="s">
        <v>2205</v>
      </c>
      <c r="G944" s="1710"/>
      <c r="H944" s="1710"/>
      <c r="I944" s="1710"/>
      <c r="J944" s="1710"/>
      <c r="K944" s="1710"/>
      <c r="L944" s="1710"/>
      <c r="M944" s="1710"/>
      <c r="N944" s="1710"/>
      <c r="O944" s="1710"/>
      <c r="P944" s="1710"/>
      <c r="Q944" s="1710"/>
      <c r="R944" s="1710"/>
      <c r="S944" s="1710"/>
      <c r="T944" s="1711"/>
      <c r="U944" s="1627" t="s">
        <v>590</v>
      </c>
      <c r="V944" s="1407"/>
      <c r="W944" s="1407"/>
      <c r="X944" s="1407"/>
      <c r="Y944" s="1407"/>
      <c r="Z944" s="1408"/>
      <c r="AA944" s="1628"/>
      <c r="AB944" s="1522"/>
      <c r="AC944" s="1522"/>
      <c r="AD944" s="1522"/>
      <c r="AE944" s="1522"/>
      <c r="AF944" s="1629"/>
      <c r="AZ944" s="34"/>
      <c r="BA944" s="34"/>
      <c r="BB944" s="34"/>
      <c r="BC944" s="34"/>
    </row>
    <row r="945" spans="1:55" ht="13" customHeight="1">
      <c r="F945" s="45" t="s">
        <v>805</v>
      </c>
      <c r="G945" s="5"/>
      <c r="H945" s="5"/>
      <c r="I945" s="5"/>
      <c r="J945" s="5"/>
      <c r="K945" s="5"/>
      <c r="L945" s="5"/>
      <c r="M945" s="5"/>
      <c r="N945" s="5"/>
      <c r="O945" s="5"/>
      <c r="P945" s="1627" t="s">
        <v>668</v>
      </c>
      <c r="Q945" s="1407"/>
      <c r="R945" s="1407"/>
      <c r="S945" s="1407"/>
      <c r="T945" s="1408"/>
      <c r="U945" s="1627" t="s">
        <v>590</v>
      </c>
      <c r="V945" s="1407"/>
      <c r="W945" s="1407"/>
      <c r="X945" s="1407"/>
      <c r="Y945" s="1407"/>
      <c r="Z945" s="1408"/>
      <c r="AA945" s="1628"/>
      <c r="AB945" s="1522"/>
      <c r="AC945" s="1522"/>
      <c r="AD945" s="1522"/>
      <c r="AE945" s="1522"/>
      <c r="AF945" s="1629"/>
      <c r="AZ945" s="34"/>
      <c r="BA945" s="34"/>
      <c r="BB945" s="34"/>
      <c r="BC945" s="34"/>
    </row>
    <row r="946" spans="1:55" ht="13" customHeight="1">
      <c r="F946" s="1703" t="s">
        <v>2192</v>
      </c>
      <c r="G946" s="1704"/>
      <c r="H946" s="1705"/>
      <c r="I946" s="1638" t="s">
        <v>333</v>
      </c>
      <c r="J946" s="1639"/>
      <c r="K946" s="1639"/>
      <c r="L946" s="1639"/>
      <c r="M946" s="1639"/>
      <c r="N946" s="1639"/>
      <c r="O946" s="1639"/>
      <c r="P946" s="1639"/>
      <c r="Q946" s="1639"/>
      <c r="R946" s="1639"/>
      <c r="S946" s="1639"/>
      <c r="T946" s="1640"/>
      <c r="U946" s="1627" t="s">
        <v>590</v>
      </c>
      <c r="V946" s="1407"/>
      <c r="W946" s="1407"/>
      <c r="X946" s="1407"/>
      <c r="Y946" s="1407"/>
      <c r="Z946" s="1408"/>
      <c r="AA946" s="1628"/>
      <c r="AB946" s="1522"/>
      <c r="AC946" s="1522"/>
      <c r="AD946" s="1522"/>
      <c r="AE946" s="1522"/>
      <c r="AF946" s="1629"/>
      <c r="AZ946" s="34"/>
      <c r="BA946" s="34"/>
      <c r="BB946" s="34"/>
      <c r="BC946" s="34"/>
    </row>
    <row r="947" spans="1:55" ht="13" customHeight="1">
      <c r="F947" s="45" t="s">
        <v>86</v>
      </c>
      <c r="G947" s="48"/>
      <c r="H947" s="48"/>
      <c r="I947" s="1638" t="s">
        <v>333</v>
      </c>
      <c r="J947" s="1639"/>
      <c r="K947" s="1639"/>
      <c r="L947" s="1639"/>
      <c r="M947" s="1639"/>
      <c r="N947" s="1639"/>
      <c r="O947" s="1639"/>
      <c r="P947" s="1639"/>
      <c r="Q947" s="1639"/>
      <c r="R947" s="1639"/>
      <c r="S947" s="1639"/>
      <c r="T947" s="1640"/>
      <c r="U947" s="1627" t="s">
        <v>590</v>
      </c>
      <c r="V947" s="1407"/>
      <c r="W947" s="1407"/>
      <c r="X947" s="1407"/>
      <c r="Y947" s="1407"/>
      <c r="Z947" s="1408"/>
      <c r="AA947" s="1628"/>
      <c r="AB947" s="1522"/>
      <c r="AC947" s="1522"/>
      <c r="AD947" s="1522"/>
      <c r="AE947" s="1522"/>
      <c r="AF947" s="1629"/>
      <c r="AZ947" s="34"/>
      <c r="BA947" s="34"/>
      <c r="BB947" s="34"/>
      <c r="BC947" s="34"/>
    </row>
    <row r="948" spans="1:55" ht="13" customHeight="1">
      <c r="F948" s="45" t="s">
        <v>10</v>
      </c>
      <c r="G948" s="48"/>
      <c r="H948" s="48"/>
      <c r="I948" s="1706" t="s">
        <v>333</v>
      </c>
      <c r="J948" s="1707"/>
      <c r="K948" s="1707"/>
      <c r="L948" s="1707"/>
      <c r="M948" s="1707"/>
      <c r="N948" s="1707"/>
      <c r="O948" s="1707"/>
      <c r="P948" s="1707"/>
      <c r="Q948" s="1707"/>
      <c r="R948" s="1707"/>
      <c r="S948" s="1707"/>
      <c r="T948" s="1708"/>
      <c r="U948" s="1627" t="s">
        <v>590</v>
      </c>
      <c r="V948" s="1407"/>
      <c r="W948" s="1407"/>
      <c r="X948" s="1407"/>
      <c r="Y948" s="1407"/>
      <c r="Z948" s="1408"/>
      <c r="AA948" s="1628"/>
      <c r="AB948" s="1522"/>
      <c r="AC948" s="1522"/>
      <c r="AD948" s="1522"/>
      <c r="AE948" s="1522"/>
      <c r="AF948" s="1629"/>
      <c r="AV948" s="2"/>
      <c r="AW948" s="2"/>
      <c r="AX948" s="2"/>
      <c r="AY948" s="2"/>
      <c r="AZ948" s="34"/>
      <c r="BA948" s="34"/>
      <c r="BB948" s="34"/>
      <c r="BC948" s="34"/>
    </row>
    <row r="949" spans="1:55" ht="13" customHeight="1">
      <c r="F949" s="47" t="s">
        <v>169</v>
      </c>
      <c r="G949" s="48"/>
      <c r="H949" s="48"/>
      <c r="I949" s="1706" t="s">
        <v>333</v>
      </c>
      <c r="J949" s="1707"/>
      <c r="K949" s="1707"/>
      <c r="L949" s="1707"/>
      <c r="M949" s="1707"/>
      <c r="N949" s="1707"/>
      <c r="O949" s="1707"/>
      <c r="P949" s="1707"/>
      <c r="Q949" s="1707"/>
      <c r="R949" s="1707"/>
      <c r="S949" s="1707"/>
      <c r="T949" s="1708"/>
      <c r="U949" s="1627" t="s">
        <v>590</v>
      </c>
      <c r="V949" s="1407"/>
      <c r="W949" s="1407"/>
      <c r="X949" s="1407"/>
      <c r="Y949" s="1407"/>
      <c r="Z949" s="1408"/>
      <c r="AA949" s="1628"/>
      <c r="AB949" s="1522"/>
      <c r="AC949" s="1522"/>
      <c r="AD949" s="1522"/>
      <c r="AE949" s="1522"/>
      <c r="AF949" s="1629"/>
      <c r="AU949" s="2"/>
      <c r="AZ949" s="34"/>
      <c r="BA949" s="34"/>
      <c r="BB949" s="34"/>
      <c r="BC949" s="34"/>
    </row>
    <row r="950" spans="1:55" ht="13" customHeight="1">
      <c r="F950" s="47" t="s">
        <v>169</v>
      </c>
      <c r="G950" s="48"/>
      <c r="H950" s="48"/>
      <c r="I950" s="1706" t="s">
        <v>333</v>
      </c>
      <c r="J950" s="1707"/>
      <c r="K950" s="1707"/>
      <c r="L950" s="1707"/>
      <c r="M950" s="1707"/>
      <c r="N950" s="1707"/>
      <c r="O950" s="1707"/>
      <c r="P950" s="1707"/>
      <c r="Q950" s="1707"/>
      <c r="R950" s="1707"/>
      <c r="S950" s="1707"/>
      <c r="T950" s="1708"/>
      <c r="U950" s="1627" t="s">
        <v>590</v>
      </c>
      <c r="V950" s="1407"/>
      <c r="W950" s="1407"/>
      <c r="X950" s="1407"/>
      <c r="Y950" s="1407"/>
      <c r="Z950" s="1408"/>
      <c r="AA950" s="1628"/>
      <c r="AB950" s="1522"/>
      <c r="AC950" s="1522"/>
      <c r="AD950" s="1522"/>
      <c r="AE950" s="1522"/>
      <c r="AF950" s="1629"/>
      <c r="AU950" s="2"/>
      <c r="AZ950" s="34"/>
      <c r="BA950" s="34"/>
      <c r="BB950" s="34"/>
      <c r="BC950" s="34"/>
    </row>
    <row r="951" spans="1:55" ht="13" customHeight="1">
      <c r="AU951" s="2"/>
      <c r="AZ951" s="34"/>
      <c r="BA951" s="34"/>
      <c r="BB951" s="34"/>
      <c r="BC951" s="34"/>
    </row>
    <row r="952" spans="1:55" ht="13" customHeight="1">
      <c r="A952" s="2" t="s">
        <v>575</v>
      </c>
      <c r="C952" s="2" t="s">
        <v>750</v>
      </c>
      <c r="AZ952" s="34"/>
      <c r="BA952" s="34"/>
      <c r="BB952" s="34"/>
      <c r="BC952" s="34"/>
    </row>
    <row r="953" spans="1:55" ht="13" customHeight="1">
      <c r="B953" s="2"/>
      <c r="C953" s="22" t="s">
        <v>391</v>
      </c>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Z953" s="34"/>
      <c r="BA953" s="34"/>
      <c r="BB953" s="34"/>
      <c r="BC953" s="34"/>
    </row>
    <row r="954" spans="1:55" ht="13" customHeight="1">
      <c r="AZ954" s="34"/>
      <c r="BA954" s="34"/>
      <c r="BB954" s="34"/>
      <c r="BC954" s="34"/>
    </row>
    <row r="955" spans="1:55" ht="13" customHeight="1">
      <c r="C955" s="66" t="s">
        <v>11</v>
      </c>
      <c r="D955" s="5"/>
      <c r="E955" s="5"/>
      <c r="F955" s="5"/>
      <c r="G955" s="5"/>
      <c r="H955" s="5"/>
      <c r="I955" s="5"/>
      <c r="J955" s="5"/>
      <c r="K955" s="5"/>
      <c r="L955" s="46"/>
      <c r="M955" s="1720">
        <v>45778</v>
      </c>
      <c r="N955" s="1649"/>
      <c r="O955" s="1649"/>
      <c r="P955" s="1649"/>
      <c r="Q955" s="1649"/>
      <c r="R955" s="1649"/>
      <c r="S955" s="1650"/>
      <c r="U955" s="66" t="s">
        <v>11</v>
      </c>
      <c r="V955" s="5"/>
      <c r="W955" s="5"/>
      <c r="X955" s="5"/>
      <c r="Y955" s="5"/>
      <c r="Z955" s="5"/>
      <c r="AA955" s="5"/>
      <c r="AB955" s="5"/>
      <c r="AC955" s="5"/>
      <c r="AD955" s="46"/>
      <c r="AE955" s="1720"/>
      <c r="AF955" s="1649"/>
      <c r="AG955" s="1649"/>
      <c r="AH955" s="1649"/>
      <c r="AI955" s="1649"/>
      <c r="AJ955" s="1649"/>
      <c r="AK955" s="1650"/>
      <c r="AZ955" s="34"/>
      <c r="BA955" s="34"/>
      <c r="BB955" s="34"/>
      <c r="BC955" s="34"/>
    </row>
    <row r="956" spans="1:55" ht="13" customHeight="1">
      <c r="C956" s="66" t="s">
        <v>12</v>
      </c>
      <c r="D956" s="5"/>
      <c r="E956" s="5"/>
      <c r="F956" s="5"/>
      <c r="G956" s="5"/>
      <c r="H956" s="5"/>
      <c r="I956" s="5"/>
      <c r="J956" s="5"/>
      <c r="K956" s="5"/>
      <c r="L956" s="46"/>
      <c r="M956" s="1721" t="s">
        <v>2708</v>
      </c>
      <c r="N956" s="1458"/>
      <c r="O956" s="1458"/>
      <c r="P956" s="1458"/>
      <c r="Q956" s="1458"/>
      <c r="R956" s="1458"/>
      <c r="S956" s="1722"/>
      <c r="U956" s="66" t="s">
        <v>12</v>
      </c>
      <c r="V956" s="5"/>
      <c r="W956" s="5"/>
      <c r="X956" s="5"/>
      <c r="Y956" s="5"/>
      <c r="Z956" s="5"/>
      <c r="AA956" s="5"/>
      <c r="AB956" s="5"/>
      <c r="AC956" s="5"/>
      <c r="AD956" s="46"/>
      <c r="AE956" s="1721"/>
      <c r="AF956" s="1458"/>
      <c r="AG956" s="1458"/>
      <c r="AH956" s="1458"/>
      <c r="AI956" s="1458"/>
      <c r="AJ956" s="1458"/>
      <c r="AK956" s="1722"/>
      <c r="AZ956" s="34"/>
      <c r="BA956" s="34"/>
      <c r="BB956" s="34"/>
      <c r="BC956" s="34"/>
    </row>
    <row r="957" spans="1:55" ht="13" customHeight="1">
      <c r="C957" s="66" t="s">
        <v>879</v>
      </c>
      <c r="D957" s="5"/>
      <c r="E957" s="5"/>
      <c r="J957" s="1727" t="s">
        <v>2729</v>
      </c>
      <c r="K957" s="1728"/>
      <c r="L957" s="1728"/>
      <c r="M957" s="1728"/>
      <c r="N957" s="1728"/>
      <c r="O957" s="1728"/>
      <c r="P957" s="1728"/>
      <c r="Q957" s="1728"/>
      <c r="R957" s="1728"/>
      <c r="S957" s="1729"/>
      <c r="U957" s="66" t="s">
        <v>879</v>
      </c>
      <c r="V957" s="5"/>
      <c r="W957" s="5"/>
      <c r="AB957" s="1727" t="s">
        <v>306</v>
      </c>
      <c r="AC957" s="1728"/>
      <c r="AD957" s="1728"/>
      <c r="AE957" s="1728"/>
      <c r="AF957" s="1728"/>
      <c r="AG957" s="1728"/>
      <c r="AH957" s="1728"/>
      <c r="AI957" s="1728"/>
      <c r="AJ957" s="1728"/>
      <c r="AK957" s="1729"/>
      <c r="AZ957" s="34"/>
      <c r="BA957" s="34"/>
      <c r="BB957" s="34"/>
      <c r="BC957" s="34"/>
    </row>
    <row r="958" spans="1:55" ht="13" customHeight="1">
      <c r="C958" s="66" t="s">
        <v>13</v>
      </c>
      <c r="D958" s="5"/>
      <c r="E958" s="5"/>
      <c r="F958" s="5"/>
      <c r="G958" s="5"/>
      <c r="H958" s="5"/>
      <c r="I958" s="5"/>
      <c r="J958" s="5"/>
      <c r="K958" s="5"/>
      <c r="L958" s="46"/>
      <c r="M958" s="1805">
        <v>1</v>
      </c>
      <c r="N958" s="1734"/>
      <c r="O958" s="1734"/>
      <c r="P958" s="1734"/>
      <c r="Q958" s="1734"/>
      <c r="R958" s="1734"/>
      <c r="S958" s="1735"/>
      <c r="U958" s="66" t="s">
        <v>13</v>
      </c>
      <c r="V958" s="5"/>
      <c r="W958" s="5"/>
      <c r="X958" s="5"/>
      <c r="Y958" s="5"/>
      <c r="Z958" s="5"/>
      <c r="AA958" s="5"/>
      <c r="AB958" s="5"/>
      <c r="AC958" s="5"/>
      <c r="AD958" s="46"/>
      <c r="AE958" s="1733"/>
      <c r="AF958" s="1734"/>
      <c r="AG958" s="1734"/>
      <c r="AH958" s="1734"/>
      <c r="AI958" s="1734"/>
      <c r="AJ958" s="1734"/>
      <c r="AK958" s="1735"/>
      <c r="AZ958" s="34"/>
      <c r="BA958" s="34"/>
      <c r="BB958" s="34"/>
      <c r="BC958" s="34"/>
    </row>
    <row r="959" spans="1:55" ht="13" customHeight="1">
      <c r="C959" s="66" t="s">
        <v>14</v>
      </c>
      <c r="D959" s="5"/>
      <c r="E959" s="5"/>
      <c r="F959" s="5"/>
      <c r="G959" s="5"/>
      <c r="H959" s="5"/>
      <c r="I959" s="5"/>
      <c r="J959" s="5"/>
      <c r="K959" s="5"/>
      <c r="L959" s="46"/>
      <c r="M959" s="1652">
        <v>60</v>
      </c>
      <c r="N959" s="1653"/>
      <c r="O959" s="1653"/>
      <c r="P959" s="1653"/>
      <c r="Q959" s="1653"/>
      <c r="R959" s="1653"/>
      <c r="S959" s="1654"/>
      <c r="U959" s="66" t="s">
        <v>14</v>
      </c>
      <c r="V959" s="5"/>
      <c r="W959" s="5"/>
      <c r="X959" s="5"/>
      <c r="Y959" s="5"/>
      <c r="Z959" s="5"/>
      <c r="AA959" s="5"/>
      <c r="AB959" s="5"/>
      <c r="AC959" s="5"/>
      <c r="AD959" s="46"/>
      <c r="AE959" s="1652"/>
      <c r="AF959" s="1653"/>
      <c r="AG959" s="1653"/>
      <c r="AH959" s="1653"/>
      <c r="AI959" s="1653"/>
      <c r="AJ959" s="1653"/>
      <c r="AK959" s="1654"/>
      <c r="AV959" s="2"/>
      <c r="AW959" s="2"/>
      <c r="AX959" s="2"/>
      <c r="AY959" s="2"/>
      <c r="AZ959" s="34"/>
      <c r="BA959" s="34"/>
      <c r="BB959" s="34"/>
      <c r="BC959" s="34"/>
    </row>
    <row r="960" spans="1:55" ht="13" customHeight="1">
      <c r="C960" s="66" t="s">
        <v>15</v>
      </c>
      <c r="D960" s="5"/>
      <c r="E960" s="5"/>
      <c r="F960" s="5"/>
      <c r="G960" s="5"/>
      <c r="H960" s="5"/>
      <c r="I960" s="5"/>
      <c r="J960" s="5"/>
      <c r="K960" s="5"/>
      <c r="L960" s="46"/>
      <c r="M960" s="1628">
        <f>+'Subsidy Contract Calculation'!J40</f>
        <v>886320</v>
      </c>
      <c r="N960" s="1522"/>
      <c r="O960" s="1522"/>
      <c r="P960" s="1522"/>
      <c r="Q960" s="1522"/>
      <c r="R960" s="1522"/>
      <c r="S960" s="1629"/>
      <c r="U960" s="66" t="s">
        <v>15</v>
      </c>
      <c r="V960" s="5"/>
      <c r="W960" s="5"/>
      <c r="X960" s="5"/>
      <c r="Y960" s="5"/>
      <c r="Z960" s="5"/>
      <c r="AA960" s="5"/>
      <c r="AB960" s="5"/>
      <c r="AC960" s="5"/>
      <c r="AD960" s="46"/>
      <c r="AE960" s="1628"/>
      <c r="AF960" s="1522"/>
      <c r="AG960" s="1522"/>
      <c r="AH960" s="1522"/>
      <c r="AI960" s="1522"/>
      <c r="AJ960" s="1522"/>
      <c r="AK960" s="1629"/>
      <c r="AV960" s="2"/>
      <c r="AW960" s="2"/>
      <c r="AX960" s="2"/>
      <c r="AY960" s="2"/>
      <c r="AZ960" s="34"/>
      <c r="BA960" s="34"/>
      <c r="BB960" s="34"/>
      <c r="BC960" s="34"/>
    </row>
    <row r="961" spans="1:64" ht="13" customHeight="1">
      <c r="C961" s="66" t="s">
        <v>16</v>
      </c>
      <c r="D961" s="5"/>
      <c r="E961" s="5"/>
      <c r="F961" s="5"/>
      <c r="G961" s="5"/>
      <c r="H961" s="5"/>
      <c r="I961" s="5"/>
      <c r="J961" s="5"/>
      <c r="K961" s="5"/>
      <c r="L961" s="46"/>
      <c r="M961" s="1628">
        <f>+M960*M962</f>
        <v>17726400</v>
      </c>
      <c r="N961" s="1522"/>
      <c r="O961" s="1522"/>
      <c r="P961" s="1522"/>
      <c r="Q961" s="1522"/>
      <c r="R961" s="1522"/>
      <c r="S961" s="1629"/>
      <c r="U961" s="66" t="s">
        <v>16</v>
      </c>
      <c r="V961" s="5"/>
      <c r="W961" s="5"/>
      <c r="X961" s="5"/>
      <c r="Y961" s="5"/>
      <c r="Z961" s="5"/>
      <c r="AA961" s="5"/>
      <c r="AB961" s="5"/>
      <c r="AC961" s="5"/>
      <c r="AD961" s="46"/>
      <c r="AE961" s="1628"/>
      <c r="AF961" s="1522"/>
      <c r="AG961" s="1522"/>
      <c r="AH961" s="1522"/>
      <c r="AI961" s="1522"/>
      <c r="AJ961" s="1522"/>
      <c r="AK961" s="1629"/>
      <c r="AV961" s="2"/>
      <c r="AW961" s="2"/>
      <c r="AX961" s="2"/>
      <c r="AY961" s="2"/>
      <c r="AZ961" s="34"/>
      <c r="BB961" s="34"/>
      <c r="BC961" s="34"/>
    </row>
    <row r="962" spans="1:64" ht="13" customHeight="1">
      <c r="C962" s="121" t="s">
        <v>1660</v>
      </c>
      <c r="D962" s="5"/>
      <c r="E962" s="5"/>
      <c r="F962" s="5"/>
      <c r="G962" s="5"/>
      <c r="H962" s="5"/>
      <c r="I962" s="5"/>
      <c r="J962" s="5"/>
      <c r="K962" s="5"/>
      <c r="L962" s="46"/>
      <c r="M962" s="1730">
        <v>20</v>
      </c>
      <c r="N962" s="1731"/>
      <c r="O962" s="1731"/>
      <c r="P962" s="1731"/>
      <c r="Q962" s="1731"/>
      <c r="R962" s="1731"/>
      <c r="S962" s="1732"/>
      <c r="U962" s="121" t="s">
        <v>1660</v>
      </c>
      <c r="V962" s="5"/>
      <c r="W962" s="5"/>
      <c r="X962" s="5"/>
      <c r="Y962" s="5"/>
      <c r="Z962" s="5"/>
      <c r="AA962" s="5"/>
      <c r="AB962" s="5"/>
      <c r="AC962" s="5"/>
      <c r="AD962" s="46"/>
      <c r="AE962" s="1730"/>
      <c r="AF962" s="1731"/>
      <c r="AG962" s="1731"/>
      <c r="AH962" s="1731"/>
      <c r="AI962" s="1731"/>
      <c r="AJ962" s="1731"/>
      <c r="AK962" s="1732"/>
      <c r="AZ962" s="34"/>
      <c r="BB962" s="34"/>
      <c r="BC962" s="34"/>
      <c r="BD962" s="34"/>
      <c r="BE962" s="34"/>
      <c r="BF962" s="34"/>
      <c r="BG962" s="34"/>
      <c r="BH962" s="34"/>
      <c r="BI962" s="34"/>
      <c r="BJ962" s="34"/>
      <c r="BK962" s="34"/>
      <c r="BL962" s="34"/>
    </row>
    <row r="963" spans="1:64" ht="13" customHeight="1">
      <c r="AZ963" s="34"/>
      <c r="BB963" s="34"/>
      <c r="BC963" s="34"/>
      <c r="BD963" s="34"/>
      <c r="BE963" s="34"/>
      <c r="BF963" s="34"/>
      <c r="BG963" s="34"/>
      <c r="BH963" s="34"/>
      <c r="BI963" s="34"/>
      <c r="BJ963" s="34"/>
      <c r="BK963" s="34"/>
      <c r="BL963" s="34"/>
    </row>
    <row r="964" spans="1:64" ht="13" customHeight="1">
      <c r="A964" s="2" t="s">
        <v>585</v>
      </c>
      <c r="C964" s="2" t="s">
        <v>649</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Z964" s="34"/>
      <c r="BB964" s="34"/>
      <c r="BC964" s="34"/>
      <c r="BD964" s="34"/>
      <c r="BE964" s="34"/>
      <c r="BF964" s="34"/>
      <c r="BG964" s="34"/>
      <c r="BH964" s="34"/>
      <c r="BI964" s="34"/>
      <c r="BJ964" s="34"/>
      <c r="BK964" s="34"/>
      <c r="BL964" s="34"/>
    </row>
    <row r="965" spans="1:64" s="14" customFormat="1" ht="13" customHeight="1">
      <c r="A965"/>
      <c r="B965" s="2"/>
      <c r="C965" s="22" t="s">
        <v>179</v>
      </c>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95"/>
      <c r="AV965"/>
      <c r="AW965"/>
      <c r="AX965"/>
      <c r="AY965"/>
      <c r="AZ965" s="34"/>
      <c r="BA965"/>
      <c r="BB965" s="34"/>
      <c r="BC965" s="34"/>
      <c r="BD965" s="34"/>
      <c r="BE965" s="34"/>
      <c r="BF965" s="34"/>
      <c r="BG965" s="34"/>
      <c r="BH965" s="34"/>
      <c r="BI965" s="34"/>
      <c r="BJ965" s="34"/>
      <c r="BK965" s="34"/>
      <c r="BL965" s="34"/>
    </row>
    <row r="966" spans="1:64" s="14" customFormat="1" ht="13" customHeight="1">
      <c r="A966"/>
      <c r="B966" s="2"/>
      <c r="C966" s="2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68"/>
      <c r="AV966"/>
      <c r="AW966"/>
      <c r="AX966"/>
      <c r="AY966"/>
      <c r="AZ966" s="34"/>
      <c r="BA966"/>
      <c r="BB966" s="34"/>
      <c r="BC966" s="34"/>
      <c r="BD966" s="34"/>
      <c r="BE966" s="34"/>
      <c r="BF966" s="34"/>
      <c r="BG966" s="34"/>
      <c r="BH966" s="34"/>
      <c r="BI966" s="34"/>
      <c r="BJ966" s="34"/>
      <c r="BK966" s="34"/>
      <c r="BL966" s="34"/>
    </row>
    <row r="967" spans="1:64" s="14" customFormat="1" ht="13" customHeight="1">
      <c r="A967"/>
      <c r="B967"/>
      <c r="C967"/>
      <c r="D967"/>
      <c r="E967"/>
      <c r="F967" s="45" t="s">
        <v>570</v>
      </c>
      <c r="G967" s="5"/>
      <c r="H967" s="5"/>
      <c r="I967" s="5"/>
      <c r="J967" s="5"/>
      <c r="K967" s="5"/>
      <c r="L967" s="46"/>
      <c r="M967" s="1717"/>
      <c r="N967" s="1718"/>
      <c r="O967" s="1718"/>
      <c r="P967" s="1718"/>
      <c r="Q967" s="1718"/>
      <c r="R967" s="1718"/>
      <c r="S967" s="1719"/>
      <c r="T967" s="66" t="s">
        <v>789</v>
      </c>
      <c r="U967" s="5"/>
      <c r="V967" s="5"/>
      <c r="W967" s="5"/>
      <c r="X967" s="5"/>
      <c r="Y967" s="5"/>
      <c r="Z967" s="46"/>
      <c r="AA967" s="1717"/>
      <c r="AB967" s="1718"/>
      <c r="AC967" s="1718"/>
      <c r="AD967" s="1718"/>
      <c r="AE967" s="1718"/>
      <c r="AF967" s="1718"/>
      <c r="AG967" s="1719"/>
      <c r="AH967"/>
      <c r="AI967"/>
      <c r="AJ967"/>
      <c r="AK967"/>
      <c r="AL967"/>
      <c r="AM967"/>
      <c r="AN967"/>
      <c r="AO967"/>
      <c r="AP967"/>
      <c r="AQ967"/>
      <c r="AR967"/>
      <c r="AS967"/>
      <c r="AT967"/>
      <c r="AU967" s="68"/>
      <c r="AV967"/>
      <c r="AW967"/>
      <c r="AX967"/>
      <c r="AY967"/>
      <c r="AZ967" s="34"/>
      <c r="BA967"/>
      <c r="BB967" s="34"/>
      <c r="BC967" s="34"/>
      <c r="BD967" s="34"/>
      <c r="BE967" s="34"/>
      <c r="BF967" s="34"/>
      <c r="BG967" s="34"/>
      <c r="BH967" s="34"/>
      <c r="BI967" s="34"/>
      <c r="BJ967" s="34"/>
      <c r="BK967" s="34"/>
      <c r="BL967" s="34"/>
    </row>
    <row r="968" spans="1:64" s="14" customFormat="1" ht="13" customHeight="1">
      <c r="A968"/>
      <c r="B968"/>
      <c r="C968"/>
      <c r="D968"/>
      <c r="E968"/>
      <c r="F968" s="45" t="s">
        <v>571</v>
      </c>
      <c r="G968" s="5"/>
      <c r="H968" s="5"/>
      <c r="I968" s="5"/>
      <c r="J968" s="5"/>
      <c r="K968" s="5"/>
      <c r="L968" s="46"/>
      <c r="M968" s="1717"/>
      <c r="N968" s="1718"/>
      <c r="O968" s="1718"/>
      <c r="P968" s="1718"/>
      <c r="Q968" s="1718"/>
      <c r="R968" s="1718"/>
      <c r="S968" s="1719"/>
      <c r="T968" s="66" t="s">
        <v>788</v>
      </c>
      <c r="U968" s="5"/>
      <c r="V968" s="5"/>
      <c r="W968" s="5"/>
      <c r="X968" s="5"/>
      <c r="Y968" s="5"/>
      <c r="Z968" s="46"/>
      <c r="AA968" s="1717"/>
      <c r="AB968" s="1718"/>
      <c r="AC968" s="1718"/>
      <c r="AD968" s="1718"/>
      <c r="AE968" s="1718"/>
      <c r="AF968" s="1718"/>
      <c r="AG968" s="1719"/>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row>
    <row r="969" spans="1:64" s="14" customFormat="1" ht="13" customHeight="1">
      <c r="A969"/>
      <c r="B969"/>
      <c r="C969"/>
      <c r="D969"/>
      <c r="E969"/>
      <c r="F969" s="45" t="s">
        <v>900</v>
      </c>
      <c r="G969" s="5"/>
      <c r="H969" s="5"/>
      <c r="I969" s="5"/>
      <c r="J969" s="5"/>
      <c r="K969" s="5"/>
      <c r="L969" s="46"/>
      <c r="M969" s="1757" t="s">
        <v>590</v>
      </c>
      <c r="N969" s="1758"/>
      <c r="O969" s="1758"/>
      <c r="P969" s="1758"/>
      <c r="Q969" s="1758"/>
      <c r="R969" s="1758"/>
      <c r="S969" s="1759"/>
      <c r="T969" s="45" t="s">
        <v>336</v>
      </c>
      <c r="U969" s="5"/>
      <c r="V969" s="5"/>
      <c r="W969" s="5"/>
      <c r="X969" s="5"/>
      <c r="Y969" s="5"/>
      <c r="Z969" s="46"/>
      <c r="AA969" s="1717"/>
      <c r="AB969" s="1718"/>
      <c r="AC969" s="1718"/>
      <c r="AD969" s="1718"/>
      <c r="AE969" s="1718"/>
      <c r="AF969" s="1718"/>
      <c r="AG969" s="1719"/>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row>
    <row r="970" spans="1:64" s="14" customFormat="1" ht="13" customHeight="1">
      <c r="A970"/>
      <c r="B970"/>
      <c r="C970"/>
      <c r="D970"/>
      <c r="E970"/>
      <c r="F970" s="45" t="s">
        <v>572</v>
      </c>
      <c r="G970" s="5"/>
      <c r="H970" s="5"/>
      <c r="I970" s="5"/>
      <c r="J970" s="5"/>
      <c r="K970" s="5"/>
      <c r="L970" s="46"/>
      <c r="M970" s="1717"/>
      <c r="N970" s="1718"/>
      <c r="O970" s="1718"/>
      <c r="P970" s="1718"/>
      <c r="Q970" s="1718"/>
      <c r="R970" s="1718"/>
      <c r="S970" s="1719"/>
      <c r="T970" s="45" t="s">
        <v>337</v>
      </c>
      <c r="U970" s="5"/>
      <c r="V970" s="5"/>
      <c r="W970" s="5"/>
      <c r="X970" s="5"/>
      <c r="Y970" s="5"/>
      <c r="Z970" s="46"/>
      <c r="AA970" s="1717"/>
      <c r="AB970" s="1718"/>
      <c r="AC970" s="1718"/>
      <c r="AD970" s="1718"/>
      <c r="AE970" s="1718"/>
      <c r="AF970" s="1718"/>
      <c r="AG970" s="1719"/>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row>
    <row r="971" spans="1:64" s="14" customFormat="1" ht="13" customHeight="1">
      <c r="A971"/>
      <c r="B971"/>
      <c r="C971"/>
      <c r="D971"/>
      <c r="E971"/>
      <c r="F971" s="45" t="s">
        <v>463</v>
      </c>
      <c r="G971" s="5"/>
      <c r="H971" s="5"/>
      <c r="I971" s="5"/>
      <c r="J971" s="5"/>
      <c r="K971" s="5"/>
      <c r="L971" s="46"/>
      <c r="M971" s="1717"/>
      <c r="N971" s="1718"/>
      <c r="O971" s="1718"/>
      <c r="P971" s="1718"/>
      <c r="Q971" s="1718"/>
      <c r="R971" s="1718"/>
      <c r="S971" s="1719"/>
      <c r="T971" s="45" t="s">
        <v>375</v>
      </c>
      <c r="U971" s="5"/>
      <c r="V971" s="5"/>
      <c r="W971" s="5"/>
      <c r="X971" s="5"/>
      <c r="Y971" s="5"/>
      <c r="Z971" s="46"/>
      <c r="AA971" s="1717"/>
      <c r="AB971" s="1718"/>
      <c r="AC971" s="1718"/>
      <c r="AD971" s="1718"/>
      <c r="AE971" s="1718"/>
      <c r="AF971" s="1718"/>
      <c r="AG971" s="1719"/>
      <c r="AH971"/>
      <c r="AI971"/>
      <c r="AJ971"/>
      <c r="AK971"/>
      <c r="AL971"/>
      <c r="AM971"/>
      <c r="AN971"/>
      <c r="AO971"/>
      <c r="AP971"/>
      <c r="AQ971"/>
      <c r="AR971"/>
      <c r="AS971"/>
      <c r="AT971"/>
      <c r="AU971" s="68"/>
      <c r="AV971"/>
      <c r="AW971"/>
      <c r="AX971"/>
      <c r="AY971"/>
      <c r="AZ971" s="34"/>
      <c r="BA971"/>
      <c r="BB971" s="34"/>
      <c r="BC971" s="34"/>
      <c r="BD971" s="34"/>
      <c r="BE971" s="34"/>
      <c r="BF971"/>
      <c r="BG971"/>
      <c r="BH971"/>
      <c r="BI971"/>
      <c r="BJ971" s="34"/>
      <c r="BK971" s="34"/>
      <c r="BL971" s="34"/>
    </row>
    <row r="972" spans="1:64" s="14" customFormat="1" ht="13" customHeight="1">
      <c r="A972"/>
      <c r="B972"/>
      <c r="C972"/>
      <c r="D972"/>
      <c r="E972"/>
      <c r="F972" s="243" t="s">
        <v>879</v>
      </c>
      <c r="G972" s="42"/>
      <c r="H972" s="42"/>
      <c r="I972" s="42"/>
      <c r="J972" s="42"/>
      <c r="K972" s="42"/>
      <c r="L972" s="58"/>
      <c r="M972" s="1727" t="s">
        <v>306</v>
      </c>
      <c r="N972" s="1728"/>
      <c r="O972" s="1728"/>
      <c r="P972" s="1728"/>
      <c r="Q972" s="1728"/>
      <c r="R972" s="1728"/>
      <c r="S972" s="1729"/>
      <c r="T972" s="1745"/>
      <c r="U972" s="1746"/>
      <c r="V972" s="1746"/>
      <c r="W972" s="1746"/>
      <c r="X972" s="1746"/>
      <c r="Y972" s="1746"/>
      <c r="Z972" s="1747"/>
      <c r="AA972" s="1717"/>
      <c r="AB972" s="1718"/>
      <c r="AC972" s="1718"/>
      <c r="AD972" s="1718"/>
      <c r="AE972" s="1718"/>
      <c r="AF972" s="1718"/>
      <c r="AG972" s="1719"/>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row>
    <row r="973" spans="1:64" s="14" customFormat="1" ht="13" customHeight="1">
      <c r="A973"/>
      <c r="B973"/>
      <c r="C973"/>
      <c r="D973"/>
      <c r="E973"/>
      <c r="F973" s="41" t="s">
        <v>464</v>
      </c>
      <c r="G973" s="42"/>
      <c r="H973" s="42"/>
      <c r="I973" s="42"/>
      <c r="J973" s="42"/>
      <c r="K973" s="42"/>
      <c r="L973" s="58"/>
      <c r="M973" s="1717"/>
      <c r="N973" s="1718"/>
      <c r="O973" s="1718"/>
      <c r="P973" s="1718"/>
      <c r="Q973" s="1718"/>
      <c r="R973" s="1718"/>
      <c r="S973" s="1719"/>
      <c r="T973" s="1745"/>
      <c r="U973" s="1746"/>
      <c r="V973" s="1746"/>
      <c r="W973" s="1746"/>
      <c r="X973" s="1746"/>
      <c r="Y973" s="1746"/>
      <c r="Z973" s="1747"/>
      <c r="AA973" s="1717"/>
      <c r="AB973" s="1718"/>
      <c r="AC973" s="1718"/>
      <c r="AD973" s="1718"/>
      <c r="AE973" s="1718"/>
      <c r="AF973" s="1718"/>
      <c r="AG973" s="1719"/>
      <c r="AH973"/>
      <c r="AI973"/>
      <c r="AJ973"/>
      <c r="AK973"/>
      <c r="AL973"/>
      <c r="AM973"/>
      <c r="AN973"/>
      <c r="AO973"/>
      <c r="AP973"/>
      <c r="AQ973"/>
      <c r="AR973"/>
      <c r="AS973"/>
      <c r="AT973"/>
      <c r="AU973" s="68"/>
      <c r="AV973"/>
      <c r="AW973"/>
      <c r="AX973"/>
      <c r="AY973"/>
      <c r="AZ973" s="34"/>
      <c r="BA973" s="34"/>
      <c r="BB973" s="34"/>
      <c r="BC973" s="34"/>
      <c r="BD973" s="34"/>
      <c r="BE973" s="34"/>
      <c r="BF973" s="34"/>
      <c r="BG973" s="34"/>
      <c r="BH973" s="34"/>
      <c r="BI973" s="34"/>
      <c r="BJ973" s="34"/>
      <c r="BK973" s="34"/>
      <c r="BL973" s="34"/>
    </row>
    <row r="974" spans="1:64" ht="13" customHeight="1">
      <c r="F974" s="41" t="s">
        <v>335</v>
      </c>
      <c r="G974" s="42"/>
      <c r="H974" s="42"/>
      <c r="I974" s="42"/>
      <c r="J974" s="42"/>
      <c r="K974" s="42"/>
      <c r="L974" s="42"/>
      <c r="M974" s="42"/>
      <c r="N974" s="42"/>
      <c r="O974" s="1381" t="s">
        <v>668</v>
      </c>
      <c r="P974" s="1382"/>
      <c r="Q974" s="92"/>
      <c r="R974" s="92"/>
      <c r="S974" s="93"/>
      <c r="T974" s="41" t="s">
        <v>169</v>
      </c>
      <c r="U974" s="42"/>
      <c r="V974" s="42"/>
      <c r="W974" s="1802" t="s">
        <v>333</v>
      </c>
      <c r="X974" s="1803"/>
      <c r="Y974" s="1803"/>
      <c r="Z974" s="1803"/>
      <c r="AA974" s="1803"/>
      <c r="AB974" s="1803"/>
      <c r="AC974" s="1803"/>
      <c r="AD974" s="1803"/>
      <c r="AE974" s="1803"/>
      <c r="AF974" s="1803"/>
      <c r="AG974" s="1804"/>
      <c r="AU974" s="68"/>
      <c r="AV974" s="95"/>
      <c r="AW974" s="95"/>
      <c r="AX974" s="95"/>
      <c r="AY974" s="95"/>
      <c r="AZ974" s="34"/>
      <c r="BB974" s="34"/>
      <c r="BC974" s="34"/>
      <c r="BD974" s="34"/>
      <c r="BE974" s="34"/>
      <c r="BF974" s="34"/>
      <c r="BG974" s="34"/>
      <c r="BH974" s="34"/>
      <c r="BI974" s="34"/>
      <c r="BJ974" s="34"/>
      <c r="BK974" s="34"/>
      <c r="BL974" s="34"/>
    </row>
    <row r="975" spans="1:64" ht="13" customHeight="1">
      <c r="F975" s="1651" t="s">
        <v>33</v>
      </c>
      <c r="G975" s="1476"/>
      <c r="H975" s="1476"/>
      <c r="I975" s="1476"/>
      <c r="J975" s="1476"/>
      <c r="K975" s="1476"/>
      <c r="L975" s="1476"/>
      <c r="M975" s="1717"/>
      <c r="N975" s="1718"/>
      <c r="O975" s="1718"/>
      <c r="P975" s="1718"/>
      <c r="Q975" s="1718"/>
      <c r="R975" s="1718"/>
      <c r="S975" s="1719"/>
      <c r="T975" s="47"/>
      <c r="U975" s="48"/>
      <c r="V975" s="48"/>
      <c r="W975" s="48"/>
      <c r="X975" s="48"/>
      <c r="Y975" s="48"/>
      <c r="Z975" s="124" t="s">
        <v>134</v>
      </c>
      <c r="AA975" s="1812"/>
      <c r="AB975" s="1813"/>
      <c r="AC975" s="1813"/>
      <c r="AD975" s="1813"/>
      <c r="AE975" s="1813"/>
      <c r="AF975" s="1813"/>
      <c r="AG975" s="1814"/>
      <c r="AU975" s="68"/>
      <c r="AV975" s="95"/>
      <c r="AW975" s="95"/>
      <c r="AX975" s="95"/>
      <c r="AY975" s="95"/>
      <c r="AZ975" s="14"/>
      <c r="BA975" s="14"/>
      <c r="BB975" s="34"/>
      <c r="BC975" s="34"/>
      <c r="BD975" s="34"/>
      <c r="BE975" s="34"/>
      <c r="BF975" s="34"/>
      <c r="BG975" s="14"/>
      <c r="BH975" s="14"/>
      <c r="BI975" s="14"/>
      <c r="BJ975" s="14"/>
      <c r="BK975" s="14"/>
      <c r="BL975" s="14"/>
    </row>
    <row r="976" spans="1:64" ht="13" customHeight="1">
      <c r="AU976" s="68"/>
      <c r="AV976" s="68"/>
      <c r="AW976" s="68"/>
      <c r="AX976" s="68"/>
      <c r="AY976" s="68"/>
      <c r="AZ976" s="14"/>
      <c r="BA976" s="14"/>
      <c r="BB976" s="14"/>
      <c r="BC976" s="14"/>
      <c r="BD976" s="14"/>
      <c r="BE976" s="14"/>
      <c r="BF976" s="14"/>
      <c r="BG976" s="1656"/>
      <c r="BH976" s="1656"/>
      <c r="BI976" s="1656"/>
      <c r="BJ976" s="1656"/>
      <c r="BK976" s="1656"/>
      <c r="BL976" s="1656"/>
    </row>
    <row r="977" spans="1:64" ht="13" customHeight="1">
      <c r="AU977" s="68"/>
      <c r="AV977" s="68"/>
      <c r="AW977" s="68"/>
      <c r="AX977" s="68"/>
      <c r="AY977" s="68"/>
      <c r="AZ977" s="14"/>
      <c r="BA977" s="14"/>
      <c r="BB977" s="913"/>
      <c r="BC977" s="913"/>
      <c r="BD977" s="14"/>
      <c r="BE977" s="14"/>
      <c r="BF977" s="14"/>
      <c r="BG977" s="14"/>
      <c r="BH977" s="14"/>
      <c r="BI977" s="14"/>
      <c r="BJ977" s="14"/>
      <c r="BK977" s="14"/>
      <c r="BL977" s="14"/>
    </row>
    <row r="978" spans="1:64" ht="13" customHeight="1">
      <c r="AU978" s="68"/>
      <c r="AV978" s="68"/>
      <c r="AW978" s="68"/>
      <c r="AX978" s="68"/>
      <c r="AY978" s="68"/>
      <c r="AZ978" s="14"/>
      <c r="BA978" s="14"/>
      <c r="BB978" s="913"/>
      <c r="BC978" s="913"/>
    </row>
    <row r="979" spans="1:64" ht="13" customHeight="1">
      <c r="A979" s="1549" t="s">
        <v>547</v>
      </c>
      <c r="B979" s="1549"/>
      <c r="C979" s="1549"/>
      <c r="D979" s="1549"/>
      <c r="E979" s="1549"/>
      <c r="F979" s="1549"/>
      <c r="G979" s="1549"/>
      <c r="H979" s="1549"/>
      <c r="I979" s="1549"/>
      <c r="J979" s="1549"/>
      <c r="K979" s="1549"/>
      <c r="L979" s="1549"/>
      <c r="M979" s="1549"/>
      <c r="N979" s="1549"/>
      <c r="O979" s="1549"/>
      <c r="P979" s="1549"/>
      <c r="Q979" s="1549"/>
      <c r="R979" s="1549"/>
      <c r="S979" s="1549"/>
      <c r="T979" s="1549"/>
      <c r="U979" s="1549"/>
      <c r="V979" s="1549"/>
      <c r="W979" s="1549"/>
      <c r="X979" s="1549"/>
      <c r="Y979" s="1549"/>
      <c r="Z979" s="1549"/>
      <c r="AA979" s="1549"/>
      <c r="AB979" s="1549"/>
      <c r="AC979" s="1549"/>
      <c r="AD979" s="1549"/>
      <c r="AE979" s="1549"/>
      <c r="AF979" s="1549"/>
      <c r="AG979" s="1549"/>
      <c r="AH979" s="1549"/>
      <c r="AI979" s="1549"/>
      <c r="AJ979" s="1549"/>
      <c r="AK979" s="1549"/>
      <c r="AL979" s="1549"/>
      <c r="AM979" s="1549"/>
      <c r="AN979" s="1549"/>
      <c r="AO979" s="1549"/>
      <c r="AP979" s="1549"/>
      <c r="AQ979" s="1549"/>
      <c r="AR979" s="1549"/>
      <c r="AS979" s="1549"/>
      <c r="AT979" s="1549"/>
      <c r="AU979" s="68"/>
      <c r="AV979" s="68"/>
      <c r="AW979" s="68"/>
      <c r="AX979" s="68"/>
      <c r="AY979" s="68"/>
      <c r="AZ979" s="14"/>
      <c r="BA979" s="14"/>
      <c r="BB979" s="913"/>
      <c r="BC979" s="913"/>
    </row>
    <row r="980" spans="1:64" ht="13" customHeight="1">
      <c r="A980" s="1549"/>
      <c r="B980" s="1549"/>
      <c r="C980" s="1549"/>
      <c r="D980" s="1549"/>
      <c r="E980" s="1549"/>
      <c r="F980" s="1549"/>
      <c r="G980" s="1549"/>
      <c r="H980" s="1549"/>
      <c r="I980" s="1549"/>
      <c r="J980" s="1549"/>
      <c r="K980" s="1549"/>
      <c r="L980" s="1549"/>
      <c r="M980" s="1549"/>
      <c r="N980" s="1549"/>
      <c r="O980" s="1549"/>
      <c r="P980" s="1549"/>
      <c r="Q980" s="1549"/>
      <c r="R980" s="1549"/>
      <c r="S980" s="1549"/>
      <c r="T980" s="1549"/>
      <c r="U980" s="1549"/>
      <c r="V980" s="1549"/>
      <c r="W980" s="1549"/>
      <c r="X980" s="1549"/>
      <c r="Y980" s="1549"/>
      <c r="Z980" s="1549"/>
      <c r="AA980" s="1549"/>
      <c r="AB980" s="1549"/>
      <c r="AC980" s="1549"/>
      <c r="AD980" s="1549"/>
      <c r="AE980" s="1549"/>
      <c r="AF980" s="1549"/>
      <c r="AG980" s="1549"/>
      <c r="AH980" s="1549"/>
      <c r="AI980" s="1549"/>
      <c r="AJ980" s="1549"/>
      <c r="AK980" s="1549"/>
      <c r="AL980" s="1549"/>
      <c r="AM980" s="1549"/>
      <c r="AN980" s="1549"/>
      <c r="AO980" s="1549"/>
      <c r="AP980" s="1549"/>
      <c r="AQ980" s="1549"/>
      <c r="AR980" s="1549"/>
      <c r="AS980" s="1549"/>
      <c r="AT980" s="1549"/>
      <c r="AU980" s="68"/>
      <c r="AV980" s="68"/>
      <c r="AW980" s="68"/>
      <c r="AX980" s="68"/>
      <c r="AY980" s="68"/>
      <c r="AZ980" s="30"/>
      <c r="BA980" s="14"/>
      <c r="BB980" s="14"/>
      <c r="BC980" s="14"/>
    </row>
    <row r="981" spans="1:64" ht="13" customHeight="1">
      <c r="A981" s="1549"/>
      <c r="B981" s="1549"/>
      <c r="C981" s="1549"/>
      <c r="D981" s="1549"/>
      <c r="E981" s="1549"/>
      <c r="F981" s="1549"/>
      <c r="G981" s="1549"/>
      <c r="H981" s="1549"/>
      <c r="I981" s="1549"/>
      <c r="J981" s="1549"/>
      <c r="K981" s="1549"/>
      <c r="L981" s="1549"/>
      <c r="M981" s="1549"/>
      <c r="N981" s="1549"/>
      <c r="O981" s="1549"/>
      <c r="P981" s="1549"/>
      <c r="Q981" s="1549"/>
      <c r="R981" s="1549"/>
      <c r="S981" s="1549"/>
      <c r="T981" s="1549"/>
      <c r="U981" s="1549"/>
      <c r="V981" s="1549"/>
      <c r="W981" s="1549"/>
      <c r="X981" s="1549"/>
      <c r="Y981" s="1549"/>
      <c r="Z981" s="1549"/>
      <c r="AA981" s="1549"/>
      <c r="AB981" s="1549"/>
      <c r="AC981" s="1549"/>
      <c r="AD981" s="1549"/>
      <c r="AE981" s="1549"/>
      <c r="AF981" s="1549"/>
      <c r="AG981" s="1549"/>
      <c r="AH981" s="1549"/>
      <c r="AI981" s="1549"/>
      <c r="AJ981" s="1549"/>
      <c r="AK981" s="1549"/>
      <c r="AL981" s="1549"/>
      <c r="AM981" s="1549"/>
      <c r="AN981" s="1549"/>
      <c r="AO981" s="1549"/>
      <c r="AP981" s="1549"/>
      <c r="AQ981" s="1549"/>
      <c r="AR981" s="1549"/>
      <c r="AS981" s="1549"/>
      <c r="AT981" s="1549"/>
      <c r="AU981" s="68"/>
      <c r="AV981" s="68"/>
      <c r="AW981" s="68"/>
      <c r="AX981" s="68"/>
      <c r="AY981" s="68"/>
      <c r="AZ981" s="30"/>
      <c r="BA981" s="14"/>
      <c r="BB981" s="14"/>
      <c r="BC981" s="14"/>
    </row>
    <row r="982" spans="1:64" ht="13" customHeight="1">
      <c r="A982" s="14"/>
      <c r="B982" s="14"/>
      <c r="C982" s="14"/>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row>
    <row r="983" spans="1:64" ht="13" customHeight="1">
      <c r="A983" s="2" t="s">
        <v>318</v>
      </c>
      <c r="C983" s="2" t="s">
        <v>614</v>
      </c>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row>
    <row r="984" spans="1:64" ht="13" customHeight="1">
      <c r="A984" s="2"/>
      <c r="C984" s="2"/>
      <c r="I984" s="14"/>
      <c r="J984" s="14"/>
      <c r="K984" s="14"/>
      <c r="L984" s="14"/>
      <c r="M984" s="14"/>
      <c r="N984" s="14"/>
      <c r="O984" s="14"/>
      <c r="P984" s="14"/>
      <c r="Q984" s="14"/>
      <c r="R984" s="14"/>
      <c r="S984" s="14"/>
      <c r="T984" s="14"/>
      <c r="U984" s="14"/>
      <c r="V984" s="14"/>
      <c r="W984" s="14"/>
      <c r="X984" s="14"/>
      <c r="Y984" s="14"/>
      <c r="Z984" s="14"/>
      <c r="AA984" s="14"/>
      <c r="AB984" s="14"/>
      <c r="AC984" s="14"/>
      <c r="AD984" s="14"/>
      <c r="AE984" s="14"/>
      <c r="AF984" s="14"/>
      <c r="AG984" s="14"/>
      <c r="AH984" s="14"/>
      <c r="AI984" s="14"/>
      <c r="AJ984" s="14"/>
      <c r="AK984" s="14"/>
      <c r="AL984" s="68"/>
      <c r="AM984" s="68"/>
      <c r="AN984" s="68"/>
      <c r="AO984" s="68"/>
      <c r="AP984" s="68"/>
      <c r="AQ984" s="68"/>
      <c r="AR984" s="68"/>
      <c r="AS984" s="68"/>
      <c r="AT984" s="68"/>
      <c r="AU984" s="68"/>
      <c r="AV984" s="68"/>
      <c r="AW984" s="68"/>
      <c r="AX984" s="68"/>
      <c r="AY984" s="68"/>
      <c r="AZ984" s="14"/>
      <c r="BA984" s="14"/>
      <c r="BB984" s="14"/>
      <c r="BC984" s="14"/>
    </row>
    <row r="985" spans="1:64" ht="13" customHeight="1">
      <c r="A985" s="67"/>
      <c r="B985" s="79"/>
      <c r="C985" s="929"/>
      <c r="D985" s="1806" t="s">
        <v>637</v>
      </c>
      <c r="E985" s="1807"/>
      <c r="F985" s="1807"/>
      <c r="G985" s="1807"/>
      <c r="H985" s="1807"/>
      <c r="I985" s="1807"/>
      <c r="J985" s="1807"/>
      <c r="K985" s="1807"/>
      <c r="L985" s="1807"/>
      <c r="M985" s="1807"/>
      <c r="N985" s="1807"/>
      <c r="O985" s="1807"/>
      <c r="P985" s="1807"/>
      <c r="Q985" s="1808"/>
      <c r="R985" s="1806" t="s">
        <v>638</v>
      </c>
      <c r="S985" s="1807"/>
      <c r="T985" s="1807"/>
      <c r="U985" s="1807"/>
      <c r="V985" s="1807"/>
      <c r="W985" s="1807"/>
      <c r="X985" s="1807"/>
      <c r="Y985" s="1807"/>
      <c r="Z985" s="1807"/>
      <c r="AA985" s="1808"/>
      <c r="AB985" s="1806" t="s">
        <v>639</v>
      </c>
      <c r="AC985" s="1807"/>
      <c r="AD985" s="1807"/>
      <c r="AE985" s="1807"/>
      <c r="AF985" s="1807"/>
      <c r="AG985" s="1807"/>
      <c r="AH985" s="1807"/>
      <c r="AI985" s="1808"/>
      <c r="AJ985" s="1806" t="s">
        <v>640</v>
      </c>
      <c r="AK985" s="1807"/>
      <c r="AL985" s="1807"/>
      <c r="AM985" s="1807"/>
      <c r="AN985" s="1807"/>
      <c r="AO985" s="1807"/>
      <c r="AP985" s="1807"/>
      <c r="AQ985" s="1808"/>
      <c r="AR985" s="68"/>
      <c r="AS985" s="68"/>
      <c r="AT985" s="68"/>
      <c r="AU985" s="68"/>
      <c r="AV985" s="68"/>
      <c r="AW985" s="68"/>
      <c r="AX985" s="68"/>
      <c r="AY985" s="68"/>
      <c r="AZ985" s="30"/>
      <c r="BB985" s="14"/>
      <c r="BC985" s="14"/>
    </row>
    <row r="986" spans="1:64" ht="13" customHeight="1">
      <c r="A986" s="14"/>
      <c r="B986" s="73"/>
      <c r="C986" s="930"/>
      <c r="D986" s="1481" t="s">
        <v>632</v>
      </c>
      <c r="E986" s="1482"/>
      <c r="F986" s="1482"/>
      <c r="G986" s="1482"/>
      <c r="H986" s="1482"/>
      <c r="I986" s="1482"/>
      <c r="J986" s="1482"/>
      <c r="K986" s="1482"/>
      <c r="L986" s="1482"/>
      <c r="M986" s="1482"/>
      <c r="N986" s="1482"/>
      <c r="O986" s="1482"/>
      <c r="P986" s="1482"/>
      <c r="Q986" s="1483"/>
      <c r="R986" s="1744">
        <f>IF(ISNA(IF($CU$122="4%",(INDEX($CS$160:$CW$217,MATCH($DG$122,$CR$160:$CR$217,0),MATCH(D986,$CS$159:$CW$159,0))),(INDEX($CZ$160:$DD$217,MATCH($DG$122,$CY$160:$CY$217,0),MATCH(D986,$CZ$159:$DD$159,0))))),0,IF($CU$122="4%",(INDEX($CS$160:$CW$217,MATCH($DG$122,$CR$160:$CR$217,0),MATCH(D986,$CS$159:$CW$159,0))),(INDEX($CZ$160:$DD$217,MATCH($DG$122,$CY$160:$CY$217,0),MATCH(D986,$CZ$159:$DD$159,0)))))</f>
        <v>437727</v>
      </c>
      <c r="S986" s="1744"/>
      <c r="T986" s="1744"/>
      <c r="U986" s="1744"/>
      <c r="V986" s="1744"/>
      <c r="W986" s="1744"/>
      <c r="X986" s="1744"/>
      <c r="Y986" s="1744"/>
      <c r="Z986" s="1744"/>
      <c r="AA986" s="1744"/>
      <c r="AB986" s="1741">
        <f>CP802</f>
        <v>0</v>
      </c>
      <c r="AC986" s="1742"/>
      <c r="AD986" s="1742"/>
      <c r="AE986" s="1742"/>
      <c r="AF986" s="1742"/>
      <c r="AG986" s="1742"/>
      <c r="AH986" s="1742"/>
      <c r="AI986" s="1743"/>
      <c r="AJ986" s="1737">
        <f>IF(ISERROR((R986*AB986)),0,(R986*AB986))</f>
        <v>0</v>
      </c>
      <c r="AK986" s="1738"/>
      <c r="AL986" s="1738"/>
      <c r="AM986" s="1738"/>
      <c r="AN986" s="1738"/>
      <c r="AO986" s="1738"/>
      <c r="AP986" s="1738"/>
      <c r="AQ986" s="1739"/>
      <c r="AR986" s="68"/>
      <c r="AS986" s="68"/>
      <c r="AT986" s="68"/>
      <c r="AU986" s="68"/>
      <c r="AV986" s="68"/>
      <c r="AW986" s="68"/>
      <c r="AX986" s="68"/>
      <c r="AY986" s="68"/>
      <c r="AZ986" s="30"/>
      <c r="BB986" s="14"/>
      <c r="BC986" s="14"/>
    </row>
    <row r="987" spans="1:64" ht="13" customHeight="1">
      <c r="A987" s="14"/>
      <c r="B987" s="73"/>
      <c r="C987" s="83"/>
      <c r="D987" s="1481" t="s">
        <v>324</v>
      </c>
      <c r="E987" s="1482"/>
      <c r="F987" s="1482"/>
      <c r="G987" s="1482"/>
      <c r="H987" s="1482"/>
      <c r="I987" s="1482"/>
      <c r="J987" s="1482"/>
      <c r="K987" s="1482"/>
      <c r="L987" s="1482"/>
      <c r="M987" s="1482"/>
      <c r="N987" s="1482"/>
      <c r="O987" s="1482"/>
      <c r="P987" s="1482"/>
      <c r="Q987" s="1483"/>
      <c r="R987" s="1744">
        <f>IF(ISNA(IF($CU$122="4%",(INDEX($CS$160:$CW$217,MATCH($DG$122,$CR$160:$CR$217,0),MATCH(D987,$CS$159:$CW$159,0))),(INDEX($CZ$160:$DD$217,MATCH($DG$122,$CY$160:$CY$217,0),MATCH(D987,$CZ$159:$DD$159,0))))),0,IF($CU$122="4%",(INDEX($CS$160:$CW$217,MATCH($DG$122,$CR$160:$CR$217,0),MATCH(D987,$CS$159:$CW$159,0))),(INDEX($CZ$160:$DD$217,MATCH($DG$122,$CY$160:$CY$217,0),MATCH(D987,$CZ$159:$DD$159,0)))))</f>
        <v>504695</v>
      </c>
      <c r="S987" s="1744"/>
      <c r="T987" s="1744"/>
      <c r="U987" s="1744"/>
      <c r="V987" s="1744"/>
      <c r="W987" s="1744"/>
      <c r="X987" s="1744"/>
      <c r="Y987" s="1744"/>
      <c r="Z987" s="1744"/>
      <c r="AA987" s="1744"/>
      <c r="AB987" s="1741">
        <f>CU802</f>
        <v>60</v>
      </c>
      <c r="AC987" s="1742"/>
      <c r="AD987" s="1742"/>
      <c r="AE987" s="1742"/>
      <c r="AF987" s="1742"/>
      <c r="AG987" s="1742"/>
      <c r="AH987" s="1742"/>
      <c r="AI987" s="1743"/>
      <c r="AJ987" s="1737">
        <f>IF(ISERROR((R987*AB987)),0,(R987*AB987))</f>
        <v>30281700</v>
      </c>
      <c r="AK987" s="1738"/>
      <c r="AL987" s="1738"/>
      <c r="AM987" s="1738"/>
      <c r="AN987" s="1738"/>
      <c r="AO987" s="1738"/>
      <c r="AP987" s="1738"/>
      <c r="AQ987" s="1739"/>
      <c r="AR987" s="68"/>
      <c r="AS987" s="68"/>
      <c r="AT987" s="68"/>
      <c r="AU987" s="68"/>
      <c r="AV987" s="68"/>
      <c r="AW987" s="68"/>
      <c r="AX987" s="68"/>
      <c r="AY987" s="68"/>
      <c r="AZ987" s="30"/>
      <c r="BB987" s="14"/>
      <c r="BC987" s="14"/>
    </row>
    <row r="988" spans="1:64" ht="13" customHeight="1">
      <c r="A988" s="14"/>
      <c r="B988" s="73"/>
      <c r="C988" s="83"/>
      <c r="D988" s="1481" t="s">
        <v>163</v>
      </c>
      <c r="E988" s="1482"/>
      <c r="F988" s="1482"/>
      <c r="G988" s="1482"/>
      <c r="H988" s="1482"/>
      <c r="I988" s="1482"/>
      <c r="J988" s="1482"/>
      <c r="K988" s="1482"/>
      <c r="L988" s="1482"/>
      <c r="M988" s="1482"/>
      <c r="N988" s="1482"/>
      <c r="O988" s="1482"/>
      <c r="P988" s="1482"/>
      <c r="Q988" s="1483"/>
      <c r="R988" s="1744">
        <f>IF(ISNA(IF($CU$122="4%",(INDEX($CS$160:$CW$217,MATCH($DG$122,$CR$160:$CR$217,0),MATCH(D988,$CS$159:$CW$159,0))),(INDEX($CZ$160:$DD$217,MATCH($DG$122,$CY$160:$CY$217,0),MATCH(D988,$CZ$159:$DD$159,0))))),0,IF($CU$122="4%",(INDEX($CS$160:$CW$217,MATCH($DG$122,$CR$160:$CR$217,0),MATCH(D988,$CS$159:$CW$159,0))),(INDEX($CZ$160:$DD$217,MATCH($DG$122,$CY$160:$CY$217,0),MATCH(D988,$CZ$159:$DD$159,0)))))</f>
        <v>608800</v>
      </c>
      <c r="S988" s="1744"/>
      <c r="T988" s="1744"/>
      <c r="U988" s="1744"/>
      <c r="V988" s="1744"/>
      <c r="W988" s="1744"/>
      <c r="X988" s="1744"/>
      <c r="Y988" s="1744"/>
      <c r="Z988" s="1744"/>
      <c r="AA988" s="1744"/>
      <c r="AB988" s="1741">
        <f>CZ802</f>
        <v>1</v>
      </c>
      <c r="AC988" s="1742"/>
      <c r="AD988" s="1742"/>
      <c r="AE988" s="1742"/>
      <c r="AF988" s="1742"/>
      <c r="AG988" s="1742"/>
      <c r="AH988" s="1742"/>
      <c r="AI988" s="1743"/>
      <c r="AJ988" s="1737">
        <f>IF(ISERROR((R988*AB988)),0,(R988*AB988))</f>
        <v>608800</v>
      </c>
      <c r="AK988" s="1738"/>
      <c r="AL988" s="1738"/>
      <c r="AM988" s="1738"/>
      <c r="AN988" s="1738"/>
      <c r="AO988" s="1738"/>
      <c r="AP988" s="1738"/>
      <c r="AQ988" s="1739"/>
      <c r="AR988" s="68"/>
      <c r="AS988" s="68"/>
      <c r="AT988" s="68"/>
      <c r="AU988" s="68"/>
      <c r="AV988" s="68"/>
      <c r="AW988" s="68"/>
      <c r="AX988" s="68"/>
      <c r="AY988" s="68"/>
      <c r="AZ988" s="30"/>
      <c r="BB988" s="14"/>
      <c r="BC988" s="14"/>
    </row>
    <row r="989" spans="1:64" ht="13" customHeight="1">
      <c r="A989" s="14"/>
      <c r="B989" s="73"/>
      <c r="C989" s="83"/>
      <c r="D989" s="1481" t="s">
        <v>164</v>
      </c>
      <c r="E989" s="1482"/>
      <c r="F989" s="1482"/>
      <c r="G989" s="1482"/>
      <c r="H989" s="1482"/>
      <c r="I989" s="1482"/>
      <c r="J989" s="1482"/>
      <c r="K989" s="1482"/>
      <c r="L989" s="1482"/>
      <c r="M989" s="1482"/>
      <c r="N989" s="1482"/>
      <c r="O989" s="1482"/>
      <c r="P989" s="1482"/>
      <c r="Q989" s="1483"/>
      <c r="R989" s="1744">
        <f>IF(ISNA(IF($CU$122="4%",(INDEX($CS$160:$CW$217,MATCH($DG$122,$CR$160:$CR$217,0),MATCH(D989,$CS$159:$CW$159,0))),(INDEX($CZ$160:$DD$217,MATCH($DG$122,$CY$160:$CY$217,0),MATCH(D989,$CZ$159:$DD$159,0))))),0,IF($CU$122="4%",(INDEX($CS$160:$CW$217,MATCH($DG$122,$CR$160:$CR$217,0),MATCH(D989,$CS$159:$CW$159,0))),(INDEX($CZ$160:$DD$217,MATCH($DG$122,$CY$160:$CY$217,0),MATCH(D989,$CZ$159:$DD$159,0)))))</f>
        <v>779264</v>
      </c>
      <c r="S989" s="1744"/>
      <c r="T989" s="1744"/>
      <c r="U989" s="1744"/>
      <c r="V989" s="1744"/>
      <c r="W989" s="1744"/>
      <c r="X989" s="1744"/>
      <c r="Y989" s="1744"/>
      <c r="Z989" s="1744"/>
      <c r="AA989" s="1744"/>
      <c r="AB989" s="1741">
        <f>DE802</f>
        <v>0</v>
      </c>
      <c r="AC989" s="1742"/>
      <c r="AD989" s="1742"/>
      <c r="AE989" s="1742"/>
      <c r="AF989" s="1742"/>
      <c r="AG989" s="1742"/>
      <c r="AH989" s="1742"/>
      <c r="AI989" s="1743"/>
      <c r="AJ989" s="1737">
        <f>IF(ISERROR((R989*AB989)),0,(R989*AB989))</f>
        <v>0</v>
      </c>
      <c r="AK989" s="1738"/>
      <c r="AL989" s="1738"/>
      <c r="AM989" s="1738"/>
      <c r="AN989" s="1738"/>
      <c r="AO989" s="1738"/>
      <c r="AP989" s="1738"/>
      <c r="AQ989" s="1739"/>
      <c r="AR989" s="68"/>
      <c r="AS989" s="68"/>
      <c r="AT989" s="68"/>
      <c r="AU989" s="68"/>
      <c r="AV989" s="68"/>
      <c r="AW989" s="68"/>
      <c r="AX989" s="68"/>
      <c r="AY989" s="68"/>
      <c r="AZ989" s="30"/>
      <c r="BA989" s="34"/>
      <c r="BB989" s="14"/>
      <c r="BC989" s="14"/>
    </row>
    <row r="990" spans="1:64" ht="13" customHeight="1">
      <c r="A990" s="14"/>
      <c r="B990" s="47"/>
      <c r="C990" s="78"/>
      <c r="D990" s="1481" t="s">
        <v>459</v>
      </c>
      <c r="E990" s="1482"/>
      <c r="F990" s="1482"/>
      <c r="G990" s="1482"/>
      <c r="H990" s="1482"/>
      <c r="I990" s="1482"/>
      <c r="J990" s="1482"/>
      <c r="K990" s="1482"/>
      <c r="L990" s="1482"/>
      <c r="M990" s="1482"/>
      <c r="N990" s="1482"/>
      <c r="O990" s="1482"/>
      <c r="P990" s="1482"/>
      <c r="Q990" s="1483"/>
      <c r="R990" s="1744">
        <f>IF(ISNA(IF($CU$122="4%",(INDEX($CS$160:$CW$217,MATCH($DG$122,$CR$160:$CR$217,0),MATCH(D990,$CS$159:$CW$159,0))),(INDEX($CZ$160:$DD$217,MATCH($DG$122,$CY$160:$CY$217,0),MATCH(D990,$CZ$159:$DD$159,0))))),0,IF($CU$122="4%",(INDEX($CS$160:$CW$217,MATCH($DG$122,$CR$160:$CR$217,0),MATCH(D990,$CS$159:$CW$159,0))),(INDEX($CZ$160:$DD$217,MATCH($DG$122,$CY$160:$CY$217,0),MATCH(D990,$CZ$159:$DD$159,0)))))</f>
        <v>868149</v>
      </c>
      <c r="S990" s="1744"/>
      <c r="T990" s="1744"/>
      <c r="U990" s="1744"/>
      <c r="V990" s="1744"/>
      <c r="W990" s="1744"/>
      <c r="X990" s="1744"/>
      <c r="Y990" s="1744"/>
      <c r="Z990" s="1744"/>
      <c r="AA990" s="1744"/>
      <c r="AB990" s="1741">
        <f>DO802+DJ802</f>
        <v>0</v>
      </c>
      <c r="AC990" s="1742"/>
      <c r="AD990" s="1742"/>
      <c r="AE990" s="1742"/>
      <c r="AF990" s="1742"/>
      <c r="AG990" s="1742"/>
      <c r="AH990" s="1742"/>
      <c r="AI990" s="1743"/>
      <c r="AJ990" s="1737">
        <f>IF(ISERROR((R990*AB990)),0,(R990*AB990))</f>
        <v>0</v>
      </c>
      <c r="AK990" s="1738"/>
      <c r="AL990" s="1738"/>
      <c r="AM990" s="1738"/>
      <c r="AN990" s="1738"/>
      <c r="AO990" s="1738"/>
      <c r="AP990" s="1738"/>
      <c r="AQ990" s="1739"/>
      <c r="AR990" s="68"/>
      <c r="AS990" s="68"/>
      <c r="AT990" s="68"/>
      <c r="AU990" s="68"/>
      <c r="AV990" s="68"/>
      <c r="AW990" s="68"/>
      <c r="AX990" s="68"/>
      <c r="AY990" s="68"/>
      <c r="AZ990" s="30"/>
      <c r="BB990" s="14"/>
      <c r="BC990" s="14"/>
    </row>
    <row r="991" spans="1:64" ht="13" customHeight="1">
      <c r="A991" s="14"/>
      <c r="B991" s="1748" t="s">
        <v>790</v>
      </c>
      <c r="C991" s="1749"/>
      <c r="D991" s="1749"/>
      <c r="E991" s="1749"/>
      <c r="F991" s="1749"/>
      <c r="G991" s="1749"/>
      <c r="H991" s="1749"/>
      <c r="I991" s="1749"/>
      <c r="J991" s="1749"/>
      <c r="K991" s="1749"/>
      <c r="L991" s="1749"/>
      <c r="M991" s="1749"/>
      <c r="N991" s="1749"/>
      <c r="O991" s="1749"/>
      <c r="P991" s="1749"/>
      <c r="Q991" s="1749"/>
      <c r="R991" s="1749"/>
      <c r="S991" s="1749"/>
      <c r="T991" s="1749"/>
      <c r="U991" s="1749"/>
      <c r="V991" s="1749"/>
      <c r="W991" s="1749"/>
      <c r="X991" s="1749"/>
      <c r="Y991" s="1749"/>
      <c r="Z991" s="1749"/>
      <c r="AA991" s="1750"/>
      <c r="AB991" s="1741">
        <f>SUM(AB986:AI990)</f>
        <v>61</v>
      </c>
      <c r="AC991" s="1742"/>
      <c r="AD991" s="1742"/>
      <c r="AE991" s="1742"/>
      <c r="AF991" s="1742"/>
      <c r="AG991" s="1742"/>
      <c r="AH991" s="1742"/>
      <c r="AI991" s="1743"/>
      <c r="AJ991" s="1737"/>
      <c r="AK991" s="1738"/>
      <c r="AL991" s="1738"/>
      <c r="AM991" s="1738"/>
      <c r="AN991" s="1738"/>
      <c r="AO991" s="1738"/>
      <c r="AP991" s="1738"/>
      <c r="AQ991" s="1739"/>
      <c r="AR991" s="68"/>
      <c r="AS991" s="68"/>
      <c r="AT991" s="68"/>
      <c r="AU991" s="68"/>
      <c r="AV991" s="68"/>
      <c r="AW991" s="68"/>
      <c r="AX991" s="68"/>
      <c r="AY991" s="68"/>
      <c r="AZ991" s="34"/>
      <c r="BA991" s="34"/>
      <c r="BB991" s="14"/>
      <c r="BC991" s="14"/>
    </row>
    <row r="992" spans="1:64" ht="13" customHeight="1">
      <c r="A992" s="14"/>
      <c r="B992" s="1809" t="s">
        <v>511</v>
      </c>
      <c r="C992" s="1810"/>
      <c r="D992" s="1810"/>
      <c r="E992" s="1810"/>
      <c r="F992" s="1810"/>
      <c r="G992" s="1810"/>
      <c r="H992" s="1810"/>
      <c r="I992" s="1810"/>
      <c r="J992" s="1810"/>
      <c r="K992" s="1810"/>
      <c r="L992" s="1810"/>
      <c r="M992" s="1810"/>
      <c r="N992" s="1810"/>
      <c r="O992" s="1810"/>
      <c r="P992" s="1810"/>
      <c r="Q992" s="1810"/>
      <c r="R992" s="1810"/>
      <c r="S992" s="1810"/>
      <c r="T992" s="1810"/>
      <c r="U992" s="1810"/>
      <c r="V992" s="1810"/>
      <c r="W992" s="1810"/>
      <c r="X992" s="1810"/>
      <c r="Y992" s="1810"/>
      <c r="Z992" s="1810"/>
      <c r="AA992" s="1810"/>
      <c r="AB992" s="1810"/>
      <c r="AC992" s="1810"/>
      <c r="AD992" s="1810"/>
      <c r="AE992" s="1810"/>
      <c r="AF992" s="1810"/>
      <c r="AG992" s="1810"/>
      <c r="AH992" s="1810"/>
      <c r="AI992" s="1811"/>
      <c r="AJ992" s="1737">
        <f>SUM(AJ986:AQ990)</f>
        <v>30890500</v>
      </c>
      <c r="AK992" s="1738"/>
      <c r="AL992" s="1738"/>
      <c r="AM992" s="1738"/>
      <c r="AN992" s="1738"/>
      <c r="AO992" s="1738"/>
      <c r="AP992" s="1738"/>
      <c r="AQ992" s="1739"/>
      <c r="AR992" s="68"/>
      <c r="AS992" s="68"/>
      <c r="AT992" s="68"/>
      <c r="AU992" s="68"/>
      <c r="AV992" s="68"/>
      <c r="AW992" s="68"/>
      <c r="AX992" s="68"/>
      <c r="AY992" s="68"/>
      <c r="AZ992" s="34"/>
      <c r="BB992" s="34"/>
      <c r="BC992" s="34"/>
    </row>
    <row r="993" spans="1:55" ht="13" customHeight="1">
      <c r="A993" s="14"/>
      <c r="B993" s="1788"/>
      <c r="C993" s="1789"/>
      <c r="D993" s="1789"/>
      <c r="E993" s="1789"/>
      <c r="F993" s="1789"/>
      <c r="G993" s="1789"/>
      <c r="H993" s="1789"/>
      <c r="I993" s="1789"/>
      <c r="J993" s="1789"/>
      <c r="K993" s="1789"/>
      <c r="L993" s="1789"/>
      <c r="M993" s="1789"/>
      <c r="N993" s="1789"/>
      <c r="O993" s="1789"/>
      <c r="P993" s="1789"/>
      <c r="Q993" s="1789"/>
      <c r="R993" s="1789"/>
      <c r="S993" s="1789"/>
      <c r="T993" s="1789"/>
      <c r="U993" s="1789"/>
      <c r="V993" s="1789"/>
      <c r="W993" s="1789"/>
      <c r="X993" s="1789"/>
      <c r="Y993" s="1789"/>
      <c r="Z993" s="1789"/>
      <c r="AA993" s="1789"/>
      <c r="AB993" s="1789"/>
      <c r="AC993" s="1789"/>
      <c r="AD993" s="1789"/>
      <c r="AE993" s="1790"/>
      <c r="AF993" s="1827" t="s">
        <v>665</v>
      </c>
      <c r="AG993" s="1828"/>
      <c r="AH993" s="1828"/>
      <c r="AI993" s="1829"/>
      <c r="AJ993" s="1788"/>
      <c r="AK993" s="1789"/>
      <c r="AL993" s="1789"/>
      <c r="AM993" s="1789"/>
      <c r="AN993" s="1789"/>
      <c r="AO993" s="1789"/>
      <c r="AP993" s="1789"/>
      <c r="AQ993" s="1790"/>
      <c r="AR993" s="68"/>
      <c r="AS993" s="68"/>
      <c r="AT993" s="68"/>
      <c r="AU993" s="68"/>
      <c r="AV993" s="68"/>
      <c r="AW993" s="68"/>
      <c r="AX993" s="68"/>
      <c r="AY993" s="68"/>
      <c r="AZ993" s="34"/>
      <c r="BA993" s="34"/>
      <c r="BB993" s="34"/>
      <c r="BC993" s="34"/>
    </row>
    <row r="994" spans="1:55" ht="13" customHeight="1">
      <c r="A994" s="14"/>
      <c r="B994" s="73"/>
      <c r="C994" s="928" t="s">
        <v>667</v>
      </c>
      <c r="D994" s="1751" t="s">
        <v>1219</v>
      </c>
      <c r="E994" s="1752"/>
      <c r="F994" s="1752"/>
      <c r="G994" s="1752"/>
      <c r="H994" s="1752"/>
      <c r="I994" s="1752"/>
      <c r="J994" s="1752"/>
      <c r="K994" s="1752"/>
      <c r="L994" s="1752"/>
      <c r="M994" s="1752"/>
      <c r="N994" s="1752"/>
      <c r="O994" s="1752"/>
      <c r="P994" s="1752"/>
      <c r="Q994" s="1752"/>
      <c r="R994" s="1752"/>
      <c r="S994" s="1752"/>
      <c r="T994" s="1752"/>
      <c r="U994" s="1752"/>
      <c r="V994" s="1752"/>
      <c r="W994" s="1752"/>
      <c r="X994" s="1752"/>
      <c r="Y994" s="1752"/>
      <c r="Z994" s="1752"/>
      <c r="AA994" s="1752"/>
      <c r="AB994" s="1752"/>
      <c r="AC994" s="1752"/>
      <c r="AD994" s="1752"/>
      <c r="AE994" s="1753"/>
      <c r="AF994" s="79"/>
      <c r="AG994" s="1830" t="s">
        <v>668</v>
      </c>
      <c r="AH994" s="1831"/>
      <c r="AI994" s="87"/>
      <c r="AJ994" s="1760">
        <f>ROUND(IF(AND(AG994="yes",D1000&gt;0),AJ992*0.2,0),0)</f>
        <v>0</v>
      </c>
      <c r="AK994" s="1761"/>
      <c r="AL994" s="1761"/>
      <c r="AM994" s="1761"/>
      <c r="AN994" s="1761"/>
      <c r="AO994" s="1761"/>
      <c r="AP994" s="1761"/>
      <c r="AQ994" s="1762"/>
      <c r="AR994" s="68"/>
      <c r="AS994" s="68"/>
      <c r="AT994" s="68"/>
      <c r="AU994" s="68"/>
      <c r="AV994" s="68"/>
      <c r="AW994" s="68"/>
      <c r="AX994" s="68"/>
      <c r="AY994" s="68"/>
      <c r="AZ994" s="34"/>
      <c r="BA994" s="34"/>
      <c r="BB994" s="34"/>
      <c r="BC994" s="34"/>
    </row>
    <row r="995" spans="1:55" ht="13" customHeight="1">
      <c r="A995" s="14"/>
      <c r="B995" s="258"/>
      <c r="C995" s="257"/>
      <c r="D995" s="1795" t="s">
        <v>2237</v>
      </c>
      <c r="E995" s="1796"/>
      <c r="F995" s="1796"/>
      <c r="G995" s="1796"/>
      <c r="H995" s="1796"/>
      <c r="I995" s="1796"/>
      <c r="J995" s="1796"/>
      <c r="K995" s="1796"/>
      <c r="L995" s="1796"/>
      <c r="M995" s="1796"/>
      <c r="N995" s="1796"/>
      <c r="O995" s="1796"/>
      <c r="P995" s="1796"/>
      <c r="Q995" s="1796"/>
      <c r="R995" s="1796"/>
      <c r="S995" s="1796"/>
      <c r="T995" s="1796"/>
      <c r="U995" s="1796"/>
      <c r="V995" s="1796"/>
      <c r="W995" s="1796"/>
      <c r="X995" s="1796"/>
      <c r="Y995" s="1796"/>
      <c r="Z995" s="1796"/>
      <c r="AA995" s="1796"/>
      <c r="AB995" s="1796"/>
      <c r="AC995" s="1796"/>
      <c r="AD995" s="1796"/>
      <c r="AE995" s="1797"/>
      <c r="AF995" s="73"/>
      <c r="AG995" s="14"/>
      <c r="AH995" s="14"/>
      <c r="AI995" s="83"/>
      <c r="AJ995" s="1763"/>
      <c r="AK995" s="1764"/>
      <c r="AL995" s="1764"/>
      <c r="AM995" s="1764"/>
      <c r="AN995" s="1764"/>
      <c r="AO995" s="1764"/>
      <c r="AP995" s="1764"/>
      <c r="AQ995" s="1765"/>
      <c r="AR995" s="68"/>
      <c r="AS995" s="68"/>
      <c r="AT995" s="68"/>
      <c r="AU995" s="68"/>
      <c r="AV995" s="68"/>
      <c r="AW995" s="68"/>
      <c r="AX995" s="68"/>
      <c r="AY995" s="68"/>
      <c r="AZ995" s="34"/>
      <c r="BA995" s="34"/>
      <c r="BB995" s="34"/>
      <c r="BC995" s="34"/>
    </row>
    <row r="996" spans="1:55" ht="13" customHeight="1">
      <c r="A996" s="14"/>
      <c r="B996" s="258"/>
      <c r="C996" s="257"/>
      <c r="D996" s="1795"/>
      <c r="E996" s="1796"/>
      <c r="F996" s="1796"/>
      <c r="G996" s="1796"/>
      <c r="H996" s="1796"/>
      <c r="I996" s="1796"/>
      <c r="J996" s="1796"/>
      <c r="K996" s="1796"/>
      <c r="L996" s="1796"/>
      <c r="M996" s="1796"/>
      <c r="N996" s="1796"/>
      <c r="O996" s="1796"/>
      <c r="P996" s="1796"/>
      <c r="Q996" s="1796"/>
      <c r="R996" s="1796"/>
      <c r="S996" s="1796"/>
      <c r="T996" s="1796"/>
      <c r="U996" s="1796"/>
      <c r="V996" s="1796"/>
      <c r="W996" s="1796"/>
      <c r="X996" s="1796"/>
      <c r="Y996" s="1796"/>
      <c r="Z996" s="1796"/>
      <c r="AA996" s="1796"/>
      <c r="AB996" s="1796"/>
      <c r="AC996" s="1796"/>
      <c r="AD996" s="1796"/>
      <c r="AE996" s="1797"/>
      <c r="AF996" s="73"/>
      <c r="AG996" s="14"/>
      <c r="AH996" s="14"/>
      <c r="AI996" s="83"/>
      <c r="AJ996" s="1763"/>
      <c r="AK996" s="1764"/>
      <c r="AL996" s="1764"/>
      <c r="AM996" s="1764"/>
      <c r="AN996" s="1764"/>
      <c r="AO996" s="1764"/>
      <c r="AP996" s="1764"/>
      <c r="AQ996" s="1765"/>
      <c r="AR996" s="68"/>
      <c r="AS996" s="68"/>
      <c r="AT996" s="68"/>
      <c r="AU996" s="68"/>
      <c r="AV996" s="68"/>
      <c r="AW996" s="68"/>
      <c r="AX996" s="68"/>
      <c r="AY996" s="68"/>
      <c r="AZ996" s="34"/>
      <c r="BA996" s="34"/>
      <c r="BB996" s="34"/>
      <c r="BC996" s="34"/>
    </row>
    <row r="997" spans="1:55" ht="13" customHeight="1">
      <c r="A997" s="14"/>
      <c r="B997" s="258"/>
      <c r="C997" s="257"/>
      <c r="D997" s="1795"/>
      <c r="E997" s="1796"/>
      <c r="F997" s="1796"/>
      <c r="G997" s="1796"/>
      <c r="H997" s="1796"/>
      <c r="I997" s="1796"/>
      <c r="J997" s="1796"/>
      <c r="K997" s="1796"/>
      <c r="L997" s="1796"/>
      <c r="M997" s="1796"/>
      <c r="N997" s="1796"/>
      <c r="O997" s="1796"/>
      <c r="P997" s="1796"/>
      <c r="Q997" s="1796"/>
      <c r="R997" s="1796"/>
      <c r="S997" s="1796"/>
      <c r="T997" s="1796"/>
      <c r="U997" s="1796"/>
      <c r="V997" s="1796"/>
      <c r="W997" s="1796"/>
      <c r="X997" s="1796"/>
      <c r="Y997" s="1796"/>
      <c r="Z997" s="1796"/>
      <c r="AA997" s="1796"/>
      <c r="AB997" s="1796"/>
      <c r="AC997" s="1796"/>
      <c r="AD997" s="1796"/>
      <c r="AE997" s="1797"/>
      <c r="AF997" s="73"/>
      <c r="AG997" s="14"/>
      <c r="AH997" s="14"/>
      <c r="AI997" s="83"/>
      <c r="AJ997" s="1763"/>
      <c r="AK997" s="1764"/>
      <c r="AL997" s="1764"/>
      <c r="AM997" s="1764"/>
      <c r="AN997" s="1764"/>
      <c r="AO997" s="1764"/>
      <c r="AP997" s="1764"/>
      <c r="AQ997" s="1765"/>
      <c r="AR997" s="68"/>
      <c r="AS997" s="68"/>
      <c r="AT997" s="68"/>
      <c r="AU997" s="68"/>
      <c r="AV997" s="68"/>
      <c r="AW997" s="68"/>
      <c r="AX997" s="68"/>
      <c r="AY997" s="68"/>
      <c r="AZ997" s="34"/>
      <c r="BA997" s="34"/>
      <c r="BB997" s="34"/>
      <c r="BC997" s="34"/>
    </row>
    <row r="998" spans="1:55" ht="13" customHeight="1">
      <c r="A998" s="14"/>
      <c r="B998" s="258"/>
      <c r="C998" s="257"/>
      <c r="D998" s="1795"/>
      <c r="E998" s="1796"/>
      <c r="F998" s="1796"/>
      <c r="G998" s="1796"/>
      <c r="H998" s="1796"/>
      <c r="I998" s="1796"/>
      <c r="J998" s="1796"/>
      <c r="K998" s="1796"/>
      <c r="L998" s="1796"/>
      <c r="M998" s="1796"/>
      <c r="N998" s="1796"/>
      <c r="O998" s="1796"/>
      <c r="P998" s="1796"/>
      <c r="Q998" s="1796"/>
      <c r="R998" s="1796"/>
      <c r="S998" s="1796"/>
      <c r="T998" s="1796"/>
      <c r="U998" s="1796"/>
      <c r="V998" s="1796"/>
      <c r="W998" s="1796"/>
      <c r="X998" s="1796"/>
      <c r="Y998" s="1796"/>
      <c r="Z998" s="1796"/>
      <c r="AA998" s="1796"/>
      <c r="AB998" s="1796"/>
      <c r="AC998" s="1796"/>
      <c r="AD998" s="1796"/>
      <c r="AE998" s="1797"/>
      <c r="AF998" s="73"/>
      <c r="AG998" s="14"/>
      <c r="AH998" s="14"/>
      <c r="AI998" s="83"/>
      <c r="AJ998" s="1763"/>
      <c r="AK998" s="1764"/>
      <c r="AL998" s="1764"/>
      <c r="AM998" s="1764"/>
      <c r="AN998" s="1764"/>
      <c r="AO998" s="1764"/>
      <c r="AP998" s="1764"/>
      <c r="AQ998" s="1765"/>
      <c r="AR998" s="68"/>
      <c r="AS998" s="68"/>
      <c r="AT998" s="68"/>
      <c r="AU998" s="68"/>
      <c r="AV998" s="68"/>
      <c r="AW998" s="68"/>
      <c r="AX998" s="68"/>
      <c r="AY998" s="68"/>
      <c r="AZ998" s="34"/>
      <c r="BA998" s="34"/>
      <c r="BB998" s="34"/>
      <c r="BC998" s="34"/>
    </row>
    <row r="999" spans="1:55" ht="13" customHeight="1">
      <c r="A999" s="14"/>
      <c r="B999" s="258"/>
      <c r="C999" s="257"/>
      <c r="D999" s="1798" t="s">
        <v>2206</v>
      </c>
      <c r="E999" s="1799"/>
      <c r="F999" s="1799"/>
      <c r="G999" s="1799"/>
      <c r="H999" s="1799"/>
      <c r="I999" s="1799"/>
      <c r="J999" s="1799"/>
      <c r="K999" s="1799"/>
      <c r="L999" s="1799"/>
      <c r="M999" s="1799"/>
      <c r="N999" s="1799"/>
      <c r="O999" s="1799"/>
      <c r="P999" s="1799"/>
      <c r="Q999" s="1799"/>
      <c r="R999" s="1799"/>
      <c r="S999" s="1799"/>
      <c r="T999" s="1799"/>
      <c r="U999" s="1799"/>
      <c r="V999" s="1799"/>
      <c r="W999" s="1799"/>
      <c r="X999" s="1799"/>
      <c r="Y999" s="1799"/>
      <c r="Z999" s="1799"/>
      <c r="AA999" s="1799"/>
      <c r="AB999" s="1799"/>
      <c r="AC999" s="1799"/>
      <c r="AD999" s="1799"/>
      <c r="AE999" s="1800"/>
      <c r="AF999" s="73"/>
      <c r="AG999" s="14"/>
      <c r="AH999" s="14"/>
      <c r="AI999" s="83"/>
      <c r="AJ999" s="1763"/>
      <c r="AK999" s="1764"/>
      <c r="AL999" s="1764"/>
      <c r="AM999" s="1764"/>
      <c r="AN999" s="1764"/>
      <c r="AO999" s="1764"/>
      <c r="AP999" s="1764"/>
      <c r="AQ999" s="1765"/>
      <c r="AR999" s="68"/>
      <c r="AS999" s="68"/>
      <c r="AT999" s="68"/>
      <c r="AU999" s="68"/>
      <c r="AV999" s="68"/>
      <c r="AW999" s="68"/>
      <c r="AX999" s="68"/>
      <c r="AY999" s="68"/>
      <c r="AZ999" s="34"/>
      <c r="BA999" s="34"/>
      <c r="BB999" s="34"/>
      <c r="BC999" s="34"/>
    </row>
    <row r="1000" spans="1:55" ht="13" customHeight="1">
      <c r="A1000" s="14"/>
      <c r="B1000" s="258"/>
      <c r="C1000" s="257"/>
      <c r="D1000" s="1754"/>
      <c r="E1000" s="1755"/>
      <c r="F1000" s="1755"/>
      <c r="G1000" s="1755"/>
      <c r="H1000" s="1755"/>
      <c r="I1000" s="1755"/>
      <c r="J1000" s="1755"/>
      <c r="K1000" s="1755"/>
      <c r="L1000" s="1755"/>
      <c r="M1000" s="1755"/>
      <c r="N1000" s="1755"/>
      <c r="O1000" s="1755"/>
      <c r="P1000" s="1755"/>
      <c r="Q1000" s="1755"/>
      <c r="R1000" s="1755"/>
      <c r="S1000" s="1755"/>
      <c r="T1000" s="1755"/>
      <c r="U1000" s="1755"/>
      <c r="V1000" s="1755"/>
      <c r="W1000" s="1755"/>
      <c r="X1000" s="1755"/>
      <c r="Y1000" s="1755"/>
      <c r="Z1000" s="1755"/>
      <c r="AA1000" s="1755"/>
      <c r="AB1000" s="1755"/>
      <c r="AC1000" s="1755"/>
      <c r="AD1000" s="1755"/>
      <c r="AE1000" s="1756"/>
      <c r="AF1000" s="77"/>
      <c r="AG1000" s="7"/>
      <c r="AH1000" s="7"/>
      <c r="AI1000" s="78"/>
      <c r="AJ1000" s="1766"/>
      <c r="AK1000" s="1767"/>
      <c r="AL1000" s="1767"/>
      <c r="AM1000" s="1767"/>
      <c r="AN1000" s="1767"/>
      <c r="AO1000" s="1767"/>
      <c r="AP1000" s="1767"/>
      <c r="AQ1000" s="1768"/>
      <c r="AR1000" s="68"/>
      <c r="AS1000" s="68"/>
      <c r="AT1000" s="68"/>
      <c r="AU1000" s="68"/>
      <c r="AV1000" s="68"/>
      <c r="AW1000" s="68"/>
      <c r="AX1000" s="68"/>
      <c r="AY1000" s="68"/>
      <c r="AZ1000" s="34"/>
      <c r="BA1000" s="34"/>
      <c r="BB1000" s="34"/>
      <c r="BC1000" s="34"/>
    </row>
    <row r="1001" spans="1:55" ht="13" customHeight="1">
      <c r="A1001" s="14"/>
      <c r="B1001" s="256"/>
      <c r="C1001" s="319"/>
      <c r="D1001" s="1779" t="s">
        <v>1285</v>
      </c>
      <c r="E1001" s="1780"/>
      <c r="F1001" s="1780"/>
      <c r="G1001" s="1780"/>
      <c r="H1001" s="1780"/>
      <c r="I1001" s="1780"/>
      <c r="J1001" s="1780"/>
      <c r="K1001" s="1780"/>
      <c r="L1001" s="1780"/>
      <c r="M1001" s="1780"/>
      <c r="N1001" s="1780"/>
      <c r="O1001" s="1780"/>
      <c r="P1001" s="1780"/>
      <c r="Q1001" s="1780"/>
      <c r="R1001" s="1780"/>
      <c r="S1001" s="1780"/>
      <c r="T1001" s="1780"/>
      <c r="U1001" s="1780"/>
      <c r="V1001" s="1780"/>
      <c r="W1001" s="1780"/>
      <c r="X1001" s="1780"/>
      <c r="Y1001" s="1780"/>
      <c r="Z1001" s="1780"/>
      <c r="AA1001" s="1780"/>
      <c r="AB1001" s="1780"/>
      <c r="AC1001" s="1780"/>
      <c r="AD1001" s="1780"/>
      <c r="AE1001" s="1781"/>
      <c r="AF1001" s="79"/>
      <c r="AG1001" s="1772" t="s">
        <v>668</v>
      </c>
      <c r="AH1001" s="1773"/>
      <c r="AI1001" s="87"/>
      <c r="AJ1001" s="1760">
        <f>ROUND(IF(AG1001="yes",AJ992*0.05,0),0)</f>
        <v>0</v>
      </c>
      <c r="AK1001" s="1761"/>
      <c r="AL1001" s="1761"/>
      <c r="AM1001" s="1761"/>
      <c r="AN1001" s="1761"/>
      <c r="AO1001" s="1761"/>
      <c r="AP1001" s="1761"/>
      <c r="AQ1001" s="1762"/>
      <c r="AR1001" s="68"/>
      <c r="AS1001" s="68"/>
      <c r="AT1001" s="68"/>
      <c r="AU1001" s="68"/>
      <c r="AV1001" s="68"/>
      <c r="AW1001" s="68"/>
      <c r="AX1001" s="68"/>
      <c r="AY1001" s="68"/>
      <c r="AZ1001" s="34"/>
      <c r="BA1001" s="34"/>
      <c r="BB1001" s="34"/>
      <c r="BC1001" s="34"/>
    </row>
    <row r="1002" spans="1:55" ht="13" customHeight="1">
      <c r="A1002" s="14"/>
      <c r="B1002" s="258"/>
      <c r="C1002" s="82"/>
      <c r="D1002" s="1795" t="s">
        <v>1283</v>
      </c>
      <c r="E1002" s="1796"/>
      <c r="F1002" s="1796"/>
      <c r="G1002" s="1796"/>
      <c r="H1002" s="1796"/>
      <c r="I1002" s="1796"/>
      <c r="J1002" s="1796"/>
      <c r="K1002" s="1796"/>
      <c r="L1002" s="1796"/>
      <c r="M1002" s="1796"/>
      <c r="N1002" s="1796"/>
      <c r="O1002" s="1796"/>
      <c r="P1002" s="1796"/>
      <c r="Q1002" s="1796"/>
      <c r="R1002" s="1796"/>
      <c r="S1002" s="1796"/>
      <c r="T1002" s="1796"/>
      <c r="U1002" s="1796"/>
      <c r="V1002" s="1796"/>
      <c r="W1002" s="1796"/>
      <c r="X1002" s="1796"/>
      <c r="Y1002" s="1796"/>
      <c r="Z1002" s="1796"/>
      <c r="AA1002" s="1796"/>
      <c r="AB1002" s="1796"/>
      <c r="AC1002" s="1796"/>
      <c r="AD1002" s="1796"/>
      <c r="AE1002" s="1797"/>
      <c r="AF1002" s="73"/>
      <c r="AG1002" s="14"/>
      <c r="AH1002" s="14"/>
      <c r="AI1002" s="83"/>
      <c r="AJ1002" s="1763"/>
      <c r="AK1002" s="1764"/>
      <c r="AL1002" s="1764"/>
      <c r="AM1002" s="1764"/>
      <c r="AN1002" s="1764"/>
      <c r="AO1002" s="1764"/>
      <c r="AP1002" s="1764"/>
      <c r="AQ1002" s="1765"/>
      <c r="AR1002" s="68"/>
      <c r="AS1002" s="68"/>
      <c r="AT1002" s="68"/>
      <c r="AU1002" s="68"/>
      <c r="AV1002" s="68"/>
      <c r="AW1002" s="68"/>
      <c r="AX1002" s="68"/>
      <c r="AY1002" s="34"/>
      <c r="AZ1002" s="34"/>
      <c r="BB1002" s="34"/>
    </row>
    <row r="1003" spans="1:55" ht="13" customHeight="1">
      <c r="A1003" s="14"/>
      <c r="B1003" s="258"/>
      <c r="C1003" s="82"/>
      <c r="D1003" s="1795"/>
      <c r="E1003" s="1796"/>
      <c r="F1003" s="1796"/>
      <c r="G1003" s="1796"/>
      <c r="H1003" s="1796"/>
      <c r="I1003" s="1796"/>
      <c r="J1003" s="1796"/>
      <c r="K1003" s="1796"/>
      <c r="L1003" s="1796"/>
      <c r="M1003" s="1796"/>
      <c r="N1003" s="1796"/>
      <c r="O1003" s="1796"/>
      <c r="P1003" s="1796"/>
      <c r="Q1003" s="1796"/>
      <c r="R1003" s="1796"/>
      <c r="S1003" s="1796"/>
      <c r="T1003" s="1796"/>
      <c r="U1003" s="1796"/>
      <c r="V1003" s="1796"/>
      <c r="W1003" s="1796"/>
      <c r="X1003" s="1796"/>
      <c r="Y1003" s="1796"/>
      <c r="Z1003" s="1796"/>
      <c r="AA1003" s="1796"/>
      <c r="AB1003" s="1796"/>
      <c r="AC1003" s="1796"/>
      <c r="AD1003" s="1796"/>
      <c r="AE1003" s="1797"/>
      <c r="AF1003" s="73"/>
      <c r="AG1003" s="14"/>
      <c r="AH1003" s="14"/>
      <c r="AI1003" s="83"/>
      <c r="AJ1003" s="1763"/>
      <c r="AK1003" s="1764"/>
      <c r="AL1003" s="1764"/>
      <c r="AM1003" s="1764"/>
      <c r="AN1003" s="1764"/>
      <c r="AO1003" s="1764"/>
      <c r="AP1003" s="1764"/>
      <c r="AQ1003" s="1765"/>
      <c r="AR1003" s="68"/>
      <c r="AS1003" s="68"/>
      <c r="AT1003" s="68"/>
      <c r="AU1003" s="68"/>
      <c r="AV1003" s="68"/>
      <c r="AW1003" s="68"/>
      <c r="AX1003" s="68"/>
      <c r="AY1003" s="915">
        <f>G753+O797</f>
        <v>60</v>
      </c>
      <c r="AZ1003" s="34"/>
      <c r="BB1003" s="34"/>
    </row>
    <row r="1004" spans="1:55" ht="13" customHeight="1">
      <c r="A1004" s="14"/>
      <c r="B1004" s="258"/>
      <c r="C1004" s="82"/>
      <c r="D1004" s="1795"/>
      <c r="E1004" s="1796"/>
      <c r="F1004" s="1796"/>
      <c r="G1004" s="1796"/>
      <c r="H1004" s="1796"/>
      <c r="I1004" s="1796"/>
      <c r="J1004" s="1796"/>
      <c r="K1004" s="1796"/>
      <c r="L1004" s="1796"/>
      <c r="M1004" s="1796"/>
      <c r="N1004" s="1796"/>
      <c r="O1004" s="1796"/>
      <c r="P1004" s="1796"/>
      <c r="Q1004" s="1796"/>
      <c r="R1004" s="1796"/>
      <c r="S1004" s="1796"/>
      <c r="T1004" s="1796"/>
      <c r="U1004" s="1796"/>
      <c r="V1004" s="1796"/>
      <c r="W1004" s="1796"/>
      <c r="X1004" s="1796"/>
      <c r="Y1004" s="1796"/>
      <c r="Z1004" s="1796"/>
      <c r="AA1004" s="1796"/>
      <c r="AB1004" s="1796"/>
      <c r="AC1004" s="1796"/>
      <c r="AD1004" s="1796"/>
      <c r="AE1004" s="1797"/>
      <c r="AF1004" s="73"/>
      <c r="AG1004" s="14"/>
      <c r="AH1004" s="14"/>
      <c r="AI1004" s="83"/>
      <c r="AJ1004" s="1763"/>
      <c r="AK1004" s="1764"/>
      <c r="AL1004" s="1764"/>
      <c r="AM1004" s="1764"/>
      <c r="AN1004" s="1764"/>
      <c r="AO1004" s="1764"/>
      <c r="AP1004" s="1764"/>
      <c r="AQ1004" s="1765"/>
      <c r="AR1004" s="68"/>
      <c r="AS1004" s="68"/>
      <c r="AT1004" s="68"/>
      <c r="AU1004" s="68"/>
      <c r="AV1004" s="68"/>
      <c r="AW1004" s="68"/>
      <c r="AX1004" s="68"/>
      <c r="AY1004" s="14"/>
      <c r="AZ1004" s="34"/>
      <c r="BB1004" s="34"/>
    </row>
    <row r="1005" spans="1:55" ht="13" customHeight="1">
      <c r="A1005" s="14"/>
      <c r="B1005" s="258"/>
      <c r="C1005" s="82"/>
      <c r="D1005" s="1795"/>
      <c r="E1005" s="1796"/>
      <c r="F1005" s="1796"/>
      <c r="G1005" s="1796"/>
      <c r="H1005" s="1796"/>
      <c r="I1005" s="1796"/>
      <c r="J1005" s="1796"/>
      <c r="K1005" s="1796"/>
      <c r="L1005" s="1796"/>
      <c r="M1005" s="1796"/>
      <c r="N1005" s="1796"/>
      <c r="O1005" s="1796"/>
      <c r="P1005" s="1796"/>
      <c r="Q1005" s="1796"/>
      <c r="R1005" s="1796"/>
      <c r="S1005" s="1796"/>
      <c r="T1005" s="1796"/>
      <c r="U1005" s="1796"/>
      <c r="V1005" s="1796"/>
      <c r="W1005" s="1796"/>
      <c r="X1005" s="1796"/>
      <c r="Y1005" s="1796"/>
      <c r="Z1005" s="1796"/>
      <c r="AA1005" s="1796"/>
      <c r="AB1005" s="1796"/>
      <c r="AC1005" s="1796"/>
      <c r="AD1005" s="1796"/>
      <c r="AE1005" s="1797"/>
      <c r="AF1005" s="73"/>
      <c r="AG1005" s="14"/>
      <c r="AH1005" s="14"/>
      <c r="AI1005" s="83"/>
      <c r="AJ1005" s="1763"/>
      <c r="AK1005" s="1764"/>
      <c r="AL1005" s="1764"/>
      <c r="AM1005" s="1764"/>
      <c r="AN1005" s="1764"/>
      <c r="AO1005" s="1764"/>
      <c r="AP1005" s="1764"/>
      <c r="AQ1005" s="1765"/>
      <c r="AR1005" s="68"/>
      <c r="AS1005" s="68"/>
      <c r="AT1005" s="68"/>
      <c r="AU1005" s="68"/>
      <c r="AV1005" s="68"/>
      <c r="AW1005" s="68"/>
      <c r="AX1005" s="68"/>
      <c r="AY1005" s="914">
        <f>ROUNDDOWN(X1048/I1048,2)</f>
        <v>0.5</v>
      </c>
      <c r="AZ1005" s="34"/>
      <c r="BB1005" s="34"/>
    </row>
    <row r="1006" spans="1:55" ht="13" customHeight="1">
      <c r="A1006" s="14"/>
      <c r="B1006" s="75"/>
      <c r="C1006" s="76"/>
      <c r="D1006" s="1798"/>
      <c r="E1006" s="1799"/>
      <c r="F1006" s="1799"/>
      <c r="G1006" s="1799"/>
      <c r="H1006" s="1799"/>
      <c r="I1006" s="1799"/>
      <c r="J1006" s="1799"/>
      <c r="K1006" s="1799"/>
      <c r="L1006" s="1799"/>
      <c r="M1006" s="1799"/>
      <c r="N1006" s="1799"/>
      <c r="O1006" s="1799"/>
      <c r="P1006" s="1799"/>
      <c r="Q1006" s="1799"/>
      <c r="R1006" s="1799"/>
      <c r="S1006" s="1799"/>
      <c r="T1006" s="1799"/>
      <c r="U1006" s="1799"/>
      <c r="V1006" s="1799"/>
      <c r="W1006" s="1799"/>
      <c r="X1006" s="1799"/>
      <c r="Y1006" s="1799"/>
      <c r="Z1006" s="1799"/>
      <c r="AA1006" s="1799"/>
      <c r="AB1006" s="1799"/>
      <c r="AC1006" s="1799"/>
      <c r="AD1006" s="1799"/>
      <c r="AE1006" s="1800"/>
      <c r="AF1006" s="77"/>
      <c r="AG1006" s="7"/>
      <c r="AH1006" s="7"/>
      <c r="AI1006" s="78"/>
      <c r="AJ1006" s="1766"/>
      <c r="AK1006" s="1767"/>
      <c r="AL1006" s="1767"/>
      <c r="AM1006" s="1767"/>
      <c r="AN1006" s="1767"/>
      <c r="AO1006" s="1767"/>
      <c r="AP1006" s="1767"/>
      <c r="AQ1006" s="1768"/>
      <c r="AR1006" s="68"/>
      <c r="AS1006" s="68"/>
      <c r="AT1006" s="68"/>
      <c r="AU1006" s="68"/>
      <c r="AV1006" s="68"/>
      <c r="AW1006" s="68"/>
      <c r="AX1006" s="68"/>
      <c r="AY1006" s="914">
        <f>ROUNDDOWN(X1052/I1052,2)</f>
        <v>0.5</v>
      </c>
      <c r="AZ1006" s="34"/>
      <c r="BB1006" s="34"/>
    </row>
    <row r="1007" spans="1:55" ht="13" customHeight="1">
      <c r="A1007" s="14"/>
      <c r="B1007" s="256"/>
      <c r="C1007" s="80" t="s">
        <v>671</v>
      </c>
      <c r="D1007" s="1779" t="s">
        <v>1682</v>
      </c>
      <c r="E1007" s="1780"/>
      <c r="F1007" s="1780"/>
      <c r="G1007" s="1780"/>
      <c r="H1007" s="1780"/>
      <c r="I1007" s="1780"/>
      <c r="J1007" s="1780"/>
      <c r="K1007" s="1780"/>
      <c r="L1007" s="1780"/>
      <c r="M1007" s="1780"/>
      <c r="N1007" s="1780"/>
      <c r="O1007" s="1780"/>
      <c r="P1007" s="1780"/>
      <c r="Q1007" s="1780"/>
      <c r="R1007" s="1780"/>
      <c r="S1007" s="1780"/>
      <c r="T1007" s="1780"/>
      <c r="U1007" s="1780"/>
      <c r="V1007" s="1780"/>
      <c r="W1007" s="1780"/>
      <c r="X1007" s="1780"/>
      <c r="Y1007" s="1780"/>
      <c r="Z1007" s="1780"/>
      <c r="AA1007" s="1780"/>
      <c r="AB1007" s="1780"/>
      <c r="AC1007" s="1780"/>
      <c r="AD1007" s="1780"/>
      <c r="AE1007" s="1781"/>
      <c r="AF1007" s="86"/>
      <c r="AG1007" s="1772" t="s">
        <v>668</v>
      </c>
      <c r="AH1007" s="1773"/>
      <c r="AI1007" s="87"/>
      <c r="AJ1007" s="1760">
        <f>ROUND(IF(AG1007="yes",AJ992*0.1,0),0)</f>
        <v>0</v>
      </c>
      <c r="AK1007" s="1761"/>
      <c r="AL1007" s="1761"/>
      <c r="AM1007" s="1761"/>
      <c r="AN1007" s="1761"/>
      <c r="AO1007" s="1761"/>
      <c r="AP1007" s="1761"/>
      <c r="AQ1007" s="1762"/>
      <c r="AR1007" s="68"/>
      <c r="AS1007" s="68"/>
      <c r="AT1007" s="68"/>
      <c r="AU1007" s="68"/>
      <c r="AV1007" s="68"/>
      <c r="AW1007" s="68"/>
      <c r="AX1007" s="68"/>
      <c r="BB1007" s="34"/>
    </row>
    <row r="1008" spans="1:55" ht="13" customHeight="1">
      <c r="A1008" s="14"/>
      <c r="B1008" s="73"/>
      <c r="C1008" s="74"/>
      <c r="D1008" s="1782" t="s">
        <v>1284</v>
      </c>
      <c r="E1008" s="1783"/>
      <c r="F1008" s="1783"/>
      <c r="G1008" s="1783"/>
      <c r="H1008" s="1783"/>
      <c r="I1008" s="1783"/>
      <c r="J1008" s="1783"/>
      <c r="K1008" s="1783"/>
      <c r="L1008" s="1783"/>
      <c r="M1008" s="1783"/>
      <c r="N1008" s="1783"/>
      <c r="O1008" s="1783"/>
      <c r="P1008" s="1783"/>
      <c r="Q1008" s="1783"/>
      <c r="R1008" s="1783"/>
      <c r="S1008" s="1783"/>
      <c r="T1008" s="1783"/>
      <c r="U1008" s="1783"/>
      <c r="V1008" s="1783"/>
      <c r="W1008" s="1783"/>
      <c r="X1008" s="1783"/>
      <c r="Y1008" s="1783"/>
      <c r="Z1008" s="1783"/>
      <c r="AA1008" s="1783"/>
      <c r="AB1008" s="1783"/>
      <c r="AC1008" s="1783"/>
      <c r="AD1008" s="1783"/>
      <c r="AE1008" s="1784"/>
      <c r="AF1008" s="73"/>
      <c r="AI1008" s="83"/>
      <c r="AJ1008" s="1763"/>
      <c r="AK1008" s="1764"/>
      <c r="AL1008" s="1764"/>
      <c r="AM1008" s="1764"/>
      <c r="AN1008" s="1764"/>
      <c r="AO1008" s="1764"/>
      <c r="AP1008" s="1764"/>
      <c r="AQ1008" s="1765"/>
      <c r="AR1008" s="68"/>
      <c r="AS1008" s="68"/>
      <c r="AT1008" s="68"/>
      <c r="AU1008" s="68"/>
      <c r="AV1008" s="68"/>
      <c r="AW1008" s="68"/>
      <c r="AX1008" s="68"/>
    </row>
    <row r="1009" spans="1:51" ht="13" customHeight="1">
      <c r="A1009" s="14"/>
      <c r="B1009" s="73"/>
      <c r="C1009" s="74"/>
      <c r="D1009" s="1782"/>
      <c r="E1009" s="1783"/>
      <c r="F1009" s="1783"/>
      <c r="G1009" s="1783"/>
      <c r="H1009" s="1783"/>
      <c r="I1009" s="1783"/>
      <c r="J1009" s="1783"/>
      <c r="K1009" s="1783"/>
      <c r="L1009" s="1783"/>
      <c r="M1009" s="1783"/>
      <c r="N1009" s="1783"/>
      <c r="O1009" s="1783"/>
      <c r="P1009" s="1783"/>
      <c r="Q1009" s="1783"/>
      <c r="R1009" s="1783"/>
      <c r="S1009" s="1783"/>
      <c r="T1009" s="1783"/>
      <c r="U1009" s="1783"/>
      <c r="V1009" s="1783"/>
      <c r="W1009" s="1783"/>
      <c r="X1009" s="1783"/>
      <c r="Y1009" s="1783"/>
      <c r="Z1009" s="1783"/>
      <c r="AA1009" s="1783"/>
      <c r="AB1009" s="1783"/>
      <c r="AC1009" s="1783"/>
      <c r="AD1009" s="1783"/>
      <c r="AE1009" s="1784"/>
      <c r="AF1009" s="73"/>
      <c r="AG1009" s="14"/>
      <c r="AH1009" s="14"/>
      <c r="AI1009" s="83"/>
      <c r="AJ1009" s="1763"/>
      <c r="AK1009" s="1764"/>
      <c r="AL1009" s="1764"/>
      <c r="AM1009" s="1764"/>
      <c r="AN1009" s="1764"/>
      <c r="AO1009" s="1764"/>
      <c r="AP1009" s="1764"/>
      <c r="AQ1009" s="1765"/>
      <c r="AR1009" s="68"/>
      <c r="AS1009" s="68"/>
      <c r="AT1009" s="68"/>
      <c r="AU1009" s="68"/>
      <c r="AV1009" s="68"/>
      <c r="AW1009" s="68"/>
      <c r="AX1009" s="68"/>
    </row>
    <row r="1010" spans="1:51" ht="13" customHeight="1">
      <c r="A1010" s="14"/>
      <c r="B1010" s="85"/>
      <c r="C1010" s="76"/>
      <c r="D1010" s="1785"/>
      <c r="E1010" s="1786"/>
      <c r="F1010" s="1786"/>
      <c r="G1010" s="1786"/>
      <c r="H1010" s="1786"/>
      <c r="I1010" s="1786"/>
      <c r="J1010" s="1786"/>
      <c r="K1010" s="1786"/>
      <c r="L1010" s="1786"/>
      <c r="M1010" s="1786"/>
      <c r="N1010" s="1786"/>
      <c r="O1010" s="1786"/>
      <c r="P1010" s="1786"/>
      <c r="Q1010" s="1786"/>
      <c r="R1010" s="1786"/>
      <c r="S1010" s="1786"/>
      <c r="T1010" s="1786"/>
      <c r="U1010" s="1786"/>
      <c r="V1010" s="1786"/>
      <c r="W1010" s="1786"/>
      <c r="X1010" s="1786"/>
      <c r="Y1010" s="1786"/>
      <c r="Z1010" s="1786"/>
      <c r="AA1010" s="1786"/>
      <c r="AB1010" s="1786"/>
      <c r="AC1010" s="1786"/>
      <c r="AD1010" s="1786"/>
      <c r="AE1010" s="1787"/>
      <c r="AF1010" s="77"/>
      <c r="AG1010" s="7"/>
      <c r="AH1010" s="7"/>
      <c r="AI1010" s="78"/>
      <c r="AJ1010" s="1766"/>
      <c r="AK1010" s="1767"/>
      <c r="AL1010" s="1767"/>
      <c r="AM1010" s="1767"/>
      <c r="AN1010" s="1767"/>
      <c r="AO1010" s="1767"/>
      <c r="AP1010" s="1767"/>
      <c r="AQ1010" s="1768"/>
      <c r="AR1010" s="68"/>
      <c r="AS1010" s="68"/>
      <c r="AT1010" s="68"/>
      <c r="AU1010" s="68"/>
      <c r="AV1010" s="68"/>
      <c r="AW1010" s="68"/>
      <c r="AX1010" s="68"/>
    </row>
    <row r="1011" spans="1:51" ht="13" customHeight="1">
      <c r="A1011" s="14"/>
      <c r="B1011" s="79"/>
      <c r="C1011" s="80" t="s">
        <v>211</v>
      </c>
      <c r="D1011" s="1779" t="s">
        <v>1286</v>
      </c>
      <c r="E1011" s="1780"/>
      <c r="F1011" s="1780"/>
      <c r="G1011" s="1780"/>
      <c r="H1011" s="1780"/>
      <c r="I1011" s="1780"/>
      <c r="J1011" s="1780"/>
      <c r="K1011" s="1780"/>
      <c r="L1011" s="1780"/>
      <c r="M1011" s="1780"/>
      <c r="N1011" s="1780"/>
      <c r="O1011" s="1780"/>
      <c r="P1011" s="1780"/>
      <c r="Q1011" s="1780"/>
      <c r="R1011" s="1780"/>
      <c r="S1011" s="1780"/>
      <c r="T1011" s="1780"/>
      <c r="U1011" s="1780"/>
      <c r="V1011" s="1780"/>
      <c r="W1011" s="1780"/>
      <c r="X1011" s="1780"/>
      <c r="Y1011" s="1780"/>
      <c r="Z1011" s="1780"/>
      <c r="AA1011" s="1780"/>
      <c r="AB1011" s="1780"/>
      <c r="AC1011" s="1780"/>
      <c r="AD1011" s="1780"/>
      <c r="AE1011" s="1781"/>
      <c r="AF1011" s="79"/>
      <c r="AG1011" s="1772" t="s">
        <v>668</v>
      </c>
      <c r="AH1011" s="1773"/>
      <c r="AI1011" s="87"/>
      <c r="AJ1011" s="1760">
        <f>ROUND(IF(AG1011="yes",AJ992*0.02,0),0)</f>
        <v>0</v>
      </c>
      <c r="AK1011" s="1761"/>
      <c r="AL1011" s="1761"/>
      <c r="AM1011" s="1761"/>
      <c r="AN1011" s="1761"/>
      <c r="AO1011" s="1761"/>
      <c r="AP1011" s="1761"/>
      <c r="AQ1011" s="1762"/>
      <c r="AR1011" s="68"/>
      <c r="AS1011" s="68"/>
      <c r="AT1011" s="68"/>
      <c r="AU1011" s="68"/>
      <c r="AV1011" s="68"/>
      <c r="AW1011" s="68"/>
      <c r="AX1011" s="68"/>
      <c r="AY1011" s="202">
        <f>IF(SUM(AY1015:AY1023)&lt;=0.2,SUM(AY1015:AY1023),0.2)</f>
        <v>0</v>
      </c>
    </row>
    <row r="1012" spans="1:51" ht="14.25" customHeight="1">
      <c r="A1012" s="14"/>
      <c r="B1012" s="73"/>
      <c r="C1012" s="74"/>
      <c r="D1012" s="1785" t="s">
        <v>1287</v>
      </c>
      <c r="E1012" s="1786"/>
      <c r="F1012" s="1786"/>
      <c r="G1012" s="1786"/>
      <c r="H1012" s="1786"/>
      <c r="I1012" s="1786"/>
      <c r="J1012" s="1786"/>
      <c r="K1012" s="1786"/>
      <c r="L1012" s="1786"/>
      <c r="M1012" s="1786"/>
      <c r="N1012" s="1786"/>
      <c r="O1012" s="1786"/>
      <c r="P1012" s="1786"/>
      <c r="Q1012" s="1786"/>
      <c r="R1012" s="1786"/>
      <c r="S1012" s="1786"/>
      <c r="T1012" s="1786"/>
      <c r="U1012" s="1786"/>
      <c r="V1012" s="1786"/>
      <c r="W1012" s="1786"/>
      <c r="X1012" s="1786"/>
      <c r="Y1012" s="1786"/>
      <c r="Z1012" s="1786"/>
      <c r="AA1012" s="1786"/>
      <c r="AB1012" s="1786"/>
      <c r="AC1012" s="1786"/>
      <c r="AD1012" s="1786"/>
      <c r="AE1012" s="1787"/>
      <c r="AF1012" s="77"/>
      <c r="AG1012" s="7"/>
      <c r="AH1012" s="7"/>
      <c r="AI1012" s="78"/>
      <c r="AJ1012" s="1766"/>
      <c r="AK1012" s="1767"/>
      <c r="AL1012" s="1767"/>
      <c r="AM1012" s="1767"/>
      <c r="AN1012" s="1767"/>
      <c r="AO1012" s="1767"/>
      <c r="AP1012" s="1767"/>
      <c r="AQ1012" s="1768"/>
      <c r="AR1012" s="68"/>
      <c r="AS1012" s="68"/>
      <c r="AT1012" s="68"/>
      <c r="AU1012" s="68"/>
      <c r="AV1012" s="68"/>
      <c r="AW1012" s="68"/>
      <c r="AX1012" s="68"/>
    </row>
    <row r="1013" spans="1:51" ht="13" customHeight="1">
      <c r="A1013" s="14"/>
      <c r="B1013" s="79"/>
      <c r="C1013" s="80" t="s">
        <v>214</v>
      </c>
      <c r="D1013" s="1779" t="s">
        <v>1288</v>
      </c>
      <c r="E1013" s="1780"/>
      <c r="F1013" s="1780"/>
      <c r="G1013" s="1780"/>
      <c r="H1013" s="1780"/>
      <c r="I1013" s="1780"/>
      <c r="J1013" s="1780"/>
      <c r="K1013" s="1780"/>
      <c r="L1013" s="1780"/>
      <c r="M1013" s="1780"/>
      <c r="N1013" s="1780"/>
      <c r="O1013" s="1780"/>
      <c r="P1013" s="1780"/>
      <c r="Q1013" s="1780"/>
      <c r="R1013" s="1780"/>
      <c r="S1013" s="1780"/>
      <c r="T1013" s="1780"/>
      <c r="U1013" s="1780"/>
      <c r="V1013" s="1780"/>
      <c r="W1013" s="1780"/>
      <c r="X1013" s="1780"/>
      <c r="Y1013" s="1780"/>
      <c r="Z1013" s="1780"/>
      <c r="AA1013" s="1780"/>
      <c r="AB1013" s="1780"/>
      <c r="AC1013" s="1780"/>
      <c r="AD1013" s="1780"/>
      <c r="AE1013" s="1781"/>
      <c r="AF1013" s="79"/>
      <c r="AG1013" s="1772" t="s">
        <v>668</v>
      </c>
      <c r="AH1013" s="1773"/>
      <c r="AI1013" s="79"/>
      <c r="AJ1013" s="1760">
        <f>ROUND(IF(AG1013="yes",AJ992*0.02,0),0)</f>
        <v>0</v>
      </c>
      <c r="AK1013" s="1761"/>
      <c r="AL1013" s="1761"/>
      <c r="AM1013" s="1761"/>
      <c r="AN1013" s="1761"/>
      <c r="AO1013" s="1761"/>
      <c r="AP1013" s="1761"/>
      <c r="AQ1013" s="1762"/>
      <c r="AR1013" s="68"/>
      <c r="AS1013" s="68"/>
      <c r="AT1013" s="68"/>
      <c r="AU1013" s="68"/>
      <c r="AV1013" s="68"/>
      <c r="AW1013" s="68"/>
      <c r="AX1013" s="68"/>
      <c r="AY1013" s="200">
        <f>IF(A1065="Yes",0.2,0)</f>
        <v>0</v>
      </c>
    </row>
    <row r="1014" spans="1:51" ht="13" customHeight="1">
      <c r="A1014" s="14"/>
      <c r="B1014" s="73"/>
      <c r="C1014" s="74"/>
      <c r="D1014" s="1782" t="s">
        <v>1289</v>
      </c>
      <c r="E1014" s="1783"/>
      <c r="F1014" s="1783"/>
      <c r="G1014" s="1783"/>
      <c r="H1014" s="1783"/>
      <c r="I1014" s="1783"/>
      <c r="J1014" s="1783"/>
      <c r="K1014" s="1783"/>
      <c r="L1014" s="1783"/>
      <c r="M1014" s="1783"/>
      <c r="N1014" s="1783"/>
      <c r="O1014" s="1783"/>
      <c r="P1014" s="1783"/>
      <c r="Q1014" s="1783"/>
      <c r="R1014" s="1783"/>
      <c r="S1014" s="1783"/>
      <c r="T1014" s="1783"/>
      <c r="U1014" s="1783"/>
      <c r="V1014" s="1783"/>
      <c r="W1014" s="1783"/>
      <c r="X1014" s="1783"/>
      <c r="Y1014" s="1783"/>
      <c r="Z1014" s="1783"/>
      <c r="AA1014" s="1783"/>
      <c r="AB1014" s="1783"/>
      <c r="AC1014" s="1783"/>
      <c r="AD1014" s="1783"/>
      <c r="AE1014" s="1784"/>
      <c r="AF1014" s="1850" t="str">
        <f>IF(AND(AG1013="yes",T212&lt;&gt;1),"The project may not be eligible for this boost","")</f>
        <v/>
      </c>
      <c r="AG1014" s="1851"/>
      <c r="AH1014" s="1851"/>
      <c r="AI1014" s="1852"/>
      <c r="AJ1014" s="1763"/>
      <c r="AK1014" s="1764"/>
      <c r="AL1014" s="1764"/>
      <c r="AM1014" s="1764"/>
      <c r="AN1014" s="1764"/>
      <c r="AO1014" s="1764"/>
      <c r="AP1014" s="1764"/>
      <c r="AQ1014" s="1765"/>
      <c r="AR1014" s="68"/>
      <c r="AS1014" s="68"/>
      <c r="AT1014" s="68"/>
      <c r="AU1014" s="68"/>
      <c r="AV1014" s="68"/>
      <c r="AW1014" s="68"/>
      <c r="AX1014" s="68"/>
      <c r="AY1014" s="200">
        <f>IF(A1067="Yes",0.15,0)</f>
        <v>0</v>
      </c>
    </row>
    <row r="1015" spans="1:51" ht="13" customHeight="1">
      <c r="A1015" s="14"/>
      <c r="B1015" s="75"/>
      <c r="C1015" s="76"/>
      <c r="D1015" s="1785"/>
      <c r="E1015" s="1786"/>
      <c r="F1015" s="1786"/>
      <c r="G1015" s="1786"/>
      <c r="H1015" s="1786"/>
      <c r="I1015" s="1786"/>
      <c r="J1015" s="1786"/>
      <c r="K1015" s="1786"/>
      <c r="L1015" s="1786"/>
      <c r="M1015" s="1786"/>
      <c r="N1015" s="1786"/>
      <c r="O1015" s="1786"/>
      <c r="P1015" s="1786"/>
      <c r="Q1015" s="1786"/>
      <c r="R1015" s="1786"/>
      <c r="S1015" s="1786"/>
      <c r="T1015" s="1786"/>
      <c r="U1015" s="1786"/>
      <c r="V1015" s="1786"/>
      <c r="W1015" s="1786"/>
      <c r="X1015" s="1786"/>
      <c r="Y1015" s="1786"/>
      <c r="Z1015" s="1786"/>
      <c r="AA1015" s="1786"/>
      <c r="AB1015" s="1786"/>
      <c r="AC1015" s="1786"/>
      <c r="AD1015" s="1786"/>
      <c r="AE1015" s="1787"/>
      <c r="AF1015" s="1853"/>
      <c r="AG1015" s="1854"/>
      <c r="AH1015" s="1854"/>
      <c r="AI1015" s="1855"/>
      <c r="AJ1015" s="1766"/>
      <c r="AK1015" s="1767"/>
      <c r="AL1015" s="1767"/>
      <c r="AM1015" s="1767"/>
      <c r="AN1015" s="1767"/>
      <c r="AO1015" s="1767"/>
      <c r="AP1015" s="1767"/>
      <c r="AQ1015" s="1768"/>
      <c r="AR1015" s="68"/>
      <c r="AS1015" s="68"/>
      <c r="AT1015" s="68"/>
      <c r="AU1015" s="68"/>
      <c r="AV1015" s="68"/>
      <c r="AW1015" s="68"/>
      <c r="AX1015" s="68"/>
      <c r="AY1015" s="200">
        <f>IF(A1070="Yes",0.05,0)</f>
        <v>0</v>
      </c>
    </row>
    <row r="1016" spans="1:51" ht="13" customHeight="1">
      <c r="A1016" s="14"/>
      <c r="B1016" s="79"/>
      <c r="C1016" s="80" t="s">
        <v>217</v>
      </c>
      <c r="D1016" s="1751" t="s">
        <v>2238</v>
      </c>
      <c r="E1016" s="1752"/>
      <c r="F1016" s="1752"/>
      <c r="G1016" s="1752"/>
      <c r="H1016" s="1752"/>
      <c r="I1016" s="1752"/>
      <c r="J1016" s="1752"/>
      <c r="K1016" s="1752"/>
      <c r="L1016" s="1752"/>
      <c r="M1016" s="1752"/>
      <c r="N1016" s="1752"/>
      <c r="O1016" s="1752"/>
      <c r="P1016" s="1752"/>
      <c r="Q1016" s="1752"/>
      <c r="R1016" s="1752"/>
      <c r="S1016" s="1752"/>
      <c r="T1016" s="1752"/>
      <c r="U1016" s="1752"/>
      <c r="V1016" s="1752"/>
      <c r="W1016" s="1752"/>
      <c r="X1016" s="1752"/>
      <c r="Y1016" s="1752"/>
      <c r="Z1016" s="1752"/>
      <c r="AA1016" s="1752"/>
      <c r="AB1016" s="1752"/>
      <c r="AC1016" s="1752"/>
      <c r="AD1016" s="1752"/>
      <c r="AE1016" s="1753"/>
      <c r="AF1016" s="79"/>
      <c r="AG1016" s="1772" t="s">
        <v>668</v>
      </c>
      <c r="AH1016" s="1773"/>
      <c r="AI1016" s="87"/>
      <c r="AJ1016" s="1760">
        <f>IF(AG1016="yes",AJ992*AY1011,0)</f>
        <v>0</v>
      </c>
      <c r="AK1016" s="1761"/>
      <c r="AL1016" s="1761"/>
      <c r="AM1016" s="1761"/>
      <c r="AN1016" s="1761"/>
      <c r="AO1016" s="1761"/>
      <c r="AP1016" s="1761"/>
      <c r="AQ1016" s="1762"/>
      <c r="AR1016" s="68"/>
      <c r="AS1016" s="68"/>
      <c r="AT1016" s="68"/>
      <c r="AU1016" s="68"/>
      <c r="AV1016" s="68"/>
      <c r="AW1016" s="68"/>
      <c r="AX1016" s="68"/>
      <c r="AY1016" s="200">
        <f>IF(A1075="Yes",0.02,0)</f>
        <v>0</v>
      </c>
    </row>
    <row r="1017" spans="1:51" ht="13" customHeight="1">
      <c r="A1017" s="14"/>
      <c r="B1017" s="73"/>
      <c r="C1017" s="74"/>
      <c r="D1017" s="1782" t="s">
        <v>1290</v>
      </c>
      <c r="E1017" s="1783"/>
      <c r="F1017" s="1783"/>
      <c r="G1017" s="1783"/>
      <c r="H1017" s="1783"/>
      <c r="I1017" s="1783"/>
      <c r="J1017" s="1783"/>
      <c r="K1017" s="1783"/>
      <c r="L1017" s="1783"/>
      <c r="M1017" s="1783"/>
      <c r="N1017" s="1783"/>
      <c r="O1017" s="1783"/>
      <c r="P1017" s="1783"/>
      <c r="Q1017" s="1783"/>
      <c r="R1017" s="1783"/>
      <c r="S1017" s="1783"/>
      <c r="T1017" s="1783"/>
      <c r="U1017" s="1783"/>
      <c r="V1017" s="1783"/>
      <c r="W1017" s="1783"/>
      <c r="X1017" s="1783"/>
      <c r="Y1017" s="1783"/>
      <c r="Z1017" s="1783"/>
      <c r="AA1017" s="1783"/>
      <c r="AB1017" s="1783"/>
      <c r="AC1017" s="1783"/>
      <c r="AD1017" s="1783"/>
      <c r="AE1017" s="1784"/>
      <c r="AF1017" s="1844" t="str">
        <f>IF(AND(AG1016="Yes",AY1011=0),AY1027,"")</f>
        <v/>
      </c>
      <c r="AG1017" s="1845"/>
      <c r="AH1017" s="1845"/>
      <c r="AI1017" s="1846"/>
      <c r="AJ1017" s="1763"/>
      <c r="AK1017" s="1764"/>
      <c r="AL1017" s="1764"/>
      <c r="AM1017" s="1764"/>
      <c r="AN1017" s="1764"/>
      <c r="AO1017" s="1764"/>
      <c r="AP1017" s="1764"/>
      <c r="AQ1017" s="1765"/>
      <c r="AR1017" s="68"/>
      <c r="AS1017" s="68"/>
      <c r="AT1017" s="68"/>
      <c r="AU1017" s="68"/>
      <c r="AV1017" s="68"/>
      <c r="AW1017" s="68"/>
      <c r="AX1017" s="68"/>
      <c r="AY1017" s="200">
        <f>IF(A1081="Yes",0.04,0)</f>
        <v>0</v>
      </c>
    </row>
    <row r="1018" spans="1:51" ht="13" customHeight="1">
      <c r="A1018" s="14"/>
      <c r="B1018" s="73"/>
      <c r="C1018" s="74"/>
      <c r="D1018" s="1782"/>
      <c r="E1018" s="1783"/>
      <c r="F1018" s="1783"/>
      <c r="G1018" s="1783"/>
      <c r="H1018" s="1783"/>
      <c r="I1018" s="1783"/>
      <c r="J1018" s="1783"/>
      <c r="K1018" s="1783"/>
      <c r="L1018" s="1783"/>
      <c r="M1018" s="1783"/>
      <c r="N1018" s="1783"/>
      <c r="O1018" s="1783"/>
      <c r="P1018" s="1783"/>
      <c r="Q1018" s="1783"/>
      <c r="R1018" s="1783"/>
      <c r="S1018" s="1783"/>
      <c r="T1018" s="1783"/>
      <c r="U1018" s="1783"/>
      <c r="V1018" s="1783"/>
      <c r="W1018" s="1783"/>
      <c r="X1018" s="1783"/>
      <c r="Y1018" s="1783"/>
      <c r="Z1018" s="1783"/>
      <c r="AA1018" s="1783"/>
      <c r="AB1018" s="1783"/>
      <c r="AC1018" s="1783"/>
      <c r="AD1018" s="1783"/>
      <c r="AE1018" s="1784"/>
      <c r="AF1018" s="1844"/>
      <c r="AG1018" s="1845"/>
      <c r="AH1018" s="1845"/>
      <c r="AI1018" s="1846"/>
      <c r="AJ1018" s="1763"/>
      <c r="AK1018" s="1764"/>
      <c r="AL1018" s="1764"/>
      <c r="AM1018" s="1764"/>
      <c r="AN1018" s="1764"/>
      <c r="AO1018" s="1764"/>
      <c r="AP1018" s="1764"/>
      <c r="AQ1018" s="1765"/>
      <c r="AR1018" s="68"/>
      <c r="AS1018" s="68"/>
      <c r="AT1018" s="68"/>
      <c r="AU1018" s="68"/>
      <c r="AV1018" s="68"/>
      <c r="AW1018" s="68"/>
      <c r="AX1018" s="68"/>
      <c r="AY1018" s="200">
        <f>IF(A1085="Yes",0.04,0)</f>
        <v>0</v>
      </c>
    </row>
    <row r="1019" spans="1:51" ht="13" customHeight="1">
      <c r="A1019" s="14"/>
      <c r="B1019" s="81"/>
      <c r="C1019" s="82"/>
      <c r="D1019" s="1785"/>
      <c r="E1019" s="1786"/>
      <c r="F1019" s="1786"/>
      <c r="G1019" s="1786"/>
      <c r="H1019" s="1786"/>
      <c r="I1019" s="1786"/>
      <c r="J1019" s="1786"/>
      <c r="K1019" s="1786"/>
      <c r="L1019" s="1786"/>
      <c r="M1019" s="1786"/>
      <c r="N1019" s="1786"/>
      <c r="O1019" s="1786"/>
      <c r="P1019" s="1786"/>
      <c r="Q1019" s="1786"/>
      <c r="R1019" s="1786"/>
      <c r="S1019" s="1786"/>
      <c r="T1019" s="1786"/>
      <c r="U1019" s="1786"/>
      <c r="V1019" s="1786"/>
      <c r="W1019" s="1786"/>
      <c r="X1019" s="1786"/>
      <c r="Y1019" s="1786"/>
      <c r="Z1019" s="1786"/>
      <c r="AA1019" s="1786"/>
      <c r="AB1019" s="1786"/>
      <c r="AC1019" s="1786"/>
      <c r="AD1019" s="1786"/>
      <c r="AE1019" s="1787"/>
      <c r="AF1019" s="1847"/>
      <c r="AG1019" s="1848"/>
      <c r="AH1019" s="1848"/>
      <c r="AI1019" s="1849"/>
      <c r="AJ1019" s="1766"/>
      <c r="AK1019" s="1767"/>
      <c r="AL1019" s="1767"/>
      <c r="AM1019" s="1767"/>
      <c r="AN1019" s="1767"/>
      <c r="AO1019" s="1767"/>
      <c r="AP1019" s="1767"/>
      <c r="AQ1019" s="1768"/>
      <c r="AR1019" s="68"/>
      <c r="AS1019" s="68"/>
      <c r="AT1019" s="68"/>
      <c r="AU1019" s="68"/>
      <c r="AV1019" s="68"/>
      <c r="AW1019" s="68"/>
      <c r="AX1019" s="68"/>
      <c r="AY1019" s="200">
        <f>IF(A1089="Yes",0.01,0)</f>
        <v>0</v>
      </c>
    </row>
    <row r="1020" spans="1:51" ht="13" customHeight="1">
      <c r="A1020" s="14"/>
      <c r="B1020" s="79"/>
      <c r="C1020" s="80" t="s">
        <v>222</v>
      </c>
      <c r="D1020" s="1815" t="s">
        <v>1291</v>
      </c>
      <c r="E1020" s="1816"/>
      <c r="F1020" s="1816"/>
      <c r="G1020" s="1816"/>
      <c r="H1020" s="1816"/>
      <c r="I1020" s="1816"/>
      <c r="J1020" s="1816"/>
      <c r="K1020" s="1816"/>
      <c r="L1020" s="1816"/>
      <c r="M1020" s="1816"/>
      <c r="N1020" s="1816"/>
      <c r="O1020" s="1816"/>
      <c r="P1020" s="1816"/>
      <c r="Q1020" s="1816"/>
      <c r="R1020" s="1816"/>
      <c r="S1020" s="1816"/>
      <c r="T1020" s="1816"/>
      <c r="U1020" s="1816"/>
      <c r="V1020" s="1816"/>
      <c r="W1020" s="1816"/>
      <c r="X1020" s="1816"/>
      <c r="Y1020" s="1816"/>
      <c r="Z1020" s="1816"/>
      <c r="AA1020" s="1816"/>
      <c r="AB1020" s="1816"/>
      <c r="AC1020" s="1816"/>
      <c r="AD1020" s="1816"/>
      <c r="AE1020" s="1817"/>
      <c r="AF1020" s="79"/>
      <c r="AG1020" s="1772" t="s">
        <v>668</v>
      </c>
      <c r="AH1020" s="1773"/>
      <c r="AI1020" s="87"/>
      <c r="AJ1020" s="1760">
        <f>ROUND(IF(AND(AG1020="Yes",J1024&lt;&gt;"N/A",AF1023&lt;&gt;""),MIN(AF1023,(0.15*AJ992)),0),0)</f>
        <v>0</v>
      </c>
      <c r="AK1020" s="1761"/>
      <c r="AL1020" s="1761"/>
      <c r="AM1020" s="1761"/>
      <c r="AN1020" s="1761"/>
      <c r="AO1020" s="1761"/>
      <c r="AP1020" s="1761"/>
      <c r="AQ1020" s="1762"/>
      <c r="AR1020" s="68"/>
      <c r="AS1020" s="68"/>
      <c r="AT1020" s="68"/>
      <c r="AU1020" s="68"/>
      <c r="AV1020" s="68"/>
      <c r="AW1020" s="68"/>
      <c r="AX1020" s="68"/>
      <c r="AY1020" s="200">
        <f>IF(A1094="Yes",0.01,0)</f>
        <v>0</v>
      </c>
    </row>
    <row r="1021" spans="1:51" ht="13" customHeight="1">
      <c r="A1021" s="14"/>
      <c r="B1021" s="81"/>
      <c r="C1021" s="84"/>
      <c r="D1021" s="1818"/>
      <c r="E1021" s="1819"/>
      <c r="F1021" s="1819"/>
      <c r="G1021" s="1819"/>
      <c r="H1021" s="1819"/>
      <c r="I1021" s="1819"/>
      <c r="J1021" s="1819"/>
      <c r="K1021" s="1819"/>
      <c r="L1021" s="1819"/>
      <c r="M1021" s="1819"/>
      <c r="N1021" s="1819"/>
      <c r="O1021" s="1819"/>
      <c r="P1021" s="1819"/>
      <c r="Q1021" s="1819"/>
      <c r="R1021" s="1819"/>
      <c r="S1021" s="1819"/>
      <c r="T1021" s="1819"/>
      <c r="U1021" s="1819"/>
      <c r="V1021" s="1819"/>
      <c r="W1021" s="1819"/>
      <c r="X1021" s="1819"/>
      <c r="Y1021" s="1819"/>
      <c r="Z1021" s="1819"/>
      <c r="AA1021" s="1819"/>
      <c r="AB1021" s="1819"/>
      <c r="AC1021" s="1819"/>
      <c r="AD1021" s="1819"/>
      <c r="AE1021" s="1820"/>
      <c r="AF1021" s="1832" t="str">
        <f>IF(AG1020="yes","Please Select Type and Enter Amount:","")</f>
        <v/>
      </c>
      <c r="AG1021" s="1833"/>
      <c r="AH1021" s="1833"/>
      <c r="AI1021" s="1834"/>
      <c r="AJ1021" s="1763"/>
      <c r="AK1021" s="1764"/>
      <c r="AL1021" s="1764"/>
      <c r="AM1021" s="1764"/>
      <c r="AN1021" s="1764"/>
      <c r="AO1021" s="1764"/>
      <c r="AP1021" s="1764"/>
      <c r="AQ1021" s="1765"/>
      <c r="AR1021" s="68"/>
      <c r="AS1021" s="68"/>
      <c r="AT1021" s="68"/>
      <c r="AU1021" s="68"/>
      <c r="AV1021" s="68"/>
      <c r="AW1021" s="68"/>
      <c r="AX1021" s="68"/>
      <c r="AY1021" s="200">
        <f>IF(A1097="Yes",0.01,0)</f>
        <v>0</v>
      </c>
    </row>
    <row r="1022" spans="1:51" ht="13" customHeight="1">
      <c r="A1022" s="14"/>
      <c r="B1022" s="81"/>
      <c r="C1022" s="84"/>
      <c r="D1022" s="1782" t="s">
        <v>1292</v>
      </c>
      <c r="E1022" s="1783"/>
      <c r="F1022" s="1783"/>
      <c r="G1022" s="1783"/>
      <c r="H1022" s="1783"/>
      <c r="I1022" s="1783"/>
      <c r="J1022" s="1783"/>
      <c r="K1022" s="1783"/>
      <c r="L1022" s="1783"/>
      <c r="M1022" s="1783"/>
      <c r="N1022" s="1783"/>
      <c r="O1022" s="1783"/>
      <c r="P1022" s="1783"/>
      <c r="Q1022" s="1783"/>
      <c r="R1022" s="1783"/>
      <c r="S1022" s="1783"/>
      <c r="T1022" s="1783"/>
      <c r="U1022" s="1783"/>
      <c r="V1022" s="1783"/>
      <c r="W1022" s="1783"/>
      <c r="X1022" s="1783"/>
      <c r="Y1022" s="1783"/>
      <c r="Z1022" s="1783"/>
      <c r="AA1022" s="1783"/>
      <c r="AB1022" s="1783"/>
      <c r="AC1022" s="1783"/>
      <c r="AD1022" s="1783"/>
      <c r="AE1022" s="1784"/>
      <c r="AF1022" s="1832"/>
      <c r="AG1022" s="1833"/>
      <c r="AH1022" s="1833"/>
      <c r="AI1022" s="1834"/>
      <c r="AJ1022" s="1763"/>
      <c r="AK1022" s="1764"/>
      <c r="AL1022" s="1764"/>
      <c r="AM1022" s="1764"/>
      <c r="AN1022" s="1764"/>
      <c r="AO1022" s="1764"/>
      <c r="AP1022" s="1764"/>
      <c r="AQ1022" s="1765"/>
      <c r="AR1022" s="68"/>
      <c r="AS1022" s="68"/>
      <c r="AT1022" s="68"/>
      <c r="AU1022" s="68"/>
      <c r="AV1022" s="68"/>
      <c r="AW1022" s="68"/>
      <c r="AX1022" s="68"/>
      <c r="AY1022" s="200">
        <f>IF(A1100="Yes",0.02,0)</f>
        <v>0</v>
      </c>
    </row>
    <row r="1023" spans="1:51" ht="13" customHeight="1">
      <c r="A1023" s="14"/>
      <c r="B1023" s="81"/>
      <c r="C1023" s="84"/>
      <c r="D1023" s="1782"/>
      <c r="E1023" s="1783"/>
      <c r="F1023" s="1783"/>
      <c r="G1023" s="1783"/>
      <c r="H1023" s="1783"/>
      <c r="I1023" s="1783"/>
      <c r="J1023" s="1783"/>
      <c r="K1023" s="1783"/>
      <c r="L1023" s="1783"/>
      <c r="M1023" s="1783"/>
      <c r="N1023" s="1783"/>
      <c r="O1023" s="1783"/>
      <c r="P1023" s="1783"/>
      <c r="Q1023" s="1783"/>
      <c r="R1023" s="1783"/>
      <c r="S1023" s="1783"/>
      <c r="T1023" s="1783"/>
      <c r="U1023" s="1783"/>
      <c r="V1023" s="1783"/>
      <c r="W1023" s="1783"/>
      <c r="X1023" s="1783"/>
      <c r="Y1023" s="1783"/>
      <c r="Z1023" s="1783"/>
      <c r="AA1023" s="1783"/>
      <c r="AB1023" s="1783"/>
      <c r="AC1023" s="1783"/>
      <c r="AD1023" s="1783"/>
      <c r="AE1023" s="1784"/>
      <c r="AF1023" s="1801"/>
      <c r="AG1023" s="1801"/>
      <c r="AH1023" s="1801"/>
      <c r="AI1023" s="1801"/>
      <c r="AJ1023" s="1763"/>
      <c r="AK1023" s="1764"/>
      <c r="AL1023" s="1764"/>
      <c r="AM1023" s="1764"/>
      <c r="AN1023" s="1764"/>
      <c r="AO1023" s="1764"/>
      <c r="AP1023" s="1764"/>
      <c r="AQ1023" s="1765"/>
      <c r="AR1023" s="68"/>
      <c r="AS1023" s="68"/>
      <c r="AT1023" s="68"/>
      <c r="AU1023" s="68"/>
      <c r="AV1023" s="68"/>
      <c r="AW1023" s="68"/>
      <c r="AX1023" s="68"/>
      <c r="AY1023" s="201">
        <f>IF(A1103="Yes",0.02,0)</f>
        <v>0</v>
      </c>
    </row>
    <row r="1024" spans="1:51" ht="13" customHeight="1">
      <c r="A1024" s="14"/>
      <c r="B1024" s="81"/>
      <c r="C1024" s="84"/>
      <c r="D1024" s="527" t="s">
        <v>358</v>
      </c>
      <c r="E1024" s="90"/>
      <c r="F1024" s="90"/>
      <c r="G1024" s="104"/>
      <c r="H1024" s="104"/>
      <c r="I1024" s="49"/>
      <c r="J1024" s="1824" t="s">
        <v>590</v>
      </c>
      <c r="K1024" s="1825"/>
      <c r="L1024" s="1825"/>
      <c r="M1024" s="1825"/>
      <c r="N1024" s="1825"/>
      <c r="O1024" s="1825"/>
      <c r="P1024" s="1825"/>
      <c r="Q1024" s="1825"/>
      <c r="R1024" s="1825"/>
      <c r="S1024" s="1825"/>
      <c r="T1024" s="1825"/>
      <c r="U1024" s="1825"/>
      <c r="V1024" s="1825"/>
      <c r="W1024" s="1825"/>
      <c r="X1024" s="1825"/>
      <c r="Y1024" s="1825"/>
      <c r="Z1024" s="1825"/>
      <c r="AA1024" s="1825"/>
      <c r="AB1024" s="1825"/>
      <c r="AC1024" s="1825"/>
      <c r="AD1024" s="1825"/>
      <c r="AE1024" s="1826"/>
      <c r="AF1024" s="1801"/>
      <c r="AG1024" s="1801"/>
      <c r="AH1024" s="1801"/>
      <c r="AI1024" s="1801"/>
      <c r="AJ1024" s="1766"/>
      <c r="AK1024" s="1767"/>
      <c r="AL1024" s="1767"/>
      <c r="AM1024" s="1767"/>
      <c r="AN1024" s="1767"/>
      <c r="AO1024" s="1767"/>
      <c r="AP1024" s="1767"/>
      <c r="AQ1024" s="1768"/>
      <c r="AR1024" s="68"/>
      <c r="AS1024" s="68"/>
      <c r="AT1024" s="68"/>
      <c r="AU1024" s="68"/>
      <c r="AV1024" s="68"/>
      <c r="AW1024" s="68"/>
      <c r="AX1024" s="68"/>
      <c r="AY1024" s="68"/>
    </row>
    <row r="1025" spans="1:57" ht="13" customHeight="1">
      <c r="A1025" s="14"/>
      <c r="B1025" s="79"/>
      <c r="C1025" s="80" t="s">
        <v>228</v>
      </c>
      <c r="D1025" s="1779" t="s">
        <v>1293</v>
      </c>
      <c r="E1025" s="1780"/>
      <c r="F1025" s="1780"/>
      <c r="G1025" s="1780"/>
      <c r="H1025" s="1780"/>
      <c r="I1025" s="1780"/>
      <c r="J1025" s="1780"/>
      <c r="K1025" s="1780"/>
      <c r="L1025" s="1780"/>
      <c r="M1025" s="1780"/>
      <c r="N1025" s="1780"/>
      <c r="O1025" s="1780"/>
      <c r="P1025" s="1780"/>
      <c r="Q1025" s="1780"/>
      <c r="R1025" s="1780"/>
      <c r="S1025" s="1780"/>
      <c r="T1025" s="1780"/>
      <c r="U1025" s="1780"/>
      <c r="V1025" s="1780"/>
      <c r="W1025" s="1780"/>
      <c r="X1025" s="1780"/>
      <c r="Y1025" s="1780"/>
      <c r="Z1025" s="1780"/>
      <c r="AA1025" s="1780"/>
      <c r="AB1025" s="1780"/>
      <c r="AC1025" s="1780"/>
      <c r="AD1025" s="1780"/>
      <c r="AE1025" s="1781"/>
      <c r="AF1025" s="79"/>
      <c r="AG1025" s="1772" t="s">
        <v>668</v>
      </c>
      <c r="AH1025" s="1773"/>
      <c r="AI1025" s="87"/>
      <c r="AJ1025" s="1760">
        <f>ROUND(IF(AG1025="Yes",AF1027,0),0)</f>
        <v>0</v>
      </c>
      <c r="AK1025" s="1761"/>
      <c r="AL1025" s="1761"/>
      <c r="AM1025" s="1761"/>
      <c r="AN1025" s="1761"/>
      <c r="AO1025" s="1761"/>
      <c r="AP1025" s="1761"/>
      <c r="AQ1025" s="1762"/>
      <c r="AR1025" s="68"/>
      <c r="AS1025" s="68"/>
      <c r="AT1025" s="68"/>
      <c r="AU1025" s="68"/>
      <c r="AV1025" s="68"/>
      <c r="AW1025" s="68"/>
      <c r="AX1025" s="68"/>
      <c r="AY1025" s="68"/>
    </row>
    <row r="1026" spans="1:57" ht="13" customHeight="1">
      <c r="A1026" s="14"/>
      <c r="B1026" s="73"/>
      <c r="C1026" s="74"/>
      <c r="D1026" s="1782" t="s">
        <v>1689</v>
      </c>
      <c r="E1026" s="1783"/>
      <c r="F1026" s="1783"/>
      <c r="G1026" s="1783"/>
      <c r="H1026" s="1783"/>
      <c r="I1026" s="1783"/>
      <c r="J1026" s="1783"/>
      <c r="K1026" s="1783"/>
      <c r="L1026" s="1783"/>
      <c r="M1026" s="1783"/>
      <c r="N1026" s="1783"/>
      <c r="O1026" s="1783"/>
      <c r="P1026" s="1783"/>
      <c r="Q1026" s="1783"/>
      <c r="R1026" s="1783"/>
      <c r="S1026" s="1783"/>
      <c r="T1026" s="1783"/>
      <c r="U1026" s="1783"/>
      <c r="V1026" s="1783"/>
      <c r="W1026" s="1783"/>
      <c r="X1026" s="1783"/>
      <c r="Y1026" s="1783"/>
      <c r="Z1026" s="1783"/>
      <c r="AA1026" s="1783"/>
      <c r="AB1026" s="1783"/>
      <c r="AC1026" s="1783"/>
      <c r="AD1026" s="1783"/>
      <c r="AE1026" s="1784"/>
      <c r="AF1026" s="1821" t="str">
        <f>IF(AG1025="yes","Enter Amount:","")</f>
        <v/>
      </c>
      <c r="AG1026" s="1822"/>
      <c r="AH1026" s="1822"/>
      <c r="AI1026" s="1823"/>
      <c r="AJ1026" s="1763"/>
      <c r="AK1026" s="1764"/>
      <c r="AL1026" s="1764"/>
      <c r="AM1026" s="1764"/>
      <c r="AN1026" s="1764"/>
      <c r="AO1026" s="1764"/>
      <c r="AP1026" s="1764"/>
      <c r="AQ1026" s="1765"/>
      <c r="AR1026" s="68"/>
      <c r="AS1026" s="68"/>
      <c r="AT1026" s="68"/>
      <c r="AU1026" s="68"/>
      <c r="AV1026" s="68"/>
      <c r="AW1026" s="68"/>
      <c r="AX1026" s="68"/>
      <c r="AY1026" s="68"/>
    </row>
    <row r="1027" spans="1:57" ht="13" customHeight="1">
      <c r="A1027" s="14"/>
      <c r="B1027" s="73"/>
      <c r="C1027" s="74"/>
      <c r="D1027" s="1782"/>
      <c r="E1027" s="1783"/>
      <c r="F1027" s="1783"/>
      <c r="G1027" s="1783"/>
      <c r="H1027" s="1783"/>
      <c r="I1027" s="1783"/>
      <c r="J1027" s="1783"/>
      <c r="K1027" s="1783"/>
      <c r="L1027" s="1783"/>
      <c r="M1027" s="1783"/>
      <c r="N1027" s="1783"/>
      <c r="O1027" s="1783"/>
      <c r="P1027" s="1783"/>
      <c r="Q1027" s="1783"/>
      <c r="R1027" s="1783"/>
      <c r="S1027" s="1783"/>
      <c r="T1027" s="1783"/>
      <c r="U1027" s="1783"/>
      <c r="V1027" s="1783"/>
      <c r="W1027" s="1783"/>
      <c r="X1027" s="1783"/>
      <c r="Y1027" s="1783"/>
      <c r="Z1027" s="1783"/>
      <c r="AA1027" s="1783"/>
      <c r="AB1027" s="1783"/>
      <c r="AC1027" s="1783"/>
      <c r="AD1027" s="1783"/>
      <c r="AE1027" s="1784"/>
      <c r="AF1027" s="1801"/>
      <c r="AG1027" s="1801"/>
      <c r="AH1027" s="1801"/>
      <c r="AI1027" s="1801"/>
      <c r="AJ1027" s="1763"/>
      <c r="AK1027" s="1764"/>
      <c r="AL1027" s="1764"/>
      <c r="AM1027" s="1764"/>
      <c r="AN1027" s="1764"/>
      <c r="AO1027" s="1764"/>
      <c r="AP1027" s="1764"/>
      <c r="AQ1027" s="1765"/>
      <c r="AR1027" s="68"/>
      <c r="AS1027" s="68"/>
      <c r="AT1027" s="68"/>
      <c r="AU1027" s="68"/>
      <c r="AV1027" s="68"/>
      <c r="AW1027" s="68"/>
      <c r="AX1027" s="68"/>
      <c r="AY1027" s="68" t="str">
        <f>"Select items beginning on row #"&amp;TEXT(ROW(A1061),"#")&amp;" to claim this boost"</f>
        <v>Select items beginning on row #1061 to claim this boost</v>
      </c>
    </row>
    <row r="1028" spans="1:57" ht="13" customHeight="1">
      <c r="A1028" s="14"/>
      <c r="B1028" s="85"/>
      <c r="C1028" s="84"/>
      <c r="D1028" s="1785"/>
      <c r="E1028" s="1786"/>
      <c r="F1028" s="1786"/>
      <c r="G1028" s="1786"/>
      <c r="H1028" s="1786"/>
      <c r="I1028" s="1786"/>
      <c r="J1028" s="1786"/>
      <c r="K1028" s="1786"/>
      <c r="L1028" s="1786"/>
      <c r="M1028" s="1786"/>
      <c r="N1028" s="1786"/>
      <c r="O1028" s="1786"/>
      <c r="P1028" s="1786"/>
      <c r="Q1028" s="1786"/>
      <c r="R1028" s="1786"/>
      <c r="S1028" s="1786"/>
      <c r="T1028" s="1786"/>
      <c r="U1028" s="1786"/>
      <c r="V1028" s="1786"/>
      <c r="W1028" s="1786"/>
      <c r="X1028" s="1786"/>
      <c r="Y1028" s="1786"/>
      <c r="Z1028" s="1786"/>
      <c r="AA1028" s="1786"/>
      <c r="AB1028" s="1786"/>
      <c r="AC1028" s="1786"/>
      <c r="AD1028" s="1786"/>
      <c r="AE1028" s="1787"/>
      <c r="AF1028" s="1801"/>
      <c r="AG1028" s="1801"/>
      <c r="AH1028" s="1801"/>
      <c r="AI1028" s="1801"/>
      <c r="AJ1028" s="1766"/>
      <c r="AK1028" s="1767"/>
      <c r="AL1028" s="1767"/>
      <c r="AM1028" s="1767"/>
      <c r="AN1028" s="1767"/>
      <c r="AO1028" s="1767"/>
      <c r="AP1028" s="1767"/>
      <c r="AQ1028" s="1768"/>
      <c r="AR1028" s="68"/>
      <c r="AS1028" s="68"/>
      <c r="AT1028" s="68"/>
      <c r="AU1028" s="68"/>
      <c r="AV1028" s="68"/>
      <c r="AW1028" s="68"/>
      <c r="AX1028" s="68"/>
      <c r="AY1028" s="68"/>
    </row>
    <row r="1029" spans="1:57" ht="13" customHeight="1">
      <c r="A1029" s="14"/>
      <c r="B1029" s="79"/>
      <c r="C1029" s="80" t="s">
        <v>233</v>
      </c>
      <c r="D1029" s="1751" t="s">
        <v>1294</v>
      </c>
      <c r="E1029" s="1752"/>
      <c r="F1029" s="1752"/>
      <c r="G1029" s="1752"/>
      <c r="H1029" s="1752"/>
      <c r="I1029" s="1752"/>
      <c r="J1029" s="1752"/>
      <c r="K1029" s="1752"/>
      <c r="L1029" s="1752"/>
      <c r="M1029" s="1752"/>
      <c r="N1029" s="1752"/>
      <c r="O1029" s="1752"/>
      <c r="P1029" s="1752"/>
      <c r="Q1029" s="1752"/>
      <c r="R1029" s="1752"/>
      <c r="S1029" s="1752"/>
      <c r="T1029" s="1752"/>
      <c r="U1029" s="1752"/>
      <c r="V1029" s="1752"/>
      <c r="W1029" s="1752"/>
      <c r="X1029" s="1752"/>
      <c r="Y1029" s="1752"/>
      <c r="Z1029" s="1752"/>
      <c r="AA1029" s="1752"/>
      <c r="AB1029" s="1752"/>
      <c r="AC1029" s="1752"/>
      <c r="AD1029" s="1752"/>
      <c r="AE1029" s="1753"/>
      <c r="AF1029" s="79"/>
      <c r="AG1029" s="1772" t="s">
        <v>544</v>
      </c>
      <c r="AH1029" s="1773"/>
      <c r="AI1029" s="87"/>
      <c r="AJ1029" s="1760">
        <f>ROUND(IF(AG1029="yes",(AJ992*0.1),0),0)</f>
        <v>3089050</v>
      </c>
      <c r="AK1029" s="1761"/>
      <c r="AL1029" s="1761"/>
      <c r="AM1029" s="1761"/>
      <c r="AN1029" s="1761"/>
      <c r="AO1029" s="1761"/>
      <c r="AP1029" s="1761"/>
      <c r="AQ1029" s="1762"/>
      <c r="AR1029" s="68"/>
      <c r="AS1029" s="68"/>
      <c r="AT1029" s="68"/>
      <c r="AU1029" s="68"/>
      <c r="AV1029" s="68"/>
      <c r="AW1029" s="68"/>
      <c r="AX1029" s="68"/>
      <c r="AY1029" s="68"/>
    </row>
    <row r="1030" spans="1:57" ht="13" customHeight="1">
      <c r="A1030" s="14"/>
      <c r="B1030" s="73"/>
      <c r="C1030" s="74"/>
      <c r="D1030" s="1782" t="s">
        <v>1295</v>
      </c>
      <c r="E1030" s="1783"/>
      <c r="F1030" s="1783"/>
      <c r="G1030" s="1783"/>
      <c r="H1030" s="1783"/>
      <c r="I1030" s="1783"/>
      <c r="J1030" s="1783"/>
      <c r="K1030" s="1783"/>
      <c r="L1030" s="1783"/>
      <c r="M1030" s="1783"/>
      <c r="N1030" s="1783"/>
      <c r="O1030" s="1783"/>
      <c r="P1030" s="1783"/>
      <c r="Q1030" s="1783"/>
      <c r="R1030" s="1783"/>
      <c r="S1030" s="1783"/>
      <c r="T1030" s="1783"/>
      <c r="U1030" s="1783"/>
      <c r="V1030" s="1783"/>
      <c r="W1030" s="1783"/>
      <c r="X1030" s="1783"/>
      <c r="Y1030" s="1783"/>
      <c r="Z1030" s="1783"/>
      <c r="AA1030" s="1783"/>
      <c r="AB1030" s="1783"/>
      <c r="AC1030" s="1783"/>
      <c r="AD1030" s="1783"/>
      <c r="AE1030" s="1784"/>
      <c r="AF1030" s="73"/>
      <c r="AG1030" s="14"/>
      <c r="AH1030" s="14"/>
      <c r="AI1030" s="83"/>
      <c r="AJ1030" s="1763"/>
      <c r="AK1030" s="1764"/>
      <c r="AL1030" s="1764"/>
      <c r="AM1030" s="1764"/>
      <c r="AN1030" s="1764"/>
      <c r="AO1030" s="1764"/>
      <c r="AP1030" s="1764"/>
      <c r="AQ1030" s="1765"/>
      <c r="AR1030" s="68"/>
      <c r="AS1030" s="68"/>
      <c r="AT1030" s="68"/>
      <c r="AU1030" s="68"/>
      <c r="AV1030" s="68"/>
      <c r="AW1030" s="68"/>
      <c r="AX1030" s="68"/>
      <c r="AY1030" s="68"/>
    </row>
    <row r="1031" spans="1:57" ht="13" customHeight="1">
      <c r="A1031" s="14"/>
      <c r="B1031" s="77"/>
      <c r="C1031" s="74"/>
      <c r="D1031" s="1785"/>
      <c r="E1031" s="1786"/>
      <c r="F1031" s="1786"/>
      <c r="G1031" s="1786"/>
      <c r="H1031" s="1786"/>
      <c r="I1031" s="1786"/>
      <c r="J1031" s="1786"/>
      <c r="K1031" s="1786"/>
      <c r="L1031" s="1786"/>
      <c r="M1031" s="1786"/>
      <c r="N1031" s="1786"/>
      <c r="O1031" s="1786"/>
      <c r="P1031" s="1786"/>
      <c r="Q1031" s="1786"/>
      <c r="R1031" s="1786"/>
      <c r="S1031" s="1786"/>
      <c r="T1031" s="1786"/>
      <c r="U1031" s="1786"/>
      <c r="V1031" s="1786"/>
      <c r="W1031" s="1786"/>
      <c r="X1031" s="1786"/>
      <c r="Y1031" s="1786"/>
      <c r="Z1031" s="1786"/>
      <c r="AA1031" s="1786"/>
      <c r="AB1031" s="1786"/>
      <c r="AC1031" s="1786"/>
      <c r="AD1031" s="1786"/>
      <c r="AE1031" s="1787"/>
      <c r="AF1031" s="73"/>
      <c r="AG1031" s="14"/>
      <c r="AH1031" s="14"/>
      <c r="AI1031" s="83"/>
      <c r="AJ1031" s="1766"/>
      <c r="AK1031" s="1767"/>
      <c r="AL1031" s="1767"/>
      <c r="AM1031" s="1767"/>
      <c r="AN1031" s="1767"/>
      <c r="AO1031" s="1767"/>
      <c r="AP1031" s="1767"/>
      <c r="AQ1031" s="1768"/>
      <c r="AR1031" s="68"/>
      <c r="AS1031" s="68"/>
      <c r="AT1031" s="68"/>
      <c r="AU1031" s="68"/>
      <c r="AV1031" s="68"/>
      <c r="AW1031" s="68"/>
      <c r="AX1031" s="68"/>
      <c r="AY1031" s="68"/>
    </row>
    <row r="1032" spans="1:57" ht="13" customHeight="1">
      <c r="A1032" s="14"/>
      <c r="B1032" s="73"/>
      <c r="C1032" s="340" t="s">
        <v>686</v>
      </c>
      <c r="D1032" s="1779" t="s">
        <v>1685</v>
      </c>
      <c r="E1032" s="1780"/>
      <c r="F1032" s="1780"/>
      <c r="G1032" s="1780"/>
      <c r="H1032" s="1780"/>
      <c r="I1032" s="1780"/>
      <c r="J1032" s="1780"/>
      <c r="K1032" s="1780"/>
      <c r="L1032" s="1780"/>
      <c r="M1032" s="1780"/>
      <c r="N1032" s="1780"/>
      <c r="O1032" s="1780"/>
      <c r="P1032" s="1780"/>
      <c r="Q1032" s="1780"/>
      <c r="R1032" s="1780"/>
      <c r="S1032" s="1780"/>
      <c r="T1032" s="1780"/>
      <c r="U1032" s="1780"/>
      <c r="V1032" s="1780"/>
      <c r="W1032" s="1780"/>
      <c r="X1032" s="1780"/>
      <c r="Y1032" s="1780"/>
      <c r="Z1032" s="1780"/>
      <c r="AA1032" s="1780"/>
      <c r="AB1032" s="1780"/>
      <c r="AC1032" s="1780"/>
      <c r="AD1032" s="1780"/>
      <c r="AE1032" s="1781"/>
      <c r="AF1032" s="79"/>
      <c r="AG1032" s="1772" t="s">
        <v>668</v>
      </c>
      <c r="AH1032" s="1773"/>
      <c r="AI1032" s="87"/>
      <c r="AJ1032" s="1760">
        <f>ROUND(IF(AG1032="yes",(AJ992*0.15),0),0)</f>
        <v>0</v>
      </c>
      <c r="AK1032" s="1761"/>
      <c r="AL1032" s="1761"/>
      <c r="AM1032" s="1761"/>
      <c r="AN1032" s="1761"/>
      <c r="AO1032" s="1761"/>
      <c r="AP1032" s="1761"/>
      <c r="AQ1032" s="1762"/>
      <c r="AR1032" s="68"/>
      <c r="AS1032" s="68"/>
      <c r="AT1032" s="68"/>
      <c r="AU1032" s="68"/>
      <c r="AV1032" s="68"/>
      <c r="AW1032" s="68"/>
      <c r="AX1032" s="68"/>
      <c r="AY1032" s="68"/>
    </row>
    <row r="1033" spans="1:57" ht="13" customHeight="1">
      <c r="A1033" s="14"/>
      <c r="B1033" s="73"/>
      <c r="C1033" s="74"/>
      <c r="D1033" s="1774" t="s">
        <v>1686</v>
      </c>
      <c r="E1033" s="1276"/>
      <c r="F1033" s="1276"/>
      <c r="G1033" s="1276"/>
      <c r="H1033" s="1276"/>
      <c r="I1033" s="1276"/>
      <c r="J1033" s="1276"/>
      <c r="K1033" s="1276"/>
      <c r="L1033" s="1276"/>
      <c r="M1033" s="1276"/>
      <c r="N1033" s="1276"/>
      <c r="O1033" s="1276"/>
      <c r="P1033" s="1276"/>
      <c r="Q1033" s="1276"/>
      <c r="R1033" s="1276"/>
      <c r="S1033" s="1276"/>
      <c r="T1033" s="1276"/>
      <c r="U1033" s="1276"/>
      <c r="V1033" s="1276"/>
      <c r="W1033" s="1276"/>
      <c r="X1033" s="1276"/>
      <c r="Y1033" s="1276"/>
      <c r="Z1033" s="1276"/>
      <c r="AA1033" s="1276"/>
      <c r="AB1033" s="1276"/>
      <c r="AC1033" s="1276"/>
      <c r="AD1033" s="1276"/>
      <c r="AE1033" s="1775"/>
      <c r="AF1033" s="916"/>
      <c r="AG1033" s="917"/>
      <c r="AH1033" s="917"/>
      <c r="AI1033" s="918"/>
      <c r="AJ1033" s="1763"/>
      <c r="AK1033" s="1764"/>
      <c r="AL1033" s="1764"/>
      <c r="AM1033" s="1764"/>
      <c r="AN1033" s="1764"/>
      <c r="AO1033" s="1764"/>
      <c r="AP1033" s="1764"/>
      <c r="AQ1033" s="1765"/>
      <c r="AR1033" s="68"/>
      <c r="AS1033" s="68"/>
      <c r="AT1033" s="68"/>
      <c r="AU1033" s="68"/>
      <c r="AV1033" s="68"/>
      <c r="AW1033" s="68"/>
      <c r="AX1033" s="68"/>
      <c r="AY1033" s="68"/>
    </row>
    <row r="1034" spans="1:57" ht="13" customHeight="1">
      <c r="A1034" s="14"/>
      <c r="B1034" s="73"/>
      <c r="C1034" s="74"/>
      <c r="D1034" s="1774"/>
      <c r="E1034" s="1276"/>
      <c r="F1034" s="1276"/>
      <c r="G1034" s="1276"/>
      <c r="H1034" s="1276"/>
      <c r="I1034" s="1276"/>
      <c r="J1034" s="1276"/>
      <c r="K1034" s="1276"/>
      <c r="L1034" s="1276"/>
      <c r="M1034" s="1276"/>
      <c r="N1034" s="1276"/>
      <c r="O1034" s="1276"/>
      <c r="P1034" s="1276"/>
      <c r="Q1034" s="1276"/>
      <c r="R1034" s="1276"/>
      <c r="S1034" s="1276"/>
      <c r="T1034" s="1276"/>
      <c r="U1034" s="1276"/>
      <c r="V1034" s="1276"/>
      <c r="W1034" s="1276"/>
      <c r="X1034" s="1276"/>
      <c r="Y1034" s="1276"/>
      <c r="Z1034" s="1276"/>
      <c r="AA1034" s="1276"/>
      <c r="AB1034" s="1276"/>
      <c r="AC1034" s="1276"/>
      <c r="AD1034" s="1276"/>
      <c r="AE1034" s="1775"/>
      <c r="AF1034" s="916"/>
      <c r="AG1034" s="917"/>
      <c r="AH1034" s="917"/>
      <c r="AI1034" s="918"/>
      <c r="AJ1034" s="1763"/>
      <c r="AK1034" s="1764"/>
      <c r="AL1034" s="1764"/>
      <c r="AM1034" s="1764"/>
      <c r="AN1034" s="1764"/>
      <c r="AO1034" s="1764"/>
      <c r="AP1034" s="1764"/>
      <c r="AQ1034" s="1765"/>
      <c r="AR1034" s="68"/>
      <c r="AS1034" s="68"/>
      <c r="AT1034" s="68"/>
      <c r="AU1034" s="68"/>
      <c r="AV1034" s="68"/>
      <c r="AW1034" s="68"/>
      <c r="AX1034" s="68"/>
      <c r="AY1034" s="68"/>
    </row>
    <row r="1035" spans="1:57" ht="13" customHeight="1">
      <c r="A1035" s="14"/>
      <c r="B1035" s="73"/>
      <c r="C1035" s="74"/>
      <c r="D1035" s="1776"/>
      <c r="E1035" s="1777"/>
      <c r="F1035" s="1777"/>
      <c r="G1035" s="1777"/>
      <c r="H1035" s="1777"/>
      <c r="I1035" s="1777"/>
      <c r="J1035" s="1777"/>
      <c r="K1035" s="1777"/>
      <c r="L1035" s="1777"/>
      <c r="M1035" s="1777"/>
      <c r="N1035" s="1777"/>
      <c r="O1035" s="1777"/>
      <c r="P1035" s="1777"/>
      <c r="Q1035" s="1777"/>
      <c r="R1035" s="1777"/>
      <c r="S1035" s="1777"/>
      <c r="T1035" s="1777"/>
      <c r="U1035" s="1777"/>
      <c r="V1035" s="1777"/>
      <c r="W1035" s="1777"/>
      <c r="X1035" s="1777"/>
      <c r="Y1035" s="1777"/>
      <c r="Z1035" s="1777"/>
      <c r="AA1035" s="1777"/>
      <c r="AB1035" s="1777"/>
      <c r="AC1035" s="1777"/>
      <c r="AD1035" s="1777"/>
      <c r="AE1035" s="1778"/>
      <c r="AF1035" s="919"/>
      <c r="AG1035" s="920"/>
      <c r="AH1035" s="920"/>
      <c r="AI1035" s="921"/>
      <c r="AJ1035" s="1766"/>
      <c r="AK1035" s="1767"/>
      <c r="AL1035" s="1767"/>
      <c r="AM1035" s="1767"/>
      <c r="AN1035" s="1767"/>
      <c r="AO1035" s="1767"/>
      <c r="AP1035" s="1767"/>
      <c r="AQ1035" s="1768"/>
      <c r="AR1035" s="68"/>
      <c r="AS1035" s="68"/>
      <c r="AT1035" s="68"/>
      <c r="AU1035" s="68"/>
      <c r="AV1035" s="68"/>
      <c r="AW1035" s="68"/>
      <c r="AX1035" s="68"/>
      <c r="AY1035" s="68"/>
    </row>
    <row r="1036" spans="1:57" ht="13" customHeight="1">
      <c r="A1036" s="14"/>
      <c r="B1036" s="73"/>
      <c r="C1036" s="340" t="s">
        <v>686</v>
      </c>
      <c r="D1036" s="1751" t="s">
        <v>1687</v>
      </c>
      <c r="E1036" s="1752"/>
      <c r="F1036" s="1752"/>
      <c r="G1036" s="1752"/>
      <c r="H1036" s="1752"/>
      <c r="I1036" s="1752"/>
      <c r="J1036" s="1752"/>
      <c r="K1036" s="1752"/>
      <c r="L1036" s="1752"/>
      <c r="M1036" s="1752"/>
      <c r="N1036" s="1752"/>
      <c r="O1036" s="1752"/>
      <c r="P1036" s="1752"/>
      <c r="Q1036" s="1752"/>
      <c r="R1036" s="1752"/>
      <c r="S1036" s="1752"/>
      <c r="T1036" s="1752"/>
      <c r="U1036" s="1752"/>
      <c r="V1036" s="1752"/>
      <c r="W1036" s="1752"/>
      <c r="X1036" s="1752"/>
      <c r="Y1036" s="1752"/>
      <c r="Z1036" s="1752"/>
      <c r="AA1036" s="1752"/>
      <c r="AB1036" s="1752"/>
      <c r="AC1036" s="1752"/>
      <c r="AD1036" s="1752"/>
      <c r="AE1036" s="1753"/>
      <c r="AF1036" s="73"/>
      <c r="AG1036" s="1793" t="s">
        <v>668</v>
      </c>
      <c r="AH1036" s="1794"/>
      <c r="AI1036" s="83"/>
      <c r="AJ1036" s="1760">
        <f>ROUND(IF(AND(AG1036="yes",AJ1032=0),(AJ992*0.1),0),0)</f>
        <v>0</v>
      </c>
      <c r="AK1036" s="1761"/>
      <c r="AL1036" s="1761"/>
      <c r="AM1036" s="1761"/>
      <c r="AN1036" s="1761"/>
      <c r="AO1036" s="1761"/>
      <c r="AP1036" s="1761"/>
      <c r="AQ1036" s="1762"/>
      <c r="AR1036" s="68"/>
      <c r="AS1036" s="68"/>
      <c r="AT1036" s="68"/>
      <c r="AU1036" s="68"/>
      <c r="AV1036" s="68"/>
      <c r="AW1036" s="68"/>
      <c r="AX1036" s="68"/>
      <c r="AY1036" s="68"/>
    </row>
    <row r="1037" spans="1:57" ht="13" customHeight="1">
      <c r="A1037" s="14"/>
      <c r="B1037" s="73"/>
      <c r="C1037" s="74"/>
      <c r="D1037" s="1774" t="s">
        <v>1688</v>
      </c>
      <c r="E1037" s="1276"/>
      <c r="F1037" s="1276"/>
      <c r="G1037" s="1276"/>
      <c r="H1037" s="1276"/>
      <c r="I1037" s="1276"/>
      <c r="J1037" s="1276"/>
      <c r="K1037" s="1276"/>
      <c r="L1037" s="1276"/>
      <c r="M1037" s="1276"/>
      <c r="N1037" s="1276"/>
      <c r="O1037" s="1276"/>
      <c r="P1037" s="1276"/>
      <c r="Q1037" s="1276"/>
      <c r="R1037" s="1276"/>
      <c r="S1037" s="1276"/>
      <c r="T1037" s="1276"/>
      <c r="U1037" s="1276"/>
      <c r="V1037" s="1276"/>
      <c r="W1037" s="1276"/>
      <c r="X1037" s="1276"/>
      <c r="Y1037" s="1276"/>
      <c r="Z1037" s="1276"/>
      <c r="AA1037" s="1276"/>
      <c r="AB1037" s="1276"/>
      <c r="AC1037" s="1276"/>
      <c r="AD1037" s="1276"/>
      <c r="AE1037" s="1775"/>
      <c r="AF1037" s="73"/>
      <c r="AG1037" s="14"/>
      <c r="AH1037" s="14"/>
      <c r="AI1037" s="83"/>
      <c r="AJ1037" s="1763"/>
      <c r="AK1037" s="1764"/>
      <c r="AL1037" s="1764"/>
      <c r="AM1037" s="1764"/>
      <c r="AN1037" s="1764"/>
      <c r="AO1037" s="1764"/>
      <c r="AP1037" s="1764"/>
      <c r="AQ1037" s="1765"/>
      <c r="AR1037" s="68"/>
      <c r="AS1037" s="68"/>
      <c r="AT1037" s="68"/>
      <c r="AU1037" s="68"/>
      <c r="AV1037" s="68"/>
      <c r="AW1037" s="68"/>
      <c r="AX1037" s="68"/>
      <c r="AY1037" s="68"/>
    </row>
    <row r="1038" spans="1:57" ht="13" customHeight="1">
      <c r="A1038" s="14"/>
      <c r="B1038" s="73"/>
      <c r="C1038" s="74"/>
      <c r="D1038" s="1774"/>
      <c r="E1038" s="1276"/>
      <c r="F1038" s="1276"/>
      <c r="G1038" s="1276"/>
      <c r="H1038" s="1276"/>
      <c r="I1038" s="1276"/>
      <c r="J1038" s="1276"/>
      <c r="K1038" s="1276"/>
      <c r="L1038" s="1276"/>
      <c r="M1038" s="1276"/>
      <c r="N1038" s="1276"/>
      <c r="O1038" s="1276"/>
      <c r="P1038" s="1276"/>
      <c r="Q1038" s="1276"/>
      <c r="R1038" s="1276"/>
      <c r="S1038" s="1276"/>
      <c r="T1038" s="1276"/>
      <c r="U1038" s="1276"/>
      <c r="V1038" s="1276"/>
      <c r="W1038" s="1276"/>
      <c r="X1038" s="1276"/>
      <c r="Y1038" s="1276"/>
      <c r="Z1038" s="1276"/>
      <c r="AA1038" s="1276"/>
      <c r="AB1038" s="1276"/>
      <c r="AC1038" s="1276"/>
      <c r="AD1038" s="1276"/>
      <c r="AE1038" s="1775"/>
      <c r="AF1038" s="73"/>
      <c r="AG1038" s="14"/>
      <c r="AH1038" s="14"/>
      <c r="AI1038" s="83"/>
      <c r="AJ1038" s="1763"/>
      <c r="AK1038" s="1764"/>
      <c r="AL1038" s="1764"/>
      <c r="AM1038" s="1764"/>
      <c r="AN1038" s="1764"/>
      <c r="AO1038" s="1764"/>
      <c r="AP1038" s="1764"/>
      <c r="AQ1038" s="1765"/>
      <c r="AR1038" s="68"/>
      <c r="AS1038" s="68"/>
      <c r="AT1038" s="68"/>
      <c r="AU1038" s="68"/>
      <c r="AV1038" s="68"/>
      <c r="AW1038" s="68"/>
      <c r="AX1038" s="68"/>
      <c r="AY1038" s="68"/>
      <c r="BA1038" s="1185">
        <f>IFERROR(('Sources and Uses Budget'!$C$17+'Sources and Uses Budget'!$C$18+'Sources and Uses Budget'!$C$22)/$AG$437,0)</f>
        <v>138027.1475409836</v>
      </c>
      <c r="BB1038" s="1185" t="s">
        <v>2491</v>
      </c>
      <c r="BC1038" s="1185"/>
      <c r="BD1038" s="1185"/>
      <c r="BE1038" s="1185"/>
    </row>
    <row r="1039" spans="1:57" ht="13" customHeight="1">
      <c r="A1039" s="14"/>
      <c r="B1039" s="73"/>
      <c r="C1039" s="74"/>
      <c r="D1039" s="1774"/>
      <c r="E1039" s="1276"/>
      <c r="F1039" s="1276"/>
      <c r="G1039" s="1276"/>
      <c r="H1039" s="1276"/>
      <c r="I1039" s="1276"/>
      <c r="J1039" s="1276"/>
      <c r="K1039" s="1276"/>
      <c r="L1039" s="1276"/>
      <c r="M1039" s="1276"/>
      <c r="N1039" s="1276"/>
      <c r="O1039" s="1276"/>
      <c r="P1039" s="1276"/>
      <c r="Q1039" s="1276"/>
      <c r="R1039" s="1276"/>
      <c r="S1039" s="1276"/>
      <c r="T1039" s="1276"/>
      <c r="U1039" s="1276"/>
      <c r="V1039" s="1276"/>
      <c r="W1039" s="1276"/>
      <c r="X1039" s="1276"/>
      <c r="Y1039" s="1276"/>
      <c r="Z1039" s="1276"/>
      <c r="AA1039" s="1276"/>
      <c r="AB1039" s="1276"/>
      <c r="AC1039" s="1276"/>
      <c r="AD1039" s="1276"/>
      <c r="AE1039" s="1775"/>
      <c r="AF1039" s="73"/>
      <c r="AG1039" s="14"/>
      <c r="AH1039" s="14"/>
      <c r="AI1039" s="83"/>
      <c r="AJ1039" s="1763"/>
      <c r="AK1039" s="1764"/>
      <c r="AL1039" s="1764"/>
      <c r="AM1039" s="1764"/>
      <c r="AN1039" s="1764"/>
      <c r="AO1039" s="1764"/>
      <c r="AP1039" s="1764"/>
      <c r="AQ1039" s="1765"/>
      <c r="AR1039" s="68"/>
      <c r="AS1039" s="68"/>
      <c r="AT1039" s="68"/>
      <c r="AU1039" s="68"/>
      <c r="AV1039" s="68"/>
      <c r="AW1039" s="68"/>
      <c r="AX1039" s="68"/>
      <c r="AY1039" s="68"/>
      <c r="BA1039">
        <f>IFERROR((($CI$753+$CM$753)/$AG$440),0)</f>
        <v>1</v>
      </c>
      <c r="BB1039" s="3" t="s">
        <v>2495</v>
      </c>
    </row>
    <row r="1040" spans="1:57" ht="13" customHeight="1">
      <c r="A1040" s="14"/>
      <c r="B1040" s="73"/>
      <c r="C1040" s="74"/>
      <c r="D1040" s="1776"/>
      <c r="E1040" s="1777"/>
      <c r="F1040" s="1777"/>
      <c r="G1040" s="1777"/>
      <c r="H1040" s="1777"/>
      <c r="I1040" s="1777"/>
      <c r="J1040" s="1777"/>
      <c r="K1040" s="1777"/>
      <c r="L1040" s="1777"/>
      <c r="M1040" s="1777"/>
      <c r="N1040" s="1777"/>
      <c r="O1040" s="1777"/>
      <c r="P1040" s="1777"/>
      <c r="Q1040" s="1777"/>
      <c r="R1040" s="1777"/>
      <c r="S1040" s="1777"/>
      <c r="T1040" s="1777"/>
      <c r="U1040" s="1777"/>
      <c r="V1040" s="1777"/>
      <c r="W1040" s="1777"/>
      <c r="X1040" s="1777"/>
      <c r="Y1040" s="1777"/>
      <c r="Z1040" s="1777"/>
      <c r="AA1040" s="1777"/>
      <c r="AB1040" s="1777"/>
      <c r="AC1040" s="1777"/>
      <c r="AD1040" s="1777"/>
      <c r="AE1040" s="1778"/>
      <c r="AF1040" s="73"/>
      <c r="AG1040" s="14"/>
      <c r="AH1040" s="14"/>
      <c r="AI1040" s="83"/>
      <c r="AJ1040" s="1763"/>
      <c r="AK1040" s="1764"/>
      <c r="AL1040" s="1764"/>
      <c r="AM1040" s="1764"/>
      <c r="AN1040" s="1764"/>
      <c r="AO1040" s="1764"/>
      <c r="AP1040" s="1764"/>
      <c r="AQ1040" s="1765"/>
      <c r="AR1040" s="68"/>
      <c r="AS1040" s="68"/>
      <c r="AT1040" s="68"/>
      <c r="AU1040" s="68"/>
      <c r="AV1040" s="68"/>
      <c r="AW1040" s="68"/>
      <c r="AX1040" s="68"/>
      <c r="AY1040" s="68"/>
      <c r="BA1040" t="b">
        <f>'Points System'!AJ164="Yes"</f>
        <v>0</v>
      </c>
      <c r="BB1040" s="3" t="s">
        <v>2492</v>
      </c>
    </row>
    <row r="1041" spans="1:56" ht="13" customHeight="1">
      <c r="A1041" s="14"/>
      <c r="B1041" s="79"/>
      <c r="C1041" s="131" t="s">
        <v>1009</v>
      </c>
      <c r="D1041" s="1779" t="s">
        <v>1296</v>
      </c>
      <c r="E1041" s="1780"/>
      <c r="F1041" s="1780"/>
      <c r="G1041" s="1780"/>
      <c r="H1041" s="1780"/>
      <c r="I1041" s="1780"/>
      <c r="J1041" s="1780"/>
      <c r="K1041" s="1780"/>
      <c r="L1041" s="1780"/>
      <c r="M1041" s="1780"/>
      <c r="N1041" s="1780"/>
      <c r="O1041" s="1780"/>
      <c r="P1041" s="1780"/>
      <c r="Q1041" s="1780"/>
      <c r="R1041" s="1780"/>
      <c r="S1041" s="1780"/>
      <c r="T1041" s="1780"/>
      <c r="U1041" s="1780"/>
      <c r="V1041" s="1780"/>
      <c r="W1041" s="1780"/>
      <c r="X1041" s="1780"/>
      <c r="Y1041" s="1780"/>
      <c r="Z1041" s="1780"/>
      <c r="AA1041" s="1780"/>
      <c r="AB1041" s="1780"/>
      <c r="AC1041" s="1780"/>
      <c r="AD1041" s="1780"/>
      <c r="AE1041" s="1781"/>
      <c r="AF1041" s="79"/>
      <c r="AG1041" s="1772" t="s">
        <v>668</v>
      </c>
      <c r="AH1041" s="1773"/>
      <c r="AI1041" s="87"/>
      <c r="AJ1041" s="1760">
        <f>ROUND(IF(AG1041="yes",(AJ992*0.1),0),0)</f>
        <v>0</v>
      </c>
      <c r="AK1041" s="1761"/>
      <c r="AL1041" s="1761"/>
      <c r="AM1041" s="1761"/>
      <c r="AN1041" s="1761"/>
      <c r="AO1041" s="1761"/>
      <c r="AP1041" s="1761"/>
      <c r="AQ1041" s="1762"/>
      <c r="AR1041" s="68"/>
      <c r="AS1041" s="68"/>
      <c r="AT1041" s="68"/>
      <c r="AU1041" s="68"/>
      <c r="AV1041" s="68"/>
      <c r="AW1041" s="68"/>
      <c r="AX1041" s="68"/>
      <c r="AY1041" s="68"/>
      <c r="BA1041">
        <f>Q212</f>
        <v>0</v>
      </c>
      <c r="BB1041" s="3" t="s">
        <v>2493</v>
      </c>
    </row>
    <row r="1042" spans="1:56" ht="13" customHeight="1">
      <c r="A1042" s="14"/>
      <c r="B1042" s="73"/>
      <c r="C1042" s="74"/>
      <c r="D1042" s="1782" t="s">
        <v>2145</v>
      </c>
      <c r="E1042" s="1783"/>
      <c r="F1042" s="1783"/>
      <c r="G1042" s="1783"/>
      <c r="H1042" s="1783"/>
      <c r="I1042" s="1783"/>
      <c r="J1042" s="1783"/>
      <c r="K1042" s="1783"/>
      <c r="L1042" s="1783"/>
      <c r="M1042" s="1783"/>
      <c r="N1042" s="1783"/>
      <c r="O1042" s="1783"/>
      <c r="P1042" s="1783"/>
      <c r="Q1042" s="1783"/>
      <c r="R1042" s="1783"/>
      <c r="S1042" s="1783"/>
      <c r="T1042" s="1783"/>
      <c r="U1042" s="1783"/>
      <c r="V1042" s="1783"/>
      <c r="W1042" s="1783"/>
      <c r="X1042" s="1783"/>
      <c r="Y1042" s="1783"/>
      <c r="Z1042" s="1783"/>
      <c r="AA1042" s="1783"/>
      <c r="AB1042" s="1783"/>
      <c r="AC1042" s="1783"/>
      <c r="AD1042" s="1783"/>
      <c r="AE1042" s="1784"/>
      <c r="AF1042" s="73"/>
      <c r="AG1042" s="14"/>
      <c r="AH1042" s="14"/>
      <c r="AI1042" s="83"/>
      <c r="AJ1042" s="1763"/>
      <c r="AK1042" s="1764"/>
      <c r="AL1042" s="1764"/>
      <c r="AM1042" s="1764"/>
      <c r="AN1042" s="1764"/>
      <c r="AO1042" s="1764"/>
      <c r="AP1042" s="1764"/>
      <c r="AQ1042" s="1765"/>
      <c r="AR1042" s="68"/>
      <c r="AS1042" s="68"/>
      <c r="AT1042" s="68"/>
      <c r="AU1042" s="68"/>
      <c r="AV1042" s="68"/>
      <c r="AW1042" s="68"/>
      <c r="AX1042" s="68"/>
      <c r="AY1042" s="68"/>
      <c r="BA1042" s="1186">
        <f>T212</f>
        <v>0</v>
      </c>
      <c r="BB1042" s="3" t="s">
        <v>2494</v>
      </c>
    </row>
    <row r="1043" spans="1:56" ht="13" customHeight="1">
      <c r="A1043" s="14"/>
      <c r="B1043" s="73"/>
      <c r="C1043" s="74"/>
      <c r="D1043" s="1782"/>
      <c r="E1043" s="1783"/>
      <c r="F1043" s="1783"/>
      <c r="G1043" s="1783"/>
      <c r="H1043" s="1783"/>
      <c r="I1043" s="1783"/>
      <c r="J1043" s="1783"/>
      <c r="K1043" s="1783"/>
      <c r="L1043" s="1783"/>
      <c r="M1043" s="1783"/>
      <c r="N1043" s="1783"/>
      <c r="O1043" s="1783"/>
      <c r="P1043" s="1783"/>
      <c r="Q1043" s="1783"/>
      <c r="R1043" s="1783"/>
      <c r="S1043" s="1783"/>
      <c r="T1043" s="1783"/>
      <c r="U1043" s="1783"/>
      <c r="V1043" s="1783"/>
      <c r="W1043" s="1783"/>
      <c r="X1043" s="1783"/>
      <c r="Y1043" s="1783"/>
      <c r="Z1043" s="1783"/>
      <c r="AA1043" s="1783"/>
      <c r="AB1043" s="1783"/>
      <c r="AC1043" s="1783"/>
      <c r="AD1043" s="1783"/>
      <c r="AE1043" s="1784"/>
      <c r="AF1043" s="73"/>
      <c r="AG1043" s="14"/>
      <c r="AH1043" s="14"/>
      <c r="AI1043" s="83"/>
      <c r="AJ1043" s="1763"/>
      <c r="AK1043" s="1764"/>
      <c r="AL1043" s="1764"/>
      <c r="AM1043" s="1764"/>
      <c r="AN1043" s="1764"/>
      <c r="AO1043" s="1764"/>
      <c r="AP1043" s="1764"/>
      <c r="AQ1043" s="1765"/>
      <c r="AR1043" s="68"/>
      <c r="AS1043" s="68"/>
      <c r="AT1043" s="68"/>
      <c r="AU1043" s="68"/>
      <c r="AV1043" s="68"/>
      <c r="AW1043" s="68"/>
      <c r="AX1043" s="68"/>
      <c r="AY1043" s="68"/>
    </row>
    <row r="1044" spans="1:56" ht="13" customHeight="1">
      <c r="A1044" s="14"/>
      <c r="B1044" s="73"/>
      <c r="C1044" s="74"/>
      <c r="D1044" s="1785"/>
      <c r="E1044" s="1786"/>
      <c r="F1044" s="1786"/>
      <c r="G1044" s="1786"/>
      <c r="H1044" s="1786"/>
      <c r="I1044" s="1786"/>
      <c r="J1044" s="1786"/>
      <c r="K1044" s="1786"/>
      <c r="L1044" s="1786"/>
      <c r="M1044" s="1786"/>
      <c r="N1044" s="1786"/>
      <c r="O1044" s="1786"/>
      <c r="P1044" s="1786"/>
      <c r="Q1044" s="1786"/>
      <c r="R1044" s="1786"/>
      <c r="S1044" s="1786"/>
      <c r="T1044" s="1786"/>
      <c r="U1044" s="1786"/>
      <c r="V1044" s="1786"/>
      <c r="W1044" s="1786"/>
      <c r="X1044" s="1786"/>
      <c r="Y1044" s="1786"/>
      <c r="Z1044" s="1786"/>
      <c r="AA1044" s="1786"/>
      <c r="AB1044" s="1786"/>
      <c r="AC1044" s="1786"/>
      <c r="AD1044" s="1786"/>
      <c r="AE1044" s="1787"/>
      <c r="AF1044" s="73"/>
      <c r="AG1044" s="14"/>
      <c r="AH1044" s="14"/>
      <c r="AI1044" s="83"/>
      <c r="AJ1044" s="1766"/>
      <c r="AK1044" s="1767"/>
      <c r="AL1044" s="1767"/>
      <c r="AM1044" s="1767"/>
      <c r="AN1044" s="1767"/>
      <c r="AO1044" s="1767"/>
      <c r="AP1044" s="1767"/>
      <c r="AQ1044" s="1768"/>
      <c r="AR1044" s="68"/>
      <c r="AS1044" s="68"/>
      <c r="AT1044" s="68"/>
      <c r="AU1044" s="68"/>
      <c r="AV1044" s="68"/>
      <c r="AW1044" s="68"/>
      <c r="AX1044" s="68"/>
      <c r="AY1044" s="68"/>
    </row>
    <row r="1045" spans="1:56" ht="13" customHeight="1">
      <c r="A1045" s="14"/>
      <c r="B1045" s="79"/>
      <c r="C1045" s="131" t="s">
        <v>1683</v>
      </c>
      <c r="D1045" s="1751" t="s">
        <v>1864</v>
      </c>
      <c r="E1045" s="1752"/>
      <c r="F1045" s="1752"/>
      <c r="G1045" s="1752"/>
      <c r="H1045" s="1752"/>
      <c r="I1045" s="1752"/>
      <c r="J1045" s="1752"/>
      <c r="K1045" s="1752"/>
      <c r="L1045" s="1752"/>
      <c r="M1045" s="1752"/>
      <c r="N1045" s="1752"/>
      <c r="O1045" s="1752"/>
      <c r="P1045" s="1752"/>
      <c r="Q1045" s="1752"/>
      <c r="R1045" s="1752"/>
      <c r="S1045" s="1752"/>
      <c r="T1045" s="1752"/>
      <c r="U1045" s="1752"/>
      <c r="V1045" s="1752"/>
      <c r="W1045" s="1752"/>
      <c r="X1045" s="1752"/>
      <c r="Y1045" s="1752"/>
      <c r="Z1045" s="1752"/>
      <c r="AA1045" s="1752"/>
      <c r="AB1045" s="1752"/>
      <c r="AC1045" s="1752"/>
      <c r="AD1045" s="1752"/>
      <c r="AE1045" s="1753"/>
      <c r="AF1045" s="79"/>
      <c r="AG1045" s="1791" t="str">
        <f>IF(X1048&gt;0,"Yes","No")</f>
        <v>Yes</v>
      </c>
      <c r="AH1045" s="1792"/>
      <c r="AI1045" s="87"/>
      <c r="AJ1045" s="1760">
        <f>IF((X1048=0),0,AY1005*AJ992)</f>
        <v>15445250</v>
      </c>
      <c r="AK1045" s="1761"/>
      <c r="AL1045" s="1761"/>
      <c r="AM1045" s="1761"/>
      <c r="AN1045" s="1761"/>
      <c r="AO1045" s="1761"/>
      <c r="AP1045" s="1761"/>
      <c r="AQ1045" s="1762"/>
      <c r="AR1045" s="68"/>
      <c r="AS1045" s="68"/>
      <c r="AT1045" s="68"/>
      <c r="AU1045" s="68"/>
      <c r="AV1045" s="68"/>
      <c r="AW1045" s="68"/>
      <c r="AX1045" s="68"/>
      <c r="AY1045" s="68"/>
      <c r="AZ1045" s="1183">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45" s="3" t="s">
        <v>2480</v>
      </c>
      <c r="BB1045" s="3"/>
      <c r="BC1045" s="3"/>
      <c r="BD1045" s="3"/>
    </row>
    <row r="1046" spans="1:56" ht="13" customHeight="1">
      <c r="A1046" s="14"/>
      <c r="B1046" s="73"/>
      <c r="C1046" s="443"/>
      <c r="D1046" s="1782" t="s">
        <v>1298</v>
      </c>
      <c r="E1046" s="1783"/>
      <c r="F1046" s="1783"/>
      <c r="G1046" s="1783"/>
      <c r="H1046" s="1783"/>
      <c r="I1046" s="1783"/>
      <c r="J1046" s="1783"/>
      <c r="K1046" s="1783"/>
      <c r="L1046" s="1783"/>
      <c r="M1046" s="1783"/>
      <c r="N1046" s="1783"/>
      <c r="O1046" s="1783"/>
      <c r="P1046" s="1783"/>
      <c r="Q1046" s="1783"/>
      <c r="R1046" s="1783"/>
      <c r="S1046" s="1783"/>
      <c r="T1046" s="1783"/>
      <c r="U1046" s="1783"/>
      <c r="V1046" s="1783"/>
      <c r="W1046" s="1783"/>
      <c r="X1046" s="1783"/>
      <c r="Y1046" s="1783"/>
      <c r="Z1046" s="1783"/>
      <c r="AA1046" s="1783"/>
      <c r="AB1046" s="1783"/>
      <c r="AC1046" s="1783"/>
      <c r="AD1046" s="1783"/>
      <c r="AE1046" s="1784"/>
      <c r="AF1046" s="73"/>
      <c r="AG1046" s="444"/>
      <c r="AH1046" s="444"/>
      <c r="AI1046" s="83"/>
      <c r="AJ1046" s="1763"/>
      <c r="AK1046" s="1764"/>
      <c r="AL1046" s="1764"/>
      <c r="AM1046" s="1764"/>
      <c r="AN1046" s="1764"/>
      <c r="AO1046" s="1764"/>
      <c r="AP1046" s="1764"/>
      <c r="AQ1046" s="1765"/>
      <c r="AR1046" s="68"/>
      <c r="AS1046" s="68"/>
      <c r="AT1046" s="68"/>
      <c r="AU1046" s="13"/>
      <c r="AV1046" s="68"/>
      <c r="AW1046" s="68"/>
      <c r="AX1046" s="68"/>
      <c r="AY1046" s="68"/>
      <c r="AZ1046" s="963">
        <f>'Sources and Uses Budget'!S97*BA1046</f>
        <v>2173818.75</v>
      </c>
      <c r="BA1046" s="1184">
        <f>IF(BA1040,20%,15%)</f>
        <v>0.15</v>
      </c>
      <c r="BB1046" s="3" t="s">
        <v>2481</v>
      </c>
      <c r="BC1046" s="3" t="s">
        <v>2482</v>
      </c>
      <c r="BD1046" s="3"/>
    </row>
    <row r="1047" spans="1:56" ht="13" customHeight="1">
      <c r="A1047" s="14"/>
      <c r="B1047" s="73"/>
      <c r="C1047" s="443"/>
      <c r="D1047" s="1782"/>
      <c r="E1047" s="1783"/>
      <c r="F1047" s="1783"/>
      <c r="G1047" s="1783"/>
      <c r="H1047" s="1783"/>
      <c r="I1047" s="1783"/>
      <c r="J1047" s="1783"/>
      <c r="K1047" s="1783"/>
      <c r="L1047" s="1783"/>
      <c r="M1047" s="1783"/>
      <c r="N1047" s="1783"/>
      <c r="O1047" s="1783"/>
      <c r="P1047" s="1783"/>
      <c r="Q1047" s="1783"/>
      <c r="R1047" s="1783"/>
      <c r="S1047" s="1783"/>
      <c r="T1047" s="1783"/>
      <c r="U1047" s="1783"/>
      <c r="V1047" s="1783"/>
      <c r="W1047" s="1783"/>
      <c r="X1047" s="1783"/>
      <c r="Y1047" s="1783"/>
      <c r="Z1047" s="1783"/>
      <c r="AA1047" s="1783"/>
      <c r="AB1047" s="1783"/>
      <c r="AC1047" s="1783"/>
      <c r="AD1047" s="1783"/>
      <c r="AE1047" s="1784"/>
      <c r="AF1047" s="73"/>
      <c r="AG1047" s="444"/>
      <c r="AH1047" s="444"/>
      <c r="AI1047" s="83"/>
      <c r="AJ1047" s="1763"/>
      <c r="AK1047" s="1764"/>
      <c r="AL1047" s="1764"/>
      <c r="AM1047" s="1764"/>
      <c r="AN1047" s="1764"/>
      <c r="AO1047" s="1764"/>
      <c r="AP1047" s="1764"/>
      <c r="AQ1047" s="1765"/>
      <c r="AR1047" s="68"/>
      <c r="AS1047" s="68"/>
      <c r="AT1047" s="68"/>
      <c r="AU1047" s="13"/>
      <c r="AV1047" s="68"/>
      <c r="AW1047" s="68"/>
      <c r="AX1047" s="68"/>
      <c r="AY1047" s="68"/>
      <c r="AZ1047" s="963">
        <f>IF(M356="N/A",0,'Sources and Uses Budget'!T97*BA1047)</f>
        <v>0</v>
      </c>
      <c r="BA1047" s="1184">
        <v>0.15</v>
      </c>
      <c r="BB1047" s="3" t="s">
        <v>2481</v>
      </c>
      <c r="BC1047" s="3" t="s">
        <v>2483</v>
      </c>
      <c r="BD1047" s="3"/>
    </row>
    <row r="1048" spans="1:56" ht="13" customHeight="1">
      <c r="A1048" s="14"/>
      <c r="B1048" s="77"/>
      <c r="C1048" s="78"/>
      <c r="D1048" s="132" t="s">
        <v>971</v>
      </c>
      <c r="E1048" s="133"/>
      <c r="F1048" s="133"/>
      <c r="G1048" s="133"/>
      <c r="H1048" s="133"/>
      <c r="I1048" s="1861">
        <f>AY1003</f>
        <v>60</v>
      </c>
      <c r="J1048" s="1862"/>
      <c r="K1048" s="7"/>
      <c r="L1048" s="133"/>
      <c r="M1048" s="133"/>
      <c r="N1048" s="133"/>
      <c r="O1048" s="133"/>
      <c r="P1048" s="133"/>
      <c r="Q1048" s="133"/>
      <c r="R1048" s="133"/>
      <c r="S1048" s="133"/>
      <c r="T1048" s="133"/>
      <c r="U1048" s="133"/>
      <c r="V1048" s="134" t="s">
        <v>972</v>
      </c>
      <c r="W1048" s="48"/>
      <c r="X1048" s="1859">
        <f>CI753</f>
        <v>30</v>
      </c>
      <c r="Y1048" s="1860"/>
      <c r="Z1048" s="48"/>
      <c r="AA1048" s="48"/>
      <c r="AB1048" s="48"/>
      <c r="AC1048" s="48"/>
      <c r="AD1048" s="48"/>
      <c r="AE1048" s="49"/>
      <c r="AF1048" s="925"/>
      <c r="AG1048" s="926"/>
      <c r="AH1048" s="926"/>
      <c r="AI1048" s="927"/>
      <c r="AJ1048" s="1766"/>
      <c r="AK1048" s="1767"/>
      <c r="AL1048" s="1767"/>
      <c r="AM1048" s="1767"/>
      <c r="AN1048" s="1767"/>
      <c r="AO1048" s="1767"/>
      <c r="AP1048" s="1767"/>
      <c r="AQ1048" s="1768"/>
      <c r="AR1048" s="68"/>
      <c r="AS1048" s="68"/>
      <c r="AT1048" s="68"/>
      <c r="AU1048" s="14"/>
      <c r="AV1048" s="68"/>
      <c r="AW1048" s="68"/>
      <c r="AX1048" s="68"/>
      <c r="AY1048" s="68"/>
      <c r="AZ1048" s="963">
        <f>IF(M358="N/A",0,'Sources and Uses Budget'!T97*BA1048)</f>
        <v>1358552.7</v>
      </c>
      <c r="BA1048" s="1184" cm="1">
        <f t="array" ref="BA1048">_xlfn.IFS(X180="Yes",5%,$BA$1038&gt;50000,15%,BA1039&gt;=30%,15%,TRUE,5%)</f>
        <v>0.15</v>
      </c>
      <c r="BB1048" s="3" t="s">
        <v>2481</v>
      </c>
      <c r="BC1048" s="3" t="s">
        <v>2484</v>
      </c>
      <c r="BD1048" s="3"/>
    </row>
    <row r="1049" spans="1:56" ht="13" customHeight="1">
      <c r="A1049" s="14"/>
      <c r="B1049" s="79"/>
      <c r="C1049" s="131" t="s">
        <v>1684</v>
      </c>
      <c r="D1049" s="1779" t="s">
        <v>2171</v>
      </c>
      <c r="E1049" s="1780"/>
      <c r="F1049" s="1780"/>
      <c r="G1049" s="1780"/>
      <c r="H1049" s="1780"/>
      <c r="I1049" s="1780"/>
      <c r="J1049" s="1780"/>
      <c r="K1049" s="1780"/>
      <c r="L1049" s="1780"/>
      <c r="M1049" s="1780"/>
      <c r="N1049" s="1780"/>
      <c r="O1049" s="1780"/>
      <c r="P1049" s="1780"/>
      <c r="Q1049" s="1780"/>
      <c r="R1049" s="1780"/>
      <c r="S1049" s="1780"/>
      <c r="T1049" s="1780"/>
      <c r="U1049" s="1780"/>
      <c r="V1049" s="1780"/>
      <c r="W1049" s="1780"/>
      <c r="X1049" s="1780"/>
      <c r="Y1049" s="1780"/>
      <c r="Z1049" s="1780"/>
      <c r="AA1049" s="1780"/>
      <c r="AB1049" s="1780"/>
      <c r="AC1049" s="1780"/>
      <c r="AD1049" s="1780"/>
      <c r="AE1049" s="1781"/>
      <c r="AF1049" s="73"/>
      <c r="AG1049" s="1791" t="str">
        <f>IF(X1052&gt;0,"Yes","No")</f>
        <v>Yes</v>
      </c>
      <c r="AH1049" s="1792"/>
      <c r="AI1049" s="83"/>
      <c r="AJ1049" s="1760">
        <f>IF((X1052=0),0,(2*AY1006)*AJ992)</f>
        <v>30890500</v>
      </c>
      <c r="AK1049" s="1761"/>
      <c r="AL1049" s="1761"/>
      <c r="AM1049" s="1761"/>
      <c r="AN1049" s="1761"/>
      <c r="AO1049" s="1761"/>
      <c r="AP1049" s="1761"/>
      <c r="AQ1049" s="1762"/>
      <c r="AR1049" s="68"/>
      <c r="AS1049" s="68"/>
      <c r="AT1049" s="68"/>
      <c r="AU1049" s="14"/>
      <c r="AV1049" s="68"/>
      <c r="AW1049" s="68"/>
      <c r="AX1049" s="68"/>
      <c r="AY1049" s="68"/>
      <c r="AZ1049" s="963">
        <f>AZ1045*BA1049</f>
        <v>0</v>
      </c>
      <c r="BA1049" s="1184">
        <v>0.15</v>
      </c>
      <c r="BB1049" s="3" t="s">
        <v>2481</v>
      </c>
      <c r="BC1049" s="3" t="s">
        <v>2485</v>
      </c>
      <c r="BD1049" s="3"/>
    </row>
    <row r="1050" spans="1:56" ht="13" customHeight="1">
      <c r="A1050" s="14"/>
      <c r="B1050" s="73"/>
      <c r="C1050" s="443"/>
      <c r="D1050" s="1782" t="s">
        <v>1297</v>
      </c>
      <c r="E1050" s="1783"/>
      <c r="F1050" s="1783"/>
      <c r="G1050" s="1783"/>
      <c r="H1050" s="1783"/>
      <c r="I1050" s="1783"/>
      <c r="J1050" s="1783"/>
      <c r="K1050" s="1783"/>
      <c r="L1050" s="1783"/>
      <c r="M1050" s="1783"/>
      <c r="N1050" s="1783"/>
      <c r="O1050" s="1783"/>
      <c r="P1050" s="1783"/>
      <c r="Q1050" s="1783"/>
      <c r="R1050" s="1783"/>
      <c r="S1050" s="1783"/>
      <c r="T1050" s="1783"/>
      <c r="U1050" s="1783"/>
      <c r="V1050" s="1783"/>
      <c r="W1050" s="1783"/>
      <c r="X1050" s="1783"/>
      <c r="Y1050" s="1783"/>
      <c r="Z1050" s="1783"/>
      <c r="AA1050" s="1783"/>
      <c r="AB1050" s="1783"/>
      <c r="AC1050" s="1783"/>
      <c r="AD1050" s="1783"/>
      <c r="AE1050" s="1784"/>
      <c r="AF1050" s="73"/>
      <c r="AG1050" s="444"/>
      <c r="AH1050" s="444"/>
      <c r="AI1050" s="83"/>
      <c r="AJ1050" s="1763"/>
      <c r="AK1050" s="1764"/>
      <c r="AL1050" s="1764"/>
      <c r="AM1050" s="1764"/>
      <c r="AN1050" s="1764"/>
      <c r="AO1050" s="1764"/>
      <c r="AP1050" s="1764"/>
      <c r="AQ1050" s="1765"/>
      <c r="AR1050" s="68"/>
      <c r="AS1050" s="68"/>
      <c r="AT1050" s="68"/>
      <c r="AU1050" s="68"/>
      <c r="AV1050" s="68"/>
      <c r="AW1050" s="68"/>
      <c r="AX1050" s="68"/>
      <c r="AY1050" s="68"/>
      <c r="AZ1050" s="963"/>
      <c r="BA1050" s="3"/>
      <c r="BB1050" s="3"/>
      <c r="BC1050" s="3"/>
      <c r="BD1050" s="3"/>
    </row>
    <row r="1051" spans="1:56" ht="13" customHeight="1">
      <c r="A1051" s="14"/>
      <c r="B1051" s="73"/>
      <c r="C1051" s="83"/>
      <c r="D1051" s="1782"/>
      <c r="E1051" s="1783"/>
      <c r="F1051" s="1783"/>
      <c r="G1051" s="1783"/>
      <c r="H1051" s="1783"/>
      <c r="I1051" s="1783"/>
      <c r="J1051" s="1783"/>
      <c r="K1051" s="1783"/>
      <c r="L1051" s="1783"/>
      <c r="M1051" s="1783"/>
      <c r="N1051" s="1783"/>
      <c r="O1051" s="1783"/>
      <c r="P1051" s="1783"/>
      <c r="Q1051" s="1783"/>
      <c r="R1051" s="1783"/>
      <c r="S1051" s="1783"/>
      <c r="T1051" s="1783"/>
      <c r="U1051" s="1783"/>
      <c r="V1051" s="1783"/>
      <c r="W1051" s="1783"/>
      <c r="X1051" s="1783"/>
      <c r="Y1051" s="1783"/>
      <c r="Z1051" s="1783"/>
      <c r="AA1051" s="1783"/>
      <c r="AB1051" s="1783"/>
      <c r="AC1051" s="1783"/>
      <c r="AD1051" s="1783"/>
      <c r="AE1051" s="1784"/>
      <c r="AF1051" s="922"/>
      <c r="AG1051" s="923"/>
      <c r="AH1051" s="923"/>
      <c r="AI1051" s="924"/>
      <c r="AJ1051" s="1763"/>
      <c r="AK1051" s="1764"/>
      <c r="AL1051" s="1764"/>
      <c r="AM1051" s="1764"/>
      <c r="AN1051" s="1764"/>
      <c r="AO1051" s="1764"/>
      <c r="AP1051" s="1764"/>
      <c r="AQ1051" s="1765"/>
      <c r="AR1051" s="68"/>
      <c r="AS1051" s="68"/>
      <c r="AT1051" s="68"/>
      <c r="AU1051" s="68"/>
      <c r="AV1051" s="68"/>
      <c r="AW1051" s="68"/>
      <c r="AX1051" s="68"/>
      <c r="AY1051" s="68"/>
      <c r="AZ1051" s="963">
        <f>ROUNDDOWN(MIN(SUM(AZ1046,AZ1047,AZ1048,AZ1049),BD1051),0)</f>
        <v>2500000</v>
      </c>
      <c r="BA1051" s="3" t="s">
        <v>2486</v>
      </c>
      <c r="BB1051" s="3"/>
      <c r="BC1051" s="3"/>
      <c r="BD1051" s="3" cm="1">
        <f t="array" ref="BD1051">_xlfn.IFS(BA1040,3000000,AND(BA1041&gt;=25%,BA1042&gt;=15),2800000,TRUE,2500000)</f>
        <v>2500000</v>
      </c>
    </row>
    <row r="1052" spans="1:56" ht="13" customHeight="1">
      <c r="A1052" s="14"/>
      <c r="B1052" s="77"/>
      <c r="C1052" s="78"/>
      <c r="D1052" s="132" t="s">
        <v>971</v>
      </c>
      <c r="E1052" s="133"/>
      <c r="F1052" s="133"/>
      <c r="G1052" s="133"/>
      <c r="H1052" s="133"/>
      <c r="I1052" s="1861">
        <f>AY1003</f>
        <v>60</v>
      </c>
      <c r="J1052" s="1862"/>
      <c r="K1052" s="14"/>
      <c r="L1052" s="133"/>
      <c r="M1052" s="133"/>
      <c r="N1052" s="133"/>
      <c r="O1052" s="133"/>
      <c r="P1052" s="133"/>
      <c r="Q1052" s="133"/>
      <c r="R1052" s="133"/>
      <c r="S1052" s="133"/>
      <c r="T1052" s="133"/>
      <c r="U1052" s="133"/>
      <c r="V1052" s="134" t="s">
        <v>973</v>
      </c>
      <c r="X1052" s="1859">
        <f>CM753</f>
        <v>30</v>
      </c>
      <c r="Y1052" s="1860"/>
      <c r="AF1052" s="925"/>
      <c r="AG1052" s="926"/>
      <c r="AH1052" s="926"/>
      <c r="AI1052" s="927"/>
      <c r="AJ1052" s="1766"/>
      <c r="AK1052" s="1767"/>
      <c r="AL1052" s="1767"/>
      <c r="AM1052" s="1767"/>
      <c r="AN1052" s="1767"/>
      <c r="AO1052" s="1767"/>
      <c r="AP1052" s="1767"/>
      <c r="AQ1052" s="1768"/>
      <c r="AR1052" s="68"/>
      <c r="AS1052" s="68"/>
      <c r="AT1052" s="68"/>
      <c r="AU1052" s="68"/>
      <c r="AV1052" s="68"/>
      <c r="AW1052" s="68"/>
      <c r="AX1052" s="68"/>
      <c r="AY1052" s="68"/>
      <c r="AZ1052" s="963">
        <f>ROUNDDOWN(MAX(0,BA1052*(SUM(AG1093,AL1093,AZ1045)-BD1052))+BF1052,0)</f>
        <v>0</v>
      </c>
      <c r="BA1052" s="1184">
        <f>IF(L1042,7%,5%)</f>
        <v>0.05</v>
      </c>
      <c r="BB1052" s="3" t="s">
        <v>2487</v>
      </c>
      <c r="BC1052" s="3"/>
      <c r="BD1052" s="3">
        <v>6666667</v>
      </c>
    </row>
    <row r="1053" spans="1:56" ht="13" customHeight="1">
      <c r="A1053" s="14"/>
      <c r="B1053" s="102"/>
      <c r="C1053" s="103"/>
      <c r="D1053" s="1857" t="s">
        <v>512</v>
      </c>
      <c r="E1053" s="1857"/>
      <c r="F1053" s="1857"/>
      <c r="G1053" s="1857"/>
      <c r="H1053" s="1857"/>
      <c r="I1053" s="1857"/>
      <c r="J1053" s="1857"/>
      <c r="K1053" s="1857"/>
      <c r="L1053" s="1857"/>
      <c r="M1053" s="1857"/>
      <c r="N1053" s="1857"/>
      <c r="O1053" s="1857"/>
      <c r="P1053" s="1857"/>
      <c r="Q1053" s="1857"/>
      <c r="R1053" s="1857"/>
      <c r="S1053" s="1857"/>
      <c r="T1053" s="1857"/>
      <c r="U1053" s="1857"/>
      <c r="V1053" s="1857"/>
      <c r="W1053" s="1857"/>
      <c r="X1053" s="1857"/>
      <c r="Y1053" s="1857"/>
      <c r="Z1053" s="1857"/>
      <c r="AA1053" s="1857"/>
      <c r="AB1053" s="1857"/>
      <c r="AC1053" s="1857"/>
      <c r="AD1053" s="1857"/>
      <c r="AE1053" s="1857"/>
      <c r="AF1053" s="1857"/>
      <c r="AG1053" s="1857"/>
      <c r="AH1053" s="1857"/>
      <c r="AI1053" s="1858"/>
      <c r="AJ1053" s="1769">
        <f>SUM(AJ992:AQ1052)</f>
        <v>80315300</v>
      </c>
      <c r="AK1053" s="1770"/>
      <c r="AL1053" s="1770"/>
      <c r="AM1053" s="1770"/>
      <c r="AN1053" s="1770"/>
      <c r="AO1053" s="1770"/>
      <c r="AP1053" s="1770"/>
      <c r="AQ1053" s="1771"/>
      <c r="AR1053" s="68"/>
      <c r="AS1053" s="68"/>
      <c r="AT1053" s="68"/>
      <c r="AU1053" s="68"/>
      <c r="AV1053" s="68"/>
      <c r="AW1053" s="68"/>
      <c r="AX1053" s="68"/>
      <c r="AY1053" s="68"/>
      <c r="AZ1053" s="1183">
        <v>6000000</v>
      </c>
      <c r="BA1053" s="3" t="s">
        <v>2488</v>
      </c>
      <c r="BB1053" s="3"/>
      <c r="BC1053" s="3"/>
      <c r="BD1053" s="3"/>
    </row>
    <row r="1054" spans="1:56" ht="13" customHeight="1">
      <c r="A1054" s="14"/>
      <c r="B1054" s="14"/>
      <c r="C1054" s="209"/>
      <c r="D1054" s="214"/>
      <c r="E1054" s="214"/>
      <c r="F1054" s="214"/>
      <c r="G1054" s="214"/>
      <c r="H1054" s="214"/>
      <c r="I1054" s="214"/>
      <c r="J1054" s="214"/>
      <c r="K1054" s="214"/>
      <c r="L1054" s="214"/>
      <c r="M1054" s="214"/>
      <c r="N1054" s="214"/>
      <c r="O1054" s="214"/>
      <c r="P1054" s="214"/>
      <c r="Q1054" s="214"/>
      <c r="R1054" s="214"/>
      <c r="S1054" s="214"/>
      <c r="T1054" s="210"/>
      <c r="U1054" s="210"/>
      <c r="V1054" s="210"/>
      <c r="W1054" s="210"/>
      <c r="X1054" s="210"/>
      <c r="Y1054" s="210"/>
      <c r="Z1054" s="210"/>
      <c r="AA1054" s="210"/>
      <c r="AB1054" s="210"/>
      <c r="AC1054" s="210"/>
      <c r="AD1054" s="208"/>
      <c r="AE1054" s="208"/>
      <c r="AF1054" s="208"/>
      <c r="AG1054" s="208"/>
      <c r="AH1054" s="208"/>
      <c r="AI1054" s="208"/>
      <c r="AJ1054" s="208"/>
      <c r="AK1054" s="208"/>
      <c r="AL1054" s="68"/>
      <c r="AM1054" s="68"/>
      <c r="AN1054" s="68"/>
      <c r="AO1054" s="68"/>
      <c r="AP1054" s="68"/>
      <c r="AQ1054" s="68"/>
      <c r="AR1054" s="68"/>
      <c r="AS1054" s="68"/>
      <c r="AT1054" s="68"/>
      <c r="AU1054" s="68"/>
      <c r="AV1054" s="68"/>
      <c r="AW1054" s="68"/>
      <c r="AX1054" s="68"/>
      <c r="AY1054" s="68"/>
      <c r="AZ1054" s="3"/>
      <c r="BA1054" s="3"/>
      <c r="BB1054" s="3"/>
      <c r="BC1054" s="3"/>
      <c r="BD1054" s="3"/>
    </row>
    <row r="1055" spans="1:56" ht="13" customHeight="1">
      <c r="A1055" s="14"/>
      <c r="B1055" s="68"/>
      <c r="C1055" s="68"/>
      <c r="D1055" s="68"/>
      <c r="E1055" s="68"/>
      <c r="F1055" s="68"/>
      <c r="G1055" s="1175" t="s">
        <v>2473</v>
      </c>
      <c r="H1055" s="1176"/>
      <c r="I1055" s="1176"/>
      <c r="J1055" s="1176"/>
      <c r="K1055" s="1176"/>
      <c r="L1055" s="1176"/>
      <c r="M1055" s="1176"/>
      <c r="N1055" s="1176"/>
      <c r="O1055" s="1176"/>
      <c r="P1055" s="1176"/>
      <c r="Q1055" s="1176"/>
      <c r="R1055" s="1176"/>
      <c r="S1055" s="1176"/>
      <c r="T1055" s="1176"/>
      <c r="U1055" s="1176"/>
      <c r="V1055" s="1176"/>
      <c r="W1055" s="1176"/>
      <c r="X1055" s="1176"/>
      <c r="Y1055" s="1176"/>
      <c r="Z1055" s="1176"/>
      <c r="AA1055" s="1176"/>
      <c r="AB1055" s="1176"/>
      <c r="AC1055" s="1176"/>
      <c r="AD1055" s="1176"/>
      <c r="AE1055" s="1176"/>
      <c r="AF1055" s="1176"/>
      <c r="AG1055" s="1177"/>
      <c r="AH1055" s="1177"/>
      <c r="AI1055" s="1177"/>
      <c r="AJ1055" s="1177"/>
      <c r="AK1055" s="1177"/>
      <c r="AL1055" s="1177"/>
      <c r="AM1055" s="1177"/>
      <c r="AN1055" s="1177"/>
      <c r="AO1055" s="68"/>
      <c r="AP1055" s="68"/>
      <c r="AQ1055" s="68"/>
      <c r="AR1055" s="68"/>
      <c r="AS1055" s="68"/>
      <c r="AT1055" s="68"/>
      <c r="AU1055" s="68"/>
      <c r="AV1055" s="68"/>
      <c r="AW1055" s="68"/>
      <c r="AX1055" s="68"/>
      <c r="AY1055" s="68"/>
      <c r="AZ1055" s="3"/>
      <c r="BA1055" s="963">
        <f>MIN(MIN(MAX(AZ1051,AZ1052),AZ1053),BA1056)</f>
        <v>2500000</v>
      </c>
      <c r="BB1055" s="3" t="s">
        <v>2489</v>
      </c>
      <c r="BC1055" s="3"/>
      <c r="BD1055" s="3"/>
    </row>
    <row r="1056" spans="1:56" ht="13" customHeight="1">
      <c r="A1056" s="14"/>
      <c r="B1056" s="68"/>
      <c r="C1056" s="68"/>
      <c r="D1056" s="68"/>
      <c r="E1056" s="68"/>
      <c r="F1056" s="68"/>
      <c r="G1056" s="1178" t="s">
        <v>2474</v>
      </c>
      <c r="H1056" s="1179"/>
      <c r="I1056" s="1179"/>
      <c r="J1056" s="1179"/>
      <c r="K1056" s="1179"/>
      <c r="L1056" s="1179"/>
      <c r="M1056" s="1179"/>
      <c r="N1056" s="1179"/>
      <c r="O1056" s="1179"/>
      <c r="P1056" s="1179"/>
      <c r="Q1056" s="1179"/>
      <c r="R1056" s="1179"/>
      <c r="S1056" s="1179"/>
      <c r="T1056" s="1179"/>
      <c r="U1056" s="1179"/>
      <c r="V1056" s="1179"/>
      <c r="W1056" s="1179"/>
      <c r="X1056" s="1179"/>
      <c r="Y1056" s="1179"/>
      <c r="Z1056" s="1179"/>
      <c r="AA1056" s="1353">
        <f>'Sources and Uses Budget'!S107+'Sources and Uses Budget'!T107</f>
        <v>27081513</v>
      </c>
      <c r="AB1056" s="1353"/>
      <c r="AC1056" s="1353"/>
      <c r="AD1056" s="1353"/>
      <c r="AE1056" s="1353"/>
      <c r="AF1056" s="1353"/>
      <c r="AG1056" s="1177"/>
      <c r="AH1056" s="1177"/>
      <c r="AI1056" s="1177"/>
      <c r="AJ1056" s="1177"/>
      <c r="AK1056" s="1177"/>
      <c r="AL1056" s="1177"/>
      <c r="AM1056" s="1177"/>
      <c r="AN1056" s="1177"/>
      <c r="AO1056" s="68"/>
      <c r="AP1056" s="68"/>
      <c r="AQ1056" s="68"/>
      <c r="AR1056" s="68"/>
      <c r="AS1056" s="68"/>
      <c r="AT1056" s="68"/>
      <c r="AU1056" s="68"/>
      <c r="AV1056" s="13"/>
      <c r="AW1056" s="13"/>
      <c r="AX1056" s="13"/>
      <c r="AY1056" s="13"/>
      <c r="AZ1056" s="3"/>
      <c r="BA1056" s="963">
        <f>SUM(AZ1046:AZ1049)</f>
        <v>3532371.45</v>
      </c>
      <c r="BB1056" s="3" t="s">
        <v>2490</v>
      </c>
      <c r="BC1056" s="3"/>
      <c r="BD1056" s="3"/>
    </row>
    <row r="1057" spans="1:54" ht="13" customHeight="1">
      <c r="A1057" s="14"/>
      <c r="B1057" s="68"/>
      <c r="C1057" s="68"/>
      <c r="D1057" s="68"/>
      <c r="E1057" s="68"/>
      <c r="F1057" s="68"/>
      <c r="G1057" s="1178"/>
      <c r="H1057" s="1178" t="s">
        <v>2475</v>
      </c>
      <c r="I1057" s="1179"/>
      <c r="J1057" s="1179"/>
      <c r="K1057" s="1179"/>
      <c r="L1057" s="1179"/>
      <c r="M1057" s="1179"/>
      <c r="N1057" s="1179"/>
      <c r="O1057" s="1179"/>
      <c r="P1057" s="1179"/>
      <c r="Q1057" s="1179"/>
      <c r="R1057" s="1179"/>
      <c r="S1057" s="1179"/>
      <c r="T1057" s="1179"/>
      <c r="U1057" s="1179"/>
      <c r="V1057" s="1179"/>
      <c r="W1057" s="1179"/>
      <c r="X1057" s="1179"/>
      <c r="Y1057" s="1179"/>
      <c r="Z1057" s="1181"/>
      <c r="AA1057" s="1354">
        <f>IFERROR((AA1056-BA1059)/(AJ1053-AJ1045-AJ1049),"")</f>
        <v>0.76661235949269491</v>
      </c>
      <c r="AB1057" s="1355"/>
      <c r="AC1057" s="1355"/>
      <c r="AD1057" s="1355"/>
      <c r="AE1057" s="1355"/>
      <c r="AF1057" s="1356"/>
      <c r="AG1057" s="1180"/>
      <c r="AH1057" s="1177"/>
      <c r="AI1057" s="1177"/>
      <c r="AJ1057" s="1177"/>
      <c r="AK1057" s="1177"/>
      <c r="AL1057" s="1177"/>
      <c r="AM1057" s="1177"/>
      <c r="AN1057" s="1177"/>
      <c r="AO1057" s="68"/>
      <c r="AP1057" s="68"/>
      <c r="AQ1057" s="68"/>
      <c r="AR1057" s="68"/>
      <c r="AS1057" s="68"/>
      <c r="AT1057" s="68"/>
      <c r="AU1057" s="68"/>
      <c r="AV1057" s="13"/>
      <c r="AW1057" s="13"/>
      <c r="AX1057" s="13"/>
      <c r="AY1057" s="13"/>
    </row>
    <row r="1058" spans="1:54" ht="13" customHeight="1">
      <c r="A1058" s="14"/>
      <c r="B1058" s="68"/>
      <c r="C1058" s="68"/>
      <c r="D1058" s="68"/>
      <c r="E1058" s="68"/>
      <c r="F1058" s="68"/>
      <c r="G1058" s="1357" t="str">
        <f>IFERROR(IF(AA1057="","",IF(AA1057&gt;=1.3,"Based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58" s="1357"/>
      <c r="I1058" s="1357"/>
      <c r="J1058" s="1357"/>
      <c r="K1058" s="1357"/>
      <c r="L1058" s="1357"/>
      <c r="M1058" s="1357"/>
      <c r="N1058" s="1357"/>
      <c r="O1058" s="1357"/>
      <c r="P1058" s="1357"/>
      <c r="Q1058" s="1357"/>
      <c r="R1058" s="1357"/>
      <c r="S1058" s="1357"/>
      <c r="T1058" s="1357"/>
      <c r="U1058" s="1357"/>
      <c r="V1058" s="1357"/>
      <c r="W1058" s="1357"/>
      <c r="X1058" s="1357"/>
      <c r="Y1058" s="1357"/>
      <c r="Z1058" s="1357"/>
      <c r="AA1058" s="1357"/>
      <c r="AB1058" s="1357"/>
      <c r="AC1058" s="1357"/>
      <c r="AD1058" s="1357"/>
      <c r="AE1058" s="1357"/>
      <c r="AF1058" s="1357"/>
      <c r="AG1058" s="1357"/>
      <c r="AH1058" s="1357"/>
      <c r="AI1058" s="1357"/>
      <c r="AJ1058" s="1357"/>
      <c r="AK1058" s="1357"/>
      <c r="AL1058" s="1357"/>
      <c r="AM1058" s="1357"/>
      <c r="AN1058" s="1357"/>
      <c r="AO1058" s="68"/>
      <c r="AP1058" s="68"/>
      <c r="AQ1058" s="68"/>
      <c r="AR1058" s="68"/>
      <c r="AS1058" s="68"/>
      <c r="AT1058" s="68"/>
      <c r="AU1058" s="68"/>
      <c r="AV1058" s="14"/>
      <c r="AW1058" s="14"/>
      <c r="AX1058" s="14"/>
      <c r="AY1058" s="14"/>
      <c r="BA1058" s="1187">
        <f>'Sources and Uses Budget'!$S$104+'Sources and Uses Budget'!$T$104</f>
        <v>3532370</v>
      </c>
      <c r="BB1058" s="3" t="s">
        <v>2496</v>
      </c>
    </row>
    <row r="1059" spans="1:54" ht="13" customHeight="1">
      <c r="A1059" s="14"/>
      <c r="B1059" s="14"/>
      <c r="C1059" s="209"/>
      <c r="D1059" s="859"/>
      <c r="E1059" s="859"/>
      <c r="F1059" s="859"/>
      <c r="G1059" s="1357"/>
      <c r="H1059" s="1357"/>
      <c r="I1059" s="1357"/>
      <c r="J1059" s="1357"/>
      <c r="K1059" s="1357"/>
      <c r="L1059" s="1357"/>
      <c r="M1059" s="1357"/>
      <c r="N1059" s="1357"/>
      <c r="O1059" s="1357"/>
      <c r="P1059" s="1357"/>
      <c r="Q1059" s="1357"/>
      <c r="R1059" s="1357"/>
      <c r="S1059" s="1357"/>
      <c r="T1059" s="1357"/>
      <c r="U1059" s="1357"/>
      <c r="V1059" s="1357"/>
      <c r="W1059" s="1357"/>
      <c r="X1059" s="1357"/>
      <c r="Y1059" s="1357"/>
      <c r="Z1059" s="1357"/>
      <c r="AA1059" s="1357"/>
      <c r="AB1059" s="1357"/>
      <c r="AC1059" s="1357"/>
      <c r="AD1059" s="1357"/>
      <c r="AE1059" s="1357"/>
      <c r="AF1059" s="1357"/>
      <c r="AG1059" s="1357"/>
      <c r="AH1059" s="1357"/>
      <c r="AI1059" s="1357"/>
      <c r="AJ1059" s="1357"/>
      <c r="AK1059" s="1357"/>
      <c r="AL1059" s="1357"/>
      <c r="AM1059" s="1357"/>
      <c r="AN1059" s="1357"/>
      <c r="AO1059" s="68"/>
      <c r="AP1059" s="68"/>
      <c r="AQ1059" s="68"/>
      <c r="AR1059" s="68"/>
      <c r="AS1059" s="68"/>
      <c r="AT1059" s="68"/>
      <c r="AU1059" s="68"/>
      <c r="AV1059" s="14"/>
      <c r="AW1059" s="14"/>
      <c r="AX1059" s="14"/>
      <c r="AY1059" s="14"/>
      <c r="BA1059" s="1188">
        <f>MAX($BA$1058-$BA$1055,0)</f>
        <v>1032370</v>
      </c>
      <c r="BB1059" s="3" t="s">
        <v>2497</v>
      </c>
    </row>
    <row r="1060" spans="1:54" ht="13" customHeight="1">
      <c r="A1060" s="88"/>
      <c r="B1060" s="1174"/>
      <c r="C1060" s="1174"/>
      <c r="D1060" s="1174"/>
      <c r="E1060" s="1174"/>
      <c r="F1060" s="1174"/>
      <c r="G1060" s="1357"/>
      <c r="H1060" s="1357"/>
      <c r="I1060" s="1357"/>
      <c r="J1060" s="1357"/>
      <c r="K1060" s="1357"/>
      <c r="L1060" s="1357"/>
      <c r="M1060" s="1357"/>
      <c r="N1060" s="1357"/>
      <c r="O1060" s="1357"/>
      <c r="P1060" s="1357"/>
      <c r="Q1060" s="1357"/>
      <c r="R1060" s="1357"/>
      <c r="S1060" s="1357"/>
      <c r="T1060" s="1357"/>
      <c r="U1060" s="1357"/>
      <c r="V1060" s="1357"/>
      <c r="W1060" s="1357"/>
      <c r="X1060" s="1357"/>
      <c r="Y1060" s="1357"/>
      <c r="Z1060" s="1357"/>
      <c r="AA1060" s="1357"/>
      <c r="AB1060" s="1357"/>
      <c r="AC1060" s="1357"/>
      <c r="AD1060" s="1357"/>
      <c r="AE1060" s="1357"/>
      <c r="AF1060" s="1357"/>
      <c r="AG1060" s="1357"/>
      <c r="AH1060" s="1357"/>
      <c r="AI1060" s="1357"/>
      <c r="AJ1060" s="1357"/>
      <c r="AK1060" s="1357"/>
      <c r="AL1060" s="1357"/>
      <c r="AM1060" s="1357"/>
      <c r="AN1060" s="1357"/>
      <c r="AO1060" s="1174"/>
      <c r="AP1060" s="1174"/>
      <c r="AQ1060" s="68"/>
      <c r="AR1060" s="68"/>
      <c r="AS1060" s="68"/>
      <c r="AT1060" s="68"/>
      <c r="AU1060" s="68"/>
      <c r="AV1060" s="68"/>
      <c r="AW1060" s="68"/>
      <c r="AX1060" s="68"/>
      <c r="AY1060" s="68"/>
    </row>
    <row r="1061" spans="1:54" ht="13" customHeight="1">
      <c r="A1061" s="1838" t="s">
        <v>793</v>
      </c>
      <c r="B1061" s="1838"/>
      <c r="C1061" s="1838"/>
      <c r="D1061" s="1838"/>
      <c r="E1061" s="1838"/>
      <c r="F1061" s="1838"/>
      <c r="G1061" s="1838"/>
      <c r="H1061" s="1838"/>
      <c r="I1061" s="1838"/>
      <c r="J1061" s="1838"/>
      <c r="K1061" s="1838"/>
      <c r="L1061" s="1838"/>
      <c r="M1061" s="1838"/>
      <c r="N1061" s="1838"/>
      <c r="O1061" s="1838"/>
      <c r="P1061" s="1838"/>
      <c r="Q1061" s="1838"/>
      <c r="R1061" s="1838"/>
      <c r="S1061" s="1838"/>
      <c r="T1061" s="1838"/>
      <c r="U1061" s="1838"/>
      <c r="V1061" s="1838"/>
      <c r="W1061" s="1838"/>
      <c r="X1061" s="1838"/>
      <c r="Y1061" s="1838"/>
      <c r="Z1061" s="1838"/>
      <c r="AA1061" s="1838"/>
      <c r="AB1061" s="1838"/>
      <c r="AC1061" s="1838"/>
      <c r="AD1061" s="1838"/>
      <c r="AE1061" s="1838"/>
      <c r="AF1061" s="1838"/>
      <c r="AG1061" s="1838"/>
      <c r="AH1061" s="1838"/>
      <c r="AI1061" s="1838"/>
      <c r="AJ1061" s="1838"/>
      <c r="AK1061" s="1838"/>
      <c r="AL1061" s="1838"/>
      <c r="AM1061" s="1838"/>
      <c r="AN1061" s="1838"/>
      <c r="AO1061" s="1838"/>
      <c r="AP1061" s="1838"/>
      <c r="AQ1061" s="1838"/>
      <c r="AR1061" s="13"/>
      <c r="AS1061" s="13"/>
      <c r="AT1061" s="13"/>
      <c r="AV1061" s="68"/>
      <c r="AW1061" s="68"/>
      <c r="AX1061" s="68"/>
      <c r="AY1061" s="68"/>
    </row>
    <row r="1062" spans="1:54" ht="13" customHeight="1">
      <c r="A1062" s="14"/>
      <c r="B1062" s="14"/>
      <c r="C1062" s="14"/>
      <c r="D1062" s="14"/>
      <c r="E1062" s="14"/>
      <c r="F1062" s="14"/>
      <c r="G1062" s="14"/>
      <c r="H1062" s="14"/>
      <c r="I1062" s="14"/>
      <c r="J1062" s="14"/>
      <c r="K1062" s="14"/>
      <c r="L1062" s="14"/>
      <c r="M1062" s="14"/>
      <c r="N1062" s="14"/>
      <c r="O1062" s="14"/>
      <c r="P1062" s="14"/>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V1062" s="68"/>
      <c r="AW1062" s="68"/>
      <c r="AX1062" s="68"/>
      <c r="AY1062" s="68"/>
    </row>
    <row r="1063" spans="1:54" ht="13" customHeight="1">
      <c r="A1063" s="57" t="s">
        <v>794</v>
      </c>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AJ1063" s="14"/>
      <c r="AK1063" s="14"/>
      <c r="AL1063" s="14"/>
      <c r="AM1063" s="14"/>
      <c r="AN1063" s="14"/>
      <c r="AO1063" s="14"/>
      <c r="AP1063" s="14"/>
      <c r="AQ1063" s="14"/>
      <c r="AR1063" s="14"/>
      <c r="AS1063" s="14"/>
      <c r="AT1063" s="14"/>
      <c r="AV1063" s="68"/>
      <c r="AW1063" s="68"/>
      <c r="AX1063" s="68"/>
      <c r="AY1063" s="68"/>
    </row>
    <row r="1064" spans="1:54" ht="13" customHeight="1">
      <c r="A1064" s="198" t="s">
        <v>795</v>
      </c>
      <c r="B1064" s="67"/>
      <c r="C1064" s="67"/>
      <c r="D1064" s="67"/>
      <c r="E1064" s="67"/>
      <c r="F1064" s="67"/>
      <c r="G1064" s="67"/>
      <c r="H1064" s="67"/>
      <c r="I1064" s="67"/>
      <c r="J1064" s="67"/>
      <c r="K1064" s="67"/>
      <c r="L1064" s="67"/>
      <c r="M1064" s="67"/>
      <c r="N1064" s="67"/>
      <c r="O1064" s="67"/>
      <c r="P1064" s="67"/>
      <c r="Q1064" s="13"/>
      <c r="R1064" s="13"/>
      <c r="S1064" s="13"/>
      <c r="T1064" s="13"/>
      <c r="U1064" s="13"/>
      <c r="V1064" s="13"/>
      <c r="W1064" s="13"/>
      <c r="X1064" s="13"/>
      <c r="Y1064" s="4"/>
      <c r="Z1064" s="4"/>
      <c r="AA1064" s="4"/>
      <c r="AB1064" s="4"/>
      <c r="AC1064" s="4"/>
      <c r="AD1064" s="4"/>
      <c r="AE1064" s="4"/>
      <c r="AF1064" s="4"/>
      <c r="AG1064" s="4"/>
      <c r="AH1064" s="4"/>
      <c r="AI1064" s="4"/>
      <c r="AJ1064" s="14"/>
      <c r="AK1064" s="14"/>
      <c r="AL1064" s="14"/>
      <c r="AM1064" s="14"/>
      <c r="AN1064" s="14"/>
      <c r="AO1064" s="14"/>
      <c r="AP1064" s="14"/>
      <c r="AQ1064" s="14"/>
      <c r="AR1064" s="14"/>
      <c r="AS1064" s="14"/>
      <c r="AT1064" s="14"/>
      <c r="AV1064" s="68"/>
      <c r="AW1064" s="68"/>
      <c r="AX1064" s="68"/>
      <c r="AY1064" s="68"/>
    </row>
    <row r="1065" spans="1:54" ht="13" customHeight="1">
      <c r="A1065" s="1446" t="s">
        <v>590</v>
      </c>
      <c r="B1065" s="1446"/>
      <c r="C1065" s="1863">
        <v>1</v>
      </c>
      <c r="D1065" s="1863"/>
      <c r="E1065" s="14" t="s">
        <v>2239</v>
      </c>
      <c r="F1065" s="67"/>
      <c r="G1065" s="67"/>
      <c r="H1065" s="67"/>
      <c r="I1065" s="67"/>
      <c r="J1065" s="67"/>
      <c r="K1065" s="67"/>
      <c r="L1065" s="67"/>
      <c r="M1065" s="67"/>
      <c r="N1065" s="67"/>
      <c r="O1065" s="67"/>
      <c r="P1065" s="67"/>
      <c r="Q1065" s="13"/>
      <c r="R1065" s="13"/>
      <c r="S1065" s="13"/>
      <c r="T1065" s="13"/>
      <c r="U1065" s="13"/>
      <c r="V1065" s="13"/>
      <c r="W1065" s="13"/>
      <c r="X1065" s="13"/>
      <c r="Y1065" s="4"/>
      <c r="Z1065" s="4"/>
      <c r="AA1065" s="4"/>
      <c r="AB1065" s="4"/>
      <c r="AC1065" s="4"/>
      <c r="AD1065" s="4"/>
      <c r="AE1065" s="4"/>
      <c r="AF1065" s="4"/>
      <c r="AG1065" s="4"/>
      <c r="AH1065" s="4"/>
      <c r="AI1065" s="4"/>
      <c r="AJ1065" s="14"/>
      <c r="AK1065" s="14"/>
      <c r="AL1065" s="14"/>
      <c r="AM1065" s="14"/>
      <c r="AN1065" s="14"/>
      <c r="AO1065" s="14"/>
      <c r="AP1065" s="14"/>
      <c r="AQ1065" s="14"/>
      <c r="AR1065" s="14"/>
      <c r="AS1065" s="14"/>
      <c r="AT1065" s="14"/>
      <c r="AV1065" s="68"/>
      <c r="AW1065" s="68"/>
      <c r="AX1065" s="68"/>
      <c r="AY1065" s="68"/>
    </row>
    <row r="1066" spans="1:54" ht="13" customHeight="1">
      <c r="A1066" s="198"/>
      <c r="B1066" s="67"/>
      <c r="C1066" s="1863"/>
      <c r="D1066" s="1863"/>
      <c r="E1066" s="67"/>
      <c r="F1066" s="67"/>
      <c r="G1066" s="67"/>
      <c r="H1066" s="67"/>
      <c r="I1066" s="67"/>
      <c r="J1066" s="67"/>
      <c r="K1066" s="67"/>
      <c r="L1066" s="67"/>
      <c r="M1066" s="67"/>
      <c r="N1066" s="67"/>
      <c r="O1066" s="67"/>
      <c r="P1066" s="67"/>
      <c r="Q1066" s="13"/>
      <c r="R1066" s="13"/>
      <c r="S1066" s="13"/>
      <c r="T1066" s="13"/>
      <c r="U1066" s="13"/>
      <c r="V1066" s="13"/>
      <c r="W1066" s="13"/>
      <c r="X1066" s="13"/>
      <c r="Y1066" s="4"/>
      <c r="Z1066" s="4"/>
      <c r="AA1066" s="4"/>
      <c r="AB1066" s="4"/>
      <c r="AC1066" s="4"/>
      <c r="AD1066" s="4"/>
      <c r="AE1066" s="4"/>
      <c r="AF1066" s="4"/>
      <c r="AG1066" s="4"/>
      <c r="AH1066" s="4"/>
      <c r="AI1066" s="4"/>
      <c r="AJ1066" s="14"/>
      <c r="AK1066" s="14"/>
      <c r="AL1066" s="14"/>
      <c r="AM1066" s="14"/>
      <c r="AN1066" s="14"/>
      <c r="AO1066" s="14"/>
      <c r="AP1066" s="14"/>
      <c r="AQ1066" s="14"/>
      <c r="AR1066" s="14"/>
      <c r="AS1066" s="14"/>
      <c r="AT1066" s="14"/>
      <c r="AV1066" s="68"/>
      <c r="AW1066" s="68"/>
      <c r="AX1066" s="68"/>
      <c r="AY1066" s="68"/>
    </row>
    <row r="1067" spans="1:54" ht="13" customHeight="1">
      <c r="A1067" s="1446" t="s">
        <v>590</v>
      </c>
      <c r="B1067" s="1446"/>
      <c r="C1067" s="1863">
        <v>2</v>
      </c>
      <c r="D1067" s="1863"/>
      <c r="E1067" s="1865" t="s">
        <v>2240</v>
      </c>
      <c r="F1067" s="1865"/>
      <c r="G1067" s="1865"/>
      <c r="H1067" s="1865"/>
      <c r="I1067" s="1865"/>
      <c r="J1067" s="1865"/>
      <c r="K1067" s="1865"/>
      <c r="L1067" s="1865"/>
      <c r="M1067" s="1865"/>
      <c r="N1067" s="1865"/>
      <c r="O1067" s="1865"/>
      <c r="P1067" s="1865"/>
      <c r="Q1067" s="1865"/>
      <c r="R1067" s="1865"/>
      <c r="S1067" s="1865"/>
      <c r="T1067" s="1865"/>
      <c r="U1067" s="1865"/>
      <c r="V1067" s="1865"/>
      <c r="W1067" s="1865"/>
      <c r="X1067" s="1865"/>
      <c r="Y1067" s="1865"/>
      <c r="Z1067" s="1865"/>
      <c r="AA1067" s="1865"/>
      <c r="AB1067" s="1865"/>
      <c r="AC1067" s="1865"/>
      <c r="AD1067" s="1865"/>
      <c r="AE1067" s="1865"/>
      <c r="AF1067" s="1865"/>
      <c r="AG1067" s="1865"/>
      <c r="AH1067" s="1865"/>
      <c r="AI1067" s="1865"/>
      <c r="AJ1067" s="1865"/>
      <c r="AK1067" s="1865"/>
      <c r="AL1067" s="1865"/>
      <c r="AM1067" s="1865"/>
      <c r="AN1067" s="1865"/>
      <c r="AO1067" s="1865"/>
      <c r="AP1067" s="1865"/>
      <c r="AQ1067" s="1865"/>
      <c r="AR1067" s="1865"/>
      <c r="AS1067" s="14"/>
      <c r="AT1067" s="14"/>
      <c r="AV1067" s="68"/>
      <c r="AW1067" s="68"/>
      <c r="AX1067" s="68"/>
      <c r="AY1067" s="68"/>
    </row>
    <row r="1068" spans="1:54" ht="13" customHeight="1">
      <c r="A1068" s="198"/>
      <c r="B1068" s="67"/>
      <c r="C1068" s="1863"/>
      <c r="D1068" s="1863"/>
      <c r="E1068" s="1865"/>
      <c r="F1068" s="1865"/>
      <c r="G1068" s="1865"/>
      <c r="H1068" s="1865"/>
      <c r="I1068" s="1865"/>
      <c r="J1068" s="1865"/>
      <c r="K1068" s="1865"/>
      <c r="L1068" s="1865"/>
      <c r="M1068" s="1865"/>
      <c r="N1068" s="1865"/>
      <c r="O1068" s="1865"/>
      <c r="P1068" s="1865"/>
      <c r="Q1068" s="1865"/>
      <c r="R1068" s="1865"/>
      <c r="S1068" s="1865"/>
      <c r="T1068" s="1865"/>
      <c r="U1068" s="1865"/>
      <c r="V1068" s="1865"/>
      <c r="W1068" s="1865"/>
      <c r="X1068" s="1865"/>
      <c r="Y1068" s="1865"/>
      <c r="Z1068" s="1865"/>
      <c r="AA1068" s="1865"/>
      <c r="AB1068" s="1865"/>
      <c r="AC1068" s="1865"/>
      <c r="AD1068" s="1865"/>
      <c r="AE1068" s="1865"/>
      <c r="AF1068" s="1865"/>
      <c r="AG1068" s="1865"/>
      <c r="AH1068" s="1865"/>
      <c r="AI1068" s="1865"/>
      <c r="AJ1068" s="1865"/>
      <c r="AK1068" s="1865"/>
      <c r="AL1068" s="1865"/>
      <c r="AM1068" s="1865"/>
      <c r="AN1068" s="1865"/>
      <c r="AO1068" s="1865"/>
      <c r="AP1068" s="1865"/>
      <c r="AQ1068" s="1865"/>
      <c r="AR1068" s="1865"/>
      <c r="AS1068" s="14"/>
      <c r="AT1068" s="14"/>
      <c r="AV1068" s="68"/>
      <c r="AW1068" s="68"/>
      <c r="AX1068" s="68"/>
      <c r="AY1068" s="68"/>
    </row>
    <row r="1069" spans="1:54" ht="13" customHeight="1">
      <c r="A1069" s="198"/>
      <c r="B1069" s="67"/>
      <c r="C1069" s="1863"/>
      <c r="D1069" s="1863"/>
      <c r="E1069" s="67"/>
      <c r="F1069" s="67"/>
      <c r="G1069" s="67"/>
      <c r="H1069" s="67"/>
      <c r="I1069" s="67"/>
      <c r="J1069" s="67"/>
      <c r="K1069" s="67"/>
      <c r="L1069" s="67"/>
      <c r="M1069" s="67"/>
      <c r="N1069" s="67"/>
      <c r="O1069" s="67"/>
      <c r="P1069" s="67"/>
      <c r="Q1069" s="13"/>
      <c r="R1069" s="13"/>
      <c r="S1069" s="13"/>
      <c r="T1069" s="13"/>
      <c r="U1069" s="13"/>
      <c r="V1069" s="13"/>
      <c r="W1069" s="13"/>
      <c r="X1069" s="13"/>
      <c r="Y1069" s="4"/>
      <c r="Z1069" s="4"/>
      <c r="AA1069" s="4"/>
      <c r="AB1069" s="4"/>
      <c r="AC1069" s="4"/>
      <c r="AD1069" s="4"/>
      <c r="AE1069" s="4"/>
      <c r="AF1069" s="4"/>
      <c r="AG1069" s="4"/>
      <c r="AH1069" s="4"/>
      <c r="AI1069" s="4"/>
      <c r="AJ1069" s="14"/>
      <c r="AK1069" s="14"/>
      <c r="AL1069" s="14"/>
      <c r="AM1069" s="14"/>
      <c r="AN1069" s="14"/>
      <c r="AO1069" s="14"/>
      <c r="AP1069" s="14"/>
      <c r="AQ1069" s="14"/>
      <c r="AR1069" s="14"/>
      <c r="AS1069" s="14"/>
      <c r="AT1069" s="14"/>
      <c r="AV1069" s="68"/>
      <c r="AW1069" s="68"/>
      <c r="AX1069" s="68"/>
      <c r="AY1069" s="68"/>
    </row>
    <row r="1070" spans="1:54" ht="13" customHeight="1">
      <c r="A1070" s="1446" t="s">
        <v>590</v>
      </c>
      <c r="B1070" s="1446"/>
      <c r="C1070" s="1409">
        <v>3</v>
      </c>
      <c r="D1070" s="1409"/>
      <c r="E1070" s="1338" t="s">
        <v>1079</v>
      </c>
      <c r="F1070" s="1338"/>
      <c r="G1070" s="1338"/>
      <c r="H1070" s="1338"/>
      <c r="I1070" s="1338"/>
      <c r="J1070" s="1338"/>
      <c r="K1070" s="1338"/>
      <c r="L1070" s="1338"/>
      <c r="M1070" s="1338"/>
      <c r="N1070" s="1338"/>
      <c r="O1070" s="1338"/>
      <c r="P1070" s="1338"/>
      <c r="Q1070" s="1338"/>
      <c r="R1070" s="1338"/>
      <c r="S1070" s="1338"/>
      <c r="T1070" s="1338"/>
      <c r="U1070" s="1338"/>
      <c r="V1070" s="1338"/>
      <c r="W1070" s="1338"/>
      <c r="X1070" s="1338"/>
      <c r="Y1070" s="1338"/>
      <c r="Z1070" s="1338"/>
      <c r="AA1070" s="1338"/>
      <c r="AB1070" s="1338"/>
      <c r="AC1070" s="1338"/>
      <c r="AD1070" s="1338"/>
      <c r="AE1070" s="1338"/>
      <c r="AF1070" s="1338"/>
      <c r="AG1070" s="1338"/>
      <c r="AH1070" s="1338"/>
      <c r="AI1070" s="1338"/>
      <c r="AJ1070" s="1338"/>
      <c r="AK1070" s="1338"/>
      <c r="AL1070" s="1338"/>
      <c r="AM1070" s="1338"/>
      <c r="AN1070" s="1338"/>
      <c r="AO1070" s="1338"/>
      <c r="AP1070" s="1338"/>
      <c r="AQ1070" s="1338"/>
      <c r="AR1070" s="1338"/>
      <c r="AS1070" s="14"/>
      <c r="AT1070" s="68"/>
      <c r="AV1070" s="68"/>
      <c r="AW1070" s="68"/>
      <c r="AX1070" s="68"/>
      <c r="AY1070" s="68"/>
    </row>
    <row r="1071" spans="1:54" ht="13" customHeight="1">
      <c r="A1071" s="1"/>
      <c r="B1071" s="1"/>
      <c r="C1071" s="1409"/>
      <c r="D1071" s="1409"/>
      <c r="E1071" s="1338"/>
      <c r="F1071" s="1338"/>
      <c r="G1071" s="1338"/>
      <c r="H1071" s="1338"/>
      <c r="I1071" s="1338"/>
      <c r="J1071" s="1338"/>
      <c r="K1071" s="1338"/>
      <c r="L1071" s="1338"/>
      <c r="M1071" s="1338"/>
      <c r="N1071" s="1338"/>
      <c r="O1071" s="1338"/>
      <c r="P1071" s="1338"/>
      <c r="Q1071" s="1338"/>
      <c r="R1071" s="1338"/>
      <c r="S1071" s="1338"/>
      <c r="T1071" s="1338"/>
      <c r="U1071" s="1338"/>
      <c r="V1071" s="1338"/>
      <c r="W1071" s="1338"/>
      <c r="X1071" s="1338"/>
      <c r="Y1071" s="1338"/>
      <c r="Z1071" s="1338"/>
      <c r="AA1071" s="1338"/>
      <c r="AB1071" s="1338"/>
      <c r="AC1071" s="1338"/>
      <c r="AD1071" s="1338"/>
      <c r="AE1071" s="1338"/>
      <c r="AF1071" s="1338"/>
      <c r="AG1071" s="1338"/>
      <c r="AH1071" s="1338"/>
      <c r="AI1071" s="1338"/>
      <c r="AJ1071" s="1338"/>
      <c r="AK1071" s="1338"/>
      <c r="AL1071" s="1338"/>
      <c r="AM1071" s="1338"/>
      <c r="AN1071" s="1338"/>
      <c r="AO1071" s="1338"/>
      <c r="AP1071" s="1338"/>
      <c r="AQ1071" s="1338"/>
      <c r="AR1071" s="1338"/>
      <c r="AS1071" s="14"/>
      <c r="AT1071" s="68"/>
      <c r="AV1071" s="68"/>
      <c r="AW1071" s="68"/>
      <c r="AX1071" s="68"/>
      <c r="AY1071" s="68"/>
    </row>
    <row r="1072" spans="1:54" ht="13" customHeight="1">
      <c r="A1072" s="1"/>
      <c r="B1072" s="1"/>
      <c r="C1072" s="1409"/>
      <c r="D1072" s="1409"/>
      <c r="E1072" s="1338"/>
      <c r="F1072" s="1338"/>
      <c r="G1072" s="1338"/>
      <c r="H1072" s="1338"/>
      <c r="I1072" s="1338"/>
      <c r="J1072" s="1338"/>
      <c r="K1072" s="1338"/>
      <c r="L1072" s="1338"/>
      <c r="M1072" s="1338"/>
      <c r="N1072" s="1338"/>
      <c r="O1072" s="1338"/>
      <c r="P1072" s="1338"/>
      <c r="Q1072" s="1338"/>
      <c r="R1072" s="1338"/>
      <c r="S1072" s="1338"/>
      <c r="T1072" s="1338"/>
      <c r="U1072" s="1338"/>
      <c r="V1072" s="1338"/>
      <c r="W1072" s="1338"/>
      <c r="X1072" s="1338"/>
      <c r="Y1072" s="1338"/>
      <c r="Z1072" s="1338"/>
      <c r="AA1072" s="1338"/>
      <c r="AB1072" s="1338"/>
      <c r="AC1072" s="1338"/>
      <c r="AD1072" s="1338"/>
      <c r="AE1072" s="1338"/>
      <c r="AF1072" s="1338"/>
      <c r="AG1072" s="1338"/>
      <c r="AH1072" s="1338"/>
      <c r="AI1072" s="1338"/>
      <c r="AJ1072" s="1338"/>
      <c r="AK1072" s="1338"/>
      <c r="AL1072" s="1338"/>
      <c r="AM1072" s="1338"/>
      <c r="AN1072" s="1338"/>
      <c r="AO1072" s="1338"/>
      <c r="AP1072" s="1338"/>
      <c r="AQ1072" s="1338"/>
      <c r="AR1072" s="1338"/>
      <c r="AS1072" s="14"/>
      <c r="AT1072" s="68"/>
      <c r="AV1072" s="68"/>
      <c r="AW1072" s="68"/>
      <c r="AX1072" s="68"/>
      <c r="AY1072" s="68"/>
    </row>
    <row r="1073" spans="1:51" ht="13" customHeight="1">
      <c r="A1073" s="1"/>
      <c r="B1073" s="1"/>
      <c r="C1073" s="1409"/>
      <c r="D1073" s="1409"/>
      <c r="E1073" s="1338"/>
      <c r="F1073" s="1338"/>
      <c r="G1073" s="1338"/>
      <c r="H1073" s="1338"/>
      <c r="I1073" s="1338"/>
      <c r="J1073" s="1338"/>
      <c r="K1073" s="1338"/>
      <c r="L1073" s="1338"/>
      <c r="M1073" s="1338"/>
      <c r="N1073" s="1338"/>
      <c r="O1073" s="1338"/>
      <c r="P1073" s="1338"/>
      <c r="Q1073" s="1338"/>
      <c r="R1073" s="1338"/>
      <c r="S1073" s="1338"/>
      <c r="T1073" s="1338"/>
      <c r="U1073" s="1338"/>
      <c r="V1073" s="1338"/>
      <c r="W1073" s="1338"/>
      <c r="X1073" s="1338"/>
      <c r="Y1073" s="1338"/>
      <c r="Z1073" s="1338"/>
      <c r="AA1073" s="1338"/>
      <c r="AB1073" s="1338"/>
      <c r="AC1073" s="1338"/>
      <c r="AD1073" s="1338"/>
      <c r="AE1073" s="1338"/>
      <c r="AF1073" s="1338"/>
      <c r="AG1073" s="1338"/>
      <c r="AH1073" s="1338"/>
      <c r="AI1073" s="1338"/>
      <c r="AJ1073" s="1338"/>
      <c r="AK1073" s="1338"/>
      <c r="AL1073" s="1338"/>
      <c r="AM1073" s="1338"/>
      <c r="AN1073" s="1338"/>
      <c r="AO1073" s="1338"/>
      <c r="AP1073" s="1338"/>
      <c r="AQ1073" s="1338"/>
      <c r="AR1073" s="1338"/>
      <c r="AS1073" s="14"/>
      <c r="AT1073" s="68"/>
      <c r="AV1073" s="68"/>
      <c r="AW1073" s="68"/>
      <c r="AX1073" s="68"/>
      <c r="AY1073" s="68"/>
    </row>
    <row r="1074" spans="1:51" ht="13" customHeight="1">
      <c r="A1074" s="2"/>
      <c r="B1074" s="25"/>
      <c r="C1074" s="1409"/>
      <c r="D1074" s="1409"/>
      <c r="E1074" s="456"/>
      <c r="F1074" s="456"/>
      <c r="G1074" s="456"/>
      <c r="H1074" s="456"/>
      <c r="I1074" s="456"/>
      <c r="J1074" s="456"/>
      <c r="K1074" s="456"/>
      <c r="L1074" s="456"/>
      <c r="M1074" s="456"/>
      <c r="N1074" s="456"/>
      <c r="O1074" s="456"/>
      <c r="P1074" s="456"/>
      <c r="Q1074" s="456"/>
      <c r="R1074" s="456"/>
      <c r="S1074" s="456"/>
      <c r="T1074" s="456"/>
      <c r="U1074" s="456"/>
      <c r="V1074" s="456"/>
      <c r="W1074" s="456"/>
      <c r="X1074" s="456"/>
      <c r="Y1074" s="456"/>
      <c r="Z1074" s="456"/>
      <c r="AA1074" s="456"/>
      <c r="AB1074" s="456"/>
      <c r="AC1074" s="456"/>
      <c r="AD1074" s="456"/>
      <c r="AE1074" s="456"/>
      <c r="AF1074" s="456"/>
      <c r="AG1074" s="456"/>
      <c r="AH1074" s="456"/>
      <c r="AI1074" s="456"/>
      <c r="AJ1074" s="456"/>
      <c r="AK1074" s="456"/>
      <c r="AL1074" s="68"/>
      <c r="AM1074" s="68"/>
      <c r="AN1074" s="68"/>
      <c r="AO1074" s="68"/>
      <c r="AP1074" s="68"/>
      <c r="AQ1074" s="68"/>
      <c r="AR1074" s="68"/>
      <c r="AS1074" s="14"/>
      <c r="AT1074" s="68"/>
      <c r="AV1074" s="68"/>
      <c r="AW1074" s="68"/>
      <c r="AX1074" s="68"/>
      <c r="AY1074" s="68"/>
    </row>
    <row r="1075" spans="1:51" ht="13" customHeight="1">
      <c r="A1075" s="1446" t="s">
        <v>590</v>
      </c>
      <c r="B1075" s="1446"/>
      <c r="C1075" s="1409">
        <v>4</v>
      </c>
      <c r="D1075" s="1409"/>
      <c r="E1075" s="1338" t="s">
        <v>1078</v>
      </c>
      <c r="F1075" s="1338"/>
      <c r="G1075" s="1338"/>
      <c r="H1075" s="1338"/>
      <c r="I1075" s="1338"/>
      <c r="J1075" s="1338"/>
      <c r="K1075" s="1338"/>
      <c r="L1075" s="1338"/>
      <c r="M1075" s="1338"/>
      <c r="N1075" s="1338"/>
      <c r="O1075" s="1338"/>
      <c r="P1075" s="1338"/>
      <c r="Q1075" s="1338"/>
      <c r="R1075" s="1338"/>
      <c r="S1075" s="1338"/>
      <c r="T1075" s="1338"/>
      <c r="U1075" s="1338"/>
      <c r="V1075" s="1338"/>
      <c r="W1075" s="1338"/>
      <c r="X1075" s="1338"/>
      <c r="Y1075" s="1338"/>
      <c r="Z1075" s="1338"/>
      <c r="AA1075" s="1338"/>
      <c r="AB1075" s="1338"/>
      <c r="AC1075" s="1338"/>
      <c r="AD1075" s="1338"/>
      <c r="AE1075" s="1338"/>
      <c r="AF1075" s="1338"/>
      <c r="AG1075" s="1338"/>
      <c r="AH1075" s="1338"/>
      <c r="AI1075" s="1338"/>
      <c r="AJ1075" s="1338"/>
      <c r="AK1075" s="1338"/>
      <c r="AL1075" s="1338"/>
      <c r="AM1075" s="1338"/>
      <c r="AN1075" s="1338"/>
      <c r="AO1075" s="1338"/>
      <c r="AP1075" s="1338"/>
      <c r="AQ1075" s="1338"/>
      <c r="AR1075" s="1338"/>
      <c r="AS1075" s="14"/>
      <c r="AT1075" s="68"/>
    </row>
    <row r="1076" spans="1:51" ht="13" customHeight="1">
      <c r="A1076" s="1"/>
      <c r="B1076" s="1"/>
      <c r="C1076" s="1409"/>
      <c r="D1076" s="1409"/>
      <c r="E1076" s="1338"/>
      <c r="F1076" s="1338"/>
      <c r="G1076" s="1338"/>
      <c r="H1076" s="1338"/>
      <c r="I1076" s="1338"/>
      <c r="J1076" s="1338"/>
      <c r="K1076" s="1338"/>
      <c r="L1076" s="1338"/>
      <c r="M1076" s="1338"/>
      <c r="N1076" s="1338"/>
      <c r="O1076" s="1338"/>
      <c r="P1076" s="1338"/>
      <c r="Q1076" s="1338"/>
      <c r="R1076" s="1338"/>
      <c r="S1076" s="1338"/>
      <c r="T1076" s="1338"/>
      <c r="U1076" s="1338"/>
      <c r="V1076" s="1338"/>
      <c r="W1076" s="1338"/>
      <c r="X1076" s="1338"/>
      <c r="Y1076" s="1338"/>
      <c r="Z1076" s="1338"/>
      <c r="AA1076" s="1338"/>
      <c r="AB1076" s="1338"/>
      <c r="AC1076" s="1338"/>
      <c r="AD1076" s="1338"/>
      <c r="AE1076" s="1338"/>
      <c r="AF1076" s="1338"/>
      <c r="AG1076" s="1338"/>
      <c r="AH1076" s="1338"/>
      <c r="AI1076" s="1338"/>
      <c r="AJ1076" s="1338"/>
      <c r="AK1076" s="1338"/>
      <c r="AL1076" s="1338"/>
      <c r="AM1076" s="1338"/>
      <c r="AN1076" s="1338"/>
      <c r="AO1076" s="1338"/>
      <c r="AP1076" s="1338"/>
      <c r="AQ1076" s="1338"/>
      <c r="AR1076" s="1338"/>
      <c r="AS1076" s="14"/>
      <c r="AT1076" s="68"/>
    </row>
    <row r="1077" spans="1:51" ht="13" customHeight="1">
      <c r="A1077" s="1"/>
      <c r="B1077" s="1"/>
      <c r="C1077" s="1409"/>
      <c r="D1077" s="1409"/>
      <c r="E1077" s="1338"/>
      <c r="F1077" s="1338"/>
      <c r="G1077" s="1338"/>
      <c r="H1077" s="1338"/>
      <c r="I1077" s="1338"/>
      <c r="J1077" s="1338"/>
      <c r="K1077" s="1338"/>
      <c r="L1077" s="1338"/>
      <c r="M1077" s="1338"/>
      <c r="N1077" s="1338"/>
      <c r="O1077" s="1338"/>
      <c r="P1077" s="1338"/>
      <c r="Q1077" s="1338"/>
      <c r="R1077" s="1338"/>
      <c r="S1077" s="1338"/>
      <c r="T1077" s="1338"/>
      <c r="U1077" s="1338"/>
      <c r="V1077" s="1338"/>
      <c r="W1077" s="1338"/>
      <c r="X1077" s="1338"/>
      <c r="Y1077" s="1338"/>
      <c r="Z1077" s="1338"/>
      <c r="AA1077" s="1338"/>
      <c r="AB1077" s="1338"/>
      <c r="AC1077" s="1338"/>
      <c r="AD1077" s="1338"/>
      <c r="AE1077" s="1338"/>
      <c r="AF1077" s="1338"/>
      <c r="AG1077" s="1338"/>
      <c r="AH1077" s="1338"/>
      <c r="AI1077" s="1338"/>
      <c r="AJ1077" s="1338"/>
      <c r="AK1077" s="1338"/>
      <c r="AL1077" s="1338"/>
      <c r="AM1077" s="1338"/>
      <c r="AN1077" s="1338"/>
      <c r="AO1077" s="1338"/>
      <c r="AP1077" s="1338"/>
      <c r="AQ1077" s="1338"/>
      <c r="AR1077" s="1338"/>
      <c r="AS1077" s="14"/>
      <c r="AT1077" s="68"/>
    </row>
    <row r="1078" spans="1:51" ht="13" customHeight="1">
      <c r="A1078" s="1"/>
      <c r="B1078" s="1"/>
      <c r="C1078" s="1409"/>
      <c r="D1078" s="1409"/>
      <c r="E1078" s="1338"/>
      <c r="F1078" s="1338"/>
      <c r="G1078" s="1338"/>
      <c r="H1078" s="1338"/>
      <c r="I1078" s="1338"/>
      <c r="J1078" s="1338"/>
      <c r="K1078" s="1338"/>
      <c r="L1078" s="1338"/>
      <c r="M1078" s="1338"/>
      <c r="N1078" s="1338"/>
      <c r="O1078" s="1338"/>
      <c r="P1078" s="1338"/>
      <c r="Q1078" s="1338"/>
      <c r="R1078" s="1338"/>
      <c r="S1078" s="1338"/>
      <c r="T1078" s="1338"/>
      <c r="U1078" s="1338"/>
      <c r="V1078" s="1338"/>
      <c r="W1078" s="1338"/>
      <c r="X1078" s="1338"/>
      <c r="Y1078" s="1338"/>
      <c r="Z1078" s="1338"/>
      <c r="AA1078" s="1338"/>
      <c r="AB1078" s="1338"/>
      <c r="AC1078" s="1338"/>
      <c r="AD1078" s="1338"/>
      <c r="AE1078" s="1338"/>
      <c r="AF1078" s="1338"/>
      <c r="AG1078" s="1338"/>
      <c r="AH1078" s="1338"/>
      <c r="AI1078" s="1338"/>
      <c r="AJ1078" s="1338"/>
      <c r="AK1078" s="1338"/>
      <c r="AL1078" s="1338"/>
      <c r="AM1078" s="1338"/>
      <c r="AN1078" s="1338"/>
      <c r="AO1078" s="1338"/>
      <c r="AP1078" s="1338"/>
      <c r="AQ1078" s="1338"/>
      <c r="AR1078" s="1338"/>
      <c r="AS1078" s="14"/>
      <c r="AT1078" s="68"/>
    </row>
    <row r="1079" spans="1:51" ht="13" customHeight="1">
      <c r="A1079" s="1"/>
      <c r="B1079" s="1"/>
      <c r="C1079" s="1409"/>
      <c r="D1079" s="1409"/>
      <c r="E1079" s="1338"/>
      <c r="F1079" s="1338"/>
      <c r="G1079" s="1338"/>
      <c r="H1079" s="1338"/>
      <c r="I1079" s="1338"/>
      <c r="J1079" s="1338"/>
      <c r="K1079" s="1338"/>
      <c r="L1079" s="1338"/>
      <c r="M1079" s="1338"/>
      <c r="N1079" s="1338"/>
      <c r="O1079" s="1338"/>
      <c r="P1079" s="1338"/>
      <c r="Q1079" s="1338"/>
      <c r="R1079" s="1338"/>
      <c r="S1079" s="1338"/>
      <c r="T1079" s="1338"/>
      <c r="U1079" s="1338"/>
      <c r="V1079" s="1338"/>
      <c r="W1079" s="1338"/>
      <c r="X1079" s="1338"/>
      <c r="Y1079" s="1338"/>
      <c r="Z1079" s="1338"/>
      <c r="AA1079" s="1338"/>
      <c r="AB1079" s="1338"/>
      <c r="AC1079" s="1338"/>
      <c r="AD1079" s="1338"/>
      <c r="AE1079" s="1338"/>
      <c r="AF1079" s="1338"/>
      <c r="AG1079" s="1338"/>
      <c r="AH1079" s="1338"/>
      <c r="AI1079" s="1338"/>
      <c r="AJ1079" s="1338"/>
      <c r="AK1079" s="1338"/>
      <c r="AL1079" s="1338"/>
      <c r="AM1079" s="1338"/>
      <c r="AN1079" s="1338"/>
      <c r="AO1079" s="1338"/>
      <c r="AP1079" s="1338"/>
      <c r="AQ1079" s="1338"/>
      <c r="AR1079" s="1338"/>
      <c r="AS1079" s="14"/>
      <c r="AT1079" s="68"/>
    </row>
    <row r="1080" spans="1:51" ht="13" customHeight="1">
      <c r="A1080" s="1"/>
      <c r="B1080" s="1"/>
      <c r="C1080" s="1409"/>
      <c r="D1080" s="1409"/>
      <c r="E1080" s="456"/>
      <c r="F1080" s="456"/>
      <c r="G1080" s="456"/>
      <c r="H1080" s="456"/>
      <c r="I1080" s="456"/>
      <c r="J1080" s="456"/>
      <c r="K1080" s="456"/>
      <c r="L1080" s="456"/>
      <c r="M1080" s="456"/>
      <c r="N1080" s="456"/>
      <c r="O1080" s="456"/>
      <c r="P1080" s="456"/>
      <c r="Q1080" s="456"/>
      <c r="R1080" s="456"/>
      <c r="S1080" s="456"/>
      <c r="T1080" s="456"/>
      <c r="U1080" s="456"/>
      <c r="V1080" s="456"/>
      <c r="W1080" s="456"/>
      <c r="X1080" s="456"/>
      <c r="Y1080" s="456"/>
      <c r="Z1080" s="456"/>
      <c r="AA1080" s="456"/>
      <c r="AB1080" s="456"/>
      <c r="AC1080" s="456"/>
      <c r="AD1080" s="456"/>
      <c r="AE1080" s="456"/>
      <c r="AF1080" s="456"/>
      <c r="AG1080" s="456"/>
      <c r="AH1080" s="456"/>
      <c r="AI1080" s="456"/>
      <c r="AJ1080" s="456"/>
      <c r="AK1080" s="456"/>
      <c r="AS1080" s="14"/>
    </row>
    <row r="1081" spans="1:51" ht="13" customHeight="1">
      <c r="A1081" s="1446" t="s">
        <v>590</v>
      </c>
      <c r="B1081" s="1446"/>
      <c r="C1081" s="1409">
        <v>5</v>
      </c>
      <c r="D1081" s="1409"/>
      <c r="E1081" s="1338" t="s">
        <v>2244</v>
      </c>
      <c r="F1081" s="1338"/>
      <c r="G1081" s="1338"/>
      <c r="H1081" s="1338"/>
      <c r="I1081" s="1338"/>
      <c r="J1081" s="1338"/>
      <c r="K1081" s="1338"/>
      <c r="L1081" s="1338"/>
      <c r="M1081" s="1338"/>
      <c r="N1081" s="1338"/>
      <c r="O1081" s="1338"/>
      <c r="P1081" s="1338"/>
      <c r="Q1081" s="1338"/>
      <c r="R1081" s="1338"/>
      <c r="S1081" s="1338"/>
      <c r="T1081" s="1338"/>
      <c r="U1081" s="1338"/>
      <c r="V1081" s="1338"/>
      <c r="W1081" s="1338"/>
      <c r="X1081" s="1338"/>
      <c r="Y1081" s="1338"/>
      <c r="Z1081" s="1338"/>
      <c r="AA1081" s="1338"/>
      <c r="AB1081" s="1338"/>
      <c r="AC1081" s="1338"/>
      <c r="AD1081" s="1338"/>
      <c r="AE1081" s="1338"/>
      <c r="AF1081" s="1338"/>
      <c r="AG1081" s="1338"/>
      <c r="AH1081" s="1338"/>
      <c r="AI1081" s="1338"/>
      <c r="AJ1081" s="1338"/>
      <c r="AK1081" s="1338"/>
      <c r="AL1081" s="1338"/>
      <c r="AM1081" s="1338"/>
      <c r="AN1081" s="1338"/>
      <c r="AO1081" s="1338"/>
      <c r="AP1081" s="1338"/>
      <c r="AQ1081" s="1338"/>
      <c r="AR1081" s="1338"/>
      <c r="AS1081" s="14"/>
    </row>
    <row r="1082" spans="1:51" ht="13" customHeight="1">
      <c r="A1082" s="4"/>
      <c r="B1082" s="4"/>
      <c r="C1082" s="1409"/>
      <c r="D1082" s="1409"/>
      <c r="E1082" s="1338"/>
      <c r="F1082" s="1338"/>
      <c r="G1082" s="1338"/>
      <c r="H1082" s="1338"/>
      <c r="I1082" s="1338"/>
      <c r="J1082" s="1338"/>
      <c r="K1082" s="1338"/>
      <c r="L1082" s="1338"/>
      <c r="M1082" s="1338"/>
      <c r="N1082" s="1338"/>
      <c r="O1082" s="1338"/>
      <c r="P1082" s="1338"/>
      <c r="Q1082" s="1338"/>
      <c r="R1082" s="1338"/>
      <c r="S1082" s="1338"/>
      <c r="T1082" s="1338"/>
      <c r="U1082" s="1338"/>
      <c r="V1082" s="1338"/>
      <c r="W1082" s="1338"/>
      <c r="X1082" s="1338"/>
      <c r="Y1082" s="1338"/>
      <c r="Z1082" s="1338"/>
      <c r="AA1082" s="1338"/>
      <c r="AB1082" s="1338"/>
      <c r="AC1082" s="1338"/>
      <c r="AD1082" s="1338"/>
      <c r="AE1082" s="1338"/>
      <c r="AF1082" s="1338"/>
      <c r="AG1082" s="1338"/>
      <c r="AH1082" s="1338"/>
      <c r="AI1082" s="1338"/>
      <c r="AJ1082" s="1338"/>
      <c r="AK1082" s="1338"/>
      <c r="AL1082" s="1338"/>
      <c r="AM1082" s="1338"/>
      <c r="AN1082" s="1338"/>
      <c r="AO1082" s="1338"/>
      <c r="AP1082" s="1338"/>
      <c r="AQ1082" s="1338"/>
      <c r="AR1082" s="1338"/>
      <c r="AS1082" s="14"/>
    </row>
    <row r="1083" spans="1:51" ht="13" customHeight="1">
      <c r="A1083" s="4"/>
      <c r="B1083" s="4"/>
      <c r="C1083" s="1409"/>
      <c r="D1083" s="1409"/>
      <c r="E1083" s="1338"/>
      <c r="F1083" s="1338"/>
      <c r="G1083" s="1338"/>
      <c r="H1083" s="1338"/>
      <c r="I1083" s="1338"/>
      <c r="J1083" s="1338"/>
      <c r="K1083" s="1338"/>
      <c r="L1083" s="1338"/>
      <c r="M1083" s="1338"/>
      <c r="N1083" s="1338"/>
      <c r="O1083" s="1338"/>
      <c r="P1083" s="1338"/>
      <c r="Q1083" s="1338"/>
      <c r="R1083" s="1338"/>
      <c r="S1083" s="1338"/>
      <c r="T1083" s="1338"/>
      <c r="U1083" s="1338"/>
      <c r="V1083" s="1338"/>
      <c r="W1083" s="1338"/>
      <c r="X1083" s="1338"/>
      <c r="Y1083" s="1338"/>
      <c r="Z1083" s="1338"/>
      <c r="AA1083" s="1338"/>
      <c r="AB1083" s="1338"/>
      <c r="AC1083" s="1338"/>
      <c r="AD1083" s="1338"/>
      <c r="AE1083" s="1338"/>
      <c r="AF1083" s="1338"/>
      <c r="AG1083" s="1338"/>
      <c r="AH1083" s="1338"/>
      <c r="AI1083" s="1338"/>
      <c r="AJ1083" s="1338"/>
      <c r="AK1083" s="1338"/>
      <c r="AL1083" s="1338"/>
      <c r="AM1083" s="1338"/>
      <c r="AN1083" s="1338"/>
      <c r="AO1083" s="1338"/>
      <c r="AP1083" s="1338"/>
      <c r="AQ1083" s="1338"/>
      <c r="AR1083" s="1338"/>
      <c r="AS1083" s="14"/>
    </row>
    <row r="1084" spans="1:51" ht="13" customHeight="1">
      <c r="A1084" s="35"/>
      <c r="B1084" s="25"/>
      <c r="C1084" s="1409"/>
      <c r="D1084" s="1409"/>
      <c r="E1084" s="456"/>
      <c r="F1084" s="456"/>
      <c r="G1084" s="456"/>
      <c r="H1084" s="456"/>
      <c r="I1084" s="456"/>
      <c r="J1084" s="456"/>
      <c r="K1084" s="456"/>
      <c r="L1084" s="456"/>
      <c r="M1084" s="456"/>
      <c r="N1084" s="456"/>
      <c r="O1084" s="456"/>
      <c r="P1084" s="456"/>
      <c r="Q1084" s="456"/>
      <c r="R1084" s="456"/>
      <c r="S1084" s="456"/>
      <c r="T1084" s="456"/>
      <c r="U1084" s="456"/>
      <c r="V1084" s="456"/>
      <c r="W1084" s="456"/>
      <c r="X1084" s="456"/>
      <c r="Y1084" s="456"/>
      <c r="Z1084" s="456"/>
      <c r="AA1084" s="456"/>
      <c r="AB1084" s="456"/>
      <c r="AC1084" s="456"/>
      <c r="AD1084" s="456"/>
      <c r="AE1084" s="456"/>
      <c r="AF1084" s="456"/>
      <c r="AG1084" s="456"/>
      <c r="AH1084" s="456"/>
      <c r="AI1084" s="456"/>
      <c r="AJ1084" s="456"/>
      <c r="AK1084" s="456"/>
      <c r="AS1084" s="14"/>
    </row>
    <row r="1085" spans="1:51" ht="13" customHeight="1">
      <c r="A1085" s="1446" t="s">
        <v>590</v>
      </c>
      <c r="B1085" s="1446"/>
      <c r="C1085" s="1409">
        <v>6</v>
      </c>
      <c r="D1085" s="1409"/>
      <c r="E1085" s="1338" t="s">
        <v>2245</v>
      </c>
      <c r="F1085" s="1338"/>
      <c r="G1085" s="1338"/>
      <c r="H1085" s="1338"/>
      <c r="I1085" s="1338"/>
      <c r="J1085" s="1338"/>
      <c r="K1085" s="1338"/>
      <c r="L1085" s="1338"/>
      <c r="M1085" s="1338"/>
      <c r="N1085" s="1338"/>
      <c r="O1085" s="1338"/>
      <c r="P1085" s="1338"/>
      <c r="Q1085" s="1338"/>
      <c r="R1085" s="1338"/>
      <c r="S1085" s="1338"/>
      <c r="T1085" s="1338"/>
      <c r="U1085" s="1338"/>
      <c r="V1085" s="1338"/>
      <c r="W1085" s="1338"/>
      <c r="X1085" s="1338"/>
      <c r="Y1085" s="1338"/>
      <c r="Z1085" s="1338"/>
      <c r="AA1085" s="1338"/>
      <c r="AB1085" s="1338"/>
      <c r="AC1085" s="1338"/>
      <c r="AD1085" s="1338"/>
      <c r="AE1085" s="1338"/>
      <c r="AF1085" s="1338"/>
      <c r="AG1085" s="1338"/>
      <c r="AH1085" s="1338"/>
      <c r="AI1085" s="1338"/>
      <c r="AJ1085" s="1338"/>
      <c r="AK1085" s="1338"/>
      <c r="AL1085" s="1338"/>
      <c r="AM1085" s="1338"/>
      <c r="AN1085" s="1338"/>
      <c r="AO1085" s="1338"/>
      <c r="AP1085" s="1338"/>
      <c r="AQ1085" s="1338"/>
      <c r="AR1085" s="1338"/>
      <c r="AS1085" s="14"/>
    </row>
    <row r="1086" spans="1:51" ht="13" customHeight="1">
      <c r="A1086" s="1"/>
      <c r="B1086" s="1"/>
      <c r="C1086" s="1"/>
      <c r="D1086" s="1"/>
      <c r="E1086" s="1338"/>
      <c r="F1086" s="1338"/>
      <c r="G1086" s="1338"/>
      <c r="H1086" s="1338"/>
      <c r="I1086" s="1338"/>
      <c r="J1086" s="1338"/>
      <c r="K1086" s="1338"/>
      <c r="L1086" s="1338"/>
      <c r="M1086" s="1338"/>
      <c r="N1086" s="1338"/>
      <c r="O1086" s="1338"/>
      <c r="P1086" s="1338"/>
      <c r="Q1086" s="1338"/>
      <c r="R1086" s="1338"/>
      <c r="S1086" s="1338"/>
      <c r="T1086" s="1338"/>
      <c r="U1086" s="1338"/>
      <c r="V1086" s="1338"/>
      <c r="W1086" s="1338"/>
      <c r="X1086" s="1338"/>
      <c r="Y1086" s="1338"/>
      <c r="Z1086" s="1338"/>
      <c r="AA1086" s="1338"/>
      <c r="AB1086" s="1338"/>
      <c r="AC1086" s="1338"/>
      <c r="AD1086" s="1338"/>
      <c r="AE1086" s="1338"/>
      <c r="AF1086" s="1338"/>
      <c r="AG1086" s="1338"/>
      <c r="AH1086" s="1338"/>
      <c r="AI1086" s="1338"/>
      <c r="AJ1086" s="1338"/>
      <c r="AK1086" s="1338"/>
      <c r="AL1086" s="1338"/>
      <c r="AM1086" s="1338"/>
      <c r="AN1086" s="1338"/>
      <c r="AO1086" s="1338"/>
      <c r="AP1086" s="1338"/>
      <c r="AQ1086" s="1338"/>
      <c r="AR1086" s="1338"/>
      <c r="AS1086" s="14"/>
    </row>
    <row r="1087" spans="1:51" ht="13" customHeight="1">
      <c r="A1087" s="1"/>
      <c r="B1087" s="1"/>
      <c r="C1087" s="1409"/>
      <c r="D1087" s="1409"/>
      <c r="E1087" s="1338"/>
      <c r="F1087" s="1338"/>
      <c r="G1087" s="1338"/>
      <c r="H1087" s="1338"/>
      <c r="I1087" s="1338"/>
      <c r="J1087" s="1338"/>
      <c r="K1087" s="1338"/>
      <c r="L1087" s="1338"/>
      <c r="M1087" s="1338"/>
      <c r="N1087" s="1338"/>
      <c r="O1087" s="1338"/>
      <c r="P1087" s="1338"/>
      <c r="Q1087" s="1338"/>
      <c r="R1087" s="1338"/>
      <c r="S1087" s="1338"/>
      <c r="T1087" s="1338"/>
      <c r="U1087" s="1338"/>
      <c r="V1087" s="1338"/>
      <c r="W1087" s="1338"/>
      <c r="X1087" s="1338"/>
      <c r="Y1087" s="1338"/>
      <c r="Z1087" s="1338"/>
      <c r="AA1087" s="1338"/>
      <c r="AB1087" s="1338"/>
      <c r="AC1087" s="1338"/>
      <c r="AD1087" s="1338"/>
      <c r="AE1087" s="1338"/>
      <c r="AF1087" s="1338"/>
      <c r="AG1087" s="1338"/>
      <c r="AH1087" s="1338"/>
      <c r="AI1087" s="1338"/>
      <c r="AJ1087" s="1338"/>
      <c r="AK1087" s="1338"/>
      <c r="AL1087" s="1338"/>
      <c r="AM1087" s="1338"/>
      <c r="AN1087" s="1338"/>
      <c r="AO1087" s="1338"/>
      <c r="AP1087" s="1338"/>
      <c r="AQ1087" s="1338"/>
      <c r="AR1087" s="1338"/>
      <c r="AS1087" s="14"/>
    </row>
    <row r="1088" spans="1:51" ht="13" customHeight="1">
      <c r="A1088" s="35"/>
      <c r="B1088" s="25"/>
      <c r="C1088" s="1409"/>
      <c r="D1088" s="1409"/>
      <c r="E1088" s="456"/>
      <c r="F1088" s="456"/>
      <c r="G1088" s="456"/>
      <c r="H1088" s="456"/>
      <c r="I1088" s="456"/>
      <c r="J1088" s="456"/>
      <c r="K1088" s="456"/>
      <c r="L1088" s="456"/>
      <c r="M1088" s="456"/>
      <c r="N1088" s="456"/>
      <c r="O1088" s="456"/>
      <c r="P1088" s="456"/>
      <c r="Q1088" s="456"/>
      <c r="R1088" s="456"/>
      <c r="S1088" s="456"/>
      <c r="T1088" s="456"/>
      <c r="U1088" s="456"/>
      <c r="V1088" s="456"/>
      <c r="W1088" s="456"/>
      <c r="X1088" s="456"/>
      <c r="Y1088" s="456"/>
      <c r="Z1088" s="456"/>
      <c r="AA1088" s="456"/>
      <c r="AB1088" s="456"/>
      <c r="AC1088" s="456"/>
      <c r="AD1088" s="456"/>
      <c r="AE1088" s="456"/>
      <c r="AF1088" s="456"/>
      <c r="AG1088" s="456"/>
      <c r="AH1088" s="456"/>
      <c r="AI1088" s="456"/>
      <c r="AJ1088" s="456"/>
      <c r="AK1088" s="456"/>
      <c r="AS1088" s="14"/>
    </row>
    <row r="1089" spans="1:45" ht="13" customHeight="1">
      <c r="A1089" s="1446" t="s">
        <v>590</v>
      </c>
      <c r="B1089" s="1446"/>
      <c r="C1089" s="1409">
        <v>7</v>
      </c>
      <c r="D1089" s="1409"/>
      <c r="E1089" s="1338" t="s">
        <v>2139</v>
      </c>
      <c r="F1089" s="1338"/>
      <c r="G1089" s="1338"/>
      <c r="H1089" s="1338"/>
      <c r="I1089" s="1338"/>
      <c r="J1089" s="1338"/>
      <c r="K1089" s="1338"/>
      <c r="L1089" s="1338"/>
      <c r="M1089" s="1338"/>
      <c r="N1089" s="1338"/>
      <c r="O1089" s="1338"/>
      <c r="P1089" s="1338"/>
      <c r="Q1089" s="1338"/>
      <c r="R1089" s="1338"/>
      <c r="S1089" s="1338"/>
      <c r="T1089" s="1338"/>
      <c r="U1089" s="1338"/>
      <c r="V1089" s="1338"/>
      <c r="W1089" s="1338"/>
      <c r="X1089" s="1338"/>
      <c r="Y1089" s="1338"/>
      <c r="Z1089" s="1338"/>
      <c r="AA1089" s="1338"/>
      <c r="AB1089" s="1338"/>
      <c r="AC1089" s="1338"/>
      <c r="AD1089" s="1338"/>
      <c r="AE1089" s="1338"/>
      <c r="AF1089" s="1338"/>
      <c r="AG1089" s="1338"/>
      <c r="AH1089" s="1338"/>
      <c r="AI1089" s="1338"/>
      <c r="AJ1089" s="1338"/>
      <c r="AK1089" s="1338"/>
      <c r="AL1089" s="1338"/>
      <c r="AM1089" s="1338"/>
      <c r="AN1089" s="1338"/>
      <c r="AO1089" s="1338"/>
      <c r="AP1089" s="1338"/>
      <c r="AQ1089" s="1338"/>
      <c r="AR1089" s="1338"/>
      <c r="AS1089" s="14"/>
    </row>
    <row r="1090" spans="1:45" ht="13" customHeight="1">
      <c r="A1090" s="1"/>
      <c r="B1090" s="1"/>
      <c r="C1090" s="1409"/>
      <c r="D1090" s="1409"/>
      <c r="E1090" s="1338"/>
      <c r="F1090" s="1338"/>
      <c r="G1090" s="1338"/>
      <c r="H1090" s="1338"/>
      <c r="I1090" s="1338"/>
      <c r="J1090" s="1338"/>
      <c r="K1090" s="1338"/>
      <c r="L1090" s="1338"/>
      <c r="M1090" s="1338"/>
      <c r="N1090" s="1338"/>
      <c r="O1090" s="1338"/>
      <c r="P1090" s="1338"/>
      <c r="Q1090" s="1338"/>
      <c r="R1090" s="1338"/>
      <c r="S1090" s="1338"/>
      <c r="T1090" s="1338"/>
      <c r="U1090" s="1338"/>
      <c r="V1090" s="1338"/>
      <c r="W1090" s="1338"/>
      <c r="X1090" s="1338"/>
      <c r="Y1090" s="1338"/>
      <c r="Z1090" s="1338"/>
      <c r="AA1090" s="1338"/>
      <c r="AB1090" s="1338"/>
      <c r="AC1090" s="1338"/>
      <c r="AD1090" s="1338"/>
      <c r="AE1090" s="1338"/>
      <c r="AF1090" s="1338"/>
      <c r="AG1090" s="1338"/>
      <c r="AH1090" s="1338"/>
      <c r="AI1090" s="1338"/>
      <c r="AJ1090" s="1338"/>
      <c r="AK1090" s="1338"/>
      <c r="AL1090" s="1338"/>
      <c r="AM1090" s="1338"/>
      <c r="AN1090" s="1338"/>
      <c r="AO1090" s="1338"/>
      <c r="AP1090" s="1338"/>
      <c r="AQ1090" s="1338"/>
      <c r="AR1090" s="1338"/>
      <c r="AS1090" s="14"/>
    </row>
    <row r="1091" spans="1:45" ht="13" customHeight="1">
      <c r="A1091" s="1"/>
      <c r="B1091" s="1"/>
      <c r="C1091" s="1409"/>
      <c r="D1091" s="1409"/>
      <c r="E1091" s="1338"/>
      <c r="F1091" s="1338"/>
      <c r="G1091" s="1338"/>
      <c r="H1091" s="1338"/>
      <c r="I1091" s="1338"/>
      <c r="J1091" s="1338"/>
      <c r="K1091" s="1338"/>
      <c r="L1091" s="1338"/>
      <c r="M1091" s="1338"/>
      <c r="N1091" s="1338"/>
      <c r="O1091" s="1338"/>
      <c r="P1091" s="1338"/>
      <c r="Q1091" s="1338"/>
      <c r="R1091" s="1338"/>
      <c r="S1091" s="1338"/>
      <c r="T1091" s="1338"/>
      <c r="U1091" s="1338"/>
      <c r="V1091" s="1338"/>
      <c r="W1091" s="1338"/>
      <c r="X1091" s="1338"/>
      <c r="Y1091" s="1338"/>
      <c r="Z1091" s="1338"/>
      <c r="AA1091" s="1338"/>
      <c r="AB1091" s="1338"/>
      <c r="AC1091" s="1338"/>
      <c r="AD1091" s="1338"/>
      <c r="AE1091" s="1338"/>
      <c r="AF1091" s="1338"/>
      <c r="AG1091" s="1338"/>
      <c r="AH1091" s="1338"/>
      <c r="AI1091" s="1338"/>
      <c r="AJ1091" s="1338"/>
      <c r="AK1091" s="1338"/>
      <c r="AL1091" s="1338"/>
      <c r="AM1091" s="1338"/>
      <c r="AN1091" s="1338"/>
      <c r="AO1091" s="1338"/>
      <c r="AP1091" s="1338"/>
      <c r="AQ1091" s="1338"/>
      <c r="AR1091" s="1338"/>
      <c r="AS1091" s="14"/>
    </row>
    <row r="1092" spans="1:45" ht="13" customHeight="1">
      <c r="A1092" s="1"/>
      <c r="B1092" s="1"/>
      <c r="C1092" s="1409"/>
      <c r="D1092" s="1409"/>
      <c r="E1092" s="456"/>
      <c r="F1092" s="456"/>
      <c r="G1092" s="456"/>
      <c r="H1092" s="456"/>
      <c r="I1092" s="456"/>
      <c r="J1092" s="456"/>
      <c r="K1092" s="456"/>
      <c r="L1092" s="456"/>
      <c r="M1092" s="456"/>
      <c r="N1092" s="456"/>
      <c r="O1092" s="456"/>
      <c r="P1092" s="456"/>
      <c r="Q1092" s="456"/>
      <c r="R1092" s="456"/>
      <c r="S1092" s="456"/>
      <c r="T1092" s="456"/>
      <c r="U1092" s="456"/>
      <c r="V1092" s="456"/>
      <c r="W1092" s="456"/>
      <c r="X1092" s="456"/>
      <c r="Y1092" s="456"/>
      <c r="Z1092" s="456"/>
      <c r="AA1092" s="456"/>
      <c r="AB1092" s="456"/>
      <c r="AC1092" s="456"/>
      <c r="AD1092" s="456"/>
      <c r="AE1092" s="456"/>
      <c r="AF1092" s="456"/>
      <c r="AG1092" s="456"/>
      <c r="AH1092" s="456"/>
      <c r="AI1092" s="456"/>
      <c r="AJ1092" s="456"/>
      <c r="AK1092" s="456"/>
    </row>
    <row r="1093" spans="1:45" ht="13" customHeight="1">
      <c r="A1093" s="35"/>
      <c r="B1093" s="25"/>
      <c r="C1093" s="1409"/>
      <c r="D1093" s="1409"/>
      <c r="E1093" s="456"/>
      <c r="F1093" s="456"/>
      <c r="G1093" s="456"/>
      <c r="H1093" s="456"/>
      <c r="I1093" s="456"/>
      <c r="J1093" s="456"/>
      <c r="K1093" s="456"/>
      <c r="L1093" s="456"/>
      <c r="M1093" s="456"/>
      <c r="N1093" s="456"/>
      <c r="O1093" s="456"/>
      <c r="P1093" s="456"/>
      <c r="Q1093" s="456"/>
      <c r="R1093" s="456"/>
      <c r="S1093" s="456"/>
      <c r="T1093" s="456"/>
      <c r="U1093" s="456"/>
      <c r="V1093" s="456"/>
      <c r="W1093" s="456"/>
      <c r="X1093" s="456"/>
      <c r="Y1093" s="456"/>
      <c r="Z1093" s="456"/>
      <c r="AA1093" s="456"/>
      <c r="AB1093" s="456"/>
      <c r="AC1093" s="456"/>
      <c r="AD1093" s="456"/>
      <c r="AE1093" s="456"/>
      <c r="AF1093" s="456"/>
      <c r="AG1093" s="456"/>
      <c r="AH1093" s="456"/>
      <c r="AI1093" s="456"/>
      <c r="AJ1093" s="456"/>
      <c r="AK1093" s="456"/>
    </row>
    <row r="1094" spans="1:45" ht="13" customHeight="1">
      <c r="A1094" s="1446" t="s">
        <v>590</v>
      </c>
      <c r="B1094" s="1446"/>
      <c r="C1094" s="1409">
        <v>8</v>
      </c>
      <c r="D1094" s="1409"/>
      <c r="E1094" s="1338" t="s">
        <v>1072</v>
      </c>
      <c r="F1094" s="1338"/>
      <c r="G1094" s="1338"/>
      <c r="H1094" s="1338"/>
      <c r="I1094" s="1338"/>
      <c r="J1094" s="1338"/>
      <c r="K1094" s="1338"/>
      <c r="L1094" s="1338"/>
      <c r="M1094" s="1338"/>
      <c r="N1094" s="1338"/>
      <c r="O1094" s="1338"/>
      <c r="P1094" s="1338"/>
      <c r="Q1094" s="1338"/>
      <c r="R1094" s="1338"/>
      <c r="S1094" s="1338"/>
      <c r="T1094" s="1338"/>
      <c r="U1094" s="1338"/>
      <c r="V1094" s="1338"/>
      <c r="W1094" s="1338"/>
      <c r="X1094" s="1338"/>
      <c r="Y1094" s="1338"/>
      <c r="Z1094" s="1338"/>
      <c r="AA1094" s="1338"/>
      <c r="AB1094" s="1338"/>
      <c r="AC1094" s="1338"/>
      <c r="AD1094" s="1338"/>
      <c r="AE1094" s="1338"/>
      <c r="AF1094" s="1338"/>
      <c r="AG1094" s="1338"/>
      <c r="AH1094" s="1338"/>
      <c r="AI1094" s="1338"/>
      <c r="AJ1094" s="1338"/>
      <c r="AK1094" s="1338"/>
      <c r="AL1094" s="1338"/>
      <c r="AM1094" s="1338"/>
      <c r="AN1094" s="1338"/>
      <c r="AO1094" s="1338"/>
      <c r="AP1094" s="1338"/>
      <c r="AQ1094" s="1338"/>
      <c r="AR1094" s="1338"/>
    </row>
    <row r="1095" spans="1:45" ht="13" customHeight="1">
      <c r="A1095" s="35"/>
      <c r="B1095" s="25"/>
      <c r="C1095" s="1409"/>
      <c r="D1095" s="1409"/>
      <c r="E1095" s="1338"/>
      <c r="F1095" s="1338"/>
      <c r="G1095" s="1338"/>
      <c r="H1095" s="1338"/>
      <c r="I1095" s="1338"/>
      <c r="J1095" s="1338"/>
      <c r="K1095" s="1338"/>
      <c r="L1095" s="1338"/>
      <c r="M1095" s="1338"/>
      <c r="N1095" s="1338"/>
      <c r="O1095" s="1338"/>
      <c r="P1095" s="1338"/>
      <c r="Q1095" s="1338"/>
      <c r="R1095" s="1338"/>
      <c r="S1095" s="1338"/>
      <c r="T1095" s="1338"/>
      <c r="U1095" s="1338"/>
      <c r="V1095" s="1338"/>
      <c r="W1095" s="1338"/>
      <c r="X1095" s="1338"/>
      <c r="Y1095" s="1338"/>
      <c r="Z1095" s="1338"/>
      <c r="AA1095" s="1338"/>
      <c r="AB1095" s="1338"/>
      <c r="AC1095" s="1338"/>
      <c r="AD1095" s="1338"/>
      <c r="AE1095" s="1338"/>
      <c r="AF1095" s="1338"/>
      <c r="AG1095" s="1338"/>
      <c r="AH1095" s="1338"/>
      <c r="AI1095" s="1338"/>
      <c r="AJ1095" s="1338"/>
      <c r="AK1095" s="1338"/>
      <c r="AL1095" s="1338"/>
      <c r="AM1095" s="1338"/>
      <c r="AN1095" s="1338"/>
      <c r="AO1095" s="1338"/>
      <c r="AP1095" s="1338"/>
      <c r="AQ1095" s="1338"/>
      <c r="AR1095" s="1338"/>
    </row>
    <row r="1096" spans="1:45" ht="13" customHeight="1">
      <c r="A1096" s="35"/>
      <c r="B1096" s="25"/>
      <c r="C1096" s="1409"/>
      <c r="D1096" s="1409"/>
      <c r="E1096" s="456"/>
      <c r="F1096" s="456"/>
      <c r="G1096" s="456"/>
      <c r="H1096" s="456"/>
      <c r="I1096" s="456"/>
      <c r="J1096" s="456"/>
      <c r="K1096" s="456"/>
      <c r="L1096" s="456"/>
      <c r="M1096" s="456"/>
      <c r="N1096" s="456"/>
      <c r="O1096" s="456"/>
      <c r="P1096" s="456"/>
      <c r="Q1096" s="456"/>
      <c r="R1096" s="456"/>
      <c r="S1096" s="456"/>
      <c r="T1096" s="456"/>
      <c r="U1096" s="456"/>
      <c r="V1096" s="456"/>
      <c r="W1096" s="456"/>
      <c r="X1096" s="456"/>
      <c r="Y1096" s="456"/>
      <c r="Z1096" s="456"/>
      <c r="AA1096" s="456"/>
      <c r="AB1096" s="456"/>
      <c r="AC1096" s="456"/>
      <c r="AD1096" s="456"/>
      <c r="AE1096" s="456"/>
      <c r="AF1096" s="456"/>
      <c r="AG1096" s="456"/>
      <c r="AH1096" s="456"/>
      <c r="AI1096" s="456"/>
      <c r="AJ1096" s="456"/>
      <c r="AK1096" s="456"/>
    </row>
    <row r="1097" spans="1:45" ht="13" customHeight="1">
      <c r="A1097" s="1446" t="s">
        <v>590</v>
      </c>
      <c r="B1097" s="1446"/>
      <c r="C1097" s="1863">
        <v>9</v>
      </c>
      <c r="D1097" s="1863"/>
      <c r="E1097" s="1338" t="s">
        <v>1074</v>
      </c>
      <c r="F1097" s="1338"/>
      <c r="G1097" s="1338"/>
      <c r="H1097" s="1338"/>
      <c r="I1097" s="1338"/>
      <c r="J1097" s="1338"/>
      <c r="K1097" s="1338"/>
      <c r="L1097" s="1338"/>
      <c r="M1097" s="1338"/>
      <c r="N1097" s="1338"/>
      <c r="O1097" s="1338"/>
      <c r="P1097" s="1338"/>
      <c r="Q1097" s="1338"/>
      <c r="R1097" s="1338"/>
      <c r="S1097" s="1338"/>
      <c r="T1097" s="1338"/>
      <c r="U1097" s="1338"/>
      <c r="V1097" s="1338"/>
      <c r="W1097" s="1338"/>
      <c r="X1097" s="1338"/>
      <c r="Y1097" s="1338"/>
      <c r="Z1097" s="1338"/>
      <c r="AA1097" s="1338"/>
      <c r="AB1097" s="1338"/>
      <c r="AC1097" s="1338"/>
      <c r="AD1097" s="1338"/>
      <c r="AE1097" s="1338"/>
      <c r="AF1097" s="1338"/>
      <c r="AG1097" s="1338"/>
      <c r="AH1097" s="1338"/>
      <c r="AI1097" s="1338"/>
      <c r="AJ1097" s="1338"/>
      <c r="AK1097" s="1338"/>
      <c r="AL1097" s="1338"/>
      <c r="AM1097" s="1338"/>
      <c r="AN1097" s="1338"/>
      <c r="AO1097" s="1338"/>
      <c r="AP1097" s="1338"/>
      <c r="AQ1097" s="1338"/>
      <c r="AR1097" s="1338"/>
    </row>
    <row r="1098" spans="1:45" ht="13" customHeight="1">
      <c r="A1098" s="1"/>
      <c r="B1098" s="1"/>
      <c r="C1098" s="1863"/>
      <c r="D1098" s="1863"/>
      <c r="E1098" s="1338"/>
      <c r="F1098" s="1338"/>
      <c r="G1098" s="1338"/>
      <c r="H1098" s="1338"/>
      <c r="I1098" s="1338"/>
      <c r="J1098" s="1338"/>
      <c r="K1098" s="1338"/>
      <c r="L1098" s="1338"/>
      <c r="M1098" s="1338"/>
      <c r="N1098" s="1338"/>
      <c r="O1098" s="1338"/>
      <c r="P1098" s="1338"/>
      <c r="Q1098" s="1338"/>
      <c r="R1098" s="1338"/>
      <c r="S1098" s="1338"/>
      <c r="T1098" s="1338"/>
      <c r="U1098" s="1338"/>
      <c r="V1098" s="1338"/>
      <c r="W1098" s="1338"/>
      <c r="X1098" s="1338"/>
      <c r="Y1098" s="1338"/>
      <c r="Z1098" s="1338"/>
      <c r="AA1098" s="1338"/>
      <c r="AB1098" s="1338"/>
      <c r="AC1098" s="1338"/>
      <c r="AD1098" s="1338"/>
      <c r="AE1098" s="1338"/>
      <c r="AF1098" s="1338"/>
      <c r="AG1098" s="1338"/>
      <c r="AH1098" s="1338"/>
      <c r="AI1098" s="1338"/>
      <c r="AJ1098" s="1338"/>
      <c r="AK1098" s="1338"/>
      <c r="AL1098" s="1338"/>
      <c r="AM1098" s="1338"/>
      <c r="AN1098" s="1338"/>
      <c r="AO1098" s="1338"/>
      <c r="AP1098" s="1338"/>
      <c r="AQ1098" s="1338"/>
      <c r="AR1098" s="1338"/>
    </row>
    <row r="1099" spans="1:45" ht="13" customHeight="1">
      <c r="A1099" s="35"/>
      <c r="B1099" s="25"/>
      <c r="C1099" s="1863"/>
      <c r="D1099" s="1863"/>
      <c r="E1099" s="456"/>
      <c r="F1099" s="456"/>
      <c r="G1099" s="456"/>
      <c r="H1099" s="456"/>
      <c r="I1099" s="456"/>
      <c r="J1099" s="456"/>
      <c r="K1099" s="456"/>
      <c r="L1099" s="456"/>
      <c r="M1099" s="456"/>
      <c r="N1099" s="456"/>
      <c r="O1099" s="456"/>
      <c r="P1099" s="456"/>
      <c r="Q1099" s="456"/>
      <c r="R1099" s="456"/>
      <c r="S1099" s="456"/>
      <c r="T1099" s="456"/>
      <c r="U1099" s="456"/>
      <c r="V1099" s="456"/>
      <c r="W1099" s="456"/>
      <c r="X1099" s="456"/>
      <c r="Y1099" s="456"/>
      <c r="Z1099" s="456"/>
      <c r="AA1099" s="456"/>
      <c r="AB1099" s="456"/>
      <c r="AC1099" s="456"/>
      <c r="AD1099" s="456"/>
      <c r="AE1099" s="456"/>
      <c r="AF1099" s="456"/>
      <c r="AG1099" s="456"/>
      <c r="AH1099" s="456"/>
      <c r="AI1099" s="456"/>
      <c r="AJ1099" s="456"/>
      <c r="AK1099" s="456"/>
    </row>
    <row r="1100" spans="1:45" ht="13" customHeight="1">
      <c r="A1100" s="1446" t="s">
        <v>590</v>
      </c>
      <c r="B1100" s="1446"/>
      <c r="C1100" s="1863">
        <v>10</v>
      </c>
      <c r="D1100" s="1863"/>
      <c r="E1100" s="1864" t="s">
        <v>2241</v>
      </c>
      <c r="F1100" s="1864"/>
      <c r="G1100" s="1864"/>
      <c r="H1100" s="1864"/>
      <c r="I1100" s="1864"/>
      <c r="J1100" s="1864"/>
      <c r="K1100" s="1864"/>
      <c r="L1100" s="1864"/>
      <c r="M1100" s="1864"/>
      <c r="N1100" s="1864"/>
      <c r="O1100" s="1864"/>
      <c r="P1100" s="1864"/>
      <c r="Q1100" s="1864"/>
      <c r="R1100" s="1864"/>
      <c r="S1100" s="1864"/>
      <c r="T1100" s="1864"/>
      <c r="U1100" s="1864"/>
      <c r="V1100" s="1864"/>
      <c r="W1100" s="1864"/>
      <c r="X1100" s="1864"/>
      <c r="Y1100" s="1864"/>
      <c r="Z1100" s="1864"/>
      <c r="AA1100" s="1864"/>
      <c r="AB1100" s="1864"/>
      <c r="AC1100" s="1864"/>
      <c r="AD1100" s="1864"/>
      <c r="AE1100" s="1864"/>
      <c r="AF1100" s="1864"/>
      <c r="AG1100" s="1864"/>
      <c r="AH1100" s="1864"/>
      <c r="AI1100" s="1864"/>
      <c r="AJ1100" s="1864"/>
      <c r="AK1100" s="1864"/>
      <c r="AL1100" s="1864"/>
      <c r="AM1100" s="1864"/>
      <c r="AN1100" s="1864"/>
      <c r="AO1100" s="1864"/>
      <c r="AP1100" s="1864"/>
      <c r="AQ1100" s="1864"/>
      <c r="AR1100" s="1864"/>
    </row>
    <row r="1101" spans="1:45" ht="13" customHeight="1">
      <c r="A1101" s="1"/>
      <c r="B1101" s="1"/>
      <c r="C1101" s="199"/>
      <c r="D1101" s="1163"/>
      <c r="E1101" s="1864"/>
      <c r="F1101" s="1864"/>
      <c r="G1101" s="1864"/>
      <c r="H1101" s="1864"/>
      <c r="I1101" s="1864"/>
      <c r="J1101" s="1864"/>
      <c r="K1101" s="1864"/>
      <c r="L1101" s="1864"/>
      <c r="M1101" s="1864"/>
      <c r="N1101" s="1864"/>
      <c r="O1101" s="1864"/>
      <c r="P1101" s="1864"/>
      <c r="Q1101" s="1864"/>
      <c r="R1101" s="1864"/>
      <c r="S1101" s="1864"/>
      <c r="T1101" s="1864"/>
      <c r="U1101" s="1864"/>
      <c r="V1101" s="1864"/>
      <c r="W1101" s="1864"/>
      <c r="X1101" s="1864"/>
      <c r="Y1101" s="1864"/>
      <c r="Z1101" s="1864"/>
      <c r="AA1101" s="1864"/>
      <c r="AB1101" s="1864"/>
      <c r="AC1101" s="1864"/>
      <c r="AD1101" s="1864"/>
      <c r="AE1101" s="1864"/>
      <c r="AF1101" s="1864"/>
      <c r="AG1101" s="1864"/>
      <c r="AH1101" s="1864"/>
      <c r="AI1101" s="1864"/>
      <c r="AJ1101" s="1864"/>
      <c r="AK1101" s="1864"/>
      <c r="AL1101" s="1864"/>
      <c r="AM1101" s="1864"/>
      <c r="AN1101" s="1864"/>
      <c r="AO1101" s="1864"/>
      <c r="AP1101" s="1864"/>
      <c r="AQ1101" s="1864"/>
      <c r="AR1101" s="1864"/>
    </row>
    <row r="1102" spans="1:45" ht="13" customHeight="1">
      <c r="A1102" s="1"/>
      <c r="B1102" s="1"/>
      <c r="C1102" s="199"/>
      <c r="D1102" s="1163"/>
      <c r="E1102" s="1163"/>
      <c r="F1102" s="1163"/>
      <c r="G1102" s="1163"/>
      <c r="H1102" s="1163"/>
      <c r="I1102" s="1163"/>
      <c r="J1102" s="1163"/>
      <c r="K1102" s="1163"/>
      <c r="L1102" s="1163"/>
      <c r="M1102" s="1163"/>
      <c r="N1102" s="1163"/>
      <c r="O1102" s="1163"/>
      <c r="P1102" s="1163"/>
      <c r="Q1102" s="1163"/>
      <c r="R1102" s="1163"/>
      <c r="S1102" s="1163"/>
      <c r="T1102" s="1163"/>
      <c r="U1102" s="1163"/>
      <c r="V1102" s="1163"/>
      <c r="W1102" s="1163"/>
      <c r="X1102" s="1163"/>
      <c r="Y1102" s="1163"/>
      <c r="Z1102" s="1163"/>
      <c r="AA1102" s="1163"/>
      <c r="AB1102" s="1163"/>
      <c r="AC1102" s="1163"/>
      <c r="AD1102" s="1163"/>
      <c r="AE1102" s="1163"/>
      <c r="AF1102" s="1163"/>
      <c r="AG1102" s="1163"/>
      <c r="AH1102" s="1163"/>
      <c r="AI1102" s="1163"/>
      <c r="AJ1102" s="1163"/>
      <c r="AK1102" s="1163"/>
    </row>
    <row r="1103" spans="1:45" ht="13" customHeight="1">
      <c r="A1103" s="1446" t="s">
        <v>590</v>
      </c>
      <c r="B1103" s="1446"/>
      <c r="C1103" s="1863">
        <v>11</v>
      </c>
      <c r="D1103" s="1863"/>
      <c r="E1103" s="1864" t="s">
        <v>2243</v>
      </c>
      <c r="F1103" s="1864"/>
      <c r="G1103" s="1864"/>
      <c r="H1103" s="1864"/>
      <c r="I1103" s="1864"/>
      <c r="J1103" s="1864"/>
      <c r="K1103" s="1864"/>
      <c r="L1103" s="1864"/>
      <c r="M1103" s="1864"/>
      <c r="N1103" s="1864"/>
      <c r="O1103" s="1864"/>
      <c r="P1103" s="1864"/>
      <c r="Q1103" s="1864"/>
      <c r="R1103" s="1864"/>
      <c r="S1103" s="1864"/>
      <c r="T1103" s="1864"/>
      <c r="U1103" s="1864"/>
      <c r="V1103" s="1864"/>
      <c r="W1103" s="1864"/>
      <c r="X1103" s="1864"/>
      <c r="Y1103" s="1864"/>
      <c r="Z1103" s="1864"/>
      <c r="AA1103" s="1864"/>
      <c r="AB1103" s="1864"/>
      <c r="AC1103" s="1864"/>
      <c r="AD1103" s="1864"/>
      <c r="AE1103" s="1864"/>
      <c r="AF1103" s="1864"/>
      <c r="AG1103" s="1864"/>
      <c r="AH1103" s="1864"/>
      <c r="AI1103" s="1864"/>
      <c r="AJ1103" s="1864"/>
      <c r="AK1103" s="1864"/>
      <c r="AL1103" s="1864"/>
      <c r="AM1103" s="1864"/>
      <c r="AN1103" s="1864"/>
      <c r="AO1103" s="1864"/>
      <c r="AP1103" s="1864"/>
      <c r="AQ1103" s="1864"/>
      <c r="AR1103" s="1864"/>
    </row>
    <row r="1104" spans="1:45" ht="13" customHeight="1">
      <c r="A1104" s="1"/>
      <c r="B1104" s="1"/>
      <c r="C1104" s="199"/>
      <c r="D1104" s="1163"/>
      <c r="E1104" s="1864"/>
      <c r="F1104" s="1864"/>
      <c r="G1104" s="1864"/>
      <c r="H1104" s="1864"/>
      <c r="I1104" s="1864"/>
      <c r="J1104" s="1864"/>
      <c r="K1104" s="1864"/>
      <c r="L1104" s="1864"/>
      <c r="M1104" s="1864"/>
      <c r="N1104" s="1864"/>
      <c r="O1104" s="1864"/>
      <c r="P1104" s="1864"/>
      <c r="Q1104" s="1864"/>
      <c r="R1104" s="1864"/>
      <c r="S1104" s="1864"/>
      <c r="T1104" s="1864"/>
      <c r="U1104" s="1864"/>
      <c r="V1104" s="1864"/>
      <c r="W1104" s="1864"/>
      <c r="X1104" s="1864"/>
      <c r="Y1104" s="1864"/>
      <c r="Z1104" s="1864"/>
      <c r="AA1104" s="1864"/>
      <c r="AB1104" s="1864"/>
      <c r="AC1104" s="1864"/>
      <c r="AD1104" s="1864"/>
      <c r="AE1104" s="1864"/>
      <c r="AF1104" s="1864"/>
      <c r="AG1104" s="1864"/>
      <c r="AH1104" s="1864"/>
      <c r="AI1104" s="1864"/>
      <c r="AJ1104" s="1864"/>
      <c r="AK1104" s="1864"/>
      <c r="AL1104" s="1864"/>
      <c r="AM1104" s="1864"/>
      <c r="AN1104" s="1864"/>
      <c r="AO1104" s="1864"/>
      <c r="AP1104" s="1864"/>
      <c r="AQ1104" s="1864"/>
      <c r="AR1104" s="1864"/>
    </row>
    <row r="1105" spans="1:37" ht="13" customHeight="1">
      <c r="A1105" s="1"/>
      <c r="B1105" s="1"/>
      <c r="C1105" s="199"/>
      <c r="D1105" s="1163"/>
      <c r="E1105" s="1163"/>
      <c r="F1105" s="1163"/>
      <c r="G1105" s="1163"/>
      <c r="H1105" s="1163"/>
      <c r="I1105" s="1163"/>
      <c r="J1105" s="1163"/>
      <c r="K1105" s="1163"/>
      <c r="L1105" s="1163"/>
      <c r="M1105" s="1163"/>
      <c r="N1105" s="1163"/>
      <c r="O1105" s="1163"/>
      <c r="P1105" s="1163"/>
      <c r="Q1105" s="1163"/>
      <c r="R1105" s="1163"/>
      <c r="S1105" s="1163"/>
      <c r="T1105" s="1163"/>
      <c r="U1105" s="1163"/>
      <c r="V1105" s="1163"/>
      <c r="W1105" s="1163"/>
      <c r="X1105" s="1163"/>
      <c r="Y1105" s="1163"/>
      <c r="Z1105" s="1163"/>
      <c r="AA1105" s="1163"/>
      <c r="AB1105" s="1163"/>
      <c r="AC1105" s="1163"/>
      <c r="AD1105" s="1163"/>
      <c r="AE1105" s="1163"/>
      <c r="AF1105" s="1163"/>
      <c r="AG1105" s="1163"/>
      <c r="AH1105" s="1163"/>
      <c r="AI1105" s="1163"/>
      <c r="AJ1105" s="1163"/>
      <c r="AK1105" s="1163"/>
    </row>
    <row r="1106" spans="1:37" ht="13" hidden="1" customHeight="1">
      <c r="A1106" s="1"/>
      <c r="B1106" s="1"/>
      <c r="C1106" s="199"/>
      <c r="D1106" s="1163"/>
      <c r="E1106" s="1163"/>
      <c r="F1106" s="1163"/>
      <c r="G1106" s="1163"/>
      <c r="H1106" s="1163"/>
      <c r="I1106" s="1163"/>
      <c r="J1106" s="1163"/>
      <c r="K1106" s="1163"/>
      <c r="L1106" s="1163"/>
      <c r="M1106" s="1163"/>
      <c r="N1106" s="1163"/>
      <c r="O1106" s="1163"/>
      <c r="P1106" s="1163"/>
      <c r="Q1106" s="1163"/>
      <c r="R1106" s="1163"/>
      <c r="S1106" s="1163"/>
      <c r="T1106" s="1163"/>
      <c r="U1106" s="1163"/>
      <c r="V1106" s="1163"/>
      <c r="W1106" s="1163"/>
      <c r="X1106" s="1163"/>
      <c r="Y1106" s="1163"/>
      <c r="Z1106" s="1163"/>
      <c r="AA1106" s="1163"/>
      <c r="AB1106" s="1163"/>
      <c r="AC1106" s="1163"/>
      <c r="AD1106" s="1163"/>
      <c r="AE1106" s="1163"/>
      <c r="AF1106" s="1163"/>
      <c r="AG1106" s="1163"/>
      <c r="AH1106" s="1163"/>
      <c r="AI1106" s="1163"/>
      <c r="AJ1106" s="1163"/>
      <c r="AK1106" s="1163"/>
    </row>
    <row r="1107" spans="1:37" ht="13" hidden="1" customHeight="1">
      <c r="A1107" s="1"/>
      <c r="B1107" s="1"/>
      <c r="C1107" s="199"/>
      <c r="D1107" s="1163"/>
      <c r="E1107" s="1163"/>
      <c r="F1107" s="1163"/>
      <c r="G1107" s="1163"/>
      <c r="H1107" s="1163"/>
      <c r="I1107" s="1163"/>
      <c r="J1107" s="1163"/>
      <c r="K1107" s="1163"/>
      <c r="L1107" s="1163"/>
      <c r="M1107" s="1163"/>
      <c r="N1107" s="1163"/>
      <c r="O1107" s="1163"/>
      <c r="P1107" s="1163"/>
      <c r="Q1107" s="1163"/>
      <c r="R1107" s="1163"/>
      <c r="S1107" s="1163"/>
      <c r="T1107" s="1163"/>
      <c r="U1107" s="1163"/>
      <c r="V1107" s="1163"/>
      <c r="W1107" s="1163"/>
      <c r="X1107" s="1163"/>
      <c r="Y1107" s="1163"/>
      <c r="Z1107" s="1163"/>
      <c r="AA1107" s="1163"/>
      <c r="AB1107" s="1163"/>
      <c r="AC1107" s="1163"/>
      <c r="AD1107" s="1163"/>
      <c r="AE1107" s="1163"/>
      <c r="AF1107" s="1163"/>
      <c r="AG1107" s="1163"/>
      <c r="AH1107" s="1163"/>
      <c r="AI1107" s="1163"/>
      <c r="AJ1107" s="1163"/>
      <c r="AK1107" s="1163"/>
    </row>
    <row r="1108" spans="1:37" ht="13" hidden="1" customHeight="1">
      <c r="A1108" s="1"/>
      <c r="B1108" s="1"/>
      <c r="C1108" s="199"/>
      <c r="D1108" s="1163"/>
      <c r="E1108" s="1163"/>
      <c r="F1108" s="1163"/>
      <c r="G1108" s="1163"/>
      <c r="H1108" s="1163"/>
      <c r="I1108" s="1163"/>
      <c r="J1108" s="1163"/>
      <c r="K1108" s="1163"/>
      <c r="L1108" s="1163"/>
      <c r="M1108" s="1163"/>
      <c r="N1108" s="1163"/>
      <c r="O1108" s="1163"/>
      <c r="P1108" s="1163"/>
      <c r="Q1108" s="1163"/>
      <c r="R1108" s="1163"/>
      <c r="S1108" s="1163"/>
      <c r="T1108" s="1163"/>
      <c r="U1108" s="1163"/>
      <c r="V1108" s="1163"/>
      <c r="W1108" s="1163"/>
      <c r="X1108" s="1163"/>
      <c r="Y1108" s="1163"/>
      <c r="Z1108" s="1163"/>
      <c r="AA1108" s="1163"/>
      <c r="AB1108" s="1163"/>
      <c r="AC1108" s="1163"/>
      <c r="AD1108" s="1163"/>
      <c r="AE1108" s="1163"/>
      <c r="AF1108" s="1163"/>
      <c r="AG1108" s="1163"/>
      <c r="AH1108" s="1163"/>
      <c r="AI1108" s="1163"/>
      <c r="AJ1108" s="1163"/>
      <c r="AK1108" s="1163"/>
    </row>
    <row r="1109" spans="1:37" ht="13" hidden="1" customHeight="1">
      <c r="A1109" s="1"/>
      <c r="B1109" s="1"/>
      <c r="C1109" s="199"/>
      <c r="D1109" s="1163"/>
      <c r="E1109" s="1163"/>
      <c r="F1109" s="1163"/>
      <c r="G1109" s="1163"/>
      <c r="H1109" s="1163"/>
      <c r="I1109" s="1163"/>
      <c r="J1109" s="1163"/>
      <c r="K1109" s="1163"/>
      <c r="L1109" s="1163"/>
      <c r="M1109" s="1163"/>
      <c r="N1109" s="1163"/>
      <c r="O1109" s="1163"/>
      <c r="P1109" s="1163"/>
      <c r="Q1109" s="1163"/>
      <c r="R1109" s="1163"/>
      <c r="S1109" s="1163"/>
      <c r="T1109" s="1163"/>
      <c r="U1109" s="1163"/>
      <c r="V1109" s="1163"/>
      <c r="W1109" s="1163"/>
      <c r="X1109" s="1163"/>
      <c r="Y1109" s="1163"/>
      <c r="Z1109" s="1163"/>
      <c r="AA1109" s="1163"/>
      <c r="AB1109" s="1163"/>
      <c r="AC1109" s="1163"/>
      <c r="AD1109" s="1163"/>
      <c r="AE1109" s="1163"/>
      <c r="AF1109" s="1163"/>
      <c r="AG1109" s="1163"/>
      <c r="AH1109" s="1163"/>
      <c r="AI1109" s="1163"/>
      <c r="AJ1109" s="1163"/>
      <c r="AK1109" s="1163"/>
    </row>
    <row r="1110" spans="1:37" ht="13" hidden="1" customHeight="1">
      <c r="A1110" s="1"/>
      <c r="B1110" s="1"/>
      <c r="C1110" s="199"/>
      <c r="D1110" s="1163"/>
      <c r="E1110" s="1163"/>
      <c r="F1110" s="1163"/>
      <c r="G1110" s="1163"/>
      <c r="H1110" s="1163"/>
      <c r="I1110" s="1163"/>
      <c r="J1110" s="1163"/>
      <c r="K1110" s="1163"/>
      <c r="L1110" s="1163"/>
      <c r="M1110" s="1163"/>
      <c r="N1110" s="1163"/>
      <c r="O1110" s="1163"/>
      <c r="P1110" s="1163"/>
      <c r="Q1110" s="1163"/>
      <c r="R1110" s="1163"/>
      <c r="S1110" s="1163"/>
      <c r="T1110" s="1163"/>
      <c r="U1110" s="1163"/>
      <c r="V1110" s="1163"/>
      <c r="W1110" s="1163"/>
      <c r="X1110" s="1163"/>
      <c r="Y1110" s="1163"/>
      <c r="Z1110" s="1163"/>
      <c r="AA1110" s="1163"/>
      <c r="AB1110" s="1163"/>
      <c r="AC1110" s="1163"/>
      <c r="AD1110" s="1163"/>
      <c r="AE1110" s="1163"/>
      <c r="AF1110" s="1163"/>
      <c r="AG1110" s="1163"/>
      <c r="AH1110" s="1163"/>
      <c r="AI1110" s="1163"/>
      <c r="AJ1110" s="1163"/>
      <c r="AK1110" s="1163"/>
    </row>
    <row r="1111" spans="1:37" ht="13" hidden="1" customHeight="1">
      <c r="A1111" s="1"/>
      <c r="B1111" s="1"/>
      <c r="C1111" s="199"/>
      <c r="D1111" s="1163"/>
      <c r="E1111" s="1163"/>
      <c r="F1111" s="1163"/>
      <c r="G1111" s="1163"/>
      <c r="H1111" s="1163"/>
      <c r="I1111" s="1163"/>
      <c r="J1111" s="1163"/>
      <c r="K1111" s="1163"/>
      <c r="L1111" s="1163"/>
      <c r="M1111" s="1163"/>
      <c r="N1111" s="1163"/>
      <c r="O1111" s="1163"/>
      <c r="P1111" s="1163"/>
      <c r="Q1111" s="1163"/>
      <c r="R1111" s="1163"/>
      <c r="S1111" s="1163"/>
      <c r="T1111" s="1163"/>
      <c r="U1111" s="1163"/>
      <c r="V1111" s="1163"/>
      <c r="W1111" s="1163"/>
      <c r="X1111" s="1163"/>
      <c r="Y1111" s="1163"/>
      <c r="Z1111" s="1163"/>
      <c r="AA1111" s="1163"/>
      <c r="AB1111" s="1163"/>
      <c r="AC1111" s="1163"/>
      <c r="AD1111" s="1163"/>
      <c r="AE1111" s="1163"/>
      <c r="AF1111" s="1163"/>
      <c r="AG1111" s="1163"/>
      <c r="AH1111" s="1163"/>
      <c r="AI1111" s="1163"/>
      <c r="AJ1111" s="1163"/>
      <c r="AK1111" s="1163"/>
    </row>
    <row r="1112" spans="1:37" ht="13" hidden="1" customHeight="1">
      <c r="A1112" s="1"/>
      <c r="B1112" s="1"/>
      <c r="C1112" s="199"/>
      <c r="D1112" s="1163"/>
      <c r="E1112" s="1163"/>
      <c r="F1112" s="1163"/>
      <c r="G1112" s="1163"/>
      <c r="H1112" s="1163"/>
      <c r="I1112" s="1163"/>
      <c r="J1112" s="1163"/>
      <c r="K1112" s="1163"/>
      <c r="L1112" s="1163"/>
      <c r="M1112" s="1163"/>
      <c r="N1112" s="1163"/>
      <c r="O1112" s="1163"/>
      <c r="P1112" s="1163"/>
      <c r="Q1112" s="1163"/>
      <c r="R1112" s="1163"/>
      <c r="S1112" s="1163"/>
      <c r="T1112" s="1163"/>
      <c r="U1112" s="1163"/>
      <c r="V1112" s="1163"/>
      <c r="W1112" s="1163"/>
      <c r="X1112" s="1163"/>
      <c r="Y1112" s="1163"/>
      <c r="Z1112" s="1163"/>
      <c r="AA1112" s="1163"/>
      <c r="AB1112" s="1163"/>
      <c r="AC1112" s="1163"/>
      <c r="AD1112" s="1163"/>
      <c r="AE1112" s="1163"/>
      <c r="AF1112" s="1163"/>
      <c r="AG1112" s="1163"/>
      <c r="AH1112" s="1163"/>
      <c r="AI1112" s="1163"/>
      <c r="AJ1112" s="1163"/>
      <c r="AK1112" s="1163"/>
    </row>
    <row r="1113" spans="1:37" ht="13" hidden="1" customHeight="1">
      <c r="A1113" s="1"/>
      <c r="B1113" s="1"/>
      <c r="C1113" s="199"/>
      <c r="D1113" s="1163"/>
      <c r="E1113" s="1163"/>
      <c r="F1113" s="1163"/>
      <c r="G1113" s="1163"/>
      <c r="H1113" s="1163"/>
      <c r="I1113" s="1163"/>
      <c r="J1113" s="1163"/>
      <c r="K1113" s="1163"/>
      <c r="L1113" s="1163"/>
      <c r="M1113" s="1163"/>
      <c r="N1113" s="1163"/>
      <c r="O1113" s="1163"/>
      <c r="P1113" s="1163"/>
      <c r="Q1113" s="1163"/>
      <c r="R1113" s="1163"/>
      <c r="S1113" s="1163"/>
      <c r="T1113" s="1163"/>
      <c r="U1113" s="1163"/>
      <c r="V1113" s="1163"/>
      <c r="W1113" s="1163"/>
      <c r="X1113" s="1163"/>
      <c r="Y1113" s="1163"/>
      <c r="Z1113" s="1163"/>
      <c r="AA1113" s="1163"/>
      <c r="AB1113" s="1163"/>
      <c r="AC1113" s="1163"/>
      <c r="AD1113" s="1163"/>
      <c r="AE1113" s="1163"/>
      <c r="AF1113" s="1163"/>
      <c r="AG1113" s="1163"/>
      <c r="AH1113" s="1163"/>
      <c r="AI1113" s="1163"/>
      <c r="AJ1113" s="1163"/>
      <c r="AK1113" s="1163"/>
    </row>
    <row r="1114" spans="1:37" ht="13" hidden="1" customHeight="1">
      <c r="A1114" s="1"/>
      <c r="B1114" s="1"/>
      <c r="C1114" s="199"/>
      <c r="D1114" s="1163"/>
      <c r="E1114" s="1163"/>
      <c r="F1114" s="1163"/>
      <c r="G1114" s="1163"/>
      <c r="H1114" s="1163"/>
      <c r="I1114" s="1163"/>
      <c r="J1114" s="1163"/>
      <c r="K1114" s="1163"/>
      <c r="L1114" s="1163"/>
      <c r="M1114" s="1163"/>
      <c r="N1114" s="1163"/>
      <c r="O1114" s="1163"/>
      <c r="P1114" s="1163"/>
      <c r="Q1114" s="1163"/>
      <c r="R1114" s="1163"/>
      <c r="S1114" s="1163"/>
      <c r="T1114" s="1163"/>
      <c r="U1114" s="1163"/>
      <c r="V1114" s="1163"/>
      <c r="W1114" s="1163"/>
      <c r="X1114" s="1163"/>
      <c r="Y1114" s="1163"/>
      <c r="Z1114" s="1163"/>
      <c r="AA1114" s="1163"/>
      <c r="AB1114" s="1163"/>
      <c r="AC1114" s="1163"/>
      <c r="AD1114" s="1163"/>
      <c r="AE1114" s="1163"/>
      <c r="AF1114" s="1163"/>
      <c r="AG1114" s="1163"/>
      <c r="AH1114" s="1163"/>
      <c r="AI1114" s="1163"/>
      <c r="AJ1114" s="1163"/>
      <c r="AK1114" s="1163"/>
    </row>
    <row r="1115" spans="1:37" ht="13" hidden="1" customHeight="1">
      <c r="A1115" s="1"/>
      <c r="B1115" s="1"/>
      <c r="C1115" s="199"/>
      <c r="D1115" s="1163"/>
      <c r="E1115" s="1163"/>
      <c r="F1115" s="1163"/>
      <c r="G1115" s="1163"/>
      <c r="H1115" s="1163"/>
      <c r="I1115" s="1163"/>
      <c r="J1115" s="1163"/>
      <c r="K1115" s="1163"/>
      <c r="L1115" s="1163"/>
      <c r="M1115" s="1163"/>
      <c r="N1115" s="1163"/>
      <c r="O1115" s="1163"/>
      <c r="P1115" s="1163"/>
      <c r="Q1115" s="1163"/>
      <c r="R1115" s="1163"/>
      <c r="S1115" s="1163"/>
      <c r="T1115" s="1163"/>
      <c r="U1115" s="1163"/>
      <c r="V1115" s="1163"/>
      <c r="W1115" s="1163"/>
      <c r="X1115" s="1163"/>
      <c r="Y1115" s="1163"/>
      <c r="Z1115" s="1163"/>
      <c r="AA1115" s="1163"/>
      <c r="AB1115" s="1163"/>
      <c r="AC1115" s="1163"/>
      <c r="AD1115" s="1163"/>
      <c r="AE1115" s="1163"/>
      <c r="AF1115" s="1163"/>
      <c r="AG1115" s="1163"/>
      <c r="AH1115" s="1163"/>
      <c r="AI1115" s="1163"/>
      <c r="AJ1115" s="1163"/>
      <c r="AK1115" s="1163"/>
    </row>
    <row r="1116" spans="1:37" ht="13" hidden="1" customHeight="1">
      <c r="A1116" s="1"/>
      <c r="B1116" s="1"/>
      <c r="C1116" s="199"/>
      <c r="D1116" s="1163"/>
      <c r="E1116" s="1163"/>
      <c r="F1116" s="1163"/>
      <c r="G1116" s="1163"/>
      <c r="H1116" s="1163"/>
      <c r="I1116" s="1163"/>
      <c r="J1116" s="1163"/>
      <c r="K1116" s="1163"/>
      <c r="L1116" s="1163"/>
      <c r="M1116" s="1163"/>
      <c r="N1116" s="1163"/>
      <c r="O1116" s="1163"/>
      <c r="P1116" s="1163"/>
      <c r="Q1116" s="1163"/>
      <c r="R1116" s="1163"/>
      <c r="S1116" s="1163"/>
      <c r="T1116" s="1163"/>
      <c r="U1116" s="1163"/>
      <c r="V1116" s="1163"/>
      <c r="W1116" s="1163"/>
      <c r="X1116" s="1163"/>
      <c r="Y1116" s="1163"/>
      <c r="Z1116" s="1163"/>
      <c r="AA1116" s="1163"/>
      <c r="AB1116" s="1163"/>
      <c r="AC1116" s="1163"/>
      <c r="AD1116" s="1163"/>
      <c r="AE1116" s="1163"/>
      <c r="AF1116" s="1163"/>
      <c r="AG1116" s="1163"/>
      <c r="AH1116" s="1163"/>
      <c r="AI1116" s="1163"/>
      <c r="AJ1116" s="1163"/>
      <c r="AK1116" s="1163"/>
    </row>
    <row r="1117" spans="1:37" ht="13" hidden="1" customHeight="1">
      <c r="A1117" s="1"/>
      <c r="B1117" s="1"/>
      <c r="C1117" s="199"/>
      <c r="D1117" s="1163"/>
      <c r="E1117" s="1163"/>
      <c r="F1117" s="1163"/>
      <c r="G1117" s="1163"/>
      <c r="H1117" s="1163"/>
      <c r="I1117" s="1163"/>
      <c r="J1117" s="1163"/>
      <c r="K1117" s="1163"/>
      <c r="L1117" s="1163"/>
      <c r="M1117" s="1163"/>
      <c r="N1117" s="1163"/>
      <c r="O1117" s="1163"/>
      <c r="P1117" s="1163"/>
      <c r="Q1117" s="1163"/>
      <c r="R1117" s="1163"/>
      <c r="S1117" s="1163"/>
      <c r="T1117" s="1163"/>
      <c r="U1117" s="1163"/>
      <c r="V1117" s="1163"/>
      <c r="W1117" s="1163"/>
      <c r="X1117" s="1163"/>
      <c r="Y1117" s="1163"/>
      <c r="Z1117" s="1163"/>
      <c r="AA1117" s="1163"/>
      <c r="AB1117" s="1163"/>
      <c r="AC1117" s="1163"/>
      <c r="AD1117" s="1163"/>
      <c r="AE1117" s="1163"/>
      <c r="AF1117" s="1163"/>
      <c r="AG1117" s="1163"/>
      <c r="AH1117" s="1163"/>
      <c r="AI1117" s="1163"/>
      <c r="AJ1117" s="1163"/>
      <c r="AK1117" s="1163"/>
    </row>
    <row r="1118" spans="1:37" ht="13" hidden="1" customHeight="1">
      <c r="A1118" s="1"/>
      <c r="B1118" s="1"/>
      <c r="C1118" s="199"/>
      <c r="D1118" s="1163"/>
      <c r="E1118" s="1163"/>
      <c r="F1118" s="1163"/>
      <c r="G1118" s="1163"/>
      <c r="H1118" s="1163"/>
      <c r="I1118" s="1163"/>
      <c r="J1118" s="1163"/>
      <c r="K1118" s="1163"/>
      <c r="L1118" s="1163"/>
      <c r="M1118" s="1163"/>
      <c r="N1118" s="1163"/>
      <c r="O1118" s="1163"/>
      <c r="P1118" s="1163"/>
      <c r="Q1118" s="1163"/>
      <c r="R1118" s="1163"/>
      <c r="S1118" s="1163"/>
      <c r="T1118" s="1163"/>
      <c r="U1118" s="1163"/>
      <c r="V1118" s="1163"/>
      <c r="W1118" s="1163"/>
      <c r="X1118" s="1163"/>
      <c r="Y1118" s="1163"/>
      <c r="Z1118" s="1163"/>
      <c r="AA1118" s="1163"/>
      <c r="AB1118" s="1163"/>
      <c r="AC1118" s="1163"/>
      <c r="AD1118" s="1163"/>
      <c r="AE1118" s="1163"/>
      <c r="AF1118" s="1163"/>
      <c r="AG1118" s="1163"/>
      <c r="AH1118" s="1163"/>
      <c r="AI1118" s="1163"/>
      <c r="AJ1118" s="1163"/>
      <c r="AK1118" s="1163"/>
    </row>
    <row r="1119" spans="1:37" ht="13" hidden="1" customHeight="1">
      <c r="A1119" s="1"/>
      <c r="B1119" s="1"/>
      <c r="C1119" s="199"/>
      <c r="D1119" s="1163"/>
      <c r="E1119" s="1163"/>
      <c r="F1119" s="1163"/>
      <c r="G1119" s="1163"/>
      <c r="H1119" s="1163"/>
      <c r="I1119" s="1163"/>
      <c r="J1119" s="1163"/>
      <c r="K1119" s="1163"/>
      <c r="L1119" s="1163"/>
      <c r="M1119" s="1163"/>
      <c r="N1119" s="1163"/>
      <c r="O1119" s="1163"/>
      <c r="P1119" s="1163"/>
      <c r="Q1119" s="1163"/>
      <c r="R1119" s="1163"/>
      <c r="S1119" s="1163"/>
      <c r="T1119" s="1163"/>
      <c r="U1119" s="1163"/>
      <c r="V1119" s="1163"/>
      <c r="W1119" s="1163"/>
      <c r="X1119" s="1163"/>
      <c r="Y1119" s="1163"/>
      <c r="Z1119" s="1163"/>
      <c r="AA1119" s="1163"/>
      <c r="AB1119" s="1163"/>
      <c r="AC1119" s="1163"/>
      <c r="AD1119" s="1163"/>
      <c r="AE1119" s="1163"/>
      <c r="AF1119" s="1163"/>
      <c r="AG1119" s="1163"/>
      <c r="AH1119" s="1163"/>
      <c r="AI1119" s="1163"/>
      <c r="AJ1119" s="1163"/>
      <c r="AK1119" s="1163"/>
    </row>
    <row r="1120" spans="1:37" ht="13" hidden="1" customHeight="1">
      <c r="A1120" s="1"/>
      <c r="B1120" s="1"/>
      <c r="C1120" s="199"/>
      <c r="D1120" s="1163"/>
      <c r="E1120" s="1163"/>
      <c r="F1120" s="1163"/>
      <c r="G1120" s="1163"/>
      <c r="H1120" s="1163"/>
      <c r="I1120" s="1163"/>
      <c r="J1120" s="1163"/>
      <c r="K1120" s="1163"/>
      <c r="L1120" s="1163"/>
      <c r="M1120" s="1163"/>
      <c r="N1120" s="1163"/>
      <c r="O1120" s="1163"/>
      <c r="P1120" s="1163"/>
      <c r="Q1120" s="1163"/>
      <c r="R1120" s="1163"/>
      <c r="S1120" s="1163"/>
      <c r="T1120" s="1163"/>
      <c r="U1120" s="1163"/>
      <c r="V1120" s="1163"/>
      <c r="W1120" s="1163"/>
      <c r="X1120" s="1163"/>
      <c r="Y1120" s="1163"/>
      <c r="Z1120" s="1163"/>
      <c r="AA1120" s="1163"/>
      <c r="AB1120" s="1163"/>
      <c r="AC1120" s="1163"/>
      <c r="AD1120" s="1163"/>
      <c r="AE1120" s="1163"/>
      <c r="AF1120" s="1163"/>
      <c r="AG1120" s="1163"/>
      <c r="AH1120" s="1163"/>
      <c r="AI1120" s="1163"/>
      <c r="AJ1120" s="1163"/>
      <c r="AK1120" s="1163"/>
    </row>
    <row r="1121" spans="1:37" ht="13" hidden="1" customHeight="1">
      <c r="A1121" s="1"/>
      <c r="B1121" s="1"/>
      <c r="C1121" s="199"/>
      <c r="D1121" s="1163"/>
      <c r="E1121" s="1163"/>
      <c r="F1121" s="1163"/>
      <c r="G1121" s="1163"/>
      <c r="H1121" s="1163"/>
      <c r="I1121" s="1163"/>
      <c r="J1121" s="1163"/>
      <c r="K1121" s="1163"/>
      <c r="L1121" s="1163"/>
      <c r="M1121" s="1163"/>
      <c r="N1121" s="1163"/>
      <c r="O1121" s="1163"/>
      <c r="P1121" s="1163"/>
      <c r="Q1121" s="1163"/>
      <c r="R1121" s="1163"/>
      <c r="S1121" s="1163"/>
      <c r="T1121" s="1163"/>
      <c r="U1121" s="1163"/>
      <c r="V1121" s="1163"/>
      <c r="W1121" s="1163"/>
      <c r="X1121" s="1163"/>
      <c r="Y1121" s="1163"/>
      <c r="Z1121" s="1163"/>
      <c r="AA1121" s="1163"/>
      <c r="AB1121" s="1163"/>
      <c r="AC1121" s="1163"/>
      <c r="AD1121" s="1163"/>
      <c r="AE1121" s="1163"/>
      <c r="AF1121" s="1163"/>
      <c r="AG1121" s="1163"/>
      <c r="AH1121" s="1163"/>
      <c r="AI1121" s="1163"/>
      <c r="AJ1121" s="1163"/>
      <c r="AK1121" s="1163"/>
    </row>
    <row r="1122" spans="1:37" ht="13" hidden="1" customHeight="1">
      <c r="A1122" s="1"/>
      <c r="B1122" s="1"/>
      <c r="C1122" s="199"/>
      <c r="D1122" s="1163"/>
      <c r="E1122" s="1163"/>
      <c r="F1122" s="1163"/>
      <c r="G1122" s="1163"/>
      <c r="H1122" s="1163"/>
      <c r="I1122" s="1163"/>
      <c r="J1122" s="1163"/>
      <c r="K1122" s="1163"/>
      <c r="L1122" s="1163"/>
      <c r="M1122" s="1163"/>
      <c r="N1122" s="1163"/>
      <c r="O1122" s="1163"/>
      <c r="P1122" s="1163"/>
      <c r="Q1122" s="1163"/>
      <c r="R1122" s="1163"/>
      <c r="S1122" s="1163"/>
      <c r="T1122" s="1163"/>
      <c r="U1122" s="1163"/>
      <c r="V1122" s="1163"/>
      <c r="W1122" s="1163"/>
      <c r="X1122" s="1163"/>
      <c r="Y1122" s="1163"/>
      <c r="Z1122" s="1163"/>
      <c r="AA1122" s="1163"/>
      <c r="AB1122" s="1163"/>
      <c r="AC1122" s="1163"/>
      <c r="AD1122" s="1163"/>
      <c r="AE1122" s="1163"/>
      <c r="AF1122" s="1163"/>
      <c r="AG1122" s="1163"/>
      <c r="AH1122" s="1163"/>
      <c r="AI1122" s="1163"/>
      <c r="AJ1122" s="1163"/>
      <c r="AK1122" s="1163"/>
    </row>
    <row r="1123" spans="1:37" ht="0" hidden="1" customHeight="1">
      <c r="A1123" s="1"/>
      <c r="B1123" s="1"/>
      <c r="C1123" s="199"/>
      <c r="D1123" s="1163"/>
      <c r="E1123" s="1163"/>
      <c r="F1123" s="1163"/>
      <c r="G1123" s="1163"/>
      <c r="H1123" s="1163"/>
      <c r="I1123" s="1163"/>
      <c r="J1123" s="1163"/>
      <c r="K1123" s="1163"/>
      <c r="L1123" s="1163"/>
      <c r="M1123" s="1163"/>
      <c r="N1123" s="1163"/>
      <c r="O1123" s="1163"/>
      <c r="P1123" s="1163"/>
      <c r="Q1123" s="1163"/>
      <c r="R1123" s="1163"/>
      <c r="S1123" s="1163"/>
      <c r="T1123" s="1163"/>
      <c r="U1123" s="1163"/>
      <c r="V1123" s="1163"/>
      <c r="W1123" s="1163"/>
      <c r="X1123" s="1163"/>
      <c r="Y1123" s="1163"/>
      <c r="Z1123" s="1163"/>
      <c r="AA1123" s="1163"/>
      <c r="AB1123" s="1163"/>
      <c r="AC1123" s="1163"/>
      <c r="AD1123" s="1163"/>
      <c r="AE1123" s="1163"/>
      <c r="AF1123" s="1163"/>
      <c r="AG1123" s="1163"/>
      <c r="AH1123" s="1163"/>
      <c r="AI1123" s="1163"/>
      <c r="AJ1123" s="1163"/>
      <c r="AK1123" s="1163"/>
    </row>
    <row r="1124" spans="1:37" ht="0" hidden="1" customHeight="1">
      <c r="A1124" s="35"/>
      <c r="B1124" s="25"/>
      <c r="C1124" s="199"/>
      <c r="D1124" s="1163"/>
      <c r="E1124" s="1163"/>
      <c r="F1124" s="1163"/>
      <c r="G1124" s="1163"/>
      <c r="H1124" s="1163"/>
      <c r="I1124" s="1163"/>
      <c r="J1124" s="1163"/>
      <c r="K1124" s="1163"/>
      <c r="L1124" s="1163"/>
      <c r="M1124" s="1163"/>
      <c r="N1124" s="1163"/>
      <c r="O1124" s="1163"/>
      <c r="P1124" s="1163"/>
      <c r="Q1124" s="1163"/>
      <c r="R1124" s="1163"/>
      <c r="S1124" s="1163"/>
      <c r="T1124" s="1163"/>
      <c r="U1124" s="1163"/>
      <c r="V1124" s="1163"/>
      <c r="W1124" s="1163"/>
      <c r="X1124" s="1163"/>
      <c r="Y1124" s="1163"/>
      <c r="Z1124" s="1163"/>
      <c r="AA1124" s="1163"/>
      <c r="AB1124" s="1163"/>
      <c r="AC1124" s="1163"/>
      <c r="AD1124" s="1163"/>
      <c r="AE1124" s="1163"/>
      <c r="AF1124" s="1163"/>
      <c r="AG1124" s="1163"/>
      <c r="AH1124" s="1163"/>
      <c r="AI1124" s="1163"/>
      <c r="AJ1124" s="1163"/>
      <c r="AK1124" s="1163"/>
    </row>
    <row r="1125" spans="1:37" ht="0" hidden="1" customHeight="1">
      <c r="A1125" s="1446" t="s">
        <v>590</v>
      </c>
      <c r="B1125" s="1446"/>
      <c r="C1125" s="199">
        <v>9</v>
      </c>
      <c r="D1125" s="1270" t="s">
        <v>1073</v>
      </c>
      <c r="E1125" s="1270"/>
      <c r="F1125" s="1270"/>
      <c r="G1125" s="1270"/>
      <c r="H1125" s="1270"/>
      <c r="I1125" s="1270"/>
      <c r="J1125" s="1270"/>
      <c r="K1125" s="1270"/>
      <c r="L1125" s="1270"/>
      <c r="M1125" s="1270"/>
      <c r="N1125" s="1270"/>
      <c r="O1125" s="1270"/>
      <c r="P1125" s="1270"/>
      <c r="Q1125" s="1270"/>
      <c r="R1125" s="1270"/>
      <c r="S1125" s="1270"/>
      <c r="T1125" s="1270"/>
      <c r="U1125" s="1270"/>
      <c r="V1125" s="1270"/>
      <c r="W1125" s="1270"/>
      <c r="X1125" s="1270"/>
      <c r="Y1125" s="1270"/>
      <c r="Z1125" s="1270"/>
      <c r="AA1125" s="1270"/>
      <c r="AB1125" s="1270"/>
      <c r="AC1125" s="1270"/>
      <c r="AD1125" s="1270"/>
      <c r="AE1125" s="1270"/>
      <c r="AF1125" s="1270"/>
      <c r="AG1125" s="1270"/>
      <c r="AH1125" s="1270"/>
      <c r="AI1125" s="1270"/>
      <c r="AJ1125" s="1270"/>
      <c r="AK1125" s="1270"/>
    </row>
    <row r="1126" spans="1:37" ht="0" hidden="1" customHeight="1">
      <c r="A1126" s="35"/>
      <c r="B1126" s="25"/>
      <c r="C1126" s="199"/>
      <c r="D1126" s="1270"/>
      <c r="E1126" s="1270"/>
      <c r="F1126" s="1270"/>
      <c r="G1126" s="1270"/>
      <c r="H1126" s="1270"/>
      <c r="I1126" s="1270"/>
      <c r="J1126" s="1270"/>
      <c r="K1126" s="1270"/>
      <c r="L1126" s="1270"/>
      <c r="M1126" s="1270"/>
      <c r="N1126" s="1270"/>
      <c r="O1126" s="1270"/>
      <c r="P1126" s="1270"/>
      <c r="Q1126" s="1270"/>
      <c r="R1126" s="1270"/>
      <c r="S1126" s="1270"/>
      <c r="T1126" s="1270"/>
      <c r="U1126" s="1270"/>
      <c r="V1126" s="1270"/>
      <c r="W1126" s="1270"/>
      <c r="X1126" s="1270"/>
      <c r="Y1126" s="1270"/>
      <c r="Z1126" s="1270"/>
      <c r="AA1126" s="1270"/>
      <c r="AB1126" s="1270"/>
      <c r="AC1126" s="1270"/>
      <c r="AD1126" s="1270"/>
      <c r="AE1126" s="1270"/>
      <c r="AF1126" s="1270"/>
      <c r="AG1126" s="1270"/>
      <c r="AH1126" s="1270"/>
      <c r="AI1126" s="1270"/>
      <c r="AJ1126" s="1270"/>
      <c r="AK1126" s="1270"/>
    </row>
    <row r="1127" spans="1:37" ht="0" hidden="1" customHeight="1">
      <c r="D1127" s="1270"/>
      <c r="E1127" s="1270"/>
      <c r="F1127" s="1270"/>
      <c r="G1127" s="1270"/>
      <c r="H1127" s="1270"/>
      <c r="I1127" s="1270"/>
      <c r="J1127" s="1270"/>
      <c r="K1127" s="1270"/>
      <c r="L1127" s="1270"/>
      <c r="M1127" s="1270"/>
      <c r="N1127" s="1270"/>
      <c r="O1127" s="1270"/>
      <c r="P1127" s="1270"/>
      <c r="Q1127" s="1270"/>
      <c r="R1127" s="1270"/>
      <c r="S1127" s="1270"/>
      <c r="T1127" s="1270"/>
      <c r="U1127" s="1270"/>
      <c r="V1127" s="1270"/>
      <c r="W1127" s="1270"/>
      <c r="X1127" s="1270"/>
      <c r="Y1127" s="1270"/>
      <c r="Z1127" s="1270"/>
      <c r="AA1127" s="1270"/>
      <c r="AB1127" s="1270"/>
      <c r="AC1127" s="1270"/>
      <c r="AD1127" s="1270"/>
      <c r="AE1127" s="1270"/>
      <c r="AF1127" s="1270"/>
      <c r="AG1127" s="1270"/>
      <c r="AH1127" s="1270"/>
      <c r="AI1127" s="1270"/>
      <c r="AJ1127" s="1270"/>
      <c r="AK1127" s="1270"/>
    </row>
    <row r="1137" ht="15" hidden="1" customHeight="1"/>
    <row r="2017" ht="10" hidden="1" customHeight="1"/>
  </sheetData>
  <sheetProtection algorithmName="SHA-512" hashValue="bn2MNZt9QHdeO8PPwCvuyKmJMwRPLHvJWDp2iJR+VYzFL4Co/+k5HwF4AEKTxm85z9IiioBCiKADBNq6oABB/A==" saltValue="CvKqSfi0edCrbNz1pR3qzw=="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59">
    <mergeCell ref="G572:L572"/>
    <mergeCell ref="H573:R573"/>
    <mergeCell ref="M574:R574"/>
    <mergeCell ref="Z570:AK570"/>
    <mergeCell ref="Z571:AK571"/>
    <mergeCell ref="Z569:AK569"/>
    <mergeCell ref="AA303:AK303"/>
    <mergeCell ref="AA304:AK304"/>
    <mergeCell ref="AA305:AK305"/>
    <mergeCell ref="AA309:AK309"/>
    <mergeCell ref="H311:R311"/>
    <mergeCell ref="H312:R312"/>
    <mergeCell ref="H314:R314"/>
    <mergeCell ref="H313:R313"/>
    <mergeCell ref="H317:R317"/>
    <mergeCell ref="H319:R319"/>
    <mergeCell ref="H320:R320"/>
    <mergeCell ref="H321:R321"/>
    <mergeCell ref="H322:R322"/>
    <mergeCell ref="H323:M323"/>
    <mergeCell ref="AD377:AE377"/>
    <mergeCell ref="AC371:AF371"/>
    <mergeCell ref="AC503:AF503"/>
    <mergeCell ref="AC513:AF513"/>
    <mergeCell ref="Q389:U389"/>
    <mergeCell ref="AJ357:AK357"/>
    <mergeCell ref="D444:AF444"/>
    <mergeCell ref="T560:V560"/>
    <mergeCell ref="T561:V561"/>
    <mergeCell ref="AE559:AH559"/>
    <mergeCell ref="AI559:AL559"/>
    <mergeCell ref="AH536:AK536"/>
    <mergeCell ref="AA288:AK288"/>
    <mergeCell ref="H316:M316"/>
    <mergeCell ref="AA320:AK320"/>
    <mergeCell ref="AA321:AK321"/>
    <mergeCell ref="AA322:AK322"/>
    <mergeCell ref="AA323:AF323"/>
    <mergeCell ref="A1103:B1103"/>
    <mergeCell ref="C1103:D1103"/>
    <mergeCell ref="E1103:AR1104"/>
    <mergeCell ref="C1092:D1092"/>
    <mergeCell ref="C1093:D1093"/>
    <mergeCell ref="C1094:D1094"/>
    <mergeCell ref="C1095:D1095"/>
    <mergeCell ref="C1096:D1096"/>
    <mergeCell ref="C1097:D1097"/>
    <mergeCell ref="C1098:D1098"/>
    <mergeCell ref="C1099:D1099"/>
    <mergeCell ref="C1100:D1100"/>
    <mergeCell ref="E1067:AR1068"/>
    <mergeCell ref="E1070:AR1073"/>
    <mergeCell ref="E1075:AR1079"/>
    <mergeCell ref="E1081:AR1083"/>
    <mergeCell ref="E1085:AR1087"/>
    <mergeCell ref="E1089:AR1091"/>
    <mergeCell ref="E1094:AR1095"/>
    <mergeCell ref="E1097:AR1098"/>
    <mergeCell ref="E1100:AR1101"/>
    <mergeCell ref="C1077:D1077"/>
    <mergeCell ref="AE556:AH556"/>
    <mergeCell ref="C1079:D1079"/>
    <mergeCell ref="C1080:D1080"/>
    <mergeCell ref="C1081:D1081"/>
    <mergeCell ref="C1090:D1090"/>
    <mergeCell ref="C1091:D1091"/>
    <mergeCell ref="A1065:B1065"/>
    <mergeCell ref="A1067:B1067"/>
    <mergeCell ref="C1065:D1065"/>
    <mergeCell ref="C1066:D1066"/>
    <mergeCell ref="C1067:D1067"/>
    <mergeCell ref="C1068:D1068"/>
    <mergeCell ref="C1069:D1069"/>
    <mergeCell ref="C1070:D1070"/>
    <mergeCell ref="C1071:D1071"/>
    <mergeCell ref="C1072:D1072"/>
    <mergeCell ref="C1073:D1073"/>
    <mergeCell ref="C1074:D1074"/>
    <mergeCell ref="C1075:D1075"/>
    <mergeCell ref="C1076:D1076"/>
    <mergeCell ref="A1089:B1089"/>
    <mergeCell ref="A1081:B1081"/>
    <mergeCell ref="A1075:B1075"/>
    <mergeCell ref="A1070:B1070"/>
    <mergeCell ref="AC735:AG735"/>
    <mergeCell ref="C1078:D1078"/>
    <mergeCell ref="G729:J729"/>
    <mergeCell ref="B726:F726"/>
    <mergeCell ref="G655:L655"/>
    <mergeCell ref="H656:R656"/>
    <mergeCell ref="AC733:AG733"/>
    <mergeCell ref="AG649:AH649"/>
    <mergeCell ref="H688:R688"/>
    <mergeCell ref="C1082:D1082"/>
    <mergeCell ref="C1083:D1083"/>
    <mergeCell ref="C1084:D1084"/>
    <mergeCell ref="C1085:D1085"/>
    <mergeCell ref="C1087:D1087"/>
    <mergeCell ref="C1088:D1088"/>
    <mergeCell ref="C1089:D1089"/>
    <mergeCell ref="B745:F745"/>
    <mergeCell ref="G731:J731"/>
    <mergeCell ref="B714:F717"/>
    <mergeCell ref="D987:Q987"/>
    <mergeCell ref="R989:AA989"/>
    <mergeCell ref="D1053:AI1053"/>
    <mergeCell ref="D1049:AE1049"/>
    <mergeCell ref="D1032:AE1032"/>
    <mergeCell ref="D1050:AE1051"/>
    <mergeCell ref="X1048:Y1048"/>
    <mergeCell ref="X1052:Y1052"/>
    <mergeCell ref="I1048:J1048"/>
    <mergeCell ref="I1052:J1052"/>
    <mergeCell ref="AG1049:AH1049"/>
    <mergeCell ref="AG1025:AH1025"/>
    <mergeCell ref="A1085:B1085"/>
    <mergeCell ref="H18:AJ18"/>
    <mergeCell ref="O33:P33"/>
    <mergeCell ref="M26:Q26"/>
    <mergeCell ref="H16:AJ16"/>
    <mergeCell ref="A21:AL21"/>
    <mergeCell ref="M27:Q27"/>
    <mergeCell ref="A13:AT14"/>
    <mergeCell ref="A1061:AQ1061"/>
    <mergeCell ref="AF1017:AI1019"/>
    <mergeCell ref="AF1014:AI1015"/>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D990:Q990"/>
    <mergeCell ref="AB989:AI989"/>
    <mergeCell ref="B747:F747"/>
    <mergeCell ref="B748:F748"/>
    <mergeCell ref="B749:F749"/>
    <mergeCell ref="B750:F750"/>
    <mergeCell ref="T750:W750"/>
    <mergeCell ref="AE962:AK962"/>
    <mergeCell ref="M961:S961"/>
    <mergeCell ref="Z624:AB626"/>
    <mergeCell ref="P613:R613"/>
    <mergeCell ref="H297:R297"/>
    <mergeCell ref="H298:R298"/>
    <mergeCell ref="H296:R296"/>
    <mergeCell ref="H301:R301"/>
    <mergeCell ref="AA295:AK295"/>
    <mergeCell ref="AA298:AK298"/>
    <mergeCell ref="X727:AB727"/>
    <mergeCell ref="G728:J728"/>
    <mergeCell ref="O737:S737"/>
    <mergeCell ref="O738:S738"/>
    <mergeCell ref="T740:W740"/>
    <mergeCell ref="G741:J741"/>
    <mergeCell ref="T739:W739"/>
    <mergeCell ref="O727:S727"/>
    <mergeCell ref="AC739:AG739"/>
    <mergeCell ref="K725:N725"/>
    <mergeCell ref="G647:L647"/>
    <mergeCell ref="C638:L638"/>
    <mergeCell ref="AK731:AO731"/>
    <mergeCell ref="Z686:AK686"/>
    <mergeCell ref="G730:J730"/>
    <mergeCell ref="X730:AB730"/>
    <mergeCell ref="B740:F740"/>
    <mergeCell ref="O739:S739"/>
    <mergeCell ref="O740:S740"/>
    <mergeCell ref="K741:N741"/>
    <mergeCell ref="O736:S736"/>
    <mergeCell ref="K738:N738"/>
    <mergeCell ref="AK738:AO738"/>
    <mergeCell ref="T737:W737"/>
    <mergeCell ref="AA598:AK598"/>
    <mergeCell ref="DE735:DI735"/>
    <mergeCell ref="AH737:AJ737"/>
    <mergeCell ref="AH738:AJ738"/>
    <mergeCell ref="AH736:AJ736"/>
    <mergeCell ref="X732:AB732"/>
    <mergeCell ref="K734:N734"/>
    <mergeCell ref="Q627:S627"/>
    <mergeCell ref="Q628:S628"/>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X721:AB721"/>
    <mergeCell ref="M624:P626"/>
    <mergeCell ref="AA287:AK287"/>
    <mergeCell ref="AA289:AK289"/>
    <mergeCell ref="AA290:AK290"/>
    <mergeCell ref="H295:R295"/>
    <mergeCell ref="AI331:AK331"/>
    <mergeCell ref="A69:AT70"/>
    <mergeCell ref="A72:AT73"/>
    <mergeCell ref="A544:AT545"/>
    <mergeCell ref="A480:AT481"/>
    <mergeCell ref="A351:AT352"/>
    <mergeCell ref="I392:N392"/>
    <mergeCell ref="M357:N357"/>
    <mergeCell ref="EM636:EQ636"/>
    <mergeCell ref="DX637:EB637"/>
    <mergeCell ref="AC633:AE633"/>
    <mergeCell ref="B639:AN639"/>
    <mergeCell ref="B640:AN640"/>
    <mergeCell ref="B719:F719"/>
    <mergeCell ref="V381:W381"/>
    <mergeCell ref="T555:V555"/>
    <mergeCell ref="W559:Y559"/>
    <mergeCell ref="Z646:AK646"/>
    <mergeCell ref="G580:R580"/>
    <mergeCell ref="W631:Y631"/>
    <mergeCell ref="AG615:AH615"/>
    <mergeCell ref="G612:R612"/>
    <mergeCell ref="Q636:S636"/>
    <mergeCell ref="Q637:S637"/>
    <mergeCell ref="C636:L636"/>
    <mergeCell ref="N665:O665"/>
    <mergeCell ref="G611:R611"/>
    <mergeCell ref="Z602:AK602"/>
    <mergeCell ref="Z612:AK612"/>
    <mergeCell ref="AC627:AE627"/>
    <mergeCell ref="AA656:AK656"/>
    <mergeCell ref="J385:U385"/>
    <mergeCell ref="Q635:S635"/>
    <mergeCell ref="W629:Y629"/>
    <mergeCell ref="Q631:S631"/>
    <mergeCell ref="G571:R571"/>
    <mergeCell ref="CP794:CT794"/>
    <mergeCell ref="CP795:CT795"/>
    <mergeCell ref="CP796:CT796"/>
    <mergeCell ref="CP793:CT793"/>
    <mergeCell ref="CP792:CT792"/>
    <mergeCell ref="CP791:CT791"/>
    <mergeCell ref="CP790:CT790"/>
    <mergeCell ref="AK723:AO723"/>
    <mergeCell ref="AK724:AO724"/>
    <mergeCell ref="AK725:AO725"/>
    <mergeCell ref="B737:F737"/>
    <mergeCell ref="B735:F735"/>
    <mergeCell ref="B738:F738"/>
    <mergeCell ref="K749:N749"/>
    <mergeCell ref="O749:S749"/>
    <mergeCell ref="X751:AB751"/>
    <mergeCell ref="K740:N740"/>
    <mergeCell ref="AC738:AG738"/>
    <mergeCell ref="AH753:AJ753"/>
    <mergeCell ref="AK745:AO745"/>
    <mergeCell ref="AH741:AJ741"/>
    <mergeCell ref="AK740:AO740"/>
    <mergeCell ref="AK741:AO741"/>
    <mergeCell ref="AK752:AO752"/>
    <mergeCell ref="O741:S741"/>
    <mergeCell ref="X731:AB731"/>
    <mergeCell ref="AH732:AJ732"/>
    <mergeCell ref="Z675:AK675"/>
    <mergeCell ref="T733:W733"/>
    <mergeCell ref="CZ753:DD753"/>
    <mergeCell ref="DJ775:DN775"/>
    <mergeCell ref="CU739:CY739"/>
    <mergeCell ref="EH655:EL655"/>
    <mergeCell ref="EM655:EQ655"/>
    <mergeCell ref="CI753:CJ753"/>
    <mergeCell ref="CM753:CN753"/>
    <mergeCell ref="CP753:CT753"/>
    <mergeCell ref="CK751:CL751"/>
    <mergeCell ref="CP775:CT775"/>
    <mergeCell ref="CP776:CT776"/>
    <mergeCell ref="CP777:CT777"/>
    <mergeCell ref="CP773:CT773"/>
    <mergeCell ref="CU752:CY752"/>
    <mergeCell ref="CU773:CY773"/>
    <mergeCell ref="DO775:DS775"/>
    <mergeCell ref="DJ753:DN753"/>
    <mergeCell ref="DE740:DI740"/>
    <mergeCell ref="DU740:DY740"/>
    <mergeCell ref="DZ740:ED740"/>
    <mergeCell ref="EE738:EI738"/>
    <mergeCell ref="EJ738:EN738"/>
    <mergeCell ref="EJ740:EN740"/>
    <mergeCell ref="CU775:CY775"/>
    <mergeCell ref="EE745:EI745"/>
    <mergeCell ref="EO745:ES745"/>
    <mergeCell ref="DU749:DY749"/>
    <mergeCell ref="DZ749:ED749"/>
    <mergeCell ref="DE774:DI774"/>
    <mergeCell ref="DZ738:ED738"/>
    <mergeCell ref="DJ777:DN777"/>
    <mergeCell ref="CZ774:DD774"/>
    <mergeCell ref="EM647:EQ647"/>
    <mergeCell ref="DX648:EB648"/>
    <mergeCell ref="DX651:EB651"/>
    <mergeCell ref="EC651:EG651"/>
    <mergeCell ref="EM648:EQ648"/>
    <mergeCell ref="DE776:DI776"/>
    <mergeCell ref="DJ746:DN746"/>
    <mergeCell ref="DO746:DS746"/>
    <mergeCell ref="CZ746:DD746"/>
    <mergeCell ref="DE744:DI744"/>
    <mergeCell ref="DE750:DI750"/>
    <mergeCell ref="DJ750:DN750"/>
    <mergeCell ref="DO774:DS774"/>
    <mergeCell ref="DU753:DY753"/>
    <mergeCell ref="DZ753:ED753"/>
    <mergeCell ref="EW660:FA660"/>
    <mergeCell ref="DX661:EB661"/>
    <mergeCell ref="DZ724:ED724"/>
    <mergeCell ref="ET723:EX723"/>
    <mergeCell ref="EE725:EI725"/>
    <mergeCell ref="EJ725:EN725"/>
    <mergeCell ref="DZ728:ED728"/>
    <mergeCell ref="EE724:EI724"/>
    <mergeCell ref="DO732:DS732"/>
    <mergeCell ref="DJ734:DN734"/>
    <mergeCell ref="DO753:DS753"/>
    <mergeCell ref="DO773:DS773"/>
    <mergeCell ref="EE753:EI753"/>
    <mergeCell ref="EO753:ES753"/>
    <mergeCell ref="DJ776:DN776"/>
    <mergeCell ref="DO776:DS776"/>
    <mergeCell ref="ER649:EV649"/>
    <mergeCell ref="EW641:FA641"/>
    <mergeCell ref="EC642:EG642"/>
    <mergeCell ref="EH642:EL642"/>
    <mergeCell ref="EM642:EQ642"/>
    <mergeCell ref="ER642:EV642"/>
    <mergeCell ref="DX641:EB641"/>
    <mergeCell ref="EC644:EG644"/>
    <mergeCell ref="EH644:EL644"/>
    <mergeCell ref="DX656:EB656"/>
    <mergeCell ref="EC656:EG656"/>
    <mergeCell ref="EH656:EL656"/>
    <mergeCell ref="EM656:EQ656"/>
    <mergeCell ref="EW669:FA669"/>
    <mergeCell ref="EH653:EL653"/>
    <mergeCell ref="EM653:EQ653"/>
    <mergeCell ref="ER653:EV653"/>
    <mergeCell ref="EW647:FA647"/>
    <mergeCell ref="EW655:FA655"/>
    <mergeCell ref="EW650:FA650"/>
    <mergeCell ref="EW648:FA648"/>
    <mergeCell ref="EW651:FA651"/>
    <mergeCell ref="EW649:FA649"/>
    <mergeCell ref="EW652:FA652"/>
    <mergeCell ref="ER657:EV657"/>
    <mergeCell ref="EW657:FA657"/>
    <mergeCell ref="EH659:EL659"/>
    <mergeCell ref="EC661:EG661"/>
    <mergeCell ref="EH661:EL661"/>
    <mergeCell ref="EM651:EQ651"/>
    <mergeCell ref="EH654:EL654"/>
    <mergeCell ref="DX657:EB657"/>
    <mergeCell ref="EH647:EL647"/>
    <mergeCell ref="EW661:FA661"/>
    <mergeCell ref="EM662:EQ662"/>
    <mergeCell ref="ER662:EV662"/>
    <mergeCell ref="DU727:DY727"/>
    <mergeCell ref="EE726:EI726"/>
    <mergeCell ref="EJ726:EN726"/>
    <mergeCell ref="DO720:DS720"/>
    <mergeCell ref="AH729:AJ729"/>
    <mergeCell ref="DU718:DY718"/>
    <mergeCell ref="DU721:DY721"/>
    <mergeCell ref="EE721:EI721"/>
    <mergeCell ref="EJ721:EN721"/>
    <mergeCell ref="DZ721:ED721"/>
    <mergeCell ref="DZ722:ED722"/>
    <mergeCell ref="DU717:DY717"/>
    <mergeCell ref="DU719:DY719"/>
    <mergeCell ref="EE717:EI717"/>
    <mergeCell ref="EJ720:EN720"/>
    <mergeCell ref="AK726:AO726"/>
    <mergeCell ref="EO722:ES722"/>
    <mergeCell ref="EH668:EL668"/>
    <mergeCell ref="Z684:AK684"/>
    <mergeCell ref="CZ721:DD721"/>
    <mergeCell ref="DJ718:DN718"/>
    <mergeCell ref="CZ719:DD719"/>
    <mergeCell ref="DJ719:DN719"/>
    <mergeCell ref="EO724:ES724"/>
    <mergeCell ref="ET724:EX724"/>
    <mergeCell ref="EO726:ES726"/>
    <mergeCell ref="ET726:EX726"/>
    <mergeCell ref="EZ720:FD720"/>
    <mergeCell ref="DO727:DS727"/>
    <mergeCell ref="EM641:EQ641"/>
    <mergeCell ref="ER655:EV655"/>
    <mergeCell ref="EH648:EL648"/>
    <mergeCell ref="EH651:EL651"/>
    <mergeCell ref="EH650:EL650"/>
    <mergeCell ref="AK736:AO736"/>
    <mergeCell ref="EO736:ES736"/>
    <mergeCell ref="CI730:CJ730"/>
    <mergeCell ref="DO735:DS735"/>
    <mergeCell ref="DO736:DS736"/>
    <mergeCell ref="CI736:CJ736"/>
    <mergeCell ref="CZ737:DD737"/>
    <mergeCell ref="DE733:DI733"/>
    <mergeCell ref="CU735:CY735"/>
    <mergeCell ref="CZ751:DD751"/>
    <mergeCell ref="CI751:CJ751"/>
    <mergeCell ref="CP735:CT735"/>
    <mergeCell ref="DJ736:DN736"/>
    <mergeCell ref="DE736:DI736"/>
    <mergeCell ref="CM740:CN740"/>
    <mergeCell ref="AK749:AO749"/>
    <mergeCell ref="EJ739:EN739"/>
    <mergeCell ref="AK751:AO751"/>
    <mergeCell ref="DU739:DY739"/>
    <mergeCell ref="DZ739:ED739"/>
    <mergeCell ref="EE739:EI739"/>
    <mergeCell ref="DJ751:DN751"/>
    <mergeCell ref="CZ745:DD745"/>
    <mergeCell ref="DE745:DI745"/>
    <mergeCell ref="CP738:CT738"/>
    <mergeCell ref="DZ737:ED737"/>
    <mergeCell ref="Z670:AK670"/>
    <mergeCell ref="FO740:FS740"/>
    <mergeCell ref="EC637:EG637"/>
    <mergeCell ref="EH637:EL637"/>
    <mergeCell ref="T624:V626"/>
    <mergeCell ref="ET751:EX751"/>
    <mergeCell ref="EJ751:EN751"/>
    <mergeCell ref="EO739:ES739"/>
    <mergeCell ref="ET739:EX739"/>
    <mergeCell ref="DJ773:DN773"/>
    <mergeCell ref="X725:AB725"/>
    <mergeCell ref="DU729:DY729"/>
    <mergeCell ref="DJ730:DN730"/>
    <mergeCell ref="DX643:EB643"/>
    <mergeCell ref="DX640:EB640"/>
    <mergeCell ref="ER639:EV639"/>
    <mergeCell ref="DX644:EB644"/>
    <mergeCell ref="DX642:EB642"/>
    <mergeCell ref="EC662:EG662"/>
    <mergeCell ref="EH662:EL662"/>
    <mergeCell ref="DX659:EB659"/>
    <mergeCell ref="ER660:EV660"/>
    <mergeCell ref="EH666:EL666"/>
    <mergeCell ref="EC654:EG654"/>
    <mergeCell ref="AO637:AS637"/>
    <mergeCell ref="AO634:AS634"/>
    <mergeCell ref="CZ773:DD773"/>
    <mergeCell ref="EW664:FA664"/>
    <mergeCell ref="EW666:FA666"/>
    <mergeCell ref="EW654:FA654"/>
    <mergeCell ref="DX647:EB647"/>
    <mergeCell ref="ER661:EV661"/>
    <mergeCell ref="EO738:ES738"/>
    <mergeCell ref="DJ774:DN774"/>
    <mergeCell ref="AF635:AJ635"/>
    <mergeCell ref="AO635:AS635"/>
    <mergeCell ref="EZ733:FD733"/>
    <mergeCell ref="FE733:FI733"/>
    <mergeCell ref="FJ733:FN733"/>
    <mergeCell ref="FO733:FS733"/>
    <mergeCell ref="ET740:EX740"/>
    <mergeCell ref="Z636:AB636"/>
    <mergeCell ref="Z637:AB637"/>
    <mergeCell ref="Z638:AB638"/>
    <mergeCell ref="W627:Y627"/>
    <mergeCell ref="T627:V627"/>
    <mergeCell ref="AO627:AS627"/>
    <mergeCell ref="EO752:ES752"/>
    <mergeCell ref="EJ752:EN752"/>
    <mergeCell ref="ET738:EX738"/>
    <mergeCell ref="DU738:DY738"/>
    <mergeCell ref="CK745:CL745"/>
    <mergeCell ref="DU734:DY734"/>
    <mergeCell ref="B641:AN641"/>
    <mergeCell ref="G643:R643"/>
    <mergeCell ref="EM670:EQ670"/>
    <mergeCell ref="AK730:AO730"/>
    <mergeCell ref="AC724:AG724"/>
    <mergeCell ref="AC730:AG730"/>
    <mergeCell ref="AE693:AF693"/>
    <mergeCell ref="AH727:AJ727"/>
    <mergeCell ref="EO740:ES740"/>
    <mergeCell ref="ER669:EV669"/>
    <mergeCell ref="ER668:EV668"/>
    <mergeCell ref="EW668:FA668"/>
    <mergeCell ref="FT740:FX740"/>
    <mergeCell ref="FT733:FX733"/>
    <mergeCell ref="Z627:AB627"/>
    <mergeCell ref="DO777:DS777"/>
    <mergeCell ref="DE773:DI773"/>
    <mergeCell ref="CZ777:DD777"/>
    <mergeCell ref="DE777:DI777"/>
    <mergeCell ref="DE775:DI775"/>
    <mergeCell ref="EE751:EI751"/>
    <mergeCell ref="DU751:DY751"/>
    <mergeCell ref="DZ751:ED751"/>
    <mergeCell ref="DU752:DY752"/>
    <mergeCell ref="DZ752:ED752"/>
    <mergeCell ref="DJ752:DN752"/>
    <mergeCell ref="EZ753:FD753"/>
    <mergeCell ref="FE753:FI753"/>
    <mergeCell ref="EJ735:EN735"/>
    <mergeCell ref="EO735:ES735"/>
    <mergeCell ref="DZ735:ED735"/>
    <mergeCell ref="FJ740:FN740"/>
    <mergeCell ref="ET737:EX737"/>
    <mergeCell ref="EJ753:EN753"/>
    <mergeCell ref="DO740:DS740"/>
    <mergeCell ref="DJ740:DN740"/>
    <mergeCell ref="DO754:DS754"/>
    <mergeCell ref="DE753:DI753"/>
    <mergeCell ref="DO751:DS751"/>
    <mergeCell ref="DO752:DS752"/>
    <mergeCell ref="DE751:DI751"/>
    <mergeCell ref="EE752:EI752"/>
    <mergeCell ref="CG745:CH745"/>
    <mergeCell ref="CI745:CJ745"/>
    <mergeCell ref="DE738:DI738"/>
    <mergeCell ref="EM649:EQ649"/>
    <mergeCell ref="EM654:EQ654"/>
    <mergeCell ref="ER654:EV654"/>
    <mergeCell ref="EM652:EQ652"/>
    <mergeCell ref="DX650:EB650"/>
    <mergeCell ref="EC650:EG650"/>
    <mergeCell ref="EC655:EG655"/>
    <mergeCell ref="DX667:EB667"/>
    <mergeCell ref="DX652:EB652"/>
    <mergeCell ref="EC652:EG652"/>
    <mergeCell ref="EH652:EL652"/>
    <mergeCell ref="ER650:EV650"/>
    <mergeCell ref="EM650:EQ650"/>
    <mergeCell ref="DX653:EB653"/>
    <mergeCell ref="EC653:EG653"/>
    <mergeCell ref="DX654:EB654"/>
    <mergeCell ref="ER651:EV651"/>
    <mergeCell ref="ER652:EV652"/>
    <mergeCell ref="DZ733:ED733"/>
    <mergeCell ref="DX662:EB662"/>
    <mergeCell ref="DZ723:ED723"/>
    <mergeCell ref="EE734:EI734"/>
    <mergeCell ref="DU731:DY731"/>
    <mergeCell ref="DJ738:DN738"/>
    <mergeCell ref="EO737:ES737"/>
    <mergeCell ref="DU737:DY737"/>
    <mergeCell ref="DU735:DY735"/>
    <mergeCell ref="DO737:DS737"/>
    <mergeCell ref="DO738:DS738"/>
    <mergeCell ref="EO730:ES730"/>
    <mergeCell ref="ET730:EX730"/>
    <mergeCell ref="EE740:EI740"/>
    <mergeCell ref="EW656:FA656"/>
    <mergeCell ref="ET731:EX731"/>
    <mergeCell ref="EJ727:EN727"/>
    <mergeCell ref="EO729:ES729"/>
    <mergeCell ref="EO732:ES732"/>
    <mergeCell ref="ET729:EX729"/>
    <mergeCell ref="EO719:ES719"/>
    <mergeCell ref="ET719:EX719"/>
    <mergeCell ref="EJ722:EN722"/>
    <mergeCell ref="ET736:EX736"/>
    <mergeCell ref="EE735:EI735"/>
    <mergeCell ref="EJ734:EN734"/>
    <mergeCell ref="EE733:EI733"/>
    <mergeCell ref="EC657:EG657"/>
    <mergeCell ref="EH657:EL657"/>
    <mergeCell ref="EM657:EQ657"/>
    <mergeCell ref="ET717:EX717"/>
    <mergeCell ref="EE729:EI729"/>
    <mergeCell ref="EO731:ES731"/>
    <mergeCell ref="EO718:ES718"/>
    <mergeCell ref="EM668:EQ668"/>
    <mergeCell ref="EM664:EQ664"/>
    <mergeCell ref="ER664:EV664"/>
    <mergeCell ref="EC667:EG667"/>
    <mergeCell ref="EH667:EL667"/>
    <mergeCell ref="EM666:EQ666"/>
    <mergeCell ref="ER666:EV666"/>
    <mergeCell ref="DZ718:ED718"/>
    <mergeCell ref="EE718:EI718"/>
    <mergeCell ref="EJ718:EN718"/>
    <mergeCell ref="ET718:EX718"/>
    <mergeCell ref="FE720:FI720"/>
    <mergeCell ref="FJ720:FN720"/>
    <mergeCell ref="FO720:FS720"/>
    <mergeCell ref="EZ717:FD717"/>
    <mergeCell ref="FE717:FI717"/>
    <mergeCell ref="FJ717:FN717"/>
    <mergeCell ref="FO717:FS717"/>
    <mergeCell ref="EW670:FA670"/>
    <mergeCell ref="FJ721:FN721"/>
    <mergeCell ref="FO721:FS721"/>
    <mergeCell ref="DU720:DY720"/>
    <mergeCell ref="DX670:EB670"/>
    <mergeCell ref="DU723:DY723"/>
    <mergeCell ref="EE719:EI719"/>
    <mergeCell ref="DZ720:ED720"/>
    <mergeCell ref="EJ719:EN719"/>
    <mergeCell ref="ET725:EX725"/>
    <mergeCell ref="DU724:DY724"/>
    <mergeCell ref="DZ719:ED719"/>
    <mergeCell ref="EO721:ES721"/>
    <mergeCell ref="EW637:FA637"/>
    <mergeCell ref="EC645:EG645"/>
    <mergeCell ref="ER645:EV645"/>
    <mergeCell ref="EW645:FA645"/>
    <mergeCell ref="EM637:EQ637"/>
    <mergeCell ref="EM644:EQ644"/>
    <mergeCell ref="ER644:EV644"/>
    <mergeCell ref="EM646:EQ646"/>
    <mergeCell ref="EW642:FA642"/>
    <mergeCell ref="EW643:FA643"/>
    <mergeCell ref="EC649:EG649"/>
    <mergeCell ref="EC639:EG639"/>
    <mergeCell ref="EH639:EL639"/>
    <mergeCell ref="EM639:EQ639"/>
    <mergeCell ref="ER646:EV646"/>
    <mergeCell ref="EW646:FA646"/>
    <mergeCell ref="EW653:FA653"/>
    <mergeCell ref="EH649:EL649"/>
    <mergeCell ref="EC647:EG647"/>
    <mergeCell ref="ER641:EV641"/>
    <mergeCell ref="EH641:EL641"/>
    <mergeCell ref="EW644:FA644"/>
    <mergeCell ref="EC641:EG641"/>
    <mergeCell ref="EC643:EG643"/>
    <mergeCell ref="EH643:EL643"/>
    <mergeCell ref="EM643:EQ643"/>
    <mergeCell ref="EC648:EG648"/>
    <mergeCell ref="EW639:FA639"/>
    <mergeCell ref="EC640:EG640"/>
    <mergeCell ref="EW640:FA640"/>
    <mergeCell ref="ER643:EV643"/>
    <mergeCell ref="ER640:EV640"/>
    <mergeCell ref="FE751:FI751"/>
    <mergeCell ref="FJ751:FN751"/>
    <mergeCell ref="FO751:FS751"/>
    <mergeCell ref="DX664:EB664"/>
    <mergeCell ref="EC664:EG664"/>
    <mergeCell ref="EH664:EL664"/>
    <mergeCell ref="EZ739:FD739"/>
    <mergeCell ref="FE739:FI739"/>
    <mergeCell ref="FJ739:FN739"/>
    <mergeCell ref="FO739:FS739"/>
    <mergeCell ref="DZ730:ED730"/>
    <mergeCell ref="EE730:EI730"/>
    <mergeCell ref="EJ730:EN730"/>
    <mergeCell ref="ET733:EX733"/>
    <mergeCell ref="EO733:ES733"/>
    <mergeCell ref="EO734:ES734"/>
    <mergeCell ref="ET734:EX734"/>
    <mergeCell ref="DZ736:ED736"/>
    <mergeCell ref="EE736:EI736"/>
    <mergeCell ref="EJ736:EN736"/>
    <mergeCell ref="ET735:EX735"/>
    <mergeCell ref="FE724:FI724"/>
    <mergeCell ref="EE731:EI731"/>
    <mergeCell ref="EJ731:EN731"/>
    <mergeCell ref="DU732:DY732"/>
    <mergeCell ref="DZ732:ED732"/>
    <mergeCell ref="EE732:EI732"/>
    <mergeCell ref="EJ732:EN732"/>
    <mergeCell ref="EE737:EI737"/>
    <mergeCell ref="EJ737:EN737"/>
    <mergeCell ref="DU736:DY736"/>
    <mergeCell ref="DU733:DY733"/>
    <mergeCell ref="FT739:FX739"/>
    <mergeCell ref="EW638:FA638"/>
    <mergeCell ref="ER648:EV648"/>
    <mergeCell ref="ER647:EV647"/>
    <mergeCell ref="EH645:EL645"/>
    <mergeCell ref="EM645:EQ645"/>
    <mergeCell ref="EH640:EL640"/>
    <mergeCell ref="EM640:EQ640"/>
    <mergeCell ref="DX639:EB639"/>
    <mergeCell ref="FY740:GC740"/>
    <mergeCell ref="DX646:EB646"/>
    <mergeCell ref="EC646:EG646"/>
    <mergeCell ref="EH646:EL646"/>
    <mergeCell ref="EM667:EQ667"/>
    <mergeCell ref="ER667:EV667"/>
    <mergeCell ref="EW667:FA667"/>
    <mergeCell ref="EM661:EQ661"/>
    <mergeCell ref="ER670:EV670"/>
    <mergeCell ref="DX669:EB669"/>
    <mergeCell ref="EC670:EG670"/>
    <mergeCell ref="EH670:EL670"/>
    <mergeCell ref="ER656:EV656"/>
    <mergeCell ref="EC669:EG669"/>
    <mergeCell ref="EH669:EL669"/>
    <mergeCell ref="EM669:EQ669"/>
    <mergeCell ref="FJ735:FN735"/>
    <mergeCell ref="FO735:FS735"/>
    <mergeCell ref="FT735:FX735"/>
    <mergeCell ref="FY735:GC735"/>
    <mergeCell ref="EZ736:FD736"/>
    <mergeCell ref="FE736:FI736"/>
    <mergeCell ref="FJ736:FN736"/>
    <mergeCell ref="FY728:GC728"/>
    <mergeCell ref="EZ729:FD729"/>
    <mergeCell ref="FE729:FI729"/>
    <mergeCell ref="FJ729:FN729"/>
    <mergeCell ref="FO729:FS729"/>
    <mergeCell ref="FT729:FX729"/>
    <mergeCell ref="FY729:GC729"/>
    <mergeCell ref="FY737:GC737"/>
    <mergeCell ref="FT751:FX751"/>
    <mergeCell ref="FY751:GC751"/>
    <mergeCell ref="EZ752:FD752"/>
    <mergeCell ref="FE752:FI752"/>
    <mergeCell ref="FJ752:FN752"/>
    <mergeCell ref="FO752:FS752"/>
    <mergeCell ref="FT752:FX752"/>
    <mergeCell ref="EZ730:FD730"/>
    <mergeCell ref="EZ751:FD751"/>
    <mergeCell ref="EZ740:FD740"/>
    <mergeCell ref="FE740:FI740"/>
    <mergeCell ref="FE745:FI745"/>
    <mergeCell ref="FJ745:FN745"/>
    <mergeCell ref="FO745:FS745"/>
    <mergeCell ref="FT745:FX745"/>
    <mergeCell ref="FY733:GC733"/>
    <mergeCell ref="FY739:GC739"/>
    <mergeCell ref="EZ734:FD734"/>
    <mergeCell ref="FE734:FI734"/>
    <mergeCell ref="EZ738:FD738"/>
    <mergeCell ref="FE738:FI738"/>
    <mergeCell ref="FJ738:FN738"/>
    <mergeCell ref="FO738:FS738"/>
    <mergeCell ref="FT738:FX738"/>
    <mergeCell ref="FY738:GC738"/>
    <mergeCell ref="FY730:GC730"/>
    <mergeCell ref="EZ731:FD731"/>
    <mergeCell ref="FE731:FI731"/>
    <mergeCell ref="FJ731:FN731"/>
    <mergeCell ref="FO731:FS731"/>
    <mergeCell ref="FT731:FX731"/>
    <mergeCell ref="FY731:GC731"/>
    <mergeCell ref="EZ732:FD732"/>
    <mergeCell ref="FE732:FI732"/>
    <mergeCell ref="FJ732:FN732"/>
    <mergeCell ref="FO732:FS732"/>
    <mergeCell ref="FT732:FX732"/>
    <mergeCell ref="FY732:GC732"/>
    <mergeCell ref="FO736:FS736"/>
    <mergeCell ref="FT736:FX736"/>
    <mergeCell ref="FY736:GC736"/>
    <mergeCell ref="EZ737:FD737"/>
    <mergeCell ref="FE737:FI737"/>
    <mergeCell ref="FJ737:FN737"/>
    <mergeCell ref="FO737:FS737"/>
    <mergeCell ref="FJ734:FN734"/>
    <mergeCell ref="FO734:FS734"/>
    <mergeCell ref="FT734:FX734"/>
    <mergeCell ref="FY734:GC734"/>
    <mergeCell ref="EZ735:FD735"/>
    <mergeCell ref="FE735:FI735"/>
    <mergeCell ref="FT737:FX737"/>
    <mergeCell ref="FE730:FI730"/>
    <mergeCell ref="FJ730:FN730"/>
    <mergeCell ref="FT720:FX720"/>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1:GC721"/>
    <mergeCell ref="EZ722:FD722"/>
    <mergeCell ref="FE722:FI722"/>
    <mergeCell ref="FJ722:FN722"/>
    <mergeCell ref="FO722:FS722"/>
    <mergeCell ref="FT722:FX722"/>
    <mergeCell ref="FY722:GC722"/>
    <mergeCell ref="EZ723:FD723"/>
    <mergeCell ref="FE723:FI723"/>
    <mergeCell ref="FJ723:FN723"/>
    <mergeCell ref="FO723:FS723"/>
    <mergeCell ref="FT723:FX723"/>
    <mergeCell ref="FY723:GC723"/>
    <mergeCell ref="EZ724:FD724"/>
    <mergeCell ref="FT724:FX724"/>
    <mergeCell ref="FY724:GC724"/>
    <mergeCell ref="FJ724:FN724"/>
    <mergeCell ref="FO724:FS724"/>
    <mergeCell ref="FT717:FX717"/>
    <mergeCell ref="FY717:GC717"/>
    <mergeCell ref="EZ718:FD718"/>
    <mergeCell ref="FE718:FI718"/>
    <mergeCell ref="FJ718:FN718"/>
    <mergeCell ref="FO718:FS718"/>
    <mergeCell ref="FT718:FX718"/>
    <mergeCell ref="FY718:GC718"/>
    <mergeCell ref="EZ719:FD719"/>
    <mergeCell ref="FE719:FI719"/>
    <mergeCell ref="FJ719:FN719"/>
    <mergeCell ref="FO719:FS719"/>
    <mergeCell ref="FT719:FX719"/>
    <mergeCell ref="FY719:GC719"/>
    <mergeCell ref="J1024:AE1024"/>
    <mergeCell ref="FY720:GC720"/>
    <mergeCell ref="AJ992:AQ992"/>
    <mergeCell ref="AJ993:AQ993"/>
    <mergeCell ref="D1013:AE1013"/>
    <mergeCell ref="AF993:AI993"/>
    <mergeCell ref="AG994:AH994"/>
    <mergeCell ref="AG1001:AH1001"/>
    <mergeCell ref="AG1007:AH1007"/>
    <mergeCell ref="AG1011:AH1011"/>
    <mergeCell ref="AG1013:AH1013"/>
    <mergeCell ref="AG1016:AH1016"/>
    <mergeCell ref="AG1020:AH1020"/>
    <mergeCell ref="D1016:AE1016"/>
    <mergeCell ref="D1008:AE1010"/>
    <mergeCell ref="AF1021:AI1022"/>
    <mergeCell ref="FO730:FS730"/>
    <mergeCell ref="FT730:FX730"/>
    <mergeCell ref="FT721:FX721"/>
    <mergeCell ref="D1033:AE1035"/>
    <mergeCell ref="AJ1032:AQ1035"/>
    <mergeCell ref="AJ994:AQ1000"/>
    <mergeCell ref="AJ1007:AQ1010"/>
    <mergeCell ref="AJ1011:AQ1012"/>
    <mergeCell ref="AJ986:AQ986"/>
    <mergeCell ref="AJ1001:AQ1006"/>
    <mergeCell ref="AJ1020:AQ1024"/>
    <mergeCell ref="D1020:AE1021"/>
    <mergeCell ref="AB991:AI991"/>
    <mergeCell ref="D1025:AE1025"/>
    <mergeCell ref="AF1026:AI1026"/>
    <mergeCell ref="AA968:AG968"/>
    <mergeCell ref="AE955:AK955"/>
    <mergeCell ref="I950:T950"/>
    <mergeCell ref="D995:AE998"/>
    <mergeCell ref="D999:AE999"/>
    <mergeCell ref="M971:S971"/>
    <mergeCell ref="M956:S956"/>
    <mergeCell ref="EZ728:FD728"/>
    <mergeCell ref="FE728:FI728"/>
    <mergeCell ref="FJ728:FN728"/>
    <mergeCell ref="FO728:FS728"/>
    <mergeCell ref="FT728:FX728"/>
    <mergeCell ref="FJ725:FN725"/>
    <mergeCell ref="FO725:FS725"/>
    <mergeCell ref="FT725:FX725"/>
    <mergeCell ref="EZ721:FD721"/>
    <mergeCell ref="FE721:FI721"/>
    <mergeCell ref="EZ725:FD725"/>
    <mergeCell ref="FE725:FI725"/>
    <mergeCell ref="R990:AA990"/>
    <mergeCell ref="J957:S957"/>
    <mergeCell ref="AJ990:AQ990"/>
    <mergeCell ref="AE959:AK959"/>
    <mergeCell ref="W974:AG974"/>
    <mergeCell ref="M973:S973"/>
    <mergeCell ref="M972:S972"/>
    <mergeCell ref="M958:S958"/>
    <mergeCell ref="AA972:AG972"/>
    <mergeCell ref="AA973:AG973"/>
    <mergeCell ref="R985:AA985"/>
    <mergeCell ref="A979:AT981"/>
    <mergeCell ref="AJ985:AQ985"/>
    <mergeCell ref="AJ1013:AQ1015"/>
    <mergeCell ref="AJ1016:AQ1019"/>
    <mergeCell ref="AJ988:AQ988"/>
    <mergeCell ref="B992:AI992"/>
    <mergeCell ref="R987:AA987"/>
    <mergeCell ref="D988:Q988"/>
    <mergeCell ref="D989:Q989"/>
    <mergeCell ref="R988:AA988"/>
    <mergeCell ref="O974:P974"/>
    <mergeCell ref="AJ989:AQ989"/>
    <mergeCell ref="AA975:AG975"/>
    <mergeCell ref="T973:Z973"/>
    <mergeCell ref="AB990:AI990"/>
    <mergeCell ref="F975:L975"/>
    <mergeCell ref="M975:S975"/>
    <mergeCell ref="D985:Q985"/>
    <mergeCell ref="D986:Q986"/>
    <mergeCell ref="AB985:AI985"/>
    <mergeCell ref="AB986:AI986"/>
    <mergeCell ref="AJ1053:AQ1053"/>
    <mergeCell ref="AG1029:AH1029"/>
    <mergeCell ref="D1037:AE1040"/>
    <mergeCell ref="AJ1036:AQ1040"/>
    <mergeCell ref="D1041:AE1041"/>
    <mergeCell ref="D1042:AE1044"/>
    <mergeCell ref="AJ1041:AQ1044"/>
    <mergeCell ref="D1030:AE1031"/>
    <mergeCell ref="B993:AE993"/>
    <mergeCell ref="D1045:AE1045"/>
    <mergeCell ref="D1014:AE1015"/>
    <mergeCell ref="AG1045:AH1045"/>
    <mergeCell ref="D1017:AE1019"/>
    <mergeCell ref="AG1032:AH1032"/>
    <mergeCell ref="D1036:AE1036"/>
    <mergeCell ref="AG1041:AH1041"/>
    <mergeCell ref="AG1036:AH1036"/>
    <mergeCell ref="D1026:AE1028"/>
    <mergeCell ref="AJ1029:AQ1031"/>
    <mergeCell ref="D1029:AE1029"/>
    <mergeCell ref="D1046:AE1047"/>
    <mergeCell ref="AJ1045:AQ1048"/>
    <mergeCell ref="AJ1049:AQ1052"/>
    <mergeCell ref="D1001:AE1001"/>
    <mergeCell ref="D1002:AE1006"/>
    <mergeCell ref="D1011:AE1011"/>
    <mergeCell ref="D1012:AE1012"/>
    <mergeCell ref="AF1027:AI1028"/>
    <mergeCell ref="AF1023:AI1024"/>
    <mergeCell ref="D1007:AE1007"/>
    <mergeCell ref="D1022:AE1023"/>
    <mergeCell ref="B991:AA991"/>
    <mergeCell ref="D994:AE994"/>
    <mergeCell ref="D1000:AE1000"/>
    <mergeCell ref="M969:S969"/>
    <mergeCell ref="AA935:AF935"/>
    <mergeCell ref="AA918:AF918"/>
    <mergeCell ref="AA969:AG969"/>
    <mergeCell ref="AA949:AF949"/>
    <mergeCell ref="M968:S968"/>
    <mergeCell ref="F930:T930"/>
    <mergeCell ref="F931:T931"/>
    <mergeCell ref="U936:Z936"/>
    <mergeCell ref="AJ1025:AQ1028"/>
    <mergeCell ref="AJ987:AQ987"/>
    <mergeCell ref="M960:S960"/>
    <mergeCell ref="AA929:AF929"/>
    <mergeCell ref="U930:Z930"/>
    <mergeCell ref="AA930:AF930"/>
    <mergeCell ref="U949:Z949"/>
    <mergeCell ref="AA944:AF944"/>
    <mergeCell ref="AA928:AF928"/>
    <mergeCell ref="AA936:AF936"/>
    <mergeCell ref="U932:Z932"/>
    <mergeCell ref="AA932:AF932"/>
    <mergeCell ref="F938:T938"/>
    <mergeCell ref="AA927:AF927"/>
    <mergeCell ref="F929:T929"/>
    <mergeCell ref="U920:Z920"/>
    <mergeCell ref="AA938:AF938"/>
    <mergeCell ref="AA970:AG970"/>
    <mergeCell ref="M970:S970"/>
    <mergeCell ref="AA971:AG971"/>
    <mergeCell ref="AC734:AG734"/>
    <mergeCell ref="T632:V632"/>
    <mergeCell ref="T633:V633"/>
    <mergeCell ref="K719:N719"/>
    <mergeCell ref="K731:N731"/>
    <mergeCell ref="AC638:AE638"/>
    <mergeCell ref="AK720:AO720"/>
    <mergeCell ref="AK721:AO721"/>
    <mergeCell ref="AK635:AN635"/>
    <mergeCell ref="AK636:AN636"/>
    <mergeCell ref="Z662:AK662"/>
    <mergeCell ref="M634:P634"/>
    <mergeCell ref="T635:V635"/>
    <mergeCell ref="T636:V636"/>
    <mergeCell ref="AC637:AE637"/>
    <mergeCell ref="T634:V634"/>
    <mergeCell ref="AB988:AI988"/>
    <mergeCell ref="R986:AA986"/>
    <mergeCell ref="M959:S959"/>
    <mergeCell ref="T972:Z972"/>
    <mergeCell ref="C633:L633"/>
    <mergeCell ref="O734:S734"/>
    <mergeCell ref="AK729:AO729"/>
    <mergeCell ref="B744:F744"/>
    <mergeCell ref="AB987:AI987"/>
    <mergeCell ref="X739:AB739"/>
    <mergeCell ref="G740:J740"/>
    <mergeCell ref="K739:N739"/>
    <mergeCell ref="X744:AB744"/>
    <mergeCell ref="AH743:AJ743"/>
    <mergeCell ref="AH744:AJ744"/>
    <mergeCell ref="AA945:AF945"/>
    <mergeCell ref="O743:S743"/>
    <mergeCell ref="T743:W743"/>
    <mergeCell ref="K744:N744"/>
    <mergeCell ref="O744:S744"/>
    <mergeCell ref="K728:N728"/>
    <mergeCell ref="K746:N746"/>
    <mergeCell ref="T751:W751"/>
    <mergeCell ref="K748:N748"/>
    <mergeCell ref="G723:J723"/>
    <mergeCell ref="G671:L671"/>
    <mergeCell ref="Z679:AE679"/>
    <mergeCell ref="G719:J719"/>
    <mergeCell ref="T722:W722"/>
    <mergeCell ref="T736:W736"/>
    <mergeCell ref="O720:S720"/>
    <mergeCell ref="O733:S733"/>
    <mergeCell ref="AO630:AS630"/>
    <mergeCell ref="G669:R669"/>
    <mergeCell ref="T718:W718"/>
    <mergeCell ref="O721:S721"/>
    <mergeCell ref="K722:N722"/>
    <mergeCell ref="K723:N723"/>
    <mergeCell ref="T723:W723"/>
    <mergeCell ref="K721:N721"/>
    <mergeCell ref="G667:R667"/>
    <mergeCell ref="AC731:AG731"/>
    <mergeCell ref="W634:Y634"/>
    <mergeCell ref="M630:P630"/>
    <mergeCell ref="M631:P631"/>
    <mergeCell ref="M632:P632"/>
    <mergeCell ref="Q633:S633"/>
    <mergeCell ref="AC634:AE634"/>
    <mergeCell ref="B746:F746"/>
    <mergeCell ref="X750:AB750"/>
    <mergeCell ref="AC749:AG749"/>
    <mergeCell ref="AC750:AG750"/>
    <mergeCell ref="K727:N727"/>
    <mergeCell ref="K726:N726"/>
    <mergeCell ref="AC729:AG729"/>
    <mergeCell ref="O728:S728"/>
    <mergeCell ref="X719:AB719"/>
    <mergeCell ref="G686:R686"/>
    <mergeCell ref="N689:O689"/>
    <mergeCell ref="X773:AB773"/>
    <mergeCell ref="W638:Y638"/>
    <mergeCell ref="T742:W742"/>
    <mergeCell ref="K724:N724"/>
    <mergeCell ref="M637:P637"/>
    <mergeCell ref="M638:P638"/>
    <mergeCell ref="C637:L637"/>
    <mergeCell ref="G679:L679"/>
    <mergeCell ref="AC747:AG747"/>
    <mergeCell ref="J773:N773"/>
    <mergeCell ref="O773:S773"/>
    <mergeCell ref="T752:W752"/>
    <mergeCell ref="AF638:AJ638"/>
    <mergeCell ref="B739:F739"/>
    <mergeCell ref="K735:N735"/>
    <mergeCell ref="K736:N736"/>
    <mergeCell ref="G736:J736"/>
    <mergeCell ref="P671:R671"/>
    <mergeCell ref="B751:F751"/>
    <mergeCell ref="O732:S732"/>
    <mergeCell ref="G737:J737"/>
    <mergeCell ref="D1125:AK1127"/>
    <mergeCell ref="X726:AB726"/>
    <mergeCell ref="AH723:AJ723"/>
    <mergeCell ref="A1097:B1097"/>
    <mergeCell ref="AE960:AK960"/>
    <mergeCell ref="AE961:AK961"/>
    <mergeCell ref="AA948:AF948"/>
    <mergeCell ref="T730:W730"/>
    <mergeCell ref="M967:S967"/>
    <mergeCell ref="O792:S792"/>
    <mergeCell ref="T726:W726"/>
    <mergeCell ref="A1100:B1100"/>
    <mergeCell ref="G733:J733"/>
    <mergeCell ref="A1094:B1094"/>
    <mergeCell ref="K732:N732"/>
    <mergeCell ref="AJ991:AQ991"/>
    <mergeCell ref="W865:AC865"/>
    <mergeCell ref="W879:AC879"/>
    <mergeCell ref="G726:J726"/>
    <mergeCell ref="K733:N733"/>
    <mergeCell ref="C826:H826"/>
    <mergeCell ref="O748:S748"/>
    <mergeCell ref="T775:W775"/>
    <mergeCell ref="C763:AR765"/>
    <mergeCell ref="AC752:AG752"/>
    <mergeCell ref="T749:W749"/>
    <mergeCell ref="K750:N750"/>
    <mergeCell ref="X748:AB748"/>
    <mergeCell ref="X749:AB749"/>
    <mergeCell ref="O776:S776"/>
    <mergeCell ref="O769:S772"/>
    <mergeCell ref="B754:AH755"/>
    <mergeCell ref="A1125:B1125"/>
    <mergeCell ref="G725:J725"/>
    <mergeCell ref="B732:F732"/>
    <mergeCell ref="T745:W745"/>
    <mergeCell ref="AH730:AJ730"/>
    <mergeCell ref="AC723:AG723"/>
    <mergeCell ref="AC794:AG794"/>
    <mergeCell ref="AC795:AG795"/>
    <mergeCell ref="BG976:BL976"/>
    <mergeCell ref="AA950:AF950"/>
    <mergeCell ref="BD907:BE907"/>
    <mergeCell ref="BD908:BE908"/>
    <mergeCell ref="U947:Z947"/>
    <mergeCell ref="U919:Z919"/>
    <mergeCell ref="U945:Z945"/>
    <mergeCell ref="AA934:AF934"/>
    <mergeCell ref="U921:Z921"/>
    <mergeCell ref="AA921:AF921"/>
    <mergeCell ref="AC883:AH883"/>
    <mergeCell ref="Z902:AE902"/>
    <mergeCell ref="W863:AC863"/>
    <mergeCell ref="AC891:AH891"/>
    <mergeCell ref="C894:AB894"/>
    <mergeCell ref="AG832:AJ832"/>
    <mergeCell ref="W844:AC844"/>
    <mergeCell ref="AC832:AF832"/>
    <mergeCell ref="U928:Z928"/>
    <mergeCell ref="U948:Z948"/>
    <mergeCell ref="U935:Z935"/>
    <mergeCell ref="AA923:AF923"/>
    <mergeCell ref="AB917:AE917"/>
    <mergeCell ref="AA922:AF922"/>
    <mergeCell ref="AA967:AG967"/>
    <mergeCell ref="F926:T926"/>
    <mergeCell ref="F927:T927"/>
    <mergeCell ref="F928:T928"/>
    <mergeCell ref="U926:Z926"/>
    <mergeCell ref="AA926:AF926"/>
    <mergeCell ref="U927:Z927"/>
    <mergeCell ref="F932:T932"/>
    <mergeCell ref="AA939:AF939"/>
    <mergeCell ref="AA940:AF940"/>
    <mergeCell ref="I948:T948"/>
    <mergeCell ref="AC895:AH895"/>
    <mergeCell ref="AA933:AF933"/>
    <mergeCell ref="Z900:AE900"/>
    <mergeCell ref="M955:S955"/>
    <mergeCell ref="F936:T936"/>
    <mergeCell ref="AE956:AK956"/>
    <mergeCell ref="U933:Z933"/>
    <mergeCell ref="U934:Z934"/>
    <mergeCell ref="P945:T945"/>
    <mergeCell ref="U915:Z917"/>
    <mergeCell ref="U950:Z950"/>
    <mergeCell ref="AB957:AK957"/>
    <mergeCell ref="U929:Z929"/>
    <mergeCell ref="AA941:AF941"/>
    <mergeCell ref="U918:Z918"/>
    <mergeCell ref="I947:T947"/>
    <mergeCell ref="M962:S962"/>
    <mergeCell ref="AA925:AF925"/>
    <mergeCell ref="AE958:AK958"/>
    <mergeCell ref="F916:T917"/>
    <mergeCell ref="F939:T939"/>
    <mergeCell ref="I949:T949"/>
    <mergeCell ref="U938:Z938"/>
    <mergeCell ref="AC889:AH889"/>
    <mergeCell ref="AC894:AH894"/>
    <mergeCell ref="Z899:AE899"/>
    <mergeCell ref="AC888:AH888"/>
    <mergeCell ref="F937:T937"/>
    <mergeCell ref="U937:Z937"/>
    <mergeCell ref="AA937:AF937"/>
    <mergeCell ref="F942:T942"/>
    <mergeCell ref="U942:Z942"/>
    <mergeCell ref="AA942:AF942"/>
    <mergeCell ref="C892:AB892"/>
    <mergeCell ref="AA947:AF947"/>
    <mergeCell ref="Y830:AB830"/>
    <mergeCell ref="U922:Z922"/>
    <mergeCell ref="AA924:AF924"/>
    <mergeCell ref="AA920:AF920"/>
    <mergeCell ref="AA919:AF919"/>
    <mergeCell ref="U925:Z925"/>
    <mergeCell ref="A910:AT911"/>
    <mergeCell ref="E885:AB885"/>
    <mergeCell ref="M831:P831"/>
    <mergeCell ref="F944:T944"/>
    <mergeCell ref="U944:Z944"/>
    <mergeCell ref="F940:T940"/>
    <mergeCell ref="U939:Z939"/>
    <mergeCell ref="U940:Z940"/>
    <mergeCell ref="Z901:AE901"/>
    <mergeCell ref="W878:AC878"/>
    <mergeCell ref="U931:Z931"/>
    <mergeCell ref="F915:T915"/>
    <mergeCell ref="DO739:DS739"/>
    <mergeCell ref="CG736:CH736"/>
    <mergeCell ref="CI740:CJ740"/>
    <mergeCell ref="BG848:BL848"/>
    <mergeCell ref="U946:Z946"/>
    <mergeCell ref="B736:F736"/>
    <mergeCell ref="U943:Z943"/>
    <mergeCell ref="U941:Z941"/>
    <mergeCell ref="AA943:AF943"/>
    <mergeCell ref="AC885:AH885"/>
    <mergeCell ref="W861:AC861"/>
    <mergeCell ref="C895:AB895"/>
    <mergeCell ref="B752:F752"/>
    <mergeCell ref="BD904:BE904"/>
    <mergeCell ref="BD906:BF906"/>
    <mergeCell ref="BD905:BF905"/>
    <mergeCell ref="BD910:BE910"/>
    <mergeCell ref="BD903:BE903"/>
    <mergeCell ref="CP802:CT802"/>
    <mergeCell ref="CP788:CT788"/>
    <mergeCell ref="U830:X830"/>
    <mergeCell ref="J796:N796"/>
    <mergeCell ref="J777:N777"/>
    <mergeCell ref="CU777:CY777"/>
    <mergeCell ref="BI841:BL841"/>
    <mergeCell ref="C830:H830"/>
    <mergeCell ref="F831:L831"/>
    <mergeCell ref="U827:X827"/>
    <mergeCell ref="C827:H827"/>
    <mergeCell ref="I946:T946"/>
    <mergeCell ref="AA946:AF946"/>
    <mergeCell ref="F946:H946"/>
    <mergeCell ref="DJ739:DN739"/>
    <mergeCell ref="CK740:CL740"/>
    <mergeCell ref="DE752:DI752"/>
    <mergeCell ref="AF627:AJ627"/>
    <mergeCell ref="CG752:CH752"/>
    <mergeCell ref="AC831:AF831"/>
    <mergeCell ref="AH734:AJ734"/>
    <mergeCell ref="X737:AB737"/>
    <mergeCell ref="X790:AB790"/>
    <mergeCell ref="U831:X831"/>
    <mergeCell ref="CU774:CY774"/>
    <mergeCell ref="CP752:CT752"/>
    <mergeCell ref="CP774:CT774"/>
    <mergeCell ref="DJ732:DN732"/>
    <mergeCell ref="CU732:CY732"/>
    <mergeCell ref="CG751:CH751"/>
    <mergeCell ref="CU738:CY738"/>
    <mergeCell ref="U825:X825"/>
    <mergeCell ref="Z814:AE814"/>
    <mergeCell ref="CP732:CT732"/>
    <mergeCell ref="CP747:CT747"/>
    <mergeCell ref="CG748:CH748"/>
    <mergeCell ref="DJ724:DN724"/>
    <mergeCell ref="X743:AB743"/>
    <mergeCell ref="X735:AB735"/>
    <mergeCell ref="X736:AB736"/>
    <mergeCell ref="T735:W735"/>
    <mergeCell ref="T734:W734"/>
    <mergeCell ref="AC727:AG727"/>
    <mergeCell ref="AC728:AG728"/>
    <mergeCell ref="AH733:AJ733"/>
    <mergeCell ref="W632:Y632"/>
    <mergeCell ref="EO751:ES751"/>
    <mergeCell ref="CZ752:DD752"/>
    <mergeCell ref="ET753:EX753"/>
    <mergeCell ref="DU725:DY725"/>
    <mergeCell ref="DZ725:ED725"/>
    <mergeCell ref="M830:P830"/>
    <mergeCell ref="O793:S793"/>
    <mergeCell ref="J790:N790"/>
    <mergeCell ref="AC789:AG789"/>
    <mergeCell ref="AC790:AG790"/>
    <mergeCell ref="Z818:AE818"/>
    <mergeCell ref="AC828:AF828"/>
    <mergeCell ref="DG122:DM122"/>
    <mergeCell ref="CU122:CV122"/>
    <mergeCell ref="AH714:AJ717"/>
    <mergeCell ref="AH725:AJ725"/>
    <mergeCell ref="DO733:DS733"/>
    <mergeCell ref="DO734:DS734"/>
    <mergeCell ref="O796:S796"/>
    <mergeCell ref="AH747:AJ747"/>
    <mergeCell ref="AH748:AJ748"/>
    <mergeCell ref="O750:S750"/>
    <mergeCell ref="X783:AB786"/>
    <mergeCell ref="X787:AB787"/>
    <mergeCell ref="X796:AB796"/>
    <mergeCell ref="X745:AB745"/>
    <mergeCell ref="X746:AB746"/>
    <mergeCell ref="CZ741:DD741"/>
    <mergeCell ref="AC736:AG736"/>
    <mergeCell ref="CU733:CY733"/>
    <mergeCell ref="G668:R668"/>
    <mergeCell ref="AC823:AF824"/>
    <mergeCell ref="DO722:DS722"/>
    <mergeCell ref="DO723:DS723"/>
    <mergeCell ref="DO724:DS724"/>
    <mergeCell ref="Y829:AB829"/>
    <mergeCell ref="AC829:AF829"/>
    <mergeCell ref="Y826:AB826"/>
    <mergeCell ref="P816:Y816"/>
    <mergeCell ref="ET732:EX732"/>
    <mergeCell ref="ET721:EX721"/>
    <mergeCell ref="EE720:EI720"/>
    <mergeCell ref="DU730:DY730"/>
    <mergeCell ref="EE728:EI728"/>
    <mergeCell ref="EJ728:EN728"/>
    <mergeCell ref="EO727:ES727"/>
    <mergeCell ref="EJ733:EN733"/>
    <mergeCell ref="DZ729:ED729"/>
    <mergeCell ref="ET727:EX727"/>
    <mergeCell ref="DZ727:ED727"/>
    <mergeCell ref="EE727:EI727"/>
    <mergeCell ref="EE723:EI723"/>
    <mergeCell ref="EJ723:EN723"/>
    <mergeCell ref="EO725:ES725"/>
    <mergeCell ref="EJ724:EN724"/>
    <mergeCell ref="EO723:ES723"/>
    <mergeCell ref="ET728:EX728"/>
    <mergeCell ref="EE722:EI722"/>
    <mergeCell ref="DZ734:ED734"/>
    <mergeCell ref="DU726:DY726"/>
    <mergeCell ref="DO729:DS729"/>
    <mergeCell ref="CU722:CY722"/>
    <mergeCell ref="CZ722:DD722"/>
    <mergeCell ref="ET752:EX752"/>
    <mergeCell ref="DJ723:DN723"/>
    <mergeCell ref="ET722:EX722"/>
    <mergeCell ref="ET720:EX720"/>
    <mergeCell ref="K730:N730"/>
    <mergeCell ref="EO728:ES728"/>
    <mergeCell ref="EO720:ES720"/>
    <mergeCell ref="H590:R590"/>
    <mergeCell ref="AK627:AN627"/>
    <mergeCell ref="G594:R594"/>
    <mergeCell ref="AF632:AJ632"/>
    <mergeCell ref="M633:P633"/>
    <mergeCell ref="AC631:AE631"/>
    <mergeCell ref="Z605:AE605"/>
    <mergeCell ref="Z609:AK609"/>
    <mergeCell ref="Z594:AK594"/>
    <mergeCell ref="AC632:AE632"/>
    <mergeCell ref="H672:R672"/>
    <mergeCell ref="EJ729:EN729"/>
    <mergeCell ref="Z610:AK610"/>
    <mergeCell ref="T638:V638"/>
    <mergeCell ref="T628:V628"/>
    <mergeCell ref="AK628:AN628"/>
    <mergeCell ref="EO717:ES717"/>
    <mergeCell ref="G676:R676"/>
    <mergeCell ref="Q624:S626"/>
    <mergeCell ref="G714:J717"/>
    <mergeCell ref="DZ717:ED717"/>
    <mergeCell ref="AC630:AE630"/>
    <mergeCell ref="DZ726:ED726"/>
    <mergeCell ref="DU728:DY728"/>
    <mergeCell ref="DU722:DY722"/>
    <mergeCell ref="DO728:DS728"/>
    <mergeCell ref="DO725:DS725"/>
    <mergeCell ref="DO721:DS721"/>
    <mergeCell ref="Z671:AE671"/>
    <mergeCell ref="CP721:CT721"/>
    <mergeCell ref="AF631:AJ631"/>
    <mergeCell ref="AK633:AN633"/>
    <mergeCell ref="Z645:AK645"/>
    <mergeCell ref="Z629:AB629"/>
    <mergeCell ref="AE699:AI699"/>
    <mergeCell ref="DE720:DI720"/>
    <mergeCell ref="DE724:DI724"/>
    <mergeCell ref="AA672:AK672"/>
    <mergeCell ref="DO719:DS719"/>
    <mergeCell ref="DE717:DI717"/>
    <mergeCell ref="CU721:CY721"/>
    <mergeCell ref="CU719:CY719"/>
    <mergeCell ref="CU718:CY718"/>
    <mergeCell ref="CG718:CH718"/>
    <mergeCell ref="AH718:AJ718"/>
    <mergeCell ref="AC718:AG718"/>
    <mergeCell ref="AK714:AO717"/>
    <mergeCell ref="AK718:AO718"/>
    <mergeCell ref="DJ721:DN721"/>
    <mergeCell ref="DE723:DI723"/>
    <mergeCell ref="DJ725:DN725"/>
    <mergeCell ref="CZ717:DD717"/>
    <mergeCell ref="CP722:CT722"/>
    <mergeCell ref="CP718:CT718"/>
    <mergeCell ref="AH719:AJ719"/>
    <mergeCell ref="AI687:AK687"/>
    <mergeCell ref="AH724:AJ724"/>
    <mergeCell ref="AK634:AN634"/>
    <mergeCell ref="DX649:EB649"/>
    <mergeCell ref="DX655:EB655"/>
    <mergeCell ref="DX668:EB668"/>
    <mergeCell ref="EC668:EG668"/>
    <mergeCell ref="DX645:EB645"/>
    <mergeCell ref="Z601:AK601"/>
    <mergeCell ref="W556:Y556"/>
    <mergeCell ref="AE564:AH564"/>
    <mergeCell ref="W469:Y469"/>
    <mergeCell ref="AH515:AK515"/>
    <mergeCell ref="AC516:AF516"/>
    <mergeCell ref="AH509:AK509"/>
    <mergeCell ref="AM561:AS561"/>
    <mergeCell ref="Z631:AB631"/>
    <mergeCell ref="AF624:AJ626"/>
    <mergeCell ref="AM559:AS559"/>
    <mergeCell ref="Z687:AE687"/>
    <mergeCell ref="AK630:AN630"/>
    <mergeCell ref="AK631:AN631"/>
    <mergeCell ref="AK632:AN632"/>
    <mergeCell ref="AI671:AK671"/>
    <mergeCell ref="AA573:AK573"/>
    <mergeCell ref="W560:Y560"/>
    <mergeCell ref="AF574:AK574"/>
    <mergeCell ref="Z585:AK585"/>
    <mergeCell ref="AI564:AL564"/>
    <mergeCell ref="AM562:AS562"/>
    <mergeCell ref="AF633:AJ633"/>
    <mergeCell ref="AO631:AS631"/>
    <mergeCell ref="AM558:AS558"/>
    <mergeCell ref="AM566:AS566"/>
    <mergeCell ref="AK637:AN637"/>
    <mergeCell ref="DO726:DS726"/>
    <mergeCell ref="G684:R684"/>
    <mergeCell ref="G581:L581"/>
    <mergeCell ref="Z604:AK604"/>
    <mergeCell ref="CU717:CY717"/>
    <mergeCell ref="DJ720:DN720"/>
    <mergeCell ref="DJ717:DN717"/>
    <mergeCell ref="DJ722:DN722"/>
    <mergeCell ref="EJ717:EN717"/>
    <mergeCell ref="T721:W721"/>
    <mergeCell ref="AE695:AI695"/>
    <mergeCell ref="Z644:AK644"/>
    <mergeCell ref="AO636:AS636"/>
    <mergeCell ref="CZ718:DD718"/>
    <mergeCell ref="AC721:AG721"/>
    <mergeCell ref="AC722:AG722"/>
    <mergeCell ref="AH720:AJ720"/>
    <mergeCell ref="AK722:AO722"/>
    <mergeCell ref="AH721:AJ721"/>
    <mergeCell ref="AK719:AO719"/>
    <mergeCell ref="AO641:AS641"/>
    <mergeCell ref="Z651:AK651"/>
    <mergeCell ref="AK638:AN638"/>
    <mergeCell ref="CM717:CN717"/>
    <mergeCell ref="CM719:CN719"/>
    <mergeCell ref="CM721:CN721"/>
    <mergeCell ref="DO717:DS717"/>
    <mergeCell ref="DO718:DS718"/>
    <mergeCell ref="X720:AB720"/>
    <mergeCell ref="DE719:DI719"/>
    <mergeCell ref="CZ720:DD720"/>
    <mergeCell ref="AA648:AK648"/>
    <mergeCell ref="M563:P563"/>
    <mergeCell ref="AI561:AL561"/>
    <mergeCell ref="O722:S722"/>
    <mergeCell ref="W563:Y563"/>
    <mergeCell ref="W564:Y564"/>
    <mergeCell ref="W565:Y565"/>
    <mergeCell ref="AO632:AS632"/>
    <mergeCell ref="H648:R648"/>
    <mergeCell ref="R411:S411"/>
    <mergeCell ref="H680:R680"/>
    <mergeCell ref="AC635:AE635"/>
    <mergeCell ref="W635:Y635"/>
    <mergeCell ref="Z597:AE597"/>
    <mergeCell ref="G605:L605"/>
    <mergeCell ref="G604:R604"/>
    <mergeCell ref="AF629:AJ629"/>
    <mergeCell ref="AI613:AK613"/>
    <mergeCell ref="AA614:AK614"/>
    <mergeCell ref="AC624:AE626"/>
    <mergeCell ref="T630:V630"/>
    <mergeCell ref="T631:V631"/>
    <mergeCell ref="AC628:AE628"/>
    <mergeCell ref="C629:L629"/>
    <mergeCell ref="T629:V629"/>
    <mergeCell ref="AM564:AS564"/>
    <mergeCell ref="AI581:AK581"/>
    <mergeCell ref="Z577:AK577"/>
    <mergeCell ref="Z578:AK578"/>
    <mergeCell ref="AH519:AK519"/>
    <mergeCell ref="Q629:S629"/>
    <mergeCell ref="C634:L634"/>
    <mergeCell ref="Z593:AK593"/>
    <mergeCell ref="DO730:DS730"/>
    <mergeCell ref="DO731:DS731"/>
    <mergeCell ref="AM565:AS565"/>
    <mergeCell ref="AE563:AH563"/>
    <mergeCell ref="AM563:AS563"/>
    <mergeCell ref="W703:AK703"/>
    <mergeCell ref="G678:R678"/>
    <mergeCell ref="P679:R679"/>
    <mergeCell ref="Z676:AK676"/>
    <mergeCell ref="W700:AK700"/>
    <mergeCell ref="Z683:AK683"/>
    <mergeCell ref="AA688:AK688"/>
    <mergeCell ref="AC719:AG719"/>
    <mergeCell ref="G677:R677"/>
    <mergeCell ref="Z678:AK678"/>
    <mergeCell ref="M561:P561"/>
    <mergeCell ref="DJ731:DN731"/>
    <mergeCell ref="DJ729:DN729"/>
    <mergeCell ref="Z581:AE581"/>
    <mergeCell ref="Z586:AK586"/>
    <mergeCell ref="M565:P565"/>
    <mergeCell ref="T563:V563"/>
    <mergeCell ref="Z564:AD564"/>
    <mergeCell ref="Z565:AD565"/>
    <mergeCell ref="AI562:AL562"/>
    <mergeCell ref="Z589:AE589"/>
    <mergeCell ref="G585:R585"/>
    <mergeCell ref="AG575:AH575"/>
    <mergeCell ref="Z568:AK568"/>
    <mergeCell ref="Z561:AD561"/>
    <mergeCell ref="DE721:DI721"/>
    <mergeCell ref="DE722:DI722"/>
    <mergeCell ref="D438:AF438"/>
    <mergeCell ref="N372:Q372"/>
    <mergeCell ref="P424:Q424"/>
    <mergeCell ref="C563:L563"/>
    <mergeCell ref="AE565:AH565"/>
    <mergeCell ref="G569:R569"/>
    <mergeCell ref="G570:R570"/>
    <mergeCell ref="G683:R683"/>
    <mergeCell ref="N681:O681"/>
    <mergeCell ref="AK624:AN626"/>
    <mergeCell ref="G651:R651"/>
    <mergeCell ref="G652:R652"/>
    <mergeCell ref="Q632:S632"/>
    <mergeCell ref="AG673:AH673"/>
    <mergeCell ref="Q634:S634"/>
    <mergeCell ref="Q638:S638"/>
    <mergeCell ref="Z635:AB635"/>
    <mergeCell ref="G609:R609"/>
    <mergeCell ref="N615:O615"/>
    <mergeCell ref="M628:P628"/>
    <mergeCell ref="AA606:AK606"/>
    <mergeCell ref="P605:R605"/>
    <mergeCell ref="Z677:AK677"/>
    <mergeCell ref="G661:R661"/>
    <mergeCell ref="AM556:AS556"/>
    <mergeCell ref="N649:O649"/>
    <mergeCell ref="AI655:AK655"/>
    <mergeCell ref="G662:R662"/>
    <mergeCell ref="AG681:AH681"/>
    <mergeCell ref="G587:R587"/>
    <mergeCell ref="G578:R578"/>
    <mergeCell ref="M562:P562"/>
    <mergeCell ref="DE734:DI734"/>
    <mergeCell ref="CG737:CH737"/>
    <mergeCell ref="CZ729:DD729"/>
    <mergeCell ref="CG733:CH733"/>
    <mergeCell ref="CI734:CJ734"/>
    <mergeCell ref="CM723:CN723"/>
    <mergeCell ref="CM725:CN725"/>
    <mergeCell ref="DE728:DI728"/>
    <mergeCell ref="CU729:CY729"/>
    <mergeCell ref="CP733:CT733"/>
    <mergeCell ref="CK735:CL735"/>
    <mergeCell ref="CU740:CY740"/>
    <mergeCell ref="CI739:CJ739"/>
    <mergeCell ref="CK725:CL725"/>
    <mergeCell ref="CP723:CT723"/>
    <mergeCell ref="CU727:CY727"/>
    <mergeCell ref="CK724:CL724"/>
    <mergeCell ref="DE730:DI730"/>
    <mergeCell ref="CM730:CN730"/>
    <mergeCell ref="DE732:DI732"/>
    <mergeCell ref="CM732:CN732"/>
    <mergeCell ref="CZ728:DD728"/>
    <mergeCell ref="CU730:CY730"/>
    <mergeCell ref="CK728:CL728"/>
    <mergeCell ref="CZ731:DD731"/>
    <mergeCell ref="CK731:CL731"/>
    <mergeCell ref="CK729:CL729"/>
    <mergeCell ref="DE737:DI737"/>
    <mergeCell ref="CU728:CY728"/>
    <mergeCell ref="CK732:CL732"/>
    <mergeCell ref="DE725:DI725"/>
    <mergeCell ref="CG725:CH725"/>
    <mergeCell ref="DE729:DI729"/>
    <mergeCell ref="CG735:CH735"/>
    <mergeCell ref="CI737:CJ737"/>
    <mergeCell ref="DE726:DI726"/>
    <mergeCell ref="CZ724:DD724"/>
    <mergeCell ref="CP741:CT741"/>
    <mergeCell ref="CZ723:DD723"/>
    <mergeCell ref="DE731:DI731"/>
    <mergeCell ref="CI723:CJ723"/>
    <mergeCell ref="CG738:CH738"/>
    <mergeCell ref="CK739:CL739"/>
    <mergeCell ref="CM739:CN739"/>
    <mergeCell ref="DE739:DI739"/>
    <mergeCell ref="CZ735:DD735"/>
    <mergeCell ref="CU734:CY734"/>
    <mergeCell ref="CP736:CT736"/>
    <mergeCell ref="CM737:CN737"/>
    <mergeCell ref="CU737:CY737"/>
    <mergeCell ref="CZ738:DD738"/>
    <mergeCell ref="CM736:CN736"/>
    <mergeCell ref="CI738:CJ738"/>
    <mergeCell ref="CM735:CN735"/>
    <mergeCell ref="CI735:CJ735"/>
    <mergeCell ref="CZ727:DD727"/>
    <mergeCell ref="CZ725:DD725"/>
    <mergeCell ref="CK726:CL726"/>
    <mergeCell ref="CM729:CN729"/>
    <mergeCell ref="CZ734:DD734"/>
    <mergeCell ref="CK727:CL727"/>
    <mergeCell ref="CK741:CL741"/>
    <mergeCell ref="CM741:CN741"/>
    <mergeCell ref="CK736:CL736"/>
    <mergeCell ref="DJ728:DN728"/>
    <mergeCell ref="DJ737:DN737"/>
    <mergeCell ref="DJ735:DN735"/>
    <mergeCell ref="CG727:CH727"/>
    <mergeCell ref="P687:R687"/>
    <mergeCell ref="R705:T705"/>
    <mergeCell ref="CI717:CJ717"/>
    <mergeCell ref="CI719:CJ719"/>
    <mergeCell ref="CP719:CT719"/>
    <mergeCell ref="DJ727:DN727"/>
    <mergeCell ref="DJ726:DN726"/>
    <mergeCell ref="CU724:CY724"/>
    <mergeCell ref="CU725:CY725"/>
    <mergeCell ref="CI725:CJ725"/>
    <mergeCell ref="CP730:CT730"/>
    <mergeCell ref="CU731:CY731"/>
    <mergeCell ref="CI726:CJ726"/>
    <mergeCell ref="CU720:CY720"/>
    <mergeCell ref="CU723:CY723"/>
    <mergeCell ref="CM722:CN722"/>
    <mergeCell ref="CG722:CH722"/>
    <mergeCell ref="DE727:DI727"/>
    <mergeCell ref="CG729:CH729"/>
    <mergeCell ref="CG723:CH723"/>
    <mergeCell ref="CG720:CH720"/>
    <mergeCell ref="CP720:CT720"/>
    <mergeCell ref="CI720:CJ720"/>
    <mergeCell ref="CP724:CT724"/>
    <mergeCell ref="CP727:CT727"/>
    <mergeCell ref="CI727:CJ727"/>
    <mergeCell ref="CG726:CH726"/>
    <mergeCell ref="CM727:CN727"/>
    <mergeCell ref="K737:N737"/>
    <mergeCell ref="J704:X704"/>
    <mergeCell ref="K720:N720"/>
    <mergeCell ref="T714:W717"/>
    <mergeCell ref="H664:R664"/>
    <mergeCell ref="CK744:CL744"/>
    <mergeCell ref="CM744:CN744"/>
    <mergeCell ref="T744:W744"/>
    <mergeCell ref="AH745:AJ745"/>
    <mergeCell ref="AH746:AJ746"/>
    <mergeCell ref="G734:J734"/>
    <mergeCell ref="X740:AB740"/>
    <mergeCell ref="AE702:AF702"/>
    <mergeCell ref="O729:S729"/>
    <mergeCell ref="AI663:AK663"/>
    <mergeCell ref="CP739:CT739"/>
    <mergeCell ref="CM738:CN738"/>
    <mergeCell ref="AK727:AO727"/>
    <mergeCell ref="T731:W731"/>
    <mergeCell ref="CK734:CL734"/>
    <mergeCell ref="CM734:CN734"/>
    <mergeCell ref="CK738:CL738"/>
    <mergeCell ref="CM724:CN724"/>
    <mergeCell ref="CG741:CH741"/>
    <mergeCell ref="CI741:CJ741"/>
    <mergeCell ref="CP726:CT726"/>
    <mergeCell ref="AC725:AG725"/>
    <mergeCell ref="AC726:AG726"/>
    <mergeCell ref="O725:S725"/>
    <mergeCell ref="O726:S726"/>
    <mergeCell ref="G735:J735"/>
    <mergeCell ref="K743:N743"/>
    <mergeCell ref="O731:S731"/>
    <mergeCell ref="AK728:AO728"/>
    <mergeCell ref="AA680:AK680"/>
    <mergeCell ref="X722:AB722"/>
    <mergeCell ref="Z685:AK685"/>
    <mergeCell ref="AE698:AI698"/>
    <mergeCell ref="AC714:AG717"/>
    <mergeCell ref="G721:J721"/>
    <mergeCell ref="CI722:CJ722"/>
    <mergeCell ref="CG721:CH721"/>
    <mergeCell ref="CK720:CL720"/>
    <mergeCell ref="CG731:CH731"/>
    <mergeCell ref="B731:F731"/>
    <mergeCell ref="B730:F730"/>
    <mergeCell ref="CI731:CJ731"/>
    <mergeCell ref="CI728:CJ728"/>
    <mergeCell ref="CP725:CT725"/>
    <mergeCell ref="CI718:CJ718"/>
    <mergeCell ref="CI724:CJ724"/>
    <mergeCell ref="B743:F743"/>
    <mergeCell ref="G659:R659"/>
    <mergeCell ref="G675:R675"/>
    <mergeCell ref="Z667:AK667"/>
    <mergeCell ref="G739:J739"/>
    <mergeCell ref="X741:AB741"/>
    <mergeCell ref="AK737:AO737"/>
    <mergeCell ref="AC732:AG732"/>
    <mergeCell ref="X733:AB733"/>
    <mergeCell ref="G732:J732"/>
    <mergeCell ref="AH735:AJ735"/>
    <mergeCell ref="X734:AB734"/>
    <mergeCell ref="AO640:AS640"/>
    <mergeCell ref="B727:F727"/>
    <mergeCell ref="Z659:AK659"/>
    <mergeCell ref="N657:O657"/>
    <mergeCell ref="Z660:AK660"/>
    <mergeCell ref="G663:L663"/>
    <mergeCell ref="T732:W732"/>
    <mergeCell ref="P647:R647"/>
    <mergeCell ref="AI647:AK647"/>
    <mergeCell ref="G654:R654"/>
    <mergeCell ref="G653:R653"/>
    <mergeCell ref="AE696:AI696"/>
    <mergeCell ref="K718:N718"/>
    <mergeCell ref="G718:J718"/>
    <mergeCell ref="G670:R670"/>
    <mergeCell ref="Z669:AK669"/>
    <mergeCell ref="E707:AK707"/>
    <mergeCell ref="W706:AK706"/>
    <mergeCell ref="B733:F733"/>
    <mergeCell ref="T727:W727"/>
    <mergeCell ref="AH749:AJ749"/>
    <mergeCell ref="AH739:AJ739"/>
    <mergeCell ref="AH740:AJ740"/>
    <mergeCell ref="O730:S730"/>
    <mergeCell ref="J705:O705"/>
    <mergeCell ref="Z655:AE655"/>
    <mergeCell ref="AK748:AO748"/>
    <mergeCell ref="O745:S745"/>
    <mergeCell ref="T748:W748"/>
    <mergeCell ref="X747:AB747"/>
    <mergeCell ref="O746:S746"/>
    <mergeCell ref="T746:W746"/>
    <mergeCell ref="K747:N747"/>
    <mergeCell ref="K745:N745"/>
    <mergeCell ref="O747:S747"/>
    <mergeCell ref="T747:W747"/>
    <mergeCell ref="AC748:AG748"/>
    <mergeCell ref="O714:S717"/>
    <mergeCell ref="N673:O673"/>
    <mergeCell ref="G687:L687"/>
    <mergeCell ref="T738:W738"/>
    <mergeCell ref="G727:J727"/>
    <mergeCell ref="K729:N729"/>
    <mergeCell ref="X742:AB742"/>
    <mergeCell ref="AH742:AJ742"/>
    <mergeCell ref="X714:AB717"/>
    <mergeCell ref="AE694:AF694"/>
    <mergeCell ref="A709:AT711"/>
    <mergeCell ref="G660:R660"/>
    <mergeCell ref="B725:F725"/>
    <mergeCell ref="B724:F724"/>
    <mergeCell ref="B742:F742"/>
    <mergeCell ref="Q832:T832"/>
    <mergeCell ref="AG830:AJ830"/>
    <mergeCell ref="U832:X832"/>
    <mergeCell ref="M832:P832"/>
    <mergeCell ref="W866:AC866"/>
    <mergeCell ref="W859:AC859"/>
    <mergeCell ref="W849:AC849"/>
    <mergeCell ref="M877:V877"/>
    <mergeCell ref="W869:AC869"/>
    <mergeCell ref="W842:AC842"/>
    <mergeCell ref="W847:AC847"/>
    <mergeCell ref="W876:AC876"/>
    <mergeCell ref="M861:V861"/>
    <mergeCell ref="W845:AC845"/>
    <mergeCell ref="M846:V846"/>
    <mergeCell ref="J849:V849"/>
    <mergeCell ref="W846:AC846"/>
    <mergeCell ref="AC830:AF830"/>
    <mergeCell ref="Y832:AB832"/>
    <mergeCell ref="M871:V871"/>
    <mergeCell ref="W870:AC870"/>
    <mergeCell ref="BD902:BE902"/>
    <mergeCell ref="BD900:BE900"/>
    <mergeCell ref="W875:AC875"/>
    <mergeCell ref="T858:V858"/>
    <mergeCell ref="T860:V860"/>
    <mergeCell ref="W867:AC867"/>
    <mergeCell ref="W862:AC862"/>
    <mergeCell ref="M876:V876"/>
    <mergeCell ref="W868:AC868"/>
    <mergeCell ref="AC893:AH893"/>
    <mergeCell ref="W872:AC872"/>
    <mergeCell ref="AC884:AH884"/>
    <mergeCell ref="M875:V875"/>
    <mergeCell ref="W877:AC877"/>
    <mergeCell ref="W871:AC871"/>
    <mergeCell ref="BD899:BE899"/>
    <mergeCell ref="BD901:BE901"/>
    <mergeCell ref="AC886:AH886"/>
    <mergeCell ref="AC892:AH892"/>
    <mergeCell ref="AC887:AH887"/>
    <mergeCell ref="M878:V878"/>
    <mergeCell ref="AG829:AJ829"/>
    <mergeCell ref="AG826:AJ826"/>
    <mergeCell ref="AG825:AJ825"/>
    <mergeCell ref="J783:N786"/>
    <mergeCell ref="T790:W790"/>
    <mergeCell ref="T793:W793"/>
    <mergeCell ref="O775:S775"/>
    <mergeCell ref="J792:N792"/>
    <mergeCell ref="Z806:AE806"/>
    <mergeCell ref="X791:AB791"/>
    <mergeCell ref="T791:W791"/>
    <mergeCell ref="T787:W787"/>
    <mergeCell ref="T788:W788"/>
    <mergeCell ref="Y825:AB825"/>
    <mergeCell ref="AC825:AF825"/>
    <mergeCell ref="T789:W789"/>
    <mergeCell ref="O795:S795"/>
    <mergeCell ref="AC791:AG791"/>
    <mergeCell ref="U828:X828"/>
    <mergeCell ref="AG828:AJ828"/>
    <mergeCell ref="Z807:AE807"/>
    <mergeCell ref="Z816:AE816"/>
    <mergeCell ref="Y828:AB828"/>
    <mergeCell ref="O789:S789"/>
    <mergeCell ref="M826:P826"/>
    <mergeCell ref="Q825:T825"/>
    <mergeCell ref="O790:S790"/>
    <mergeCell ref="J776:N776"/>
    <mergeCell ref="J788:N788"/>
    <mergeCell ref="AZ851:BA851"/>
    <mergeCell ref="AC890:AH890"/>
    <mergeCell ref="Q830:T830"/>
    <mergeCell ref="AG831:AJ831"/>
    <mergeCell ref="X793:AB793"/>
    <mergeCell ref="T783:W786"/>
    <mergeCell ref="C832:L832"/>
    <mergeCell ref="W857:AC857"/>
    <mergeCell ref="M874:V874"/>
    <mergeCell ref="Y831:AB831"/>
    <mergeCell ref="W851:AC851"/>
    <mergeCell ref="W855:AC855"/>
    <mergeCell ref="W852:AC852"/>
    <mergeCell ref="W854:AC854"/>
    <mergeCell ref="W874:AC874"/>
    <mergeCell ref="C837:AJ837"/>
    <mergeCell ref="W843:AC843"/>
    <mergeCell ref="O788:S788"/>
    <mergeCell ref="C828:H828"/>
    <mergeCell ref="Q829:T829"/>
    <mergeCell ref="O783:S786"/>
    <mergeCell ref="M825:P825"/>
    <mergeCell ref="AC792:AG792"/>
    <mergeCell ref="O787:S787"/>
    <mergeCell ref="Q826:T826"/>
    <mergeCell ref="Y823:AB824"/>
    <mergeCell ref="M829:P829"/>
    <mergeCell ref="Z815:AE815"/>
    <mergeCell ref="Z808:AE808"/>
    <mergeCell ref="Q831:T831"/>
    <mergeCell ref="W853:AC853"/>
    <mergeCell ref="C825:H825"/>
    <mergeCell ref="U923:Z923"/>
    <mergeCell ref="AA931:AF931"/>
    <mergeCell ref="U924:Z924"/>
    <mergeCell ref="Y827:AB827"/>
    <mergeCell ref="AG827:AJ827"/>
    <mergeCell ref="Z817:AE817"/>
    <mergeCell ref="T795:W795"/>
    <mergeCell ref="T776:W776"/>
    <mergeCell ref="T774:W774"/>
    <mergeCell ref="C829:H829"/>
    <mergeCell ref="U829:X829"/>
    <mergeCell ref="X752:AB752"/>
    <mergeCell ref="Q828:T828"/>
    <mergeCell ref="T728:W728"/>
    <mergeCell ref="AC740:AG740"/>
    <mergeCell ref="AC741:AG741"/>
    <mergeCell ref="AC737:AG737"/>
    <mergeCell ref="J769:N772"/>
    <mergeCell ref="AG823:AJ824"/>
    <mergeCell ref="AC797:AG797"/>
    <mergeCell ref="AC787:AG787"/>
    <mergeCell ref="AC753:AG753"/>
    <mergeCell ref="O753:S753"/>
    <mergeCell ref="AC742:AG742"/>
    <mergeCell ref="AC743:AG743"/>
    <mergeCell ref="AC744:AG744"/>
    <mergeCell ref="AC745:AG745"/>
    <mergeCell ref="AC746:AG746"/>
    <mergeCell ref="AC826:AF826"/>
    <mergeCell ref="AC827:AF827"/>
    <mergeCell ref="B734:F734"/>
    <mergeCell ref="X789:AB789"/>
    <mergeCell ref="O774:S774"/>
    <mergeCell ref="O794:S794"/>
    <mergeCell ref="X769:AB772"/>
    <mergeCell ref="T769:W772"/>
    <mergeCell ref="AC793:AG793"/>
    <mergeCell ref="X775:AB775"/>
    <mergeCell ref="X776:AB776"/>
    <mergeCell ref="AC775:AG775"/>
    <mergeCell ref="AC783:AG786"/>
    <mergeCell ref="J791:N791"/>
    <mergeCell ref="X792:AB792"/>
    <mergeCell ref="U826:X826"/>
    <mergeCell ref="X794:AB794"/>
    <mergeCell ref="M828:P828"/>
    <mergeCell ref="J779:K779"/>
    <mergeCell ref="J787:N787"/>
    <mergeCell ref="T796:W796"/>
    <mergeCell ref="M823:P824"/>
    <mergeCell ref="J775:N775"/>
    <mergeCell ref="AC776:AG776"/>
    <mergeCell ref="AC777:AG777"/>
    <mergeCell ref="T794:W794"/>
    <mergeCell ref="T792:W792"/>
    <mergeCell ref="O777:S777"/>
    <mergeCell ref="X788:AB788"/>
    <mergeCell ref="O797:S797"/>
    <mergeCell ref="Q827:T827"/>
    <mergeCell ref="AC773:AG773"/>
    <mergeCell ref="AC769:AG772"/>
    <mergeCell ref="X774:AB774"/>
    <mergeCell ref="T773:W773"/>
    <mergeCell ref="O752:S752"/>
    <mergeCell ref="AH726:AJ726"/>
    <mergeCell ref="O718:S718"/>
    <mergeCell ref="AK750:AO750"/>
    <mergeCell ref="J774:N774"/>
    <mergeCell ref="O756:R756"/>
    <mergeCell ref="AG756:AJ756"/>
    <mergeCell ref="K751:N751"/>
    <mergeCell ref="O751:S751"/>
    <mergeCell ref="U823:X824"/>
    <mergeCell ref="Q823:T824"/>
    <mergeCell ref="Z809:AE809"/>
    <mergeCell ref="O791:S791"/>
    <mergeCell ref="G722:J722"/>
    <mergeCell ref="B720:F720"/>
    <mergeCell ref="B722:F722"/>
    <mergeCell ref="X738:AB738"/>
    <mergeCell ref="AK734:AO734"/>
    <mergeCell ref="AK735:AO735"/>
    <mergeCell ref="T741:W741"/>
    <mergeCell ref="AC751:AG751"/>
    <mergeCell ref="AH752:AJ752"/>
    <mergeCell ref="AH751:AJ751"/>
    <mergeCell ref="G753:J753"/>
    <mergeCell ref="AD759:AF759"/>
    <mergeCell ref="AH750:AJ750"/>
    <mergeCell ref="K752:N752"/>
    <mergeCell ref="AC796:AG796"/>
    <mergeCell ref="AC788:AG788"/>
    <mergeCell ref="G738:J738"/>
    <mergeCell ref="AK746:AO746"/>
    <mergeCell ref="O735:S735"/>
    <mergeCell ref="AO624:AS626"/>
    <mergeCell ref="AI597:AK597"/>
    <mergeCell ref="AO629:AS629"/>
    <mergeCell ref="M827:P827"/>
    <mergeCell ref="J797:N797"/>
    <mergeCell ref="J795:N795"/>
    <mergeCell ref="AC774:AG774"/>
    <mergeCell ref="X777:AB777"/>
    <mergeCell ref="O723:S723"/>
    <mergeCell ref="X723:AB723"/>
    <mergeCell ref="T719:W719"/>
    <mergeCell ref="O724:S724"/>
    <mergeCell ref="T725:W725"/>
    <mergeCell ref="G724:J724"/>
    <mergeCell ref="AG665:AH665"/>
    <mergeCell ref="T729:W729"/>
    <mergeCell ref="AH728:AJ728"/>
    <mergeCell ref="J794:N794"/>
    <mergeCell ref="J789:N789"/>
    <mergeCell ref="X795:AB795"/>
    <mergeCell ref="Z813:AE813"/>
    <mergeCell ref="C798:AN799"/>
    <mergeCell ref="J793:N793"/>
    <mergeCell ref="G752:J752"/>
    <mergeCell ref="Y801:AC801"/>
    <mergeCell ref="Y800:AC800"/>
    <mergeCell ref="B718:F718"/>
    <mergeCell ref="G720:J720"/>
    <mergeCell ref="B721:F721"/>
    <mergeCell ref="B753:F753"/>
    <mergeCell ref="C632:L632"/>
    <mergeCell ref="Z628:AB628"/>
    <mergeCell ref="P572:R572"/>
    <mergeCell ref="M627:P627"/>
    <mergeCell ref="M629:P629"/>
    <mergeCell ref="W624:Y626"/>
    <mergeCell ref="W628:Y628"/>
    <mergeCell ref="Z603:AK603"/>
    <mergeCell ref="AI605:AK605"/>
    <mergeCell ref="Q630:S630"/>
    <mergeCell ref="G589:L589"/>
    <mergeCell ref="H582:R582"/>
    <mergeCell ref="Z579:AK579"/>
    <mergeCell ref="G577:R577"/>
    <mergeCell ref="G568:R568"/>
    <mergeCell ref="H614:R614"/>
    <mergeCell ref="Z632:AB632"/>
    <mergeCell ref="G613:L613"/>
    <mergeCell ref="AG599:AH599"/>
    <mergeCell ref="G595:R595"/>
    <mergeCell ref="G596:R596"/>
    <mergeCell ref="Z595:AK595"/>
    <mergeCell ref="G603:R603"/>
    <mergeCell ref="P597:R597"/>
    <mergeCell ref="G597:L597"/>
    <mergeCell ref="AG591:AH591"/>
    <mergeCell ref="G602:R602"/>
    <mergeCell ref="N599:O599"/>
    <mergeCell ref="P589:R589"/>
    <mergeCell ref="Z588:AK588"/>
    <mergeCell ref="H606:R606"/>
    <mergeCell ref="G586:R586"/>
    <mergeCell ref="AK629:AN629"/>
    <mergeCell ref="G601:R601"/>
    <mergeCell ref="T558:V558"/>
    <mergeCell ref="W561:Y561"/>
    <mergeCell ref="W562:Y562"/>
    <mergeCell ref="AI556:AL556"/>
    <mergeCell ref="AH501:AK501"/>
    <mergeCell ref="T559:V559"/>
    <mergeCell ref="G474:V474"/>
    <mergeCell ref="AH526:AK526"/>
    <mergeCell ref="T557:V557"/>
    <mergeCell ref="AC518:AF518"/>
    <mergeCell ref="Q551:S553"/>
    <mergeCell ref="T551:V553"/>
    <mergeCell ref="M555:P555"/>
    <mergeCell ref="Q557:S557"/>
    <mergeCell ref="Z557:AD557"/>
    <mergeCell ref="C555:L555"/>
    <mergeCell ref="C556:L556"/>
    <mergeCell ref="M556:P556"/>
    <mergeCell ref="C559:L559"/>
    <mergeCell ref="M559:P559"/>
    <mergeCell ref="W554:Y554"/>
    <mergeCell ref="W555:Y555"/>
    <mergeCell ref="Z558:AD558"/>
    <mergeCell ref="Z559:AD559"/>
    <mergeCell ref="Z562:AD562"/>
    <mergeCell ref="B517:H519"/>
    <mergeCell ref="AC538:AF538"/>
    <mergeCell ref="Z554:AD554"/>
    <mergeCell ref="AE557:AH557"/>
    <mergeCell ref="AI558:AL558"/>
    <mergeCell ref="Q558:S558"/>
    <mergeCell ref="AH512:AK512"/>
    <mergeCell ref="M557:P557"/>
    <mergeCell ref="AH520:AK520"/>
    <mergeCell ref="AC537:AF537"/>
    <mergeCell ref="O526:AA526"/>
    <mergeCell ref="AC529:AF529"/>
    <mergeCell ref="AH530:AK530"/>
    <mergeCell ref="Z556:AD556"/>
    <mergeCell ref="AI555:AL555"/>
    <mergeCell ref="D469:V469"/>
    <mergeCell ref="W473:Y473"/>
    <mergeCell ref="Q394:U394"/>
    <mergeCell ref="AD412:AE412"/>
    <mergeCell ref="H414:AE415"/>
    <mergeCell ref="AE425:AF425"/>
    <mergeCell ref="T556:V556"/>
    <mergeCell ref="AC520:AF520"/>
    <mergeCell ref="AC527:AF527"/>
    <mergeCell ref="W551:Y553"/>
    <mergeCell ref="AH521:AK521"/>
    <mergeCell ref="AC530:AF530"/>
    <mergeCell ref="Z555:AD555"/>
    <mergeCell ref="AH527:AK527"/>
    <mergeCell ref="AC517:AF517"/>
    <mergeCell ref="D473:V473"/>
    <mergeCell ref="AC504:AF504"/>
    <mergeCell ref="D470:V470"/>
    <mergeCell ref="B551:L553"/>
    <mergeCell ref="P421:R421"/>
    <mergeCell ref="M554:P554"/>
    <mergeCell ref="AH525:AK525"/>
    <mergeCell ref="P418:R418"/>
    <mergeCell ref="Q492:AK492"/>
    <mergeCell ref="W466:Y466"/>
    <mergeCell ref="AG446:AJ446"/>
    <mergeCell ref="W467:Y467"/>
    <mergeCell ref="W470:Y470"/>
    <mergeCell ref="D471:V471"/>
    <mergeCell ref="O532:AA532"/>
    <mergeCell ref="AH504:AK504"/>
    <mergeCell ref="AH517:AK517"/>
    <mergeCell ref="Q493:AK493"/>
    <mergeCell ref="AH507:AK507"/>
    <mergeCell ref="W465:Y465"/>
    <mergeCell ref="D439:AF439"/>
    <mergeCell ref="AH531:AK531"/>
    <mergeCell ref="AH540:AK540"/>
    <mergeCell ref="AC515:AF515"/>
    <mergeCell ref="AC514:AF514"/>
    <mergeCell ref="AH538:AK538"/>
    <mergeCell ref="AH513:AK513"/>
    <mergeCell ref="AC531:AF531"/>
    <mergeCell ref="AC539:AF539"/>
    <mergeCell ref="L508:AB508"/>
    <mergeCell ref="D445:AF445"/>
    <mergeCell ref="D451:AJ452"/>
    <mergeCell ref="AC534:AF534"/>
    <mergeCell ref="B501:H502"/>
    <mergeCell ref="AC519:AF519"/>
    <mergeCell ref="AC523:AF523"/>
    <mergeCell ref="AG448:AJ448"/>
    <mergeCell ref="AH528:AK528"/>
    <mergeCell ref="AH505:AK505"/>
    <mergeCell ref="AH516:AK516"/>
    <mergeCell ref="Q488:AK488"/>
    <mergeCell ref="AC253:AE253"/>
    <mergeCell ref="O529:AA529"/>
    <mergeCell ref="AH533:AK533"/>
    <mergeCell ref="M356:N356"/>
    <mergeCell ref="B520:H542"/>
    <mergeCell ref="Z432:AA432"/>
    <mergeCell ref="Q487:AK487"/>
    <mergeCell ref="Q486:AK486"/>
    <mergeCell ref="AH502:AK502"/>
    <mergeCell ref="AC499:AK499"/>
    <mergeCell ref="W468:Y468"/>
    <mergeCell ref="B503:H508"/>
    <mergeCell ref="D450:AF450"/>
    <mergeCell ref="N370:Q370"/>
    <mergeCell ref="AH500:AK500"/>
    <mergeCell ref="H331:M331"/>
    <mergeCell ref="P339:R339"/>
    <mergeCell ref="AA341:AK341"/>
    <mergeCell ref="E368:AH369"/>
    <mergeCell ref="Q365:AG365"/>
    <mergeCell ref="H340:M340"/>
    <mergeCell ref="S402:U402"/>
    <mergeCell ref="AA339:AF339"/>
    <mergeCell ref="AC456:AF456"/>
    <mergeCell ref="AC521:AF521"/>
    <mergeCell ref="AC512:AF512"/>
    <mergeCell ref="R412:S412"/>
    <mergeCell ref="Q429:R429"/>
    <mergeCell ref="D448:AF448"/>
    <mergeCell ref="H333:R333"/>
    <mergeCell ref="AC502:AF502"/>
    <mergeCell ref="B514:H516"/>
    <mergeCell ref="H299:M299"/>
    <mergeCell ref="H300:M300"/>
    <mergeCell ref="AA257:AK257"/>
    <mergeCell ref="M260:AE260"/>
    <mergeCell ref="AA265:AK265"/>
    <mergeCell ref="M261:T261"/>
    <mergeCell ref="AI307:AK307"/>
    <mergeCell ref="AA308:AF308"/>
    <mergeCell ref="M254:AE254"/>
    <mergeCell ref="AH262:AK262"/>
    <mergeCell ref="T267:X267"/>
    <mergeCell ref="H290:R290"/>
    <mergeCell ref="H289:R289"/>
    <mergeCell ref="H288:R288"/>
    <mergeCell ref="AA291:AF291"/>
    <mergeCell ref="AI291:AK291"/>
    <mergeCell ref="L276:S276"/>
    <mergeCell ref="L278:Q278"/>
    <mergeCell ref="AH254:AK254"/>
    <mergeCell ref="W261:X261"/>
    <mergeCell ref="U263:W263"/>
    <mergeCell ref="M257:T257"/>
    <mergeCell ref="M256:AE256"/>
    <mergeCell ref="AA296:AK296"/>
    <mergeCell ref="AA297:AK297"/>
    <mergeCell ref="AA301:AK301"/>
    <mergeCell ref="H305:R305"/>
    <mergeCell ref="H306:R306"/>
    <mergeCell ref="H304:R304"/>
    <mergeCell ref="H303:R303"/>
    <mergeCell ref="H292:M292"/>
    <mergeCell ref="AA306:AK306"/>
    <mergeCell ref="H324:M324"/>
    <mergeCell ref="H315:M315"/>
    <mergeCell ref="P315:R315"/>
    <mergeCell ref="N363:O363"/>
    <mergeCell ref="AA307:AF307"/>
    <mergeCell ref="AA317:AK317"/>
    <mergeCell ref="AA332:AF332"/>
    <mergeCell ref="H332:M332"/>
    <mergeCell ref="AI315:AK315"/>
    <mergeCell ref="AA312:AK312"/>
    <mergeCell ref="H307:M307"/>
    <mergeCell ref="AA311:AK311"/>
    <mergeCell ref="P331:R331"/>
    <mergeCell ref="AI323:AK323"/>
    <mergeCell ref="P323:R323"/>
    <mergeCell ref="AA315:AF315"/>
    <mergeCell ref="AC347:AE347"/>
    <mergeCell ref="P343:AE343"/>
    <mergeCell ref="AA340:AF340"/>
    <mergeCell ref="P344:AE344"/>
    <mergeCell ref="P345:AE345"/>
    <mergeCell ref="AA314:AK314"/>
    <mergeCell ref="AA313:AK313"/>
    <mergeCell ref="AA316:AF316"/>
    <mergeCell ref="AJ356:AK356"/>
    <mergeCell ref="H309:R309"/>
    <mergeCell ref="M358:N358"/>
    <mergeCell ref="AA327:AK327"/>
    <mergeCell ref="AA329:AK329"/>
    <mergeCell ref="AA328:AK328"/>
    <mergeCell ref="AA330:AK330"/>
    <mergeCell ref="AA331:AF331"/>
    <mergeCell ref="T278:V278"/>
    <mergeCell ref="P291:R291"/>
    <mergeCell ref="P205:U205"/>
    <mergeCell ref="M239:AE239"/>
    <mergeCell ref="AF178:AG178"/>
    <mergeCell ref="I190:N190"/>
    <mergeCell ref="M245:T245"/>
    <mergeCell ref="M246:AE246"/>
    <mergeCell ref="AC245:AE245"/>
    <mergeCell ref="X176:Y176"/>
    <mergeCell ref="L279:AD279"/>
    <mergeCell ref="AI226:AJ226"/>
    <mergeCell ref="Z255:AE255"/>
    <mergeCell ref="M255:R255"/>
    <mergeCell ref="A282:AT283"/>
    <mergeCell ref="AA238:AK238"/>
    <mergeCell ref="M251:AE251"/>
    <mergeCell ref="X180:Y180"/>
    <mergeCell ref="AP205:AQ205"/>
    <mergeCell ref="AI229:AJ229"/>
    <mergeCell ref="R177:S177"/>
    <mergeCell ref="U236:W236"/>
    <mergeCell ref="M243:AE243"/>
    <mergeCell ref="D204:M204"/>
    <mergeCell ref="M238:T238"/>
    <mergeCell ref="T197:U197"/>
    <mergeCell ref="W253:X253"/>
    <mergeCell ref="M263:R263"/>
    <mergeCell ref="M265:T265"/>
    <mergeCell ref="M253:T253"/>
    <mergeCell ref="L274:AJ274"/>
    <mergeCell ref="H291:M291"/>
    <mergeCell ref="M237:AE237"/>
    <mergeCell ref="P113:S113"/>
    <mergeCell ref="AA249:AK249"/>
    <mergeCell ref="M248:AE248"/>
    <mergeCell ref="AH246:AK246"/>
    <mergeCell ref="AF243:AK243"/>
    <mergeCell ref="T212:U212"/>
    <mergeCell ref="F150:T150"/>
    <mergeCell ref="J173:S173"/>
    <mergeCell ref="AF251:AK251"/>
    <mergeCell ref="M244:AE244"/>
    <mergeCell ref="M247:R247"/>
    <mergeCell ref="O159:T159"/>
    <mergeCell ref="U175:V175"/>
    <mergeCell ref="T199:U199"/>
    <mergeCell ref="AC234:AE234"/>
    <mergeCell ref="D208:M208"/>
    <mergeCell ref="M233:AE233"/>
    <mergeCell ref="N191:AE192"/>
    <mergeCell ref="D211:M211"/>
    <mergeCell ref="AI228:AJ228"/>
    <mergeCell ref="M235:AE235"/>
    <mergeCell ref="I185:AE185"/>
    <mergeCell ref="Y120:AK120"/>
    <mergeCell ref="O160:T160"/>
    <mergeCell ref="AI178:AK178"/>
    <mergeCell ref="M234:T234"/>
    <mergeCell ref="M252:AE252"/>
    <mergeCell ref="A86:AT87"/>
    <mergeCell ref="A89:AT90"/>
    <mergeCell ref="A92:AT98"/>
    <mergeCell ref="A100:AT103"/>
    <mergeCell ref="I184:AE184"/>
    <mergeCell ref="Y117:AK117"/>
    <mergeCell ref="T190:AE190"/>
    <mergeCell ref="M232:AK232"/>
    <mergeCell ref="A105:AT106"/>
    <mergeCell ref="L113:O113"/>
    <mergeCell ref="O158:R158"/>
    <mergeCell ref="W159:X159"/>
    <mergeCell ref="A169:AT170"/>
    <mergeCell ref="M249:T249"/>
    <mergeCell ref="Z247:AE247"/>
    <mergeCell ref="W245:X245"/>
    <mergeCell ref="U247:W247"/>
    <mergeCell ref="O155:AH155"/>
    <mergeCell ref="O153:AH153"/>
    <mergeCell ref="O154:AH154"/>
    <mergeCell ref="O156:AH156"/>
    <mergeCell ref="O157:X157"/>
    <mergeCell ref="T195:U195"/>
    <mergeCell ref="E187:AE188"/>
    <mergeCell ref="I189:P189"/>
    <mergeCell ref="AH197:AI197"/>
    <mergeCell ref="Z205:AN205"/>
    <mergeCell ref="A222:AT223"/>
    <mergeCell ref="T200:U200"/>
    <mergeCell ref="X198:AT199"/>
    <mergeCell ref="T196:U196"/>
    <mergeCell ref="A75:AT77"/>
    <mergeCell ref="A79:AT81"/>
    <mergeCell ref="AB215:AL215"/>
    <mergeCell ref="T198:U198"/>
    <mergeCell ref="Q212:R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W234:X234"/>
    <mergeCell ref="D220:Z220"/>
    <mergeCell ref="T193:AI193"/>
    <mergeCell ref="AI227:AJ227"/>
    <mergeCell ref="Y123:AK123"/>
    <mergeCell ref="AH194:AI194"/>
    <mergeCell ref="AC220:AQ220"/>
    <mergeCell ref="D205:M205"/>
    <mergeCell ref="J174:AB174"/>
    <mergeCell ref="T189:AE189"/>
    <mergeCell ref="D270:H270"/>
    <mergeCell ref="X270:AC270"/>
    <mergeCell ref="Z263:AE263"/>
    <mergeCell ref="H308:M308"/>
    <mergeCell ref="P307:R307"/>
    <mergeCell ref="H287:R287"/>
    <mergeCell ref="U255:W255"/>
    <mergeCell ref="P299:R299"/>
    <mergeCell ref="H293:R293"/>
    <mergeCell ref="M264:AE264"/>
    <mergeCell ref="AB276:AD276"/>
    <mergeCell ref="V382:W382"/>
    <mergeCell ref="J367:K367"/>
    <mergeCell ref="Y278:AD278"/>
    <mergeCell ref="AF259:AK259"/>
    <mergeCell ref="AC261:AE261"/>
    <mergeCell ref="M262:AE262"/>
    <mergeCell ref="AA299:AF299"/>
    <mergeCell ref="AI299:AK299"/>
    <mergeCell ref="AA300:AF300"/>
    <mergeCell ref="M259:AE259"/>
    <mergeCell ref="AA293:AK293"/>
    <mergeCell ref="L280:AD280"/>
    <mergeCell ref="L275:AD275"/>
    <mergeCell ref="V276:W276"/>
    <mergeCell ref="L277:AD277"/>
    <mergeCell ref="AA292:AF292"/>
    <mergeCell ref="P349:AE349"/>
    <mergeCell ref="AC370:AF370"/>
    <mergeCell ref="P346:AE346"/>
    <mergeCell ref="AA324:AF324"/>
    <mergeCell ref="AA325:AK325"/>
    <mergeCell ref="N371:Q371"/>
    <mergeCell ref="AG393:AJ393"/>
    <mergeCell ref="AG391:AJ391"/>
    <mergeCell ref="K404:AJ404"/>
    <mergeCell ref="AC386:AJ386"/>
    <mergeCell ref="Q393:U393"/>
    <mergeCell ref="AG380:AH380"/>
    <mergeCell ref="M355:N355"/>
    <mergeCell ref="C558:L558"/>
    <mergeCell ref="AC507:AF507"/>
    <mergeCell ref="AE561:AH561"/>
    <mergeCell ref="M560:P560"/>
    <mergeCell ref="Q563:S563"/>
    <mergeCell ref="AI565:AL565"/>
    <mergeCell ref="AE562:AH562"/>
    <mergeCell ref="Q562:S562"/>
    <mergeCell ref="AC533:AF533"/>
    <mergeCell ref="M551:P553"/>
    <mergeCell ref="AC536:AF536"/>
    <mergeCell ref="D468:V468"/>
    <mergeCell ref="W558:Y558"/>
    <mergeCell ref="AE558:AH558"/>
    <mergeCell ref="C557:L557"/>
    <mergeCell ref="AG379:AH379"/>
    <mergeCell ref="S392:U392"/>
    <mergeCell ref="AG390:AJ390"/>
    <mergeCell ref="Q391:U391"/>
    <mergeCell ref="AH506:AK506"/>
    <mergeCell ref="AH508:AK508"/>
    <mergeCell ref="AC540:AF540"/>
    <mergeCell ref="AC508:AF508"/>
    <mergeCell ref="AH537:AK537"/>
    <mergeCell ref="V388:AJ388"/>
    <mergeCell ref="D443:AF443"/>
    <mergeCell ref="W471:Y471"/>
    <mergeCell ref="AG395:AJ395"/>
    <mergeCell ref="AI392:AJ392"/>
    <mergeCell ref="AG394:AJ394"/>
    <mergeCell ref="E420:AJ420"/>
    <mergeCell ref="AE402:AJ402"/>
    <mergeCell ref="AC385:AJ385"/>
    <mergeCell ref="D441:AF441"/>
    <mergeCell ref="AG447:AJ447"/>
    <mergeCell ref="AC454:AF454"/>
    <mergeCell ref="P425:Q425"/>
    <mergeCell ref="I418:K418"/>
    <mergeCell ref="S413:T413"/>
    <mergeCell ref="AE424:AF424"/>
    <mergeCell ref="K403:AJ403"/>
    <mergeCell ref="AG449:AJ449"/>
    <mergeCell ref="Q390:U390"/>
    <mergeCell ref="I410:AE410"/>
    <mergeCell ref="I421:K421"/>
    <mergeCell ref="D406:AJ407"/>
    <mergeCell ref="AG445:AJ445"/>
    <mergeCell ref="AI397:AJ397"/>
    <mergeCell ref="T399:AJ399"/>
    <mergeCell ref="D449:AF449"/>
    <mergeCell ref="AG450:AJ450"/>
    <mergeCell ref="D467:V467"/>
    <mergeCell ref="AF418:AH418"/>
    <mergeCell ref="Z434:AA434"/>
    <mergeCell ref="D446:AF446"/>
    <mergeCell ref="D447:AF447"/>
    <mergeCell ref="AF634:AJ634"/>
    <mergeCell ref="W637:Y637"/>
    <mergeCell ref="AG657:AH657"/>
    <mergeCell ref="X718:AB718"/>
    <mergeCell ref="T720:W720"/>
    <mergeCell ref="K714:N717"/>
    <mergeCell ref="C635:L635"/>
    <mergeCell ref="AF636:AJ636"/>
    <mergeCell ref="AF637:AJ637"/>
    <mergeCell ref="AC636:AE636"/>
    <mergeCell ref="Z647:AE647"/>
    <mergeCell ref="AC720:AG720"/>
    <mergeCell ref="W636:Y636"/>
    <mergeCell ref="AO639:AS639"/>
    <mergeCell ref="AO638:AS638"/>
    <mergeCell ref="Z634:AB634"/>
    <mergeCell ref="G685:R685"/>
    <mergeCell ref="AI679:AK679"/>
    <mergeCell ref="Z663:AE663"/>
    <mergeCell ref="Z643:AK643"/>
    <mergeCell ref="Z652:AK652"/>
    <mergeCell ref="Z654:AK654"/>
    <mergeCell ref="Z661:AK661"/>
    <mergeCell ref="T637:V637"/>
    <mergeCell ref="M635:P635"/>
    <mergeCell ref="M636:P636"/>
    <mergeCell ref="P655:R655"/>
    <mergeCell ref="AM555:AS555"/>
    <mergeCell ref="AI557:AL557"/>
    <mergeCell ref="Q556:S556"/>
    <mergeCell ref="T724:W724"/>
    <mergeCell ref="AM551:AS553"/>
    <mergeCell ref="O719:S719"/>
    <mergeCell ref="X724:AB724"/>
    <mergeCell ref="AH722:AJ722"/>
    <mergeCell ref="Z587:AK587"/>
    <mergeCell ref="M558:P558"/>
    <mergeCell ref="Q559:S559"/>
    <mergeCell ref="C627:L627"/>
    <mergeCell ref="P581:R581"/>
    <mergeCell ref="AI572:AK572"/>
    <mergeCell ref="N591:O591"/>
    <mergeCell ref="AA590:AK590"/>
    <mergeCell ref="AI589:AK589"/>
    <mergeCell ref="Z596:AK596"/>
    <mergeCell ref="H598:R598"/>
    <mergeCell ref="P663:R663"/>
    <mergeCell ref="AG583:AH583"/>
    <mergeCell ref="G588:R588"/>
    <mergeCell ref="Z653:AK653"/>
    <mergeCell ref="Z668:AK668"/>
    <mergeCell ref="AA664:AK664"/>
    <mergeCell ref="N583:O583"/>
    <mergeCell ref="AI560:AL560"/>
    <mergeCell ref="T562:V562"/>
    <mergeCell ref="Q560:S560"/>
    <mergeCell ref="Q565:S565"/>
    <mergeCell ref="AA582:AK582"/>
    <mergeCell ref="B566:AL566"/>
    <mergeCell ref="CU726:CY726"/>
    <mergeCell ref="CZ726:DD726"/>
    <mergeCell ref="CK722:CL722"/>
    <mergeCell ref="AG689:AH689"/>
    <mergeCell ref="CK719:CL719"/>
    <mergeCell ref="CK730:CL730"/>
    <mergeCell ref="CP731:CT731"/>
    <mergeCell ref="CI729:CJ729"/>
    <mergeCell ref="CP729:CT729"/>
    <mergeCell ref="CG719:CH719"/>
    <mergeCell ref="CI721:CJ721"/>
    <mergeCell ref="CP717:CT717"/>
    <mergeCell ref="CK723:CL723"/>
    <mergeCell ref="CK721:CL721"/>
    <mergeCell ref="CM726:CN726"/>
    <mergeCell ref="CM718:CN718"/>
    <mergeCell ref="CM720:CN720"/>
    <mergeCell ref="AH731:AJ731"/>
    <mergeCell ref="CM728:CN728"/>
    <mergeCell ref="CP728:CT728"/>
    <mergeCell ref="C561:L561"/>
    <mergeCell ref="Z633:AB633"/>
    <mergeCell ref="Q564:S564"/>
    <mergeCell ref="T565:V565"/>
    <mergeCell ref="C560:L560"/>
    <mergeCell ref="Z560:AD560"/>
    <mergeCell ref="AI563:AL563"/>
    <mergeCell ref="C564:L564"/>
    <mergeCell ref="M564:P564"/>
    <mergeCell ref="G579:R579"/>
    <mergeCell ref="Z563:AD563"/>
    <mergeCell ref="C630:L630"/>
    <mergeCell ref="C631:L631"/>
    <mergeCell ref="AF630:AJ630"/>
    <mergeCell ref="C628:L628"/>
    <mergeCell ref="W633:Y633"/>
    <mergeCell ref="Z630:AB630"/>
    <mergeCell ref="Z611:AK611"/>
    <mergeCell ref="N607:O607"/>
    <mergeCell ref="AF628:AJ628"/>
    <mergeCell ref="G593:R593"/>
    <mergeCell ref="W630:Y630"/>
    <mergeCell ref="G610:R610"/>
    <mergeCell ref="A617:AT618"/>
    <mergeCell ref="B624:L626"/>
    <mergeCell ref="Z613:AE613"/>
    <mergeCell ref="AC629:AE629"/>
    <mergeCell ref="AG607:AH607"/>
    <mergeCell ref="Q561:S561"/>
    <mergeCell ref="C562:L562"/>
    <mergeCell ref="AO633:AS633"/>
    <mergeCell ref="AO628:AS628"/>
    <mergeCell ref="AI339:AK339"/>
    <mergeCell ref="P348:Z348"/>
    <mergeCell ref="N373:AF374"/>
    <mergeCell ref="AJ355:AK355"/>
    <mergeCell ref="AG442:AJ442"/>
    <mergeCell ref="AG377:AH377"/>
    <mergeCell ref="E418:G418"/>
    <mergeCell ref="AD411:AE411"/>
    <mergeCell ref="F427:AH428"/>
    <mergeCell ref="V377:W377"/>
    <mergeCell ref="S377:T377"/>
    <mergeCell ref="D437:AF437"/>
    <mergeCell ref="D442:AF442"/>
    <mergeCell ref="AF430:AG430"/>
    <mergeCell ref="AG437:AJ437"/>
    <mergeCell ref="J388:U388"/>
    <mergeCell ref="J387:U387"/>
    <mergeCell ref="Y364:Z364"/>
    <mergeCell ref="N378:P378"/>
    <mergeCell ref="W418:Y418"/>
    <mergeCell ref="AG439:AJ439"/>
    <mergeCell ref="AG438:AJ438"/>
    <mergeCell ref="AG441:AJ441"/>
    <mergeCell ref="S405:AJ405"/>
    <mergeCell ref="AI389:AJ389"/>
    <mergeCell ref="P347:Z347"/>
    <mergeCell ref="J386:U386"/>
    <mergeCell ref="T398:AJ398"/>
    <mergeCell ref="AG440:AJ440"/>
    <mergeCell ref="S401:U401"/>
    <mergeCell ref="AG401:AJ401"/>
    <mergeCell ref="AC387:AJ387"/>
    <mergeCell ref="DJ733:DN733"/>
    <mergeCell ref="D472:V472"/>
    <mergeCell ref="W472:Y472"/>
    <mergeCell ref="AE551:AH553"/>
    <mergeCell ref="AI551:AL553"/>
    <mergeCell ref="O520:AA520"/>
    <mergeCell ref="AE555:AH555"/>
    <mergeCell ref="AH518:AK518"/>
    <mergeCell ref="AH514:AK514"/>
    <mergeCell ref="Q555:S555"/>
    <mergeCell ref="AH539:AK539"/>
    <mergeCell ref="AH541:AK541"/>
    <mergeCell ref="AC535:AF535"/>
    <mergeCell ref="AI554:AL554"/>
    <mergeCell ref="W557:Y557"/>
    <mergeCell ref="AC526:AF526"/>
    <mergeCell ref="CG724:CH724"/>
    <mergeCell ref="T564:V564"/>
    <mergeCell ref="C565:L565"/>
    <mergeCell ref="B723:F723"/>
    <mergeCell ref="CG730:CH730"/>
    <mergeCell ref="CG728:CH728"/>
    <mergeCell ref="AM560:AS560"/>
    <mergeCell ref="AM557:AS557"/>
    <mergeCell ref="CK733:CL733"/>
    <mergeCell ref="X729:AB729"/>
    <mergeCell ref="B729:F729"/>
    <mergeCell ref="AK732:AO732"/>
    <mergeCell ref="AK733:AO733"/>
    <mergeCell ref="AE560:AH560"/>
    <mergeCell ref="N575:O575"/>
    <mergeCell ref="Z580:AK580"/>
    <mergeCell ref="AC510:AF510"/>
    <mergeCell ref="AH510:AK510"/>
    <mergeCell ref="AC505:AF505"/>
    <mergeCell ref="AH522:AK522"/>
    <mergeCell ref="AH503:AK503"/>
    <mergeCell ref="AC500:AF500"/>
    <mergeCell ref="AH532:AK532"/>
    <mergeCell ref="AC522:AF522"/>
    <mergeCell ref="T554:V554"/>
    <mergeCell ref="AC524:AF524"/>
    <mergeCell ref="AC542:AF542"/>
    <mergeCell ref="AC528:AF528"/>
    <mergeCell ref="B489:P490"/>
    <mergeCell ref="AC506:AF506"/>
    <mergeCell ref="Q489:R490"/>
    <mergeCell ref="M495:P495"/>
    <mergeCell ref="AC501:AF501"/>
    <mergeCell ref="O523:AA523"/>
    <mergeCell ref="C554:L554"/>
    <mergeCell ref="Z551:AD553"/>
    <mergeCell ref="AH542:AK542"/>
    <mergeCell ref="AH535:AK535"/>
    <mergeCell ref="AC532:AF532"/>
    <mergeCell ref="O535:AA535"/>
    <mergeCell ref="AH523:AK523"/>
    <mergeCell ref="AE554:AH554"/>
    <mergeCell ref="AH524:AK524"/>
    <mergeCell ref="AG443:AJ443"/>
    <mergeCell ref="AG444:AJ444"/>
    <mergeCell ref="AC541:AF541"/>
    <mergeCell ref="D440:AF440"/>
    <mergeCell ref="AM554:AS554"/>
    <mergeCell ref="DU745:DY745"/>
    <mergeCell ref="DZ745:ED745"/>
    <mergeCell ref="DX666:EB666"/>
    <mergeCell ref="EC666:EG666"/>
    <mergeCell ref="Q494:AK494"/>
    <mergeCell ref="AC455:AF455"/>
    <mergeCell ref="F457:AB458"/>
    <mergeCell ref="D466:V466"/>
    <mergeCell ref="Q491:AK491"/>
    <mergeCell ref="AH495:AK495"/>
    <mergeCell ref="D465:V465"/>
    <mergeCell ref="AC509:AF509"/>
    <mergeCell ref="Q485:AK485"/>
    <mergeCell ref="AC525:AF525"/>
    <mergeCell ref="W474:Y474"/>
    <mergeCell ref="AK742:AO742"/>
    <mergeCell ref="CP745:CT745"/>
    <mergeCell ref="B741:F741"/>
    <mergeCell ref="B728:F728"/>
    <mergeCell ref="X728:AB728"/>
    <mergeCell ref="CP740:CT740"/>
    <mergeCell ref="CZ733:DD733"/>
    <mergeCell ref="CZ736:DD736"/>
    <mergeCell ref="CM731:CN731"/>
    <mergeCell ref="Q554:S554"/>
    <mergeCell ref="AH529:AK529"/>
    <mergeCell ref="AH534:AK534"/>
    <mergeCell ref="FT741:FX741"/>
    <mergeCell ref="EE749:EI749"/>
    <mergeCell ref="EJ749:EN749"/>
    <mergeCell ref="EO749:ES749"/>
    <mergeCell ref="EE747:EI747"/>
    <mergeCell ref="EJ747:EN747"/>
    <mergeCell ref="EE742:EI742"/>
    <mergeCell ref="EJ742:EN742"/>
    <mergeCell ref="EO742:ES742"/>
    <mergeCell ref="FT748:FX748"/>
    <mergeCell ref="FT749:FX749"/>
    <mergeCell ref="DJ741:DN741"/>
    <mergeCell ref="DO741:DS741"/>
    <mergeCell ref="CI749:CJ749"/>
    <mergeCell ref="CK749:CL749"/>
    <mergeCell ref="CM749:CN749"/>
    <mergeCell ref="CP749:CT749"/>
    <mergeCell ref="CU749:CY749"/>
    <mergeCell ref="CZ749:DD749"/>
    <mergeCell ref="DE749:DI749"/>
    <mergeCell ref="DJ749:DN749"/>
    <mergeCell ref="DO749:DS749"/>
    <mergeCell ref="CZ748:DD748"/>
    <mergeCell ref="DE748:DI748"/>
    <mergeCell ref="DJ748:DN748"/>
    <mergeCell ref="DO748:DS748"/>
    <mergeCell ref="CU747:CY747"/>
    <mergeCell ref="FT742:FX742"/>
    <mergeCell ref="DE741:DI741"/>
    <mergeCell ref="CU744:CY744"/>
    <mergeCell ref="DU741:DY741"/>
    <mergeCell ref="DZ741:ED741"/>
    <mergeCell ref="FY742:GC742"/>
    <mergeCell ref="EZ743:FD743"/>
    <mergeCell ref="FE743:FI743"/>
    <mergeCell ref="FJ743:FN743"/>
    <mergeCell ref="FO743:FS743"/>
    <mergeCell ref="FT743:FX743"/>
    <mergeCell ref="FY743:GC743"/>
    <mergeCell ref="EZ744:FD744"/>
    <mergeCell ref="FE744:FI744"/>
    <mergeCell ref="FJ744:FN744"/>
    <mergeCell ref="FO744:FS744"/>
    <mergeCell ref="FT744:FX744"/>
    <mergeCell ref="FY744:GC744"/>
    <mergeCell ref="DU743:DY743"/>
    <mergeCell ref="DZ743:ED743"/>
    <mergeCell ref="EE743:EI743"/>
    <mergeCell ref="EJ743:EN743"/>
    <mergeCell ref="EO743:ES743"/>
    <mergeCell ref="ET743:EX743"/>
    <mergeCell ref="DU744:DY744"/>
    <mergeCell ref="DZ744:ED744"/>
    <mergeCell ref="EE744:EI744"/>
    <mergeCell ref="EJ744:EN744"/>
    <mergeCell ref="EO744:ES744"/>
    <mergeCell ref="EW636:FA636"/>
    <mergeCell ref="ER637:EV637"/>
    <mergeCell ref="ET749:EX749"/>
    <mergeCell ref="DU750:DY750"/>
    <mergeCell ref="DZ750:ED750"/>
    <mergeCell ref="EE750:EI750"/>
    <mergeCell ref="EJ750:EN750"/>
    <mergeCell ref="EO750:ES750"/>
    <mergeCell ref="ET750:EX750"/>
    <mergeCell ref="FY748:GC748"/>
    <mergeCell ref="EZ749:FD749"/>
    <mergeCell ref="FE749:FI749"/>
    <mergeCell ref="FJ749:FN749"/>
    <mergeCell ref="FO749:FS749"/>
    <mergeCell ref="FY745:GC745"/>
    <mergeCell ref="EZ746:FD746"/>
    <mergeCell ref="ET745:EX745"/>
    <mergeCell ref="DU746:DY746"/>
    <mergeCell ref="DZ746:ED746"/>
    <mergeCell ref="EE746:EI746"/>
    <mergeCell ref="EJ746:EN746"/>
    <mergeCell ref="EO746:ES746"/>
    <mergeCell ref="ET746:EX746"/>
    <mergeCell ref="DU747:DY747"/>
    <mergeCell ref="DZ747:ED747"/>
    <mergeCell ref="FT746:FX746"/>
    <mergeCell ref="FY746:GC746"/>
    <mergeCell ref="EZ747:FD747"/>
    <mergeCell ref="FE747:FI747"/>
    <mergeCell ref="FJ747:FN747"/>
    <mergeCell ref="FO747:FS747"/>
    <mergeCell ref="DZ731:ED731"/>
    <mergeCell ref="FY749:GC749"/>
    <mergeCell ref="FE746:FI746"/>
    <mergeCell ref="FJ746:FN746"/>
    <mergeCell ref="FO746:FS746"/>
    <mergeCell ref="FT750:FX750"/>
    <mergeCell ref="FY750:GC750"/>
    <mergeCell ref="DX658:EB658"/>
    <mergeCell ref="EC658:EG658"/>
    <mergeCell ref="EH658:EL658"/>
    <mergeCell ref="EM658:EQ658"/>
    <mergeCell ref="ER658:EV658"/>
    <mergeCell ref="EW658:FA658"/>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J745:EN745"/>
    <mergeCell ref="EZ741:FD741"/>
    <mergeCell ref="FE741:FI741"/>
    <mergeCell ref="FJ741:FN741"/>
    <mergeCell ref="FO741:FS741"/>
    <mergeCell ref="FY741:GC741"/>
    <mergeCell ref="ET744:EX744"/>
    <mergeCell ref="FT753:FX753"/>
    <mergeCell ref="FY753:GC753"/>
    <mergeCell ref="DX635:EB635"/>
    <mergeCell ref="DX638:EB638"/>
    <mergeCell ref="EC638:EG638"/>
    <mergeCell ref="EH638:EL638"/>
    <mergeCell ref="EM638:EQ638"/>
    <mergeCell ref="ER638:EV638"/>
    <mergeCell ref="EC635:EG635"/>
    <mergeCell ref="EH635:EL635"/>
    <mergeCell ref="EM635:EQ635"/>
    <mergeCell ref="ER635:EV635"/>
    <mergeCell ref="EW635:FA635"/>
    <mergeCell ref="FY752:GC752"/>
    <mergeCell ref="EC636:EG636"/>
    <mergeCell ref="EH636:EL636"/>
    <mergeCell ref="DX636:EB636"/>
    <mergeCell ref="ER636:EV636"/>
    <mergeCell ref="EZ750:FD750"/>
    <mergeCell ref="FE750:FI750"/>
    <mergeCell ref="FJ750:FN750"/>
    <mergeCell ref="FO750:FS750"/>
    <mergeCell ref="EM659:EQ659"/>
    <mergeCell ref="ER659:EV659"/>
    <mergeCell ref="EW659:FA659"/>
    <mergeCell ref="DX660:EB660"/>
    <mergeCell ref="EC660:EG660"/>
    <mergeCell ref="EH660:EL660"/>
    <mergeCell ref="EM660:EQ660"/>
    <mergeCell ref="DX665:EB665"/>
    <mergeCell ref="FY747:GC747"/>
    <mergeCell ref="FT747:FX747"/>
    <mergeCell ref="FO753:FS753"/>
    <mergeCell ref="FE748:FI748"/>
    <mergeCell ref="FJ748:FN748"/>
    <mergeCell ref="FO748:FS748"/>
    <mergeCell ref="EZ745:FD745"/>
    <mergeCell ref="CU745:CY745"/>
    <mergeCell ref="EO747:ES747"/>
    <mergeCell ref="ET747:EX747"/>
    <mergeCell ref="DU748:DY748"/>
    <mergeCell ref="DZ748:ED748"/>
    <mergeCell ref="EE748:EI748"/>
    <mergeCell ref="EJ748:EN748"/>
    <mergeCell ref="EO748:ES748"/>
    <mergeCell ref="ET748:EX748"/>
    <mergeCell ref="ET741:EX741"/>
    <mergeCell ref="DU742:DY742"/>
    <mergeCell ref="DZ742:ED742"/>
    <mergeCell ref="ET742:EX742"/>
    <mergeCell ref="FE742:FI742"/>
    <mergeCell ref="FJ742:FN742"/>
    <mergeCell ref="FO742:FS742"/>
    <mergeCell ref="EE741:EI741"/>
    <mergeCell ref="EJ741:EN741"/>
    <mergeCell ref="EO741:ES741"/>
    <mergeCell ref="CU742:CY742"/>
    <mergeCell ref="CZ742:DD742"/>
    <mergeCell ref="DE742:DI742"/>
    <mergeCell ref="DJ742:DN742"/>
    <mergeCell ref="DO742:DS742"/>
    <mergeCell ref="CU743:CY743"/>
    <mergeCell ref="CZ743:DD743"/>
    <mergeCell ref="EZ742:FD742"/>
    <mergeCell ref="FJ753:FN753"/>
    <mergeCell ref="CK750:CL750"/>
    <mergeCell ref="CM750:CN750"/>
    <mergeCell ref="CG747:CH747"/>
    <mergeCell ref="CI747:CJ747"/>
    <mergeCell ref="CK747:CL747"/>
    <mergeCell ref="CM747:CN747"/>
    <mergeCell ref="CP742:CT742"/>
    <mergeCell ref="CP743:CT743"/>
    <mergeCell ref="DJ743:DN743"/>
    <mergeCell ref="DO743:DS743"/>
    <mergeCell ref="DO744:DS744"/>
    <mergeCell ref="CM745:CN745"/>
    <mergeCell ref="CG746:CH746"/>
    <mergeCell ref="CI746:CJ746"/>
    <mergeCell ref="DO750:DS750"/>
    <mergeCell ref="DJ745:DN745"/>
    <mergeCell ref="DO745:DS745"/>
    <mergeCell ref="CG744:CH744"/>
    <mergeCell ref="CI744:CJ744"/>
    <mergeCell ref="CG750:CH750"/>
    <mergeCell ref="DJ747:DN747"/>
    <mergeCell ref="DO747:DS747"/>
    <mergeCell ref="CZ747:DD747"/>
    <mergeCell ref="DE747:DI747"/>
    <mergeCell ref="CP744:CT744"/>
    <mergeCell ref="DJ744:DN744"/>
    <mergeCell ref="CI748:CJ748"/>
    <mergeCell ref="CI742:CJ742"/>
    <mergeCell ref="CK742:CL742"/>
    <mergeCell ref="CZ744:DD744"/>
    <mergeCell ref="EZ748:FD748"/>
    <mergeCell ref="AK747:AO747"/>
    <mergeCell ref="CZ732:DD732"/>
    <mergeCell ref="CP748:CT748"/>
    <mergeCell ref="CU748:CY748"/>
    <mergeCell ref="CZ730:DD730"/>
    <mergeCell ref="CK748:CL748"/>
    <mergeCell ref="CM748:CN748"/>
    <mergeCell ref="CU736:CY736"/>
    <mergeCell ref="CP737:CT737"/>
    <mergeCell ref="CU746:CY746"/>
    <mergeCell ref="CM742:CN742"/>
    <mergeCell ref="CP746:CT746"/>
    <mergeCell ref="CG734:CH734"/>
    <mergeCell ref="CM733:CN733"/>
    <mergeCell ref="CI733:CJ733"/>
    <mergeCell ref="AK739:AO739"/>
    <mergeCell ref="CZ740:DD740"/>
    <mergeCell ref="CU741:CY741"/>
    <mergeCell ref="CZ739:DD739"/>
    <mergeCell ref="CG742:CH742"/>
    <mergeCell ref="CG743:CH743"/>
    <mergeCell ref="CI732:CJ732"/>
    <mergeCell ref="CM746:CN746"/>
    <mergeCell ref="CG739:CH739"/>
    <mergeCell ref="CG740:CH740"/>
    <mergeCell ref="CK737:CL737"/>
    <mergeCell ref="CG732:CH732"/>
    <mergeCell ref="CP734:CT734"/>
    <mergeCell ref="DE788:DI788"/>
    <mergeCell ref="CI750:CJ750"/>
    <mergeCell ref="DE790:DI790"/>
    <mergeCell ref="DE791:DI791"/>
    <mergeCell ref="DE792:DI792"/>
    <mergeCell ref="DE793:DI793"/>
    <mergeCell ref="DE794:DI794"/>
    <mergeCell ref="AK743:AO743"/>
    <mergeCell ref="AK744:AO744"/>
    <mergeCell ref="DE746:DI746"/>
    <mergeCell ref="CU751:CY751"/>
    <mergeCell ref="CP797:CT797"/>
    <mergeCell ref="CU776:CY776"/>
    <mergeCell ref="CP750:CT750"/>
    <mergeCell ref="CU750:CY750"/>
    <mergeCell ref="CZ750:DD750"/>
    <mergeCell ref="CZ775:DD775"/>
    <mergeCell ref="CZ776:DD776"/>
    <mergeCell ref="CG749:CH749"/>
    <mergeCell ref="CK752:CL752"/>
    <mergeCell ref="CP751:CT751"/>
    <mergeCell ref="CM751:CN751"/>
    <mergeCell ref="CP789:CT789"/>
    <mergeCell ref="CP787:CT787"/>
    <mergeCell ref="CK746:CL746"/>
    <mergeCell ref="CK743:CL743"/>
    <mergeCell ref="CM743:CN743"/>
    <mergeCell ref="CI743:CJ743"/>
    <mergeCell ref="DE743:DI743"/>
    <mergeCell ref="CU753:CY753"/>
    <mergeCell ref="CM752:CN752"/>
    <mergeCell ref="C766:AR768"/>
    <mergeCell ref="DO791:DS791"/>
    <mergeCell ref="CI752:CJ752"/>
    <mergeCell ref="DO793:DS793"/>
    <mergeCell ref="DO794:DS794"/>
    <mergeCell ref="DO795:DS795"/>
    <mergeCell ref="DO796:DS796"/>
    <mergeCell ref="DO797:DS797"/>
    <mergeCell ref="DE718:DI718"/>
    <mergeCell ref="CK718:CL718"/>
    <mergeCell ref="CU787:CY787"/>
    <mergeCell ref="CU788:CY788"/>
    <mergeCell ref="CU789:CY789"/>
    <mergeCell ref="CU790:CY790"/>
    <mergeCell ref="CU791:CY791"/>
    <mergeCell ref="CU792:CY792"/>
    <mergeCell ref="CU793:CY793"/>
    <mergeCell ref="CU794:CY794"/>
    <mergeCell ref="CU795:CY795"/>
    <mergeCell ref="CU796:CY796"/>
    <mergeCell ref="CU797:CY797"/>
    <mergeCell ref="CZ787:DD787"/>
    <mergeCell ref="CZ788:DD788"/>
    <mergeCell ref="CZ789:DD789"/>
    <mergeCell ref="CZ790:DD790"/>
    <mergeCell ref="CZ791:DD791"/>
    <mergeCell ref="CZ792:DD792"/>
    <mergeCell ref="CZ793:DD793"/>
    <mergeCell ref="CZ794:DD794"/>
    <mergeCell ref="CZ795:DD795"/>
    <mergeCell ref="CZ796:DD796"/>
    <mergeCell ref="CZ797:DD797"/>
    <mergeCell ref="DE787:DI787"/>
    <mergeCell ref="AA1056:AF1056"/>
    <mergeCell ref="AA1057:AF1057"/>
    <mergeCell ref="G1058:AN1060"/>
    <mergeCell ref="ET787:EX787"/>
    <mergeCell ref="ET788:EX788"/>
    <mergeCell ref="ET789:EX789"/>
    <mergeCell ref="ET790:EX790"/>
    <mergeCell ref="ET791:EX791"/>
    <mergeCell ref="ET792:EX792"/>
    <mergeCell ref="ET793:EX793"/>
    <mergeCell ref="ET794:EX794"/>
    <mergeCell ref="ET795:EX795"/>
    <mergeCell ref="ET796:EX796"/>
    <mergeCell ref="ET797:EX797"/>
    <mergeCell ref="ET799:EX799"/>
    <mergeCell ref="CU802:CY802"/>
    <mergeCell ref="CZ802:DD802"/>
    <mergeCell ref="DE802:DI802"/>
    <mergeCell ref="DJ802:DN802"/>
    <mergeCell ref="DO802:DS802"/>
    <mergeCell ref="EJ787:EN787"/>
    <mergeCell ref="DU787:DY787"/>
    <mergeCell ref="DU788:DY788"/>
    <mergeCell ref="DU789:DY789"/>
    <mergeCell ref="DU790:DY790"/>
    <mergeCell ref="DU791:DY791"/>
    <mergeCell ref="DU792:DY792"/>
    <mergeCell ref="DU793:DY793"/>
    <mergeCell ref="DU794:DY794"/>
    <mergeCell ref="DU795:DY795"/>
    <mergeCell ref="DU796:DY796"/>
    <mergeCell ref="DE789:DI789"/>
    <mergeCell ref="AA333:AK333"/>
    <mergeCell ref="EO796:ES796"/>
    <mergeCell ref="DU797:DY797"/>
    <mergeCell ref="EJ788:EN788"/>
    <mergeCell ref="EJ789:EN789"/>
    <mergeCell ref="EJ790:EN790"/>
    <mergeCell ref="EJ791:EN791"/>
    <mergeCell ref="EJ792:EN792"/>
    <mergeCell ref="EJ793:EN793"/>
    <mergeCell ref="EJ794:EN794"/>
    <mergeCell ref="EJ795:EN795"/>
    <mergeCell ref="EJ796:EN796"/>
    <mergeCell ref="EJ797:EN797"/>
    <mergeCell ref="EE787:EI787"/>
    <mergeCell ref="EE788:EI788"/>
    <mergeCell ref="EE789:EI789"/>
    <mergeCell ref="EE790:EI790"/>
    <mergeCell ref="EE791:EI791"/>
    <mergeCell ref="EE792:EI792"/>
    <mergeCell ref="EE793:EI793"/>
    <mergeCell ref="EE794:EI794"/>
    <mergeCell ref="EE795:EI795"/>
    <mergeCell ref="EE796:EI796"/>
    <mergeCell ref="EE797:EI797"/>
    <mergeCell ref="EO788:ES788"/>
    <mergeCell ref="DZ797:ED797"/>
    <mergeCell ref="DE795:DI795"/>
    <mergeCell ref="DE796:DI796"/>
    <mergeCell ref="DE797:DI797"/>
    <mergeCell ref="DJ787:DN787"/>
    <mergeCell ref="DJ788:DN788"/>
    <mergeCell ref="DJ789:DN789"/>
    <mergeCell ref="DJ790:DN790"/>
    <mergeCell ref="DJ791:DN791"/>
    <mergeCell ref="DJ792:DN792"/>
    <mergeCell ref="DJ793:DN793"/>
    <mergeCell ref="DO792:DS792"/>
    <mergeCell ref="EO797:ES797"/>
    <mergeCell ref="DZ787:ED787"/>
    <mergeCell ref="DZ788:ED788"/>
    <mergeCell ref="DZ789:ED789"/>
    <mergeCell ref="DZ790:ED790"/>
    <mergeCell ref="DZ791:ED791"/>
    <mergeCell ref="DZ792:ED792"/>
    <mergeCell ref="DZ793:ED793"/>
    <mergeCell ref="DZ794:ED794"/>
    <mergeCell ref="DZ795:ED795"/>
    <mergeCell ref="DZ796:ED796"/>
    <mergeCell ref="EO789:ES789"/>
    <mergeCell ref="EO790:ES790"/>
    <mergeCell ref="EO791:ES791"/>
    <mergeCell ref="EO792:ES792"/>
    <mergeCell ref="EO793:ES793"/>
    <mergeCell ref="EO794:ES794"/>
    <mergeCell ref="EO795:ES795"/>
    <mergeCell ref="EO787:ES787"/>
    <mergeCell ref="DJ794:DN794"/>
    <mergeCell ref="DJ795:DN795"/>
    <mergeCell ref="DJ796:DN796"/>
    <mergeCell ref="DJ797:DN797"/>
    <mergeCell ref="DO787:DS787"/>
    <mergeCell ref="DO788:DS788"/>
    <mergeCell ref="DO789:DS789"/>
    <mergeCell ref="DO790:DS790"/>
  </mergeCells>
  <phoneticPr fontId="0" type="noConversion"/>
  <conditionalFormatting sqref="B1060:F1060 AO1060:AP1060">
    <cfRule type="expression" dxfId="106" priority="5">
      <formula>0=$B$1060</formula>
    </cfRule>
  </conditionalFormatting>
  <conditionalFormatting sqref="C555:C565 Q555:AS565 Q628:Z638 AC628:AS638">
    <cfRule type="expression" dxfId="105" priority="22">
      <formula>$AT555="!"</formula>
    </cfRule>
  </conditionalFormatting>
  <conditionalFormatting sqref="C628:C638">
    <cfRule type="expression" dxfId="104" priority="21">
      <formula>$AT628="!"</formula>
    </cfRule>
  </conditionalFormatting>
  <conditionalFormatting sqref="C894:T895">
    <cfRule type="expression" dxfId="103" priority="7">
      <formula>AND(AC894&lt;&gt;"",OR(C894="Other (Specify):",C894=""))</formula>
    </cfRule>
  </conditionalFormatting>
  <conditionalFormatting sqref="D213">
    <cfRule type="expression" dxfId="102" priority="263">
      <formula>AND($Q$212&gt;0,$T$212&lt;75%)</formula>
    </cfRule>
  </conditionalFormatting>
  <conditionalFormatting sqref="D216">
    <cfRule type="expression" dxfId="101" priority="30">
      <formula>NOT($D$211="At-Risk")</formula>
    </cfRule>
  </conditionalFormatting>
  <conditionalFormatting sqref="D215:U215">
    <cfRule type="expression" dxfId="100" priority="34">
      <formula>NOT(OR($D$214="Seniors",$D$211="Seniors"))</formula>
    </cfRule>
  </conditionalFormatting>
  <conditionalFormatting sqref="D214:Z214">
    <cfRule type="expression" dxfId="99" priority="264">
      <formula>AND($Q$212&gt;0,$T$212&lt;75%)</formula>
    </cfRule>
  </conditionalFormatting>
  <conditionalFormatting sqref="E707:AK707">
    <cfRule type="expression" dxfId="98" priority="20">
      <formula>AND($W$706="Other",OR($E$707="(specify here)",$E$707=""))</formula>
    </cfRule>
  </conditionalFormatting>
  <conditionalFormatting sqref="F831:L831">
    <cfRule type="expression" dxfId="97" priority="15">
      <formula>AND(OR(M831&lt;&gt;"",$Q$811&lt;&gt;"",$U$811&lt;&gt;"",$Y$811&lt;&gt;"",$AC$811&lt;&gt;"",$AG$811&lt;&gt;"",SUM($M$831:$AJ$831)&gt;0),OR(F831="(specify here)",F831=""))</formula>
    </cfRule>
  </conditionalFormatting>
  <conditionalFormatting sqref="F457:AB458">
    <cfRule type="expression" dxfId="96" priority="4">
      <formula>$AC$454=""</formula>
    </cfRule>
  </conditionalFormatting>
  <conditionalFormatting sqref="G1055:AN1060">
    <cfRule type="expression" dxfId="95" priority="1">
      <formula>OR($Z$205="15% set-aside",$Z$205="15% set-aside with qualifying low value rehab")</formula>
    </cfRule>
  </conditionalFormatting>
  <conditionalFormatting sqref="L508:X508">
    <cfRule type="expression" dxfId="94" priority="29">
      <formula>AND(NOT(AC508="N/A"),AH508&lt;&gt;"",OR(L508="(specify here)",L508=""))</formula>
    </cfRule>
  </conditionalFormatting>
  <conditionalFormatting sqref="M846:V846">
    <cfRule type="expression" dxfId="93" priority="14">
      <formula>AND(W846&lt;&gt;"",OR(M846="(specify here)",M846=""))</formula>
    </cfRule>
  </conditionalFormatting>
  <conditionalFormatting sqref="M861:V861">
    <cfRule type="expression" dxfId="92" priority="13">
      <formula>AND(W861&lt;&gt;"",OR(M861="(specify here)",M861=""))</formula>
    </cfRule>
  </conditionalFormatting>
  <conditionalFormatting sqref="M871:V871">
    <cfRule type="expression" dxfId="91" priority="12">
      <formula>AND(W871&lt;&gt;"",OR(M871="(specify here)",M871=""))</formula>
    </cfRule>
  </conditionalFormatting>
  <conditionalFormatting sqref="M874:V878">
    <cfRule type="expression" dxfId="90" priority="11">
      <formula>AND(W874&lt;&gt;"",OR(M874="(specify here)",M874=""))</formula>
    </cfRule>
  </conditionalFormatting>
  <conditionalFormatting sqref="O520:AA520">
    <cfRule type="expression" dxfId="89" priority="28">
      <formula>AND(OR(AND(NOT(AC520="N/A"),AH520&lt;&gt;""),AND(NOT(AC521="N/A"),AH521&lt;&gt;""),AND(NOT(AC522="N/A"),AH522&lt;&gt;"")),OR(O520="(specify here)",O520=""))</formula>
    </cfRule>
  </conditionalFormatting>
  <conditionalFormatting sqref="O523:AA523">
    <cfRule type="expression" dxfId="88" priority="27">
      <formula>AND(OR(AND(NOT(AC523="N/A"),AH523&lt;&gt;""),AND(NOT(AC524="N/A"),AH524&lt;&gt;""),AND(NOT(AC525="N/A"),AH525&lt;&gt;"")),OR(O523="(specify here)",O523=""))</formula>
    </cfRule>
  </conditionalFormatting>
  <conditionalFormatting sqref="O526:AA526">
    <cfRule type="expression" dxfId="87" priority="26">
      <formula>AND(OR(AND(NOT(AC526="N/A"),AH526&lt;&gt;""),AND(NOT(AC527="N/A"),AH527&lt;&gt;""),AND(NOT(AC528="N/A"),AH528&lt;&gt;"")),OR(O526="(specify here)",O526=""))</formula>
    </cfRule>
  </conditionalFormatting>
  <conditionalFormatting sqref="O529:AA529">
    <cfRule type="expression" dxfId="86" priority="25">
      <formula>AND(OR(AND(NOT(AC529="N/A"),AH529&lt;&gt;""),AND(NOT(AC530="N/A"),AH530&lt;&gt;""),AND(NOT(AC531="N/A"),AH531&lt;&gt;"")),OR(O529="(specify here)",O529=""))</formula>
    </cfRule>
  </conditionalFormatting>
  <conditionalFormatting sqref="O532:AA532">
    <cfRule type="expression" dxfId="85" priority="24">
      <formula>AND(OR(AND(NOT(AC532="N/A"),AH532&lt;&gt;""),AND(NOT(AC533="N/A"),AH533&lt;&gt;""),AND(NOT(AC534="N/A"),AH534&lt;&gt;"")),OR(O532="(specify here)",O532=""))</formula>
    </cfRule>
  </conditionalFormatting>
  <conditionalFormatting sqref="O535:AA535">
    <cfRule type="expression" dxfId="84" priority="23">
      <formula>AND(OR(AND(NOT(AC535="N/A"),AH535&lt;&gt;""),AND(NOT(AC536="N/A"),AH536&lt;&gt;""),AND(NOT(AC537="N/A"),AH537&lt;&gt;"")),OR(O535="(specify here)",O535=""))</formula>
    </cfRule>
  </conditionalFormatting>
  <conditionalFormatting sqref="P816:Y816">
    <cfRule type="expression" dxfId="83" priority="16">
      <formula>AND(Z816&lt;&gt;"",OR(P816="(specify here)",P816=""))</formula>
    </cfRule>
  </conditionalFormatting>
  <conditionalFormatting sqref="T212:U212">
    <cfRule type="expression" dxfId="82" priority="3">
      <formula>AND($T$212=0,$Q$212="")</formula>
    </cfRule>
  </conditionalFormatting>
  <conditionalFormatting sqref="U894:U895">
    <cfRule type="expression" dxfId="81" priority="260">
      <formula>AND(AU878&lt;&gt;"",OR(U894="Other (Specify):",U894=""))</formula>
    </cfRule>
  </conditionalFormatting>
  <conditionalFormatting sqref="V894:AB895">
    <cfRule type="expression" dxfId="80" priority="261">
      <formula>AND(AV888&lt;&gt;"",OR(V894="Other (Specify):",V894=""))</formula>
    </cfRule>
  </conditionalFormatting>
  <conditionalFormatting sqref="W974:AG974">
    <cfRule type="expression" dxfId="79" priority="6">
      <formula>AND($AA$953&lt;&gt;"",OR($W$952="",$W$952="(specify here)"))</formula>
    </cfRule>
  </conditionalFormatting>
  <conditionalFormatting sqref="Y508:AB508">
    <cfRule type="expression" dxfId="78" priority="262">
      <formula>AND(NOT(AP508="N/A"),AU507&lt;&gt;"",OR(Y508="(specify here)",Y508=""))</formula>
    </cfRule>
  </conditionalFormatting>
  <conditionalFormatting sqref="AA1057:AF1057">
    <cfRule type="expression" dxfId="77" priority="2">
      <formula>OR($Z$205="15% set-aside",$Z$205="15% set-aside with qualifying low value rehab")</formula>
    </cfRule>
  </conditionalFormatting>
  <conditionalFormatting sqref="AA215:AO215">
    <cfRule type="expression" dxfId="76" priority="35">
      <formula>NOT(OR($D$214="Seniors",$D$211="Seniors"))</formula>
    </cfRule>
  </conditionalFormatting>
  <conditionalFormatting sqref="AB216:AM216">
    <cfRule type="expression" dxfId="75" priority="31">
      <formula>NOT($D$211="At-Risk")</formula>
    </cfRule>
  </conditionalFormatting>
  <conditionalFormatting sqref="AF1021">
    <cfRule type="cellIs" dxfId="74" priority="41" stopIfTrue="1" operator="equal">
      <formula>"Please Enter Amount:"</formula>
    </cfRule>
  </conditionalFormatting>
  <conditionalFormatting sqref="AF1026">
    <cfRule type="cellIs" dxfId="73" priority="38" stopIfTrue="1" operator="equal">
      <formula>"Please Enter Amount:"</formula>
    </cfRule>
  </conditionalFormatting>
  <conditionalFormatting sqref="AF1033">
    <cfRule type="cellIs" dxfId="72" priority="39" stopIfTrue="1" operator="equal">
      <formula>"Please Enter Amount:"</formula>
    </cfRule>
  </conditionalFormatting>
  <conditionalFormatting sqref="AG441:AJ441">
    <cfRule type="expression" dxfId="71" priority="45" stopIfTrue="1">
      <formula>"iserror(d31)"</formula>
    </cfRule>
  </conditionalFormatting>
  <conditionalFormatting sqref="AJ1045">
    <cfRule type="cellIs" dxfId="70" priority="44" stopIfTrue="1" operator="equal">
      <formula>"#DIV/0!"</formula>
    </cfRule>
  </conditionalFormatting>
  <dataValidations xWindow="329" yWindow="269" count="59">
    <dataValidation type="list" allowBlank="1" showInputMessage="1" showErrorMessage="1" sqref="S413:T413 A1081:B1081 AE425:AF425 A1103:B1103 M355:N358 A1125:B1125 A1097:B1097 A1070:B1070 A1075:B1075 R411:S412 A1089:B1089 A1094:B1094 A1100:B1100 A1065:B1065 A1067:B1067 A1085:B1085" xr:uid="{00000000-0002-0000-0400-000000000000}">
      <formula1>"N/A, Yes"</formula1>
    </dataValidation>
    <dataValidation type="list" allowBlank="1" showInputMessage="1" showErrorMessage="1" sqref="O974 N689 AG689 AG665 N665 AG673 N673 AG681 N681 AG615 AG649 N649 AG657 N657 AG607 AG599 N591 AG591 N607 AG583 N599 N575 N615 N583 AG575 O33:P33 X180 R177 AP205 T195:T197 AH194 T199:T200" xr:uid="{00000000-0002-0000-0400-000001000000}">
      <formula1>"Yes, No"</formula1>
    </dataValidation>
    <dataValidation type="list" allowBlank="1" showInputMessage="1" showErrorMessage="1" sqref="AG1011 AG1020 AG1029 AG994 AG1001 AG1036 Q489 AG1007 AG1013 AG1016 AG1025 AG1032 AG1041" xr:uid="{00000000-0002-0000-0400-000002000000}">
      <formula1>"Yes,No"</formula1>
    </dataValidation>
    <dataValidation type="list" allowBlank="1" showInputMessage="1" showErrorMessage="1" sqref="J1024"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8:U95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5:T945" xr:uid="{00000000-0002-0000-0400-000014000000}">
      <formula1>"No,Yes"</formula1>
    </dataValidation>
    <dataValidation type="list" allowBlank="1" showInputMessage="1" showErrorMessage="1" sqref="M969:S969"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7 AB957" xr:uid="{00000000-0002-0000-0400-00001E000000}">
      <formula1>"(select one),Project-based vouchers (PBVs),Project-based contract (PBC),RAD conversion - PBVs, RAD conversion - PBC"</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2:AK962"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2:S962"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2:S972" xr:uid="{9CEC7422-BB08-4918-A04B-C33D1AA3FF65}">
      <formula1>"(select one),Project-based vouchers (PBVs),Project-based contract (PBC),RAD PBVs, RAD PBC"</formula1>
    </dataValidation>
    <dataValidation type="list" allowBlank="1" showInputMessage="1" showErrorMessage="1" sqref="J787:N796 J773:N776 B718:F752" xr:uid="{00000000-0002-0000-0400-00002C000000}">
      <formula1>UnitSizes</formula1>
    </dataValidation>
    <dataValidation type="list" allowBlank="1" showInputMessage="1" showErrorMessage="1" sqref="AC220:AQ220" xr:uid="{5ED4EA51-A5F7-4FD5-BA7A-660BC831B638}">
      <formula1>$BN$147:$BN$154</formula1>
    </dataValidation>
    <dataValidation type="list" showInputMessage="1" showErrorMessage="1" sqref="D220:Z220" xr:uid="{00000000-0002-0000-0400-000020000000}">
      <formula1>$BC$197:$BC$210</formula1>
    </dataValidation>
    <dataValidation type="list" allowBlank="1" showInputMessage="1" showErrorMessage="1" sqref="Z205" xr:uid="{9BEEE790-835C-4209-A33A-9B1065E69761}">
      <formula1>$BI$212:$BI$215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72" max="45" man="1"/>
    <brk id="334" max="45" man="1"/>
    <brk id="383" max="45" man="1"/>
    <brk id="435" max="45" man="1"/>
    <brk id="496" max="45" man="1"/>
    <brk id="543" max="45" man="1"/>
    <brk id="666" max="45" man="1"/>
    <brk id="708" max="45" man="1"/>
    <brk id="760" max="45" man="1"/>
    <brk id="819" max="45" man="1"/>
    <brk id="880" max="45" man="1"/>
    <brk id="950" max="45" man="1"/>
  </rowBreak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topLeftCell="A85" workbookViewId="0">
      <selection activeCell="I36" sqref="I36"/>
    </sheetView>
  </sheetViews>
  <sheetFormatPr defaultColWidth="0" defaultRowHeight="11.5" zeroHeight="1"/>
  <cols>
    <col min="1" max="1" width="35.7265625" style="187" customWidth="1"/>
    <col min="2" max="12" width="12.1796875" style="158" customWidth="1"/>
    <col min="13" max="17" width="11.26953125" style="158" customWidth="1"/>
    <col min="18" max="18" width="12.7265625" style="158" customWidth="1"/>
    <col min="19" max="20" width="12.1796875" style="158" customWidth="1"/>
    <col min="21" max="21" width="0.26953125" style="161" customWidth="1"/>
    <col min="22" max="16383" width="8.81640625" style="158" hidden="1"/>
    <col min="16384" max="16384" width="0.1796875" style="158" customWidth="1"/>
  </cols>
  <sheetData>
    <row r="1" spans="1:21" s="110" customFormat="1" ht="13.5">
      <c r="A1" s="168" t="s">
        <v>548</v>
      </c>
      <c r="B1" s="125"/>
      <c r="C1" s="125"/>
      <c r="D1" s="125"/>
      <c r="E1" s="126"/>
      <c r="F1" s="1875" t="s">
        <v>620</v>
      </c>
      <c r="G1" s="1876"/>
      <c r="H1" s="1876"/>
      <c r="I1" s="1876"/>
      <c r="J1" s="1876"/>
      <c r="K1" s="1876"/>
      <c r="L1" s="1876"/>
      <c r="M1" s="1876"/>
      <c r="N1" s="1876"/>
      <c r="O1" s="1876"/>
      <c r="P1" s="1876"/>
      <c r="Q1" s="1876"/>
      <c r="R1" s="1877"/>
      <c r="S1" s="112"/>
      <c r="T1" s="111"/>
      <c r="U1" s="113"/>
    </row>
    <row r="2" spans="1:21" s="138" customFormat="1" ht="71.25" customHeight="1">
      <c r="A2" s="137"/>
      <c r="B2" s="138" t="s">
        <v>23</v>
      </c>
      <c r="C2" s="138" t="s">
        <v>373</v>
      </c>
      <c r="D2" s="138" t="s">
        <v>372</v>
      </c>
      <c r="E2" s="138" t="s">
        <v>24</v>
      </c>
      <c r="F2" s="139" t="str">
        <f>Application!B627&amp;Application!C627</f>
        <v>1)Citibank</v>
      </c>
      <c r="G2" s="139" t="str">
        <f>Application!B628&amp;Application!C628</f>
        <v>2)Seller Note</v>
      </c>
      <c r="H2" s="139" t="str">
        <f>Application!B629&amp;Application!C629</f>
        <v>3)Seller Note Accrued Interest</v>
      </c>
      <c r="I2" s="139" t="str">
        <f>Application!B630&amp;Application!C630</f>
        <v>4)Seller Note #2</v>
      </c>
      <c r="J2" s="139" t="str">
        <f>Application!B631&amp;Application!C631</f>
        <v>5)NOI</v>
      </c>
      <c r="K2" s="139" t="str">
        <f>Application!B632&amp;Application!C632</f>
        <v>6)Deferred Developer Fee</v>
      </c>
      <c r="L2" s="139" t="str">
        <f>Application!B633&amp;Application!C633</f>
        <v>7)GP Contribution</v>
      </c>
      <c r="M2" s="139" t="str">
        <f>Application!B634&amp;Application!C634</f>
        <v>8)Existing Reserves</v>
      </c>
      <c r="N2" s="139" t="str">
        <f>Application!B635&amp;Application!C635</f>
        <v>9)</v>
      </c>
      <c r="O2" s="139" t="str">
        <f>Application!B636&amp;Application!C636</f>
        <v>10)</v>
      </c>
      <c r="P2" s="139" t="str">
        <f>Application!B637&amp;Application!C637</f>
        <v>11)</v>
      </c>
      <c r="Q2" s="139" t="str">
        <f>Application!B638&amp;Application!C638</f>
        <v>12)</v>
      </c>
      <c r="R2" s="139" t="s">
        <v>59</v>
      </c>
      <c r="S2" s="138" t="s">
        <v>182</v>
      </c>
      <c r="T2" s="138" t="s">
        <v>25</v>
      </c>
      <c r="U2" s="140"/>
    </row>
    <row r="3" spans="1:21" s="144" customFormat="1" ht="12">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4600000</v>
      </c>
      <c r="C4" s="147">
        <v>4600000</v>
      </c>
      <c r="D4" s="147"/>
      <c r="E4" s="147"/>
      <c r="F4" s="147"/>
      <c r="G4" s="147">
        <v>4600000</v>
      </c>
      <c r="H4" s="147"/>
      <c r="I4" s="147"/>
      <c r="J4" s="147"/>
      <c r="K4" s="147"/>
      <c r="L4" s="147"/>
      <c r="M4" s="147"/>
      <c r="N4" s="147"/>
      <c r="O4" s="147"/>
      <c r="P4" s="147"/>
      <c r="Q4" s="147">
        <v>0</v>
      </c>
      <c r="R4" s="517">
        <f>SUM(E4:Q4)</f>
        <v>4600000</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f>SUM(E5:P5)</f>
        <v>0</v>
      </c>
      <c r="R5" s="517">
        <f>SUM(E5:Q5)</f>
        <v>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f>SUM(E6:P6)</f>
        <v>0</v>
      </c>
      <c r="R6" s="517">
        <f>SUM(E6:Q6)</f>
        <v>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f>SUM(E7:P7)</f>
        <v>0</v>
      </c>
      <c r="R7" s="517">
        <f>SUM(E7:Q7)</f>
        <v>0</v>
      </c>
      <c r="S7" s="148"/>
      <c r="T7" s="148"/>
      <c r="U7" s="143"/>
    </row>
    <row r="8" spans="1:21" s="144" customFormat="1">
      <c r="A8" s="149" t="s">
        <v>592</v>
      </c>
      <c r="B8" s="146">
        <f>SUM(C8:D8)</f>
        <v>4600000</v>
      </c>
      <c r="C8" s="146">
        <f t="shared" ref="C8:Q8" si="0">SUM(C4:C7)</f>
        <v>4600000</v>
      </c>
      <c r="D8" s="146">
        <f t="shared" si="0"/>
        <v>0</v>
      </c>
      <c r="E8" s="146">
        <f t="shared" si="0"/>
        <v>0</v>
      </c>
      <c r="F8" s="146">
        <f t="shared" si="0"/>
        <v>0</v>
      </c>
      <c r="G8" s="146">
        <f t="shared" si="0"/>
        <v>4600000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43">
        <f>SUM(R4:R7)</f>
        <v>4600000</v>
      </c>
      <c r="S8" s="148"/>
      <c r="T8" s="148"/>
      <c r="U8" s="143"/>
    </row>
    <row r="9" spans="1:21" s="144" customFormat="1">
      <c r="A9" s="145" t="s">
        <v>593</v>
      </c>
      <c r="B9" s="146">
        <f>SUM(C9+D9)</f>
        <v>9000000</v>
      </c>
      <c r="C9" s="147">
        <v>9000000</v>
      </c>
      <c r="D9" s="147"/>
      <c r="E9" s="147">
        <v>2109326</v>
      </c>
      <c r="F9" s="147"/>
      <c r="G9" s="147">
        <v>6890674</v>
      </c>
      <c r="H9" s="147"/>
      <c r="I9" s="147"/>
      <c r="J9" s="147"/>
      <c r="K9" s="147"/>
      <c r="L9" s="147"/>
      <c r="M9" s="147"/>
      <c r="N9" s="147"/>
      <c r="O9" s="147"/>
      <c r="P9" s="147"/>
      <c r="Q9" s="147"/>
      <c r="R9" s="517">
        <f>SUM(E9:Q9)</f>
        <v>9000000</v>
      </c>
      <c r="S9" s="148"/>
      <c r="T9" s="147">
        <v>9000000</v>
      </c>
      <c r="U9" s="143"/>
    </row>
    <row r="10" spans="1:21" s="144" customFormat="1">
      <c r="A10" s="145" t="s">
        <v>594</v>
      </c>
      <c r="B10" s="146">
        <f>SUM(C10+D10)</f>
        <v>0</v>
      </c>
      <c r="C10" s="147"/>
      <c r="D10" s="147"/>
      <c r="E10" s="147"/>
      <c r="F10" s="147"/>
      <c r="G10" s="147"/>
      <c r="H10" s="147"/>
      <c r="I10" s="147"/>
      <c r="J10" s="147"/>
      <c r="K10" s="147"/>
      <c r="L10" s="147"/>
      <c r="M10" s="147"/>
      <c r="N10" s="147"/>
      <c r="O10" s="147"/>
      <c r="P10" s="147"/>
      <c r="Q10" s="147"/>
      <c r="R10" s="517">
        <f>SUM(E10:Q10)</f>
        <v>0</v>
      </c>
      <c r="S10" s="147"/>
      <c r="T10" s="147"/>
      <c r="U10" s="143"/>
    </row>
    <row r="11" spans="1:21" s="144" customFormat="1">
      <c r="A11" s="149" t="s">
        <v>595</v>
      </c>
      <c r="B11" s="146">
        <f>SUM(C11:D11)</f>
        <v>9000000</v>
      </c>
      <c r="C11" s="146">
        <f t="shared" ref="C11:Q11" si="1">SUM(C9:C10)</f>
        <v>9000000</v>
      </c>
      <c r="D11" s="146">
        <f t="shared" si="1"/>
        <v>0</v>
      </c>
      <c r="E11" s="146">
        <f t="shared" si="1"/>
        <v>2109326</v>
      </c>
      <c r="F11" s="146">
        <f t="shared" si="1"/>
        <v>0</v>
      </c>
      <c r="G11" s="146">
        <f t="shared" si="1"/>
        <v>6890674</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43">
        <f>SUM(R9:R10)</f>
        <v>9000000</v>
      </c>
      <c r="S11" s="148"/>
      <c r="T11" s="150">
        <f>SUM(T9:T10)</f>
        <v>9000000</v>
      </c>
      <c r="U11" s="143"/>
    </row>
    <row r="12" spans="1:21" s="144" customFormat="1">
      <c r="A12" s="149" t="s">
        <v>84</v>
      </c>
      <c r="B12" s="146">
        <f t="shared" ref="B12:Q12" si="2">SUM(B8+B11)</f>
        <v>13600000</v>
      </c>
      <c r="C12" s="146">
        <f t="shared" si="2"/>
        <v>13600000</v>
      </c>
      <c r="D12" s="146">
        <f t="shared" si="2"/>
        <v>0</v>
      </c>
      <c r="E12" s="146">
        <f t="shared" si="2"/>
        <v>2109326</v>
      </c>
      <c r="F12" s="146">
        <f t="shared" si="2"/>
        <v>0</v>
      </c>
      <c r="G12" s="146">
        <f t="shared" si="2"/>
        <v>11490674</v>
      </c>
      <c r="H12" s="146">
        <f t="shared" si="2"/>
        <v>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43">
        <f>SUM(R8+R11)</f>
        <v>13600000</v>
      </c>
      <c r="S12" s="148"/>
      <c r="T12" s="148"/>
      <c r="U12" s="143"/>
    </row>
    <row r="13" spans="1:21" s="144" customFormat="1">
      <c r="A13" s="288" t="s">
        <v>901</v>
      </c>
      <c r="B13" s="146">
        <f>SUM(C13+D13)</f>
        <v>0</v>
      </c>
      <c r="C13" s="147"/>
      <c r="D13" s="147"/>
      <c r="E13" s="147"/>
      <c r="F13" s="147"/>
      <c r="G13" s="147"/>
      <c r="H13" s="147"/>
      <c r="I13" s="147"/>
      <c r="J13" s="147"/>
      <c r="K13" s="147"/>
      <c r="L13" s="147"/>
      <c r="M13" s="147"/>
      <c r="N13" s="147"/>
      <c r="O13" s="147"/>
      <c r="P13" s="147"/>
      <c r="Q13" s="147"/>
      <c r="R13" s="517">
        <f>SUM(E13:Q13)</f>
        <v>0</v>
      </c>
      <c r="S13" s="147"/>
      <c r="T13" s="147"/>
      <c r="U13" s="143"/>
    </row>
    <row r="14" spans="1:21" s="144" customFormat="1" ht="23">
      <c r="A14" s="289" t="s">
        <v>1642</v>
      </c>
      <c r="B14" s="146">
        <f>SUM(C14+D14)</f>
        <v>0</v>
      </c>
      <c r="C14" s="147"/>
      <c r="D14" s="147"/>
      <c r="E14" s="147"/>
      <c r="F14" s="147"/>
      <c r="G14" s="147"/>
      <c r="H14" s="147"/>
      <c r="I14" s="147"/>
      <c r="J14" s="147"/>
      <c r="K14" s="147"/>
      <c r="L14" s="147"/>
      <c r="M14" s="147"/>
      <c r="N14" s="147"/>
      <c r="O14" s="147"/>
      <c r="P14" s="147"/>
      <c r="Q14" s="147"/>
      <c r="R14" s="517">
        <f>SUM(E14:Q14)</f>
        <v>0</v>
      </c>
      <c r="S14" s="147"/>
      <c r="T14" s="147"/>
      <c r="U14" s="143"/>
    </row>
    <row r="15" spans="1:21" s="144" customFormat="1">
      <c r="A15" s="289" t="s">
        <v>1160</v>
      </c>
      <c r="B15" s="146">
        <f>SUM(C15+D15)</f>
        <v>0</v>
      </c>
      <c r="C15" s="147"/>
      <c r="D15" s="147"/>
      <c r="E15" s="147"/>
      <c r="F15" s="147"/>
      <c r="G15" s="147"/>
      <c r="H15" s="147"/>
      <c r="I15" s="147"/>
      <c r="J15" s="147"/>
      <c r="K15" s="147"/>
      <c r="L15" s="147"/>
      <c r="M15" s="147"/>
      <c r="N15" s="147"/>
      <c r="O15" s="147"/>
      <c r="P15" s="147"/>
      <c r="Q15" s="147"/>
      <c r="R15" s="517">
        <f>SUM(E15:Q15)</f>
        <v>0</v>
      </c>
      <c r="S15" s="148"/>
      <c r="T15" s="148"/>
      <c r="U15" s="143"/>
    </row>
    <row r="16" spans="1:21" s="144" customFormat="1" ht="12">
      <c r="A16" s="141" t="s">
        <v>596</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597</v>
      </c>
      <c r="B17" s="146">
        <f t="shared" ref="B17:B26" si="3">SUM(C17+D17)</f>
        <v>0</v>
      </c>
      <c r="C17" s="147"/>
      <c r="D17" s="147"/>
      <c r="E17" s="147"/>
      <c r="F17" s="147"/>
      <c r="G17" s="147"/>
      <c r="H17" s="147"/>
      <c r="I17" s="147"/>
      <c r="J17" s="147"/>
      <c r="K17" s="147"/>
      <c r="L17" s="147"/>
      <c r="M17" s="147"/>
      <c r="N17" s="147"/>
      <c r="O17" s="147"/>
      <c r="P17" s="147"/>
      <c r="Q17" s="147"/>
      <c r="R17" s="517">
        <f>SUM(E17:Q17)</f>
        <v>0</v>
      </c>
      <c r="S17" s="147"/>
      <c r="T17" s="147"/>
      <c r="U17" s="143"/>
    </row>
    <row r="18" spans="1:21" s="144" customFormat="1">
      <c r="A18" s="145" t="s">
        <v>598</v>
      </c>
      <c r="B18" s="146">
        <f t="shared" si="3"/>
        <v>8419656</v>
      </c>
      <c r="C18" s="147">
        <f>ROUND(+'[1]Development Proforma-Acq-Rehab'!D12,0)-C19-C20-C21-C22-C23-C24-C25</f>
        <v>8419656</v>
      </c>
      <c r="D18" s="147"/>
      <c r="E18" s="147">
        <f>C18-SUM(F18:P18)</f>
        <v>931289</v>
      </c>
      <c r="F18" s="147">
        <v>6900000</v>
      </c>
      <c r="G18" s="147"/>
      <c r="H18" s="147"/>
      <c r="I18" s="147"/>
      <c r="J18" s="147">
        <v>577280</v>
      </c>
      <c r="K18" s="147"/>
      <c r="L18" s="147">
        <v>100</v>
      </c>
      <c r="M18" s="147">
        <v>10987</v>
      </c>
      <c r="N18" s="147"/>
      <c r="O18" s="147"/>
      <c r="P18" s="147"/>
      <c r="Q18" s="147"/>
      <c r="R18" s="517">
        <f>SUM(E18:Q18)</f>
        <v>8419656</v>
      </c>
      <c r="S18" s="147">
        <f>+R18</f>
        <v>8419656</v>
      </c>
      <c r="T18" s="147"/>
      <c r="U18" s="143"/>
    </row>
    <row r="19" spans="1:21" s="144" customFormat="1">
      <c r="A19" s="145" t="s">
        <v>599</v>
      </c>
      <c r="B19" s="146">
        <f t="shared" si="3"/>
        <v>520653</v>
      </c>
      <c r="C19" s="147">
        <v>520653</v>
      </c>
      <c r="D19" s="147"/>
      <c r="E19" s="147">
        <f>C19-SUM(F19:P19)</f>
        <v>520653</v>
      </c>
      <c r="F19" s="147"/>
      <c r="G19" s="147"/>
      <c r="H19" s="147"/>
      <c r="I19" s="147"/>
      <c r="J19" s="147"/>
      <c r="K19" s="147"/>
      <c r="L19" s="147"/>
      <c r="M19" s="147"/>
      <c r="N19" s="147"/>
      <c r="O19" s="147"/>
      <c r="P19" s="147"/>
      <c r="Q19" s="147"/>
      <c r="R19" s="517">
        <f>SUM(E19:Q19)</f>
        <v>520653</v>
      </c>
      <c r="S19" s="147">
        <f t="shared" ref="S19:S25" si="4">+R19</f>
        <v>520653</v>
      </c>
      <c r="T19" s="147"/>
      <c r="U19" s="143"/>
    </row>
    <row r="20" spans="1:21" s="144" customFormat="1">
      <c r="A20" s="145" t="s">
        <v>137</v>
      </c>
      <c r="B20" s="146">
        <f t="shared" si="3"/>
        <v>326321</v>
      </c>
      <c r="C20" s="147">
        <v>326321</v>
      </c>
      <c r="D20" s="147"/>
      <c r="E20" s="147">
        <f>C20-SUM(F20:P20)</f>
        <v>326321</v>
      </c>
      <c r="F20" s="147"/>
      <c r="G20" s="147"/>
      <c r="H20" s="147"/>
      <c r="I20" s="147"/>
      <c r="J20" s="147"/>
      <c r="K20" s="147"/>
      <c r="L20" s="147"/>
      <c r="M20" s="147"/>
      <c r="N20" s="147"/>
      <c r="O20" s="147"/>
      <c r="P20" s="147"/>
      <c r="Q20" s="147"/>
      <c r="R20" s="517">
        <f t="shared" ref="R20:R27" si="5">SUM(E20:Q20)</f>
        <v>326321</v>
      </c>
      <c r="S20" s="147">
        <f t="shared" si="4"/>
        <v>326321</v>
      </c>
      <c r="T20" s="147"/>
      <c r="U20" s="143"/>
    </row>
    <row r="21" spans="1:21" s="144" customFormat="1">
      <c r="A21" s="145" t="s">
        <v>138</v>
      </c>
      <c r="B21" s="146">
        <f t="shared" si="3"/>
        <v>326321</v>
      </c>
      <c r="C21" s="147">
        <v>326321</v>
      </c>
      <c r="D21" s="147"/>
      <c r="E21" s="147">
        <f>C21-SUM(F21:P21)</f>
        <v>326321</v>
      </c>
      <c r="F21" s="147"/>
      <c r="G21" s="147"/>
      <c r="H21" s="147"/>
      <c r="I21" s="147"/>
      <c r="J21" s="147"/>
      <c r="K21" s="147"/>
      <c r="L21" s="147"/>
      <c r="M21" s="147"/>
      <c r="N21" s="147"/>
      <c r="O21" s="147"/>
      <c r="P21" s="147"/>
      <c r="Q21" s="147"/>
      <c r="R21" s="517">
        <f t="shared" si="5"/>
        <v>326321</v>
      </c>
      <c r="S21" s="147">
        <f t="shared" si="4"/>
        <v>326321</v>
      </c>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17">
        <f t="shared" si="5"/>
        <v>0</v>
      </c>
      <c r="S22" s="147">
        <f t="shared" si="4"/>
        <v>0</v>
      </c>
      <c r="T22" s="147"/>
      <c r="U22" s="143"/>
    </row>
    <row r="23" spans="1:21" s="144" customFormat="1">
      <c r="A23" s="145" t="s">
        <v>140</v>
      </c>
      <c r="B23" s="146">
        <f t="shared" si="3"/>
        <v>133211</v>
      </c>
      <c r="C23" s="147">
        <v>133211</v>
      </c>
      <c r="D23" s="147"/>
      <c r="E23" s="147">
        <f>C23-SUM(F23:P23)</f>
        <v>133211</v>
      </c>
      <c r="F23" s="147"/>
      <c r="G23" s="147"/>
      <c r="H23" s="147"/>
      <c r="I23" s="147"/>
      <c r="J23" s="147"/>
      <c r="K23" s="147"/>
      <c r="L23" s="147"/>
      <c r="M23" s="147"/>
      <c r="N23" s="147"/>
      <c r="O23" s="147"/>
      <c r="P23" s="147"/>
      <c r="Q23" s="147"/>
      <c r="R23" s="517">
        <f t="shared" si="5"/>
        <v>133211</v>
      </c>
      <c r="S23" s="147">
        <f t="shared" si="4"/>
        <v>133211</v>
      </c>
      <c r="T23" s="147"/>
      <c r="U23" s="143"/>
    </row>
    <row r="24" spans="1:21" s="144" customFormat="1">
      <c r="A24" s="509" t="s">
        <v>1639</v>
      </c>
      <c r="B24" s="146">
        <f t="shared" si="3"/>
        <v>0</v>
      </c>
      <c r="C24" s="147"/>
      <c r="D24" s="147"/>
      <c r="E24" s="147"/>
      <c r="F24" s="147"/>
      <c r="G24" s="147"/>
      <c r="H24" s="147"/>
      <c r="I24" s="147"/>
      <c r="J24" s="147"/>
      <c r="K24" s="147"/>
      <c r="L24" s="147"/>
      <c r="M24" s="147"/>
      <c r="N24" s="147"/>
      <c r="O24" s="147"/>
      <c r="P24" s="147"/>
      <c r="Q24" s="147"/>
      <c r="R24" s="517">
        <f t="shared" si="5"/>
        <v>0</v>
      </c>
      <c r="S24" s="147">
        <f t="shared" si="4"/>
        <v>0</v>
      </c>
      <c r="T24" s="147"/>
      <c r="U24" s="143"/>
    </row>
    <row r="25" spans="1:21" s="144" customFormat="1">
      <c r="A25" s="1151" t="s">
        <v>2728</v>
      </c>
      <c r="B25" s="146">
        <f t="shared" si="3"/>
        <v>142488</v>
      </c>
      <c r="C25" s="147">
        <v>142488</v>
      </c>
      <c r="D25" s="147"/>
      <c r="E25" s="147">
        <f>C25-SUM(F25:P25)</f>
        <v>142488</v>
      </c>
      <c r="F25" s="147"/>
      <c r="G25" s="147"/>
      <c r="H25" s="147"/>
      <c r="I25" s="147"/>
      <c r="J25" s="147"/>
      <c r="K25" s="147"/>
      <c r="L25" s="147"/>
      <c r="M25" s="147"/>
      <c r="N25" s="147"/>
      <c r="O25" s="147"/>
      <c r="P25" s="147"/>
      <c r="Q25" s="147"/>
      <c r="R25" s="517">
        <f t="shared" si="5"/>
        <v>142488</v>
      </c>
      <c r="S25" s="147">
        <f t="shared" si="4"/>
        <v>142488</v>
      </c>
      <c r="T25" s="147"/>
      <c r="U25" s="143"/>
    </row>
    <row r="26" spans="1:21" s="144" customFormat="1">
      <c r="A26" s="149" t="s">
        <v>133</v>
      </c>
      <c r="B26" s="146">
        <f t="shared" si="3"/>
        <v>9868650</v>
      </c>
      <c r="C26" s="146">
        <f>SUM(C17:C25)</f>
        <v>9868650</v>
      </c>
      <c r="D26" s="146">
        <f t="shared" ref="D26:Q26" si="6">SUM(D17:D25)</f>
        <v>0</v>
      </c>
      <c r="E26" s="146">
        <f t="shared" si="6"/>
        <v>2380283</v>
      </c>
      <c r="F26" s="146">
        <f t="shared" si="6"/>
        <v>6900000</v>
      </c>
      <c r="G26" s="146">
        <f t="shared" si="6"/>
        <v>0</v>
      </c>
      <c r="H26" s="146">
        <f t="shared" si="6"/>
        <v>0</v>
      </c>
      <c r="I26" s="146">
        <f t="shared" si="6"/>
        <v>0</v>
      </c>
      <c r="J26" s="146">
        <f t="shared" si="6"/>
        <v>577280</v>
      </c>
      <c r="K26" s="146">
        <f t="shared" si="6"/>
        <v>0</v>
      </c>
      <c r="L26" s="146">
        <f t="shared" si="6"/>
        <v>100</v>
      </c>
      <c r="M26" s="146">
        <f t="shared" si="6"/>
        <v>10987</v>
      </c>
      <c r="N26" s="146">
        <f t="shared" si="6"/>
        <v>0</v>
      </c>
      <c r="O26" s="146">
        <f t="shared" si="6"/>
        <v>0</v>
      </c>
      <c r="P26" s="146">
        <f t="shared" si="6"/>
        <v>0</v>
      </c>
      <c r="Q26" s="146">
        <f t="shared" si="6"/>
        <v>0</v>
      </c>
      <c r="R26" s="343">
        <f>SUM(R17:R25)</f>
        <v>9868650</v>
      </c>
      <c r="S26" s="150">
        <f>SUM(S17:S25)</f>
        <v>9868650</v>
      </c>
      <c r="T26" s="150">
        <f>SUM(T17:T25)</f>
        <v>0</v>
      </c>
      <c r="U26" s="143"/>
    </row>
    <row r="27" spans="1:21" s="144" customFormat="1">
      <c r="A27" s="149" t="s">
        <v>141</v>
      </c>
      <c r="B27" s="146">
        <f>SUM(C27:D27)</f>
        <v>800000</v>
      </c>
      <c r="C27" s="147">
        <v>800000</v>
      </c>
      <c r="D27" s="147"/>
      <c r="E27" s="147">
        <v>800000</v>
      </c>
      <c r="F27" s="147"/>
      <c r="G27" s="147"/>
      <c r="H27" s="147"/>
      <c r="I27" s="147"/>
      <c r="J27" s="147"/>
      <c r="K27" s="147"/>
      <c r="L27" s="147"/>
      <c r="M27" s="147"/>
      <c r="N27" s="147"/>
      <c r="O27" s="147"/>
      <c r="P27" s="147"/>
      <c r="Q27" s="147"/>
      <c r="R27" s="517">
        <f t="shared" si="5"/>
        <v>800000</v>
      </c>
      <c r="S27" s="147">
        <v>800000</v>
      </c>
      <c r="T27" s="147"/>
      <c r="U27" s="143"/>
    </row>
    <row r="28" spans="1:21" s="144" customFormat="1" ht="12">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597</v>
      </c>
      <c r="B29" s="146">
        <f t="shared" ref="B29:B38" si="7">SUM(C29+D29)</f>
        <v>0</v>
      </c>
      <c r="C29" s="147"/>
      <c r="D29" s="147"/>
      <c r="E29" s="147"/>
      <c r="F29" s="147"/>
      <c r="G29" s="147"/>
      <c r="H29" s="147"/>
      <c r="I29" s="147"/>
      <c r="J29" s="147"/>
      <c r="K29" s="147"/>
      <c r="L29" s="147"/>
      <c r="M29" s="147"/>
      <c r="N29" s="147"/>
      <c r="O29" s="147"/>
      <c r="P29" s="147"/>
      <c r="Q29" s="147"/>
      <c r="R29" s="517">
        <f t="shared" ref="R29:R37" si="8">SUM(E29:Q29)</f>
        <v>0</v>
      </c>
      <c r="S29" s="147"/>
      <c r="T29" s="147"/>
      <c r="U29" s="143"/>
    </row>
    <row r="30" spans="1:21" s="144" customFormat="1">
      <c r="A30" s="145" t="s">
        <v>598</v>
      </c>
      <c r="B30" s="146">
        <f t="shared" si="7"/>
        <v>0</v>
      </c>
      <c r="C30" s="147"/>
      <c r="D30" s="147"/>
      <c r="E30" s="147"/>
      <c r="F30" s="147"/>
      <c r="G30" s="147"/>
      <c r="H30" s="147"/>
      <c r="I30" s="147"/>
      <c r="J30" s="147"/>
      <c r="K30" s="147"/>
      <c r="L30" s="147"/>
      <c r="M30" s="147"/>
      <c r="N30" s="147"/>
      <c r="O30" s="147"/>
      <c r="P30" s="147"/>
      <c r="Q30" s="147"/>
      <c r="R30" s="517">
        <f t="shared" si="8"/>
        <v>0</v>
      </c>
      <c r="S30" s="147"/>
      <c r="T30" s="147"/>
      <c r="U30" s="143"/>
    </row>
    <row r="31" spans="1:21" s="144" customFormat="1">
      <c r="A31" s="145" t="s">
        <v>599</v>
      </c>
      <c r="B31" s="146">
        <f t="shared" si="7"/>
        <v>0</v>
      </c>
      <c r="C31" s="147"/>
      <c r="D31" s="147"/>
      <c r="E31" s="147"/>
      <c r="F31" s="147"/>
      <c r="G31" s="147"/>
      <c r="H31" s="147"/>
      <c r="I31" s="147"/>
      <c r="J31" s="147"/>
      <c r="K31" s="147"/>
      <c r="L31" s="147"/>
      <c r="M31" s="147"/>
      <c r="N31" s="147"/>
      <c r="O31" s="147"/>
      <c r="P31" s="147"/>
      <c r="Q31" s="147"/>
      <c r="R31" s="517">
        <f t="shared" si="8"/>
        <v>0</v>
      </c>
      <c r="S31" s="147"/>
      <c r="T31" s="147"/>
      <c r="U31" s="143"/>
    </row>
    <row r="32" spans="1:21" s="144" customFormat="1">
      <c r="A32" s="145" t="s">
        <v>137</v>
      </c>
      <c r="B32" s="146">
        <f t="shared" si="7"/>
        <v>0</v>
      </c>
      <c r="C32" s="147"/>
      <c r="D32" s="147"/>
      <c r="E32" s="147"/>
      <c r="F32" s="147"/>
      <c r="G32" s="147"/>
      <c r="H32" s="147"/>
      <c r="I32" s="147"/>
      <c r="J32" s="147"/>
      <c r="K32" s="147"/>
      <c r="L32" s="147"/>
      <c r="M32" s="147"/>
      <c r="N32" s="147"/>
      <c r="O32" s="147"/>
      <c r="P32" s="147"/>
      <c r="Q32" s="147"/>
      <c r="R32" s="517">
        <f t="shared" si="8"/>
        <v>0</v>
      </c>
      <c r="S32" s="147"/>
      <c r="T32" s="147"/>
      <c r="U32" s="143"/>
    </row>
    <row r="33" spans="1:21" s="144" customFormat="1">
      <c r="A33" s="145" t="s">
        <v>138</v>
      </c>
      <c r="B33" s="146">
        <f t="shared" si="7"/>
        <v>0</v>
      </c>
      <c r="C33" s="147"/>
      <c r="D33" s="147"/>
      <c r="E33" s="147"/>
      <c r="F33" s="147"/>
      <c r="G33" s="147"/>
      <c r="H33" s="147"/>
      <c r="I33" s="147"/>
      <c r="J33" s="147"/>
      <c r="K33" s="147"/>
      <c r="L33" s="147"/>
      <c r="M33" s="147"/>
      <c r="N33" s="147"/>
      <c r="O33" s="147"/>
      <c r="P33" s="147"/>
      <c r="Q33" s="147"/>
      <c r="R33" s="517">
        <f t="shared" si="8"/>
        <v>0</v>
      </c>
      <c r="S33" s="147"/>
      <c r="T33" s="147"/>
      <c r="U33" s="143"/>
    </row>
    <row r="34" spans="1:21" s="144" customFormat="1">
      <c r="A34" s="145" t="s">
        <v>139</v>
      </c>
      <c r="B34" s="146">
        <f t="shared" si="7"/>
        <v>0</v>
      </c>
      <c r="C34" s="147"/>
      <c r="D34" s="147"/>
      <c r="E34" s="147"/>
      <c r="F34" s="147"/>
      <c r="G34" s="147"/>
      <c r="H34" s="147"/>
      <c r="I34" s="147"/>
      <c r="J34" s="147"/>
      <c r="K34" s="147"/>
      <c r="L34" s="147"/>
      <c r="M34" s="147"/>
      <c r="N34" s="147"/>
      <c r="O34" s="147"/>
      <c r="P34" s="147"/>
      <c r="Q34" s="147"/>
      <c r="R34" s="517">
        <f t="shared" si="8"/>
        <v>0</v>
      </c>
      <c r="S34" s="147"/>
      <c r="T34" s="147"/>
      <c r="U34" s="143"/>
    </row>
    <row r="35" spans="1:21" s="144" customFormat="1">
      <c r="A35" s="145" t="s">
        <v>140</v>
      </c>
      <c r="B35" s="146">
        <f t="shared" si="7"/>
        <v>0</v>
      </c>
      <c r="C35" s="147"/>
      <c r="D35" s="147"/>
      <c r="E35" s="147"/>
      <c r="F35" s="147"/>
      <c r="G35" s="147"/>
      <c r="H35" s="147"/>
      <c r="I35" s="147"/>
      <c r="J35" s="147"/>
      <c r="K35" s="147"/>
      <c r="L35" s="147"/>
      <c r="M35" s="147"/>
      <c r="N35" s="147"/>
      <c r="O35" s="147"/>
      <c r="P35" s="147"/>
      <c r="Q35" s="147"/>
      <c r="R35" s="517">
        <f t="shared" si="8"/>
        <v>0</v>
      </c>
      <c r="S35" s="147"/>
      <c r="T35" s="147"/>
      <c r="U35" s="143"/>
    </row>
    <row r="36" spans="1:21" s="144" customFormat="1">
      <c r="A36" s="284" t="s">
        <v>1639</v>
      </c>
      <c r="B36" s="146">
        <f t="shared" si="7"/>
        <v>0</v>
      </c>
      <c r="C36" s="147"/>
      <c r="D36" s="147"/>
      <c r="E36" s="147"/>
      <c r="F36" s="147"/>
      <c r="G36" s="147"/>
      <c r="H36" s="147"/>
      <c r="I36" s="147"/>
      <c r="J36" s="147"/>
      <c r="K36" s="147"/>
      <c r="L36" s="147"/>
      <c r="M36" s="147"/>
      <c r="N36" s="147"/>
      <c r="O36" s="147"/>
      <c r="P36" s="147"/>
      <c r="Q36" s="147"/>
      <c r="R36" s="517">
        <f t="shared" si="8"/>
        <v>0</v>
      </c>
      <c r="S36" s="147"/>
      <c r="T36" s="147"/>
      <c r="U36" s="143"/>
    </row>
    <row r="37" spans="1:21" s="144" customFormat="1">
      <c r="A37" s="1151" t="s">
        <v>34</v>
      </c>
      <c r="B37" s="146">
        <f t="shared" si="7"/>
        <v>0</v>
      </c>
      <c r="C37" s="147"/>
      <c r="D37" s="147"/>
      <c r="E37" s="147"/>
      <c r="F37" s="147"/>
      <c r="G37" s="147"/>
      <c r="H37" s="147"/>
      <c r="I37" s="147"/>
      <c r="J37" s="147"/>
      <c r="K37" s="147"/>
      <c r="L37" s="147"/>
      <c r="M37" s="147"/>
      <c r="N37" s="147"/>
      <c r="O37" s="147"/>
      <c r="P37" s="147"/>
      <c r="Q37" s="147"/>
      <c r="R37" s="517">
        <f t="shared" si="8"/>
        <v>0</v>
      </c>
      <c r="S37" s="147"/>
      <c r="T37" s="147"/>
      <c r="U37" s="143"/>
    </row>
    <row r="38" spans="1:21" s="144" customFormat="1">
      <c r="A38" s="149" t="s">
        <v>143</v>
      </c>
      <c r="B38" s="146">
        <f t="shared" si="7"/>
        <v>0</v>
      </c>
      <c r="C38" s="146">
        <f>SUM(C29:C37)</f>
        <v>0</v>
      </c>
      <c r="D38" s="146">
        <f t="shared" ref="D38:Q38" si="9">SUM(D29:D37)</f>
        <v>0</v>
      </c>
      <c r="E38" s="146">
        <f t="shared" si="9"/>
        <v>0</v>
      </c>
      <c r="F38" s="146">
        <f t="shared" si="9"/>
        <v>0</v>
      </c>
      <c r="G38" s="146">
        <f t="shared" si="9"/>
        <v>0</v>
      </c>
      <c r="H38" s="146">
        <f t="shared" si="9"/>
        <v>0</v>
      </c>
      <c r="I38" s="146">
        <f t="shared" si="9"/>
        <v>0</v>
      </c>
      <c r="J38" s="146">
        <f t="shared" si="9"/>
        <v>0</v>
      </c>
      <c r="K38" s="146">
        <f t="shared" si="9"/>
        <v>0</v>
      </c>
      <c r="L38" s="146">
        <f t="shared" si="9"/>
        <v>0</v>
      </c>
      <c r="M38" s="146">
        <f t="shared" si="9"/>
        <v>0</v>
      </c>
      <c r="N38" s="146">
        <f t="shared" si="9"/>
        <v>0</v>
      </c>
      <c r="O38" s="146">
        <f t="shared" si="9"/>
        <v>0</v>
      </c>
      <c r="P38" s="146">
        <f t="shared" si="9"/>
        <v>0</v>
      </c>
      <c r="Q38" s="146">
        <f t="shared" si="9"/>
        <v>0</v>
      </c>
      <c r="R38" s="343">
        <f>SUM(R29:R37)</f>
        <v>0</v>
      </c>
      <c r="S38" s="150">
        <f>SUM(S29:S37)</f>
        <v>0</v>
      </c>
      <c r="T38" s="150">
        <f>SUM(T29:T37)</f>
        <v>0</v>
      </c>
      <c r="U38" s="143"/>
    </row>
    <row r="39" spans="1:21" s="144" customFormat="1" ht="12">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280000</v>
      </c>
      <c r="C40" s="147">
        <v>280000</v>
      </c>
      <c r="D40" s="147"/>
      <c r="E40" s="147">
        <v>280000</v>
      </c>
      <c r="F40" s="147"/>
      <c r="G40" s="147"/>
      <c r="H40" s="147"/>
      <c r="I40" s="147"/>
      <c r="J40" s="147"/>
      <c r="K40" s="147"/>
      <c r="L40" s="147"/>
      <c r="M40" s="147"/>
      <c r="N40" s="147"/>
      <c r="O40" s="147"/>
      <c r="P40" s="147"/>
      <c r="Q40" s="147"/>
      <c r="R40" s="517">
        <f>SUM(E40:Q40)</f>
        <v>280000</v>
      </c>
      <c r="S40" s="147">
        <v>280000</v>
      </c>
      <c r="T40" s="147"/>
      <c r="U40" s="143"/>
    </row>
    <row r="41" spans="1:21" s="144" customFormat="1">
      <c r="A41" s="145" t="s">
        <v>146</v>
      </c>
      <c r="B41" s="146">
        <f>SUM(C41+D41)</f>
        <v>0</v>
      </c>
      <c r="C41" s="147"/>
      <c r="D41" s="147"/>
      <c r="E41" s="147"/>
      <c r="F41" s="147"/>
      <c r="G41" s="147"/>
      <c r="H41" s="147"/>
      <c r="I41" s="147"/>
      <c r="J41" s="147"/>
      <c r="K41" s="147"/>
      <c r="L41" s="147"/>
      <c r="M41" s="147"/>
      <c r="N41" s="147"/>
      <c r="O41" s="147"/>
      <c r="P41" s="147"/>
      <c r="Q41" s="147"/>
      <c r="R41" s="517">
        <f>SUM(E41:Q41)</f>
        <v>0</v>
      </c>
      <c r="S41" s="147"/>
      <c r="T41" s="147"/>
      <c r="U41" s="143"/>
    </row>
    <row r="42" spans="1:21" s="144" customFormat="1">
      <c r="A42" s="149" t="s">
        <v>147</v>
      </c>
      <c r="B42" s="146">
        <f>SUM(C42:D42)</f>
        <v>280000</v>
      </c>
      <c r="C42" s="146">
        <f>SUM(C39:C41)</f>
        <v>280000</v>
      </c>
      <c r="D42" s="146">
        <f>SUM(D39:D41)</f>
        <v>0</v>
      </c>
      <c r="E42" s="146">
        <f t="shared" ref="E42:T42" si="10">SUM(E40:E41)</f>
        <v>280000</v>
      </c>
      <c r="F42" s="146">
        <f t="shared" si="10"/>
        <v>0</v>
      </c>
      <c r="G42" s="146">
        <f t="shared" si="10"/>
        <v>0</v>
      </c>
      <c r="H42" s="146">
        <f t="shared" si="10"/>
        <v>0</v>
      </c>
      <c r="I42" s="146">
        <f t="shared" si="10"/>
        <v>0</v>
      </c>
      <c r="J42" s="146">
        <f t="shared" si="10"/>
        <v>0</v>
      </c>
      <c r="K42" s="146">
        <f t="shared" si="10"/>
        <v>0</v>
      </c>
      <c r="L42" s="146">
        <f t="shared" si="10"/>
        <v>0</v>
      </c>
      <c r="M42" s="146">
        <f t="shared" si="10"/>
        <v>0</v>
      </c>
      <c r="N42" s="146">
        <f t="shared" si="10"/>
        <v>0</v>
      </c>
      <c r="O42" s="146">
        <f t="shared" si="10"/>
        <v>0</v>
      </c>
      <c r="P42" s="146">
        <f t="shared" si="10"/>
        <v>0</v>
      </c>
      <c r="Q42" s="146">
        <f t="shared" si="10"/>
        <v>0</v>
      </c>
      <c r="R42" s="343">
        <f>SUM(R40:R41)</f>
        <v>280000</v>
      </c>
      <c r="S42" s="150">
        <f t="shared" si="10"/>
        <v>280000</v>
      </c>
      <c r="T42" s="150">
        <f t="shared" si="10"/>
        <v>0</v>
      </c>
      <c r="U42" s="143"/>
    </row>
    <row r="43" spans="1:21" s="144" customFormat="1">
      <c r="A43" s="149" t="s">
        <v>148</v>
      </c>
      <c r="B43" s="146">
        <f>SUM(C43:D43)</f>
        <v>97900</v>
      </c>
      <c r="C43" s="147">
        <v>97900</v>
      </c>
      <c r="D43" s="147"/>
      <c r="E43" s="147">
        <v>97900</v>
      </c>
      <c r="F43" s="147"/>
      <c r="G43" s="147"/>
      <c r="H43" s="147"/>
      <c r="I43" s="147"/>
      <c r="J43" s="147"/>
      <c r="K43" s="147"/>
      <c r="L43" s="147"/>
      <c r="M43" s="147"/>
      <c r="N43" s="147"/>
      <c r="O43" s="147"/>
      <c r="P43" s="147"/>
      <c r="Q43" s="147"/>
      <c r="R43" s="517">
        <f>SUM(E43:Q43)</f>
        <v>97900</v>
      </c>
      <c r="S43" s="147">
        <v>97900</v>
      </c>
      <c r="T43" s="147"/>
      <c r="U43" s="143"/>
    </row>
    <row r="44" spans="1:21" s="144" customFormat="1" ht="12">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1">SUM(C45+D45)</f>
        <v>1727434</v>
      </c>
      <c r="C45" s="147">
        <v>1727434</v>
      </c>
      <c r="D45" s="147"/>
      <c r="E45" s="147">
        <v>526008</v>
      </c>
      <c r="F45" s="147"/>
      <c r="G45" s="147"/>
      <c r="H45" s="147"/>
      <c r="I45" s="147">
        <v>1201426</v>
      </c>
      <c r="J45" s="147"/>
      <c r="K45" s="147"/>
      <c r="L45" s="147"/>
      <c r="M45" s="147"/>
      <c r="N45" s="147"/>
      <c r="O45" s="147"/>
      <c r="P45" s="147"/>
      <c r="Q45" s="147"/>
      <c r="R45" s="517">
        <f t="shared" ref="R45:R53" si="12">SUM(E45:Q45)</f>
        <v>1727434</v>
      </c>
      <c r="S45" s="147">
        <v>863717</v>
      </c>
      <c r="T45" s="147"/>
      <c r="U45" s="143"/>
    </row>
    <row r="46" spans="1:21" s="144" customFormat="1">
      <c r="A46" s="145" t="s">
        <v>151</v>
      </c>
      <c r="B46" s="146">
        <f t="shared" si="11"/>
        <v>0</v>
      </c>
      <c r="C46" s="147"/>
      <c r="D46" s="147"/>
      <c r="E46" s="147"/>
      <c r="F46" s="147"/>
      <c r="G46" s="147"/>
      <c r="H46" s="147"/>
      <c r="I46" s="147"/>
      <c r="J46" s="147"/>
      <c r="K46" s="147"/>
      <c r="L46" s="147"/>
      <c r="M46" s="147"/>
      <c r="N46" s="147"/>
      <c r="O46" s="147"/>
      <c r="P46" s="147"/>
      <c r="Q46" s="147"/>
      <c r="R46" s="517">
        <f t="shared" si="12"/>
        <v>0</v>
      </c>
      <c r="S46" s="147"/>
      <c r="T46" s="147"/>
      <c r="U46" s="143"/>
    </row>
    <row r="47" spans="1:21" s="144" customFormat="1">
      <c r="A47" s="186" t="s">
        <v>152</v>
      </c>
      <c r="B47" s="146">
        <f t="shared" si="11"/>
        <v>0</v>
      </c>
      <c r="C47" s="147"/>
      <c r="D47" s="147"/>
      <c r="E47" s="147"/>
      <c r="F47" s="147"/>
      <c r="G47" s="147"/>
      <c r="H47" s="147"/>
      <c r="I47" s="147"/>
      <c r="J47" s="147"/>
      <c r="K47" s="147"/>
      <c r="L47" s="147"/>
      <c r="M47" s="147"/>
      <c r="N47" s="147"/>
      <c r="O47" s="147"/>
      <c r="P47" s="147"/>
      <c r="Q47" s="147"/>
      <c r="R47" s="517">
        <f t="shared" si="12"/>
        <v>0</v>
      </c>
      <c r="S47" s="147"/>
      <c r="T47" s="147"/>
      <c r="U47" s="143"/>
    </row>
    <row r="48" spans="1:21" s="144" customFormat="1">
      <c r="A48" s="145" t="s">
        <v>153</v>
      </c>
      <c r="B48" s="146">
        <f t="shared" si="11"/>
        <v>0</v>
      </c>
      <c r="C48" s="147"/>
      <c r="D48" s="147"/>
      <c r="E48" s="147"/>
      <c r="F48" s="147"/>
      <c r="G48" s="147"/>
      <c r="H48" s="147"/>
      <c r="I48" s="147"/>
      <c r="J48" s="147"/>
      <c r="K48" s="147"/>
      <c r="L48" s="147"/>
      <c r="M48" s="147"/>
      <c r="N48" s="147"/>
      <c r="O48" s="147"/>
      <c r="P48" s="147"/>
      <c r="Q48" s="147"/>
      <c r="R48" s="517">
        <f t="shared" si="12"/>
        <v>0</v>
      </c>
      <c r="S48" s="147"/>
      <c r="T48" s="147"/>
      <c r="U48" s="143"/>
    </row>
    <row r="49" spans="1:21" s="144" customFormat="1">
      <c r="A49" s="145" t="s">
        <v>57</v>
      </c>
      <c r="B49" s="146">
        <f t="shared" si="11"/>
        <v>379043</v>
      </c>
      <c r="C49" s="147">
        <v>379043</v>
      </c>
      <c r="D49" s="147"/>
      <c r="E49" s="147">
        <v>379043</v>
      </c>
      <c r="F49" s="147"/>
      <c r="G49" s="147"/>
      <c r="H49" s="147"/>
      <c r="I49" s="147"/>
      <c r="J49" s="147"/>
      <c r="K49" s="147"/>
      <c r="L49" s="147"/>
      <c r="M49" s="147"/>
      <c r="N49" s="147"/>
      <c r="O49" s="147"/>
      <c r="P49" s="147"/>
      <c r="Q49" s="147"/>
      <c r="R49" s="517">
        <f t="shared" si="12"/>
        <v>379043</v>
      </c>
      <c r="S49" s="147">
        <v>121560</v>
      </c>
      <c r="T49" s="147"/>
      <c r="U49" s="143"/>
    </row>
    <row r="50" spans="1:21" s="144" customFormat="1">
      <c r="A50" s="145" t="s">
        <v>156</v>
      </c>
      <c r="B50" s="146">
        <f t="shared" si="11"/>
        <v>50000</v>
      </c>
      <c r="C50" s="147">
        <v>50000</v>
      </c>
      <c r="D50" s="147"/>
      <c r="E50" s="147">
        <v>50000</v>
      </c>
      <c r="F50" s="147"/>
      <c r="G50" s="147"/>
      <c r="H50" s="147"/>
      <c r="I50" s="147"/>
      <c r="J50" s="147"/>
      <c r="K50" s="147"/>
      <c r="L50" s="147"/>
      <c r="M50" s="147"/>
      <c r="N50" s="147"/>
      <c r="O50" s="147"/>
      <c r="P50" s="147"/>
      <c r="Q50" s="147"/>
      <c r="R50" s="517">
        <f t="shared" si="12"/>
        <v>50000</v>
      </c>
      <c r="S50" s="147">
        <v>50000</v>
      </c>
      <c r="T50" s="147"/>
      <c r="U50" s="143"/>
    </row>
    <row r="51" spans="1:21" s="144" customFormat="1">
      <c r="A51" s="284" t="s">
        <v>154</v>
      </c>
      <c r="B51" s="146">
        <f t="shared" si="11"/>
        <v>0</v>
      </c>
      <c r="C51" s="147"/>
      <c r="D51" s="147"/>
      <c r="E51" s="147"/>
      <c r="F51" s="147"/>
      <c r="G51" s="147"/>
      <c r="H51" s="147"/>
      <c r="I51" s="147"/>
      <c r="J51" s="147"/>
      <c r="K51" s="147"/>
      <c r="L51" s="147"/>
      <c r="M51" s="147"/>
      <c r="N51" s="147"/>
      <c r="O51" s="147"/>
      <c r="P51" s="147"/>
      <c r="Q51" s="147"/>
      <c r="R51" s="517">
        <f t="shared" si="12"/>
        <v>0</v>
      </c>
      <c r="S51" s="147"/>
      <c r="T51" s="147"/>
      <c r="U51" s="143"/>
    </row>
    <row r="52" spans="1:21" s="144" customFormat="1">
      <c r="A52" s="145" t="s">
        <v>155</v>
      </c>
      <c r="B52" s="146">
        <f t="shared" si="11"/>
        <v>300000</v>
      </c>
      <c r="C52" s="147">
        <v>300000</v>
      </c>
      <c r="D52" s="147"/>
      <c r="E52" s="147">
        <v>300000</v>
      </c>
      <c r="F52" s="147"/>
      <c r="G52" s="147"/>
      <c r="H52" s="147"/>
      <c r="I52" s="147"/>
      <c r="J52" s="147"/>
      <c r="K52" s="147"/>
      <c r="L52" s="147"/>
      <c r="M52" s="147"/>
      <c r="N52" s="147"/>
      <c r="O52" s="147"/>
      <c r="P52" s="147"/>
      <c r="Q52" s="147"/>
      <c r="R52" s="517">
        <f t="shared" si="12"/>
        <v>300000</v>
      </c>
      <c r="S52" s="147">
        <v>300000</v>
      </c>
      <c r="T52" s="147"/>
      <c r="U52" s="143"/>
    </row>
    <row r="53" spans="1:21" s="144" customFormat="1" ht="23">
      <c r="A53" s="1151" t="s">
        <v>2668</v>
      </c>
      <c r="B53" s="146">
        <f t="shared" si="11"/>
        <v>40000</v>
      </c>
      <c r="C53" s="147">
        <v>40000</v>
      </c>
      <c r="D53" s="147"/>
      <c r="E53" s="147">
        <v>40000</v>
      </c>
      <c r="F53" s="147"/>
      <c r="G53" s="147"/>
      <c r="H53" s="147"/>
      <c r="I53" s="147"/>
      <c r="J53" s="147"/>
      <c r="K53" s="147"/>
      <c r="L53" s="147"/>
      <c r="M53" s="147"/>
      <c r="N53" s="147"/>
      <c r="O53" s="147"/>
      <c r="P53" s="147"/>
      <c r="Q53" s="147"/>
      <c r="R53" s="517">
        <f t="shared" si="12"/>
        <v>40000</v>
      </c>
      <c r="S53" s="147">
        <v>40000</v>
      </c>
      <c r="T53" s="147"/>
      <c r="U53" s="143"/>
    </row>
    <row r="54" spans="1:21" s="153" customFormat="1">
      <c r="A54" s="149" t="s">
        <v>157</v>
      </c>
      <c r="B54" s="150">
        <f>SUM(C54:D54)</f>
        <v>2496477</v>
      </c>
      <c r="C54" s="150">
        <f t="shared" ref="C54:T54" si="13">SUM(C45:C53)</f>
        <v>2496477</v>
      </c>
      <c r="D54" s="150">
        <f t="shared" si="13"/>
        <v>0</v>
      </c>
      <c r="E54" s="150">
        <f t="shared" si="13"/>
        <v>1295051</v>
      </c>
      <c r="F54" s="150">
        <f t="shared" si="13"/>
        <v>0</v>
      </c>
      <c r="G54" s="150">
        <f t="shared" si="13"/>
        <v>0</v>
      </c>
      <c r="H54" s="150">
        <f t="shared" si="13"/>
        <v>0</v>
      </c>
      <c r="I54" s="150">
        <f t="shared" si="13"/>
        <v>1201426</v>
      </c>
      <c r="J54" s="150">
        <f t="shared" si="13"/>
        <v>0</v>
      </c>
      <c r="K54" s="150">
        <f t="shared" si="13"/>
        <v>0</v>
      </c>
      <c r="L54" s="150">
        <f t="shared" si="13"/>
        <v>0</v>
      </c>
      <c r="M54" s="150">
        <f t="shared" si="13"/>
        <v>0</v>
      </c>
      <c r="N54" s="150">
        <f t="shared" si="13"/>
        <v>0</v>
      </c>
      <c r="O54" s="150">
        <f t="shared" si="13"/>
        <v>0</v>
      </c>
      <c r="P54" s="150">
        <f t="shared" si="13"/>
        <v>0</v>
      </c>
      <c r="Q54" s="150">
        <f t="shared" si="13"/>
        <v>0</v>
      </c>
      <c r="R54" s="343">
        <f t="shared" si="13"/>
        <v>2496477</v>
      </c>
      <c r="S54" s="150">
        <f t="shared" si="13"/>
        <v>1375277</v>
      </c>
      <c r="T54" s="150">
        <f t="shared" si="13"/>
        <v>0</v>
      </c>
      <c r="U54" s="152"/>
    </row>
    <row r="55" spans="1:21" s="144" customFormat="1" ht="12">
      <c r="A55" s="141" t="s">
        <v>417</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4">SUM(C56+D56)</f>
        <v>0</v>
      </c>
      <c r="C56" s="147"/>
      <c r="D56" s="147"/>
      <c r="E56" s="147"/>
      <c r="F56" s="147"/>
      <c r="G56" s="147"/>
      <c r="H56" s="147"/>
      <c r="I56" s="147"/>
      <c r="J56" s="147"/>
      <c r="K56" s="147"/>
      <c r="L56" s="147"/>
      <c r="M56" s="147"/>
      <c r="N56" s="147"/>
      <c r="O56" s="147"/>
      <c r="P56" s="147"/>
      <c r="Q56" s="147"/>
      <c r="R56" s="517">
        <f t="shared" ref="R56:R61" si="15">SUM(E56:Q56)</f>
        <v>0</v>
      </c>
      <c r="S56" s="148"/>
      <c r="T56" s="148"/>
      <c r="U56" s="143"/>
    </row>
    <row r="57" spans="1:21" s="192" customFormat="1">
      <c r="A57" s="186" t="s">
        <v>152</v>
      </c>
      <c r="B57" s="193">
        <f t="shared" si="14"/>
        <v>0</v>
      </c>
      <c r="C57" s="190"/>
      <c r="D57" s="190"/>
      <c r="E57" s="190"/>
      <c r="F57" s="190"/>
      <c r="G57" s="190"/>
      <c r="H57" s="190"/>
      <c r="I57" s="190"/>
      <c r="J57" s="190"/>
      <c r="K57" s="190"/>
      <c r="L57" s="190"/>
      <c r="M57" s="190"/>
      <c r="N57" s="190"/>
      <c r="O57" s="190"/>
      <c r="P57" s="190"/>
      <c r="Q57" s="190"/>
      <c r="R57" s="517">
        <f t="shared" si="15"/>
        <v>0</v>
      </c>
      <c r="S57" s="194"/>
      <c r="T57" s="194"/>
      <c r="U57" s="191"/>
    </row>
    <row r="58" spans="1:21" s="144" customFormat="1">
      <c r="A58" s="145" t="s">
        <v>156</v>
      </c>
      <c r="B58" s="146">
        <f t="shared" si="14"/>
        <v>30000</v>
      </c>
      <c r="C58" s="147">
        <v>30000</v>
      </c>
      <c r="D58" s="147"/>
      <c r="E58" s="147">
        <v>30000</v>
      </c>
      <c r="F58" s="147"/>
      <c r="G58" s="147"/>
      <c r="H58" s="147"/>
      <c r="I58" s="147"/>
      <c r="J58" s="147"/>
      <c r="K58" s="147"/>
      <c r="L58" s="147"/>
      <c r="M58" s="147"/>
      <c r="N58" s="147"/>
      <c r="O58" s="147"/>
      <c r="P58" s="147"/>
      <c r="Q58" s="147"/>
      <c r="R58" s="517">
        <f t="shared" si="15"/>
        <v>30000</v>
      </c>
      <c r="S58" s="148"/>
      <c r="T58" s="148"/>
      <c r="U58" s="143"/>
    </row>
    <row r="59" spans="1:21" s="144" customFormat="1">
      <c r="A59" s="284" t="s">
        <v>154</v>
      </c>
      <c r="B59" s="146">
        <f t="shared" si="14"/>
        <v>0</v>
      </c>
      <c r="C59" s="147"/>
      <c r="D59" s="147"/>
      <c r="E59" s="147"/>
      <c r="F59" s="147"/>
      <c r="G59" s="147"/>
      <c r="H59" s="147"/>
      <c r="I59" s="147"/>
      <c r="J59" s="147"/>
      <c r="K59" s="147"/>
      <c r="L59" s="147"/>
      <c r="M59" s="147"/>
      <c r="N59" s="147"/>
      <c r="O59" s="147"/>
      <c r="P59" s="147"/>
      <c r="Q59" s="147"/>
      <c r="R59" s="517">
        <f t="shared" si="15"/>
        <v>0</v>
      </c>
      <c r="S59" s="148"/>
      <c r="T59" s="148"/>
      <c r="U59" s="143"/>
    </row>
    <row r="60" spans="1:21" s="144" customFormat="1">
      <c r="A60" s="145" t="s">
        <v>155</v>
      </c>
      <c r="B60" s="146">
        <f t="shared" si="14"/>
        <v>0</v>
      </c>
      <c r="C60" s="147"/>
      <c r="D60" s="147"/>
      <c r="E60" s="147"/>
      <c r="F60" s="147"/>
      <c r="G60" s="147"/>
      <c r="H60" s="147"/>
      <c r="I60" s="147"/>
      <c r="J60" s="147"/>
      <c r="K60" s="147"/>
      <c r="L60" s="147"/>
      <c r="M60" s="147"/>
      <c r="N60" s="147"/>
      <c r="O60" s="147"/>
      <c r="P60" s="147"/>
      <c r="Q60" s="147"/>
      <c r="R60" s="517">
        <f t="shared" si="15"/>
        <v>0</v>
      </c>
      <c r="S60" s="148"/>
      <c r="T60" s="148"/>
      <c r="U60" s="143"/>
    </row>
    <row r="61" spans="1:21" s="144" customFormat="1">
      <c r="A61" s="1151" t="s">
        <v>34</v>
      </c>
      <c r="B61" s="146">
        <f t="shared" si="14"/>
        <v>0</v>
      </c>
      <c r="C61" s="147"/>
      <c r="D61" s="147"/>
      <c r="E61" s="147"/>
      <c r="F61" s="147"/>
      <c r="G61" s="147"/>
      <c r="H61" s="147"/>
      <c r="I61" s="147"/>
      <c r="J61" s="147"/>
      <c r="K61" s="147"/>
      <c r="L61" s="147"/>
      <c r="M61" s="147"/>
      <c r="N61" s="147"/>
      <c r="O61" s="147"/>
      <c r="P61" s="147"/>
      <c r="Q61" s="147"/>
      <c r="R61" s="517">
        <f t="shared" si="15"/>
        <v>0</v>
      </c>
      <c r="S61" s="148"/>
      <c r="T61" s="148"/>
      <c r="U61" s="143"/>
    </row>
    <row r="62" spans="1:21" s="144" customFormat="1" ht="13.75" customHeight="1">
      <c r="A62" s="149" t="s">
        <v>300</v>
      </c>
      <c r="B62" s="146">
        <f>SUM(C62:D62)</f>
        <v>30000</v>
      </c>
      <c r="C62" s="146">
        <f t="shared" ref="C62:R62" si="16">SUM(C56:C61)</f>
        <v>30000</v>
      </c>
      <c r="D62" s="146">
        <f t="shared" si="16"/>
        <v>0</v>
      </c>
      <c r="E62" s="146">
        <f t="shared" si="16"/>
        <v>30000</v>
      </c>
      <c r="F62" s="146">
        <f t="shared" si="16"/>
        <v>0</v>
      </c>
      <c r="G62" s="146">
        <f t="shared" si="16"/>
        <v>0</v>
      </c>
      <c r="H62" s="146">
        <f t="shared" si="16"/>
        <v>0</v>
      </c>
      <c r="I62" s="146">
        <f t="shared" si="16"/>
        <v>0</v>
      </c>
      <c r="J62" s="146">
        <f t="shared" si="16"/>
        <v>0</v>
      </c>
      <c r="K62" s="146">
        <f t="shared" si="16"/>
        <v>0</v>
      </c>
      <c r="L62" s="146">
        <f t="shared" si="16"/>
        <v>0</v>
      </c>
      <c r="M62" s="146">
        <f t="shared" si="16"/>
        <v>0</v>
      </c>
      <c r="N62" s="146">
        <f t="shared" si="16"/>
        <v>0</v>
      </c>
      <c r="O62" s="146">
        <f t="shared" si="16"/>
        <v>0</v>
      </c>
      <c r="P62" s="146">
        <f t="shared" si="16"/>
        <v>0</v>
      </c>
      <c r="Q62" s="146">
        <f t="shared" si="16"/>
        <v>0</v>
      </c>
      <c r="R62" s="343">
        <f t="shared" si="16"/>
        <v>30000</v>
      </c>
      <c r="S62" s="148"/>
      <c r="T62" s="148"/>
      <c r="U62" s="143"/>
    </row>
    <row r="63" spans="1:21" s="144" customFormat="1">
      <c r="A63" s="154" t="s">
        <v>301</v>
      </c>
      <c r="B63" s="146">
        <f t="shared" ref="B63:R63" si="17">SUM(B8+B11+B13+B14+B15+B26+B27+B38+B42+B43+B54+B62)</f>
        <v>27173027</v>
      </c>
      <c r="C63" s="146">
        <f t="shared" si="17"/>
        <v>27173027</v>
      </c>
      <c r="D63" s="146">
        <f t="shared" si="17"/>
        <v>0</v>
      </c>
      <c r="E63" s="146">
        <f t="shared" si="17"/>
        <v>6992560</v>
      </c>
      <c r="F63" s="146">
        <f t="shared" si="17"/>
        <v>6900000</v>
      </c>
      <c r="G63" s="146">
        <f t="shared" si="17"/>
        <v>11490674</v>
      </c>
      <c r="H63" s="146">
        <f t="shared" si="17"/>
        <v>0</v>
      </c>
      <c r="I63" s="146">
        <f t="shared" si="17"/>
        <v>1201426</v>
      </c>
      <c r="J63" s="146">
        <f t="shared" si="17"/>
        <v>577280</v>
      </c>
      <c r="K63" s="146">
        <f t="shared" si="17"/>
        <v>0</v>
      </c>
      <c r="L63" s="146">
        <f t="shared" si="17"/>
        <v>100</v>
      </c>
      <c r="M63" s="146">
        <f t="shared" si="17"/>
        <v>10987</v>
      </c>
      <c r="N63" s="146">
        <f t="shared" si="17"/>
        <v>0</v>
      </c>
      <c r="O63" s="146">
        <f t="shared" si="17"/>
        <v>0</v>
      </c>
      <c r="P63" s="146">
        <f t="shared" si="17"/>
        <v>0</v>
      </c>
      <c r="Q63" s="146">
        <f t="shared" si="17"/>
        <v>0</v>
      </c>
      <c r="R63" s="343">
        <f t="shared" si="17"/>
        <v>27173027</v>
      </c>
      <c r="S63" s="146">
        <f>SUM(S10+S13+S14+S15+S26+S27+S38+S42+S43+S54)</f>
        <v>12421827</v>
      </c>
      <c r="T63" s="146">
        <f>SUM(T11+T13+T14+T15+T26+T27+T38+T42+T43+T54)</f>
        <v>9000000</v>
      </c>
      <c r="U63" s="143"/>
    </row>
    <row r="64" spans="1:21" s="144" customFormat="1" ht="24">
      <c r="A64" s="141" t="s">
        <v>1643</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170</v>
      </c>
      <c r="B65" s="146">
        <f>SUM(C65+D65)</f>
        <v>0</v>
      </c>
      <c r="C65" s="147"/>
      <c r="D65" s="147"/>
      <c r="E65" s="147"/>
      <c r="F65" s="147"/>
      <c r="G65" s="147"/>
      <c r="H65" s="147"/>
      <c r="I65" s="147"/>
      <c r="J65" s="147"/>
      <c r="K65" s="147"/>
      <c r="L65" s="147"/>
      <c r="M65" s="147"/>
      <c r="N65" s="147"/>
      <c r="O65" s="147"/>
      <c r="P65" s="147"/>
      <c r="Q65" s="147"/>
      <c r="R65" s="517">
        <f>SUM(E65:Q65)</f>
        <v>0</v>
      </c>
      <c r="S65" s="147"/>
      <c r="T65" s="147"/>
      <c r="U65" s="143"/>
    </row>
    <row r="66" spans="1:21" s="144" customFormat="1" ht="24" customHeight="1">
      <c r="A66" s="284" t="s">
        <v>1640</v>
      </c>
      <c r="B66" s="146">
        <f>SUM(C66+D66)</f>
        <v>0</v>
      </c>
      <c r="C66" s="147"/>
      <c r="D66" s="147"/>
      <c r="E66" s="147"/>
      <c r="F66" s="147"/>
      <c r="G66" s="147"/>
      <c r="H66" s="147"/>
      <c r="I66" s="147"/>
      <c r="J66" s="147"/>
      <c r="K66" s="147"/>
      <c r="L66" s="147"/>
      <c r="M66" s="147"/>
      <c r="N66" s="147"/>
      <c r="O66" s="147"/>
      <c r="P66" s="147"/>
      <c r="Q66" s="147"/>
      <c r="R66" s="517">
        <f>SUM(E66:Q66)</f>
        <v>0</v>
      </c>
      <c r="S66" s="147"/>
      <c r="T66" s="147"/>
      <c r="U66" s="143"/>
    </row>
    <row r="67" spans="1:21" s="144" customFormat="1" ht="24" customHeight="1">
      <c r="A67" s="284" t="s">
        <v>1641</v>
      </c>
      <c r="B67" s="146">
        <f>SUM(C67+D67)</f>
        <v>0</v>
      </c>
      <c r="C67" s="147"/>
      <c r="D67" s="147"/>
      <c r="E67" s="147"/>
      <c r="F67" s="147"/>
      <c r="G67" s="147"/>
      <c r="H67" s="147"/>
      <c r="I67" s="147"/>
      <c r="J67" s="147"/>
      <c r="K67" s="147"/>
      <c r="L67" s="147"/>
      <c r="M67" s="147"/>
      <c r="N67" s="147"/>
      <c r="O67" s="147"/>
      <c r="P67" s="147"/>
      <c r="Q67" s="147"/>
      <c r="R67" s="517">
        <f>SUM(E67:Q67)</f>
        <v>0</v>
      </c>
      <c r="S67" s="147"/>
      <c r="T67" s="147"/>
      <c r="U67" s="143"/>
    </row>
    <row r="68" spans="1:21" s="144" customFormat="1" ht="12" customHeight="1">
      <c r="A68" s="284" t="s">
        <v>1647</v>
      </c>
      <c r="B68" s="146">
        <f>SUM(C68+D68)</f>
        <v>0</v>
      </c>
      <c r="C68" s="147"/>
      <c r="D68" s="147"/>
      <c r="E68" s="147"/>
      <c r="F68" s="147"/>
      <c r="G68" s="147"/>
      <c r="H68" s="147"/>
      <c r="I68" s="147"/>
      <c r="J68" s="147"/>
      <c r="K68" s="147"/>
      <c r="L68" s="147"/>
      <c r="M68" s="147"/>
      <c r="N68" s="147"/>
      <c r="O68" s="147"/>
      <c r="P68" s="147"/>
      <c r="Q68" s="147"/>
      <c r="R68" s="517">
        <f>SUM(E68:Q68)</f>
        <v>0</v>
      </c>
      <c r="S68" s="147"/>
      <c r="T68" s="147"/>
      <c r="U68" s="143"/>
    </row>
    <row r="69" spans="1:21" s="144" customFormat="1" ht="23">
      <c r="A69" s="1151" t="s">
        <v>2669</v>
      </c>
      <c r="B69" s="146">
        <f>SUM(C69+D69)</f>
        <v>85000</v>
      </c>
      <c r="C69" s="147">
        <v>85000</v>
      </c>
      <c r="D69" s="147"/>
      <c r="E69" s="147">
        <v>85000</v>
      </c>
      <c r="F69" s="147"/>
      <c r="G69" s="147"/>
      <c r="H69" s="147"/>
      <c r="I69" s="147"/>
      <c r="J69" s="147"/>
      <c r="K69" s="147"/>
      <c r="L69" s="147"/>
      <c r="M69" s="147"/>
      <c r="N69" s="147"/>
      <c r="O69" s="147"/>
      <c r="P69" s="147"/>
      <c r="Q69" s="147"/>
      <c r="R69" s="517">
        <f>SUM(E69:Q69)</f>
        <v>85000</v>
      </c>
      <c r="S69" s="147">
        <v>40000</v>
      </c>
      <c r="T69" s="147"/>
      <c r="U69" s="143"/>
    </row>
    <row r="70" spans="1:21" s="144" customFormat="1">
      <c r="A70" s="149" t="s">
        <v>1644</v>
      </c>
      <c r="B70" s="146">
        <f>SUM(C70:D70)</f>
        <v>85000</v>
      </c>
      <c r="C70" s="146">
        <f>SUM(C65:C69)</f>
        <v>85000</v>
      </c>
      <c r="D70" s="146">
        <f>SUM(D65:D69)</f>
        <v>0</v>
      </c>
      <c r="E70" s="146">
        <f t="shared" ref="E70:T70" si="18">SUM(E65:E69)</f>
        <v>85000</v>
      </c>
      <c r="F70" s="146">
        <f t="shared" si="18"/>
        <v>0</v>
      </c>
      <c r="G70" s="146">
        <f t="shared" si="18"/>
        <v>0</v>
      </c>
      <c r="H70" s="146">
        <f t="shared" si="18"/>
        <v>0</v>
      </c>
      <c r="I70" s="146">
        <f t="shared" si="18"/>
        <v>0</v>
      </c>
      <c r="J70" s="146">
        <f t="shared" si="18"/>
        <v>0</v>
      </c>
      <c r="K70" s="146">
        <f t="shared" si="18"/>
        <v>0</v>
      </c>
      <c r="L70" s="146">
        <f t="shared" si="18"/>
        <v>0</v>
      </c>
      <c r="M70" s="146">
        <f t="shared" si="18"/>
        <v>0</v>
      </c>
      <c r="N70" s="146">
        <f t="shared" si="18"/>
        <v>0</v>
      </c>
      <c r="O70" s="146">
        <f t="shared" si="18"/>
        <v>0</v>
      </c>
      <c r="P70" s="146">
        <f t="shared" si="18"/>
        <v>0</v>
      </c>
      <c r="Q70" s="146">
        <f t="shared" si="18"/>
        <v>0</v>
      </c>
      <c r="R70" s="343">
        <f t="shared" si="18"/>
        <v>85000</v>
      </c>
      <c r="S70" s="150">
        <f t="shared" si="18"/>
        <v>40000</v>
      </c>
      <c r="T70" s="150">
        <f t="shared" si="18"/>
        <v>0</v>
      </c>
      <c r="U70" s="143"/>
    </row>
    <row r="71" spans="1:21" s="144" customFormat="1" ht="12">
      <c r="A71" s="141" t="s">
        <v>601</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602</v>
      </c>
      <c r="B72" s="146">
        <f>SUM(C72+D72)</f>
        <v>0</v>
      </c>
      <c r="C72" s="147"/>
      <c r="D72" s="147"/>
      <c r="E72" s="147"/>
      <c r="F72" s="147"/>
      <c r="G72" s="147"/>
      <c r="H72" s="147"/>
      <c r="I72" s="147"/>
      <c r="J72" s="147"/>
      <c r="K72" s="147"/>
      <c r="L72" s="147"/>
      <c r="M72" s="147"/>
      <c r="N72" s="147"/>
      <c r="O72" s="147"/>
      <c r="P72" s="147"/>
      <c r="Q72" s="147"/>
      <c r="R72" s="517">
        <f>SUM(E72:Q72)</f>
        <v>0</v>
      </c>
      <c r="S72" s="148"/>
      <c r="T72" s="148"/>
      <c r="U72" s="143"/>
    </row>
    <row r="73" spans="1:21" s="144" customFormat="1">
      <c r="A73" s="145" t="s">
        <v>603</v>
      </c>
      <c r="B73" s="146">
        <f>SUM(C73+D73)</f>
        <v>0</v>
      </c>
      <c r="C73" s="147"/>
      <c r="D73" s="147"/>
      <c r="E73" s="147"/>
      <c r="F73" s="147"/>
      <c r="G73" s="147"/>
      <c r="H73" s="147"/>
      <c r="I73" s="147"/>
      <c r="J73" s="147"/>
      <c r="K73" s="147"/>
      <c r="L73" s="147"/>
      <c r="M73" s="147"/>
      <c r="N73" s="147"/>
      <c r="O73" s="147"/>
      <c r="P73" s="147"/>
      <c r="Q73" s="147"/>
      <c r="R73" s="517">
        <f>SUM(E73:Q73)</f>
        <v>0</v>
      </c>
      <c r="S73" s="148"/>
      <c r="T73" s="148"/>
      <c r="U73" s="143"/>
    </row>
    <row r="74" spans="1:21" s="144" customFormat="1">
      <c r="A74" s="451" t="s">
        <v>985</v>
      </c>
      <c r="B74" s="146">
        <f>SUM(C74+D74)</f>
        <v>213500</v>
      </c>
      <c r="C74" s="147">
        <v>213500</v>
      </c>
      <c r="D74" s="147"/>
      <c r="E74" s="147"/>
      <c r="F74" s="147"/>
      <c r="G74" s="147"/>
      <c r="H74" s="147"/>
      <c r="I74" s="147"/>
      <c r="J74" s="147"/>
      <c r="K74" s="147"/>
      <c r="L74" s="147"/>
      <c r="M74" s="147">
        <v>213500</v>
      </c>
      <c r="N74" s="147"/>
      <c r="O74" s="147"/>
      <c r="P74" s="147"/>
      <c r="Q74" s="147"/>
      <c r="R74" s="517">
        <f>SUM(E74:Q74)</f>
        <v>213500</v>
      </c>
      <c r="S74" s="148"/>
      <c r="T74" s="148"/>
      <c r="U74" s="143"/>
    </row>
    <row r="75" spans="1:21" s="144" customFormat="1">
      <c r="A75" s="145" t="s">
        <v>604</v>
      </c>
      <c r="B75" s="146">
        <f>SUM(C75+D75)</f>
        <v>726377</v>
      </c>
      <c r="C75" s="147">
        <v>726377</v>
      </c>
      <c r="D75" s="147"/>
      <c r="E75" s="147"/>
      <c r="F75" s="147"/>
      <c r="G75" s="147"/>
      <c r="H75" s="147"/>
      <c r="I75" s="147"/>
      <c r="J75" s="147"/>
      <c r="K75" s="147"/>
      <c r="L75" s="147"/>
      <c r="M75" s="147">
        <v>726377</v>
      </c>
      <c r="N75" s="147"/>
      <c r="O75" s="147"/>
      <c r="P75" s="147"/>
      <c r="Q75" s="147"/>
      <c r="R75" s="517">
        <f>SUM(E75:Q75)</f>
        <v>726377</v>
      </c>
      <c r="S75" s="148"/>
      <c r="T75" s="148"/>
      <c r="U75" s="143"/>
    </row>
    <row r="76" spans="1:21" s="144" customFormat="1">
      <c r="A76" s="1151" t="s">
        <v>34</v>
      </c>
      <c r="B76" s="146">
        <f>SUM(C76+D76)</f>
        <v>0</v>
      </c>
      <c r="C76" s="147"/>
      <c r="D76" s="147"/>
      <c r="E76" s="147"/>
      <c r="F76" s="147"/>
      <c r="G76" s="147"/>
      <c r="H76" s="147"/>
      <c r="I76" s="147"/>
      <c r="J76" s="147"/>
      <c r="K76" s="147"/>
      <c r="L76" s="147"/>
      <c r="M76" s="147"/>
      <c r="N76" s="147"/>
      <c r="O76" s="147"/>
      <c r="P76" s="147"/>
      <c r="Q76" s="147"/>
      <c r="R76" s="517">
        <f>SUM(E76:Q76)</f>
        <v>0</v>
      </c>
      <c r="S76" s="148"/>
      <c r="T76" s="148"/>
      <c r="U76" s="143"/>
    </row>
    <row r="77" spans="1:21" s="144" customFormat="1">
      <c r="A77" s="149" t="s">
        <v>605</v>
      </c>
      <c r="B77" s="146">
        <f>SUM(C77:D77)</f>
        <v>939877</v>
      </c>
      <c r="C77" s="146">
        <f>SUM(C72:C76)</f>
        <v>939877</v>
      </c>
      <c r="D77" s="146">
        <f>SUM(D72:D76)</f>
        <v>0</v>
      </c>
      <c r="E77" s="146">
        <f t="shared" ref="E77:Q77" si="19">SUM(E72:E76)</f>
        <v>0</v>
      </c>
      <c r="F77" s="146">
        <f t="shared" si="19"/>
        <v>0</v>
      </c>
      <c r="G77" s="146">
        <f t="shared" si="19"/>
        <v>0</v>
      </c>
      <c r="H77" s="146">
        <f t="shared" si="19"/>
        <v>0</v>
      </c>
      <c r="I77" s="146">
        <f t="shared" si="19"/>
        <v>0</v>
      </c>
      <c r="J77" s="146">
        <f t="shared" si="19"/>
        <v>0</v>
      </c>
      <c r="K77" s="146">
        <f t="shared" si="19"/>
        <v>0</v>
      </c>
      <c r="L77" s="146">
        <f t="shared" si="19"/>
        <v>0</v>
      </c>
      <c r="M77" s="146">
        <f t="shared" si="19"/>
        <v>939877</v>
      </c>
      <c r="N77" s="146">
        <f t="shared" si="19"/>
        <v>0</v>
      </c>
      <c r="O77" s="146">
        <f t="shared" si="19"/>
        <v>0</v>
      </c>
      <c r="P77" s="146">
        <f t="shared" si="19"/>
        <v>0</v>
      </c>
      <c r="Q77" s="146">
        <f t="shared" si="19"/>
        <v>0</v>
      </c>
      <c r="R77" s="343">
        <f>SUM(R72:R76)</f>
        <v>939877</v>
      </c>
      <c r="S77" s="148"/>
      <c r="T77" s="148"/>
      <c r="U77" s="143"/>
    </row>
    <row r="78" spans="1:21" s="144" customFormat="1" ht="12">
      <c r="A78" s="141" t="s">
        <v>1209</v>
      </c>
      <c r="B78" s="151"/>
      <c r="C78" s="151"/>
      <c r="D78" s="151"/>
      <c r="E78" s="151"/>
      <c r="F78" s="151"/>
      <c r="G78" s="151"/>
      <c r="H78" s="151"/>
      <c r="I78" s="151"/>
      <c r="J78" s="151"/>
      <c r="K78" s="151"/>
      <c r="L78" s="151"/>
      <c r="M78" s="151"/>
      <c r="N78" s="151"/>
      <c r="O78" s="151"/>
      <c r="P78" s="151"/>
      <c r="Q78" s="151"/>
      <c r="R78" s="344"/>
      <c r="S78" s="151"/>
      <c r="T78" s="151"/>
      <c r="U78" s="143"/>
    </row>
    <row r="79" spans="1:21" s="144" customFormat="1">
      <c r="A79" s="284" t="s">
        <v>1211</v>
      </c>
      <c r="B79" s="146">
        <f>SUM(C79:D79)</f>
        <v>1480298</v>
      </c>
      <c r="C79" s="147">
        <v>1480298</v>
      </c>
      <c r="D79" s="147"/>
      <c r="E79" s="147">
        <v>1480298</v>
      </c>
      <c r="F79" s="147"/>
      <c r="G79" s="147"/>
      <c r="H79" s="147"/>
      <c r="I79" s="147"/>
      <c r="J79" s="147"/>
      <c r="K79" s="147"/>
      <c r="L79" s="147"/>
      <c r="M79" s="147"/>
      <c r="N79" s="147"/>
      <c r="O79" s="147"/>
      <c r="P79" s="147"/>
      <c r="Q79" s="147"/>
      <c r="R79" s="517">
        <f>SUM(E79:Q79)</f>
        <v>1480298</v>
      </c>
      <c r="S79" s="147">
        <v>1480298</v>
      </c>
      <c r="T79" s="147"/>
      <c r="U79" s="143"/>
    </row>
    <row r="80" spans="1:21" s="144" customFormat="1">
      <c r="A80" s="284" t="s">
        <v>58</v>
      </c>
      <c r="B80" s="146">
        <f>SUM(C80:D80)</f>
        <v>150000</v>
      </c>
      <c r="C80" s="147">
        <v>150000</v>
      </c>
      <c r="D80" s="147"/>
      <c r="E80" s="147">
        <v>150000</v>
      </c>
      <c r="F80" s="147"/>
      <c r="G80" s="147"/>
      <c r="H80" s="147"/>
      <c r="I80" s="147"/>
      <c r="J80" s="147"/>
      <c r="K80" s="147"/>
      <c r="L80" s="147"/>
      <c r="M80" s="147"/>
      <c r="N80" s="147"/>
      <c r="O80" s="147"/>
      <c r="P80" s="147"/>
      <c r="Q80" s="147"/>
      <c r="R80" s="517">
        <f>SUM(E80:Q80)</f>
        <v>150000</v>
      </c>
      <c r="S80" s="147">
        <v>150000</v>
      </c>
      <c r="T80" s="147"/>
      <c r="U80" s="143"/>
    </row>
    <row r="81" spans="1:21" s="144" customFormat="1">
      <c r="A81" s="149" t="s">
        <v>1208</v>
      </c>
      <c r="B81" s="146">
        <f>SUM(C81:D81)</f>
        <v>1630298</v>
      </c>
      <c r="C81" s="510">
        <f>SUM(C79:C80)</f>
        <v>1630298</v>
      </c>
      <c r="D81" s="510">
        <f t="shared" ref="D81:T81" si="20">SUM(D79:D80)</f>
        <v>0</v>
      </c>
      <c r="E81" s="510">
        <f t="shared" si="20"/>
        <v>1630298</v>
      </c>
      <c r="F81" s="510">
        <f t="shared" si="20"/>
        <v>0</v>
      </c>
      <c r="G81" s="510">
        <f t="shared" si="20"/>
        <v>0</v>
      </c>
      <c r="H81" s="510">
        <f t="shared" si="20"/>
        <v>0</v>
      </c>
      <c r="I81" s="510">
        <f t="shared" si="20"/>
        <v>0</v>
      </c>
      <c r="J81" s="510">
        <f t="shared" si="20"/>
        <v>0</v>
      </c>
      <c r="K81" s="510">
        <f t="shared" si="20"/>
        <v>0</v>
      </c>
      <c r="L81" s="510">
        <f t="shared" si="20"/>
        <v>0</v>
      </c>
      <c r="M81" s="510">
        <f t="shared" si="20"/>
        <v>0</v>
      </c>
      <c r="N81" s="510">
        <f t="shared" si="20"/>
        <v>0</v>
      </c>
      <c r="O81" s="510">
        <f t="shared" si="20"/>
        <v>0</v>
      </c>
      <c r="P81" s="510">
        <f t="shared" si="20"/>
        <v>0</v>
      </c>
      <c r="Q81" s="510">
        <f t="shared" si="20"/>
        <v>0</v>
      </c>
      <c r="R81" s="510">
        <f t="shared" si="20"/>
        <v>1630298</v>
      </c>
      <c r="S81" s="510">
        <f t="shared" si="20"/>
        <v>1630298</v>
      </c>
      <c r="T81" s="510">
        <f t="shared" si="20"/>
        <v>0</v>
      </c>
      <c r="U81" s="143"/>
    </row>
    <row r="82" spans="1:21" s="144" customFormat="1" ht="12">
      <c r="A82" s="141" t="s">
        <v>764</v>
      </c>
      <c r="B82" s="151"/>
      <c r="C82" s="151"/>
      <c r="D82" s="151"/>
      <c r="E82" s="151"/>
      <c r="F82" s="151"/>
      <c r="G82" s="151"/>
      <c r="H82" s="151"/>
      <c r="I82" s="151"/>
      <c r="J82" s="151"/>
      <c r="K82" s="151"/>
      <c r="L82" s="151"/>
      <c r="M82" s="151"/>
      <c r="N82" s="151"/>
      <c r="O82" s="151"/>
      <c r="P82" s="151"/>
      <c r="Q82" s="151"/>
      <c r="R82" s="344"/>
      <c r="S82" s="151"/>
      <c r="T82" s="151"/>
      <c r="U82" s="143"/>
    </row>
    <row r="83" spans="1:21" s="144" customFormat="1" ht="13.75" customHeight="1">
      <c r="A83" s="145" t="s">
        <v>2095</v>
      </c>
      <c r="B83" s="146">
        <f t="shared" ref="B83:B95" si="21">SUM(C83+D83)</f>
        <v>57033</v>
      </c>
      <c r="C83" s="147">
        <v>57033</v>
      </c>
      <c r="D83" s="147"/>
      <c r="E83" s="147">
        <v>57033</v>
      </c>
      <c r="F83" s="147"/>
      <c r="G83" s="147"/>
      <c r="H83" s="147"/>
      <c r="I83" s="147"/>
      <c r="J83" s="147"/>
      <c r="K83" s="147"/>
      <c r="L83" s="147"/>
      <c r="M83" s="147"/>
      <c r="N83" s="147"/>
      <c r="O83" s="147"/>
      <c r="P83" s="147"/>
      <c r="Q83" s="147"/>
      <c r="R83" s="517">
        <f t="shared" ref="R83:R95" si="22">SUM(E83:Q83)</f>
        <v>57033</v>
      </c>
      <c r="S83" s="148"/>
      <c r="T83" s="148"/>
      <c r="U83" s="143"/>
    </row>
    <row r="84" spans="1:21" s="144" customFormat="1">
      <c r="A84" s="145" t="s">
        <v>766</v>
      </c>
      <c r="B84" s="146">
        <f t="shared" si="21"/>
        <v>0</v>
      </c>
      <c r="C84" s="147"/>
      <c r="D84" s="147"/>
      <c r="E84" s="147"/>
      <c r="F84" s="147"/>
      <c r="G84" s="147"/>
      <c r="H84" s="147"/>
      <c r="I84" s="147"/>
      <c r="J84" s="147"/>
      <c r="K84" s="147"/>
      <c r="L84" s="147"/>
      <c r="M84" s="147"/>
      <c r="N84" s="147"/>
      <c r="O84" s="147"/>
      <c r="P84" s="147"/>
      <c r="Q84" s="147"/>
      <c r="R84" s="517">
        <f t="shared" si="22"/>
        <v>0</v>
      </c>
      <c r="S84" s="147"/>
      <c r="T84" s="147"/>
      <c r="U84" s="143"/>
    </row>
    <row r="85" spans="1:21" s="144" customFormat="1">
      <c r="A85" s="145" t="s">
        <v>767</v>
      </c>
      <c r="B85" s="146">
        <f t="shared" si="21"/>
        <v>0</v>
      </c>
      <c r="C85" s="147"/>
      <c r="D85" s="147"/>
      <c r="E85" s="147"/>
      <c r="F85" s="147"/>
      <c r="G85" s="147"/>
      <c r="H85" s="147"/>
      <c r="I85" s="147"/>
      <c r="J85" s="147"/>
      <c r="K85" s="147"/>
      <c r="L85" s="147"/>
      <c r="M85" s="147"/>
      <c r="N85" s="147"/>
      <c r="O85" s="147"/>
      <c r="P85" s="147"/>
      <c r="Q85" s="147"/>
      <c r="R85" s="517">
        <f t="shared" si="22"/>
        <v>0</v>
      </c>
      <c r="S85" s="147"/>
      <c r="T85" s="147"/>
      <c r="U85" s="143"/>
    </row>
    <row r="86" spans="1:21" s="144" customFormat="1">
      <c r="A86" s="145" t="s">
        <v>768</v>
      </c>
      <c r="B86" s="146">
        <f t="shared" si="21"/>
        <v>100000</v>
      </c>
      <c r="C86" s="147">
        <v>100000</v>
      </c>
      <c r="D86" s="147"/>
      <c r="E86" s="147">
        <v>100000</v>
      </c>
      <c r="F86" s="147"/>
      <c r="G86" s="147"/>
      <c r="H86" s="147"/>
      <c r="I86" s="147"/>
      <c r="J86" s="147"/>
      <c r="K86" s="147"/>
      <c r="L86" s="147"/>
      <c r="M86" s="147"/>
      <c r="N86" s="147"/>
      <c r="O86" s="147"/>
      <c r="P86" s="147"/>
      <c r="Q86" s="147"/>
      <c r="R86" s="517">
        <f t="shared" si="22"/>
        <v>100000</v>
      </c>
      <c r="S86" s="147">
        <v>100000</v>
      </c>
      <c r="T86" s="147"/>
      <c r="U86" s="143"/>
    </row>
    <row r="87" spans="1:21" s="144" customFormat="1">
      <c r="A87" s="145" t="s">
        <v>769</v>
      </c>
      <c r="B87" s="146">
        <f t="shared" si="21"/>
        <v>0</v>
      </c>
      <c r="C87" s="147"/>
      <c r="D87" s="147"/>
      <c r="E87" s="147"/>
      <c r="F87" s="147"/>
      <c r="G87" s="147"/>
      <c r="H87" s="147"/>
      <c r="I87" s="147"/>
      <c r="J87" s="147"/>
      <c r="K87" s="147"/>
      <c r="L87" s="147"/>
      <c r="M87" s="147"/>
      <c r="N87" s="147"/>
      <c r="O87" s="147"/>
      <c r="P87" s="147"/>
      <c r="Q87" s="147"/>
      <c r="R87" s="517">
        <f t="shared" si="22"/>
        <v>0</v>
      </c>
      <c r="S87" s="147"/>
      <c r="T87" s="147"/>
      <c r="U87" s="143"/>
    </row>
    <row r="88" spans="1:21" s="144" customFormat="1">
      <c r="A88" s="145" t="s">
        <v>770</v>
      </c>
      <c r="B88" s="146">
        <f t="shared" si="21"/>
        <v>25000</v>
      </c>
      <c r="C88" s="147">
        <v>25000</v>
      </c>
      <c r="D88" s="147"/>
      <c r="E88" s="147">
        <v>25000</v>
      </c>
      <c r="F88" s="147"/>
      <c r="G88" s="147"/>
      <c r="H88" s="147"/>
      <c r="I88" s="147"/>
      <c r="J88" s="147"/>
      <c r="K88" s="147"/>
      <c r="L88" s="147"/>
      <c r="M88" s="147"/>
      <c r="N88" s="147"/>
      <c r="O88" s="147"/>
      <c r="P88" s="147"/>
      <c r="Q88" s="147"/>
      <c r="R88" s="517">
        <f t="shared" si="22"/>
        <v>25000</v>
      </c>
      <c r="S88" s="148"/>
      <c r="T88" s="148"/>
      <c r="U88" s="143"/>
    </row>
    <row r="89" spans="1:21" s="144" customFormat="1">
      <c r="A89" s="145" t="s">
        <v>771</v>
      </c>
      <c r="B89" s="146">
        <f t="shared" si="21"/>
        <v>300000</v>
      </c>
      <c r="C89" s="147">
        <v>300000</v>
      </c>
      <c r="D89" s="147"/>
      <c r="E89" s="147">
        <v>300000</v>
      </c>
      <c r="F89" s="147"/>
      <c r="G89" s="147"/>
      <c r="H89" s="147"/>
      <c r="I89" s="147"/>
      <c r="J89" s="147"/>
      <c r="K89" s="147"/>
      <c r="L89" s="147"/>
      <c r="M89" s="147"/>
      <c r="N89" s="147"/>
      <c r="O89" s="147"/>
      <c r="P89" s="147"/>
      <c r="Q89" s="147"/>
      <c r="R89" s="517">
        <f t="shared" si="22"/>
        <v>300000</v>
      </c>
      <c r="S89" s="147">
        <v>300000</v>
      </c>
      <c r="T89" s="147"/>
      <c r="U89" s="143"/>
    </row>
    <row r="90" spans="1:21" s="144" customFormat="1">
      <c r="A90" s="145" t="s">
        <v>772</v>
      </c>
      <c r="B90" s="146">
        <f t="shared" si="21"/>
        <v>5500</v>
      </c>
      <c r="C90" s="147">
        <v>5500</v>
      </c>
      <c r="D90" s="147"/>
      <c r="E90" s="147">
        <v>5500</v>
      </c>
      <c r="F90" s="147"/>
      <c r="G90" s="147"/>
      <c r="H90" s="147"/>
      <c r="I90" s="147"/>
      <c r="J90" s="147"/>
      <c r="K90" s="147"/>
      <c r="L90" s="147"/>
      <c r="M90" s="147"/>
      <c r="N90" s="147"/>
      <c r="O90" s="147"/>
      <c r="P90" s="147"/>
      <c r="Q90" s="147"/>
      <c r="R90" s="517">
        <f t="shared" si="22"/>
        <v>5500</v>
      </c>
      <c r="S90" s="147"/>
      <c r="T90" s="147"/>
      <c r="U90" s="143"/>
    </row>
    <row r="91" spans="1:21" s="144" customFormat="1">
      <c r="A91" s="145" t="s">
        <v>371</v>
      </c>
      <c r="B91" s="146">
        <f t="shared" si="21"/>
        <v>30000</v>
      </c>
      <c r="C91" s="147">
        <v>30000</v>
      </c>
      <c r="D91" s="147"/>
      <c r="E91" s="147">
        <v>30000</v>
      </c>
      <c r="F91" s="147"/>
      <c r="G91" s="147"/>
      <c r="H91" s="147"/>
      <c r="I91" s="147"/>
      <c r="J91" s="147"/>
      <c r="K91" s="147"/>
      <c r="L91" s="147"/>
      <c r="M91" s="147"/>
      <c r="N91" s="147"/>
      <c r="O91" s="147"/>
      <c r="P91" s="147"/>
      <c r="Q91" s="147"/>
      <c r="R91" s="517">
        <f t="shared" si="22"/>
        <v>30000</v>
      </c>
      <c r="S91" s="147"/>
      <c r="T91" s="147"/>
      <c r="U91" s="143"/>
    </row>
    <row r="92" spans="1:21" s="144" customFormat="1">
      <c r="A92" s="284" t="s">
        <v>1210</v>
      </c>
      <c r="B92" s="146">
        <f t="shared" si="21"/>
        <v>10000</v>
      </c>
      <c r="C92" s="147">
        <v>10000</v>
      </c>
      <c r="D92" s="147"/>
      <c r="E92" s="147">
        <v>10000</v>
      </c>
      <c r="F92" s="147"/>
      <c r="G92" s="147"/>
      <c r="H92" s="147"/>
      <c r="I92" s="147"/>
      <c r="J92" s="147"/>
      <c r="K92" s="147"/>
      <c r="L92" s="147"/>
      <c r="M92" s="147"/>
      <c r="N92" s="147"/>
      <c r="O92" s="147"/>
      <c r="P92" s="147"/>
      <c r="Q92" s="147"/>
      <c r="R92" s="517">
        <f t="shared" si="22"/>
        <v>10000</v>
      </c>
      <c r="S92" s="147"/>
      <c r="T92" s="147">
        <v>6618</v>
      </c>
      <c r="U92" s="143"/>
    </row>
    <row r="93" spans="1:21" s="144" customFormat="1">
      <c r="A93" s="1151" t="s">
        <v>2670</v>
      </c>
      <c r="B93" s="146">
        <f t="shared" si="21"/>
        <v>76160</v>
      </c>
      <c r="C93" s="147">
        <v>76160</v>
      </c>
      <c r="D93" s="147"/>
      <c r="E93" s="147">
        <v>76160</v>
      </c>
      <c r="F93" s="147"/>
      <c r="G93" s="147"/>
      <c r="H93" s="147"/>
      <c r="I93" s="147"/>
      <c r="J93" s="147"/>
      <c r="K93" s="147"/>
      <c r="L93" s="147"/>
      <c r="M93" s="147"/>
      <c r="N93" s="147"/>
      <c r="O93" s="147"/>
      <c r="P93" s="147"/>
      <c r="Q93" s="147"/>
      <c r="R93" s="517">
        <f t="shared" si="22"/>
        <v>76160</v>
      </c>
      <c r="S93" s="147"/>
      <c r="T93" s="147">
        <v>50400</v>
      </c>
      <c r="U93" s="143"/>
    </row>
    <row r="94" spans="1:21" s="144" customFormat="1" ht="23">
      <c r="A94" s="1151" t="s">
        <v>2671</v>
      </c>
      <c r="B94" s="146">
        <f t="shared" si="21"/>
        <v>1087527</v>
      </c>
      <c r="C94" s="147">
        <v>1087527</v>
      </c>
      <c r="D94" s="147"/>
      <c r="E94" s="147"/>
      <c r="F94" s="147"/>
      <c r="G94" s="147"/>
      <c r="H94" s="147">
        <v>1087527</v>
      </c>
      <c r="I94" s="147"/>
      <c r="J94" s="147"/>
      <c r="K94" s="147"/>
      <c r="L94" s="147"/>
      <c r="M94" s="147"/>
      <c r="N94" s="147"/>
      <c r="O94" s="147"/>
      <c r="P94" s="147"/>
      <c r="Q94" s="147"/>
      <c r="R94" s="517">
        <f t="shared" si="22"/>
        <v>1087527</v>
      </c>
      <c r="S94" s="147"/>
      <c r="T94" s="147"/>
      <c r="U94" s="143"/>
    </row>
    <row r="95" spans="1:21" s="144" customFormat="1">
      <c r="A95" s="1151" t="s">
        <v>34</v>
      </c>
      <c r="B95" s="146">
        <f t="shared" si="21"/>
        <v>0</v>
      </c>
      <c r="C95" s="147"/>
      <c r="D95" s="147"/>
      <c r="E95" s="147"/>
      <c r="F95" s="147"/>
      <c r="G95" s="147"/>
      <c r="H95" s="147"/>
      <c r="I95" s="147"/>
      <c r="J95" s="147"/>
      <c r="K95" s="147"/>
      <c r="L95" s="147"/>
      <c r="M95" s="147"/>
      <c r="N95" s="147"/>
      <c r="O95" s="147"/>
      <c r="P95" s="147"/>
      <c r="Q95" s="147"/>
      <c r="R95" s="517">
        <f t="shared" si="22"/>
        <v>0</v>
      </c>
      <c r="S95" s="147"/>
      <c r="T95" s="147"/>
      <c r="U95" s="143"/>
    </row>
    <row r="96" spans="1:21" s="144" customFormat="1">
      <c r="A96" s="149" t="s">
        <v>773</v>
      </c>
      <c r="B96" s="146">
        <f>SUM(C96:D96)</f>
        <v>1691220</v>
      </c>
      <c r="C96" s="146">
        <f t="shared" ref="C96:R96" si="23">SUM(C83:C95)</f>
        <v>1691220</v>
      </c>
      <c r="D96" s="146">
        <f t="shared" si="23"/>
        <v>0</v>
      </c>
      <c r="E96" s="146">
        <f t="shared" si="23"/>
        <v>603693</v>
      </c>
      <c r="F96" s="146">
        <f t="shared" si="23"/>
        <v>0</v>
      </c>
      <c r="G96" s="146">
        <f t="shared" si="23"/>
        <v>0</v>
      </c>
      <c r="H96" s="146">
        <f t="shared" si="23"/>
        <v>1087527</v>
      </c>
      <c r="I96" s="146">
        <f t="shared" si="23"/>
        <v>0</v>
      </c>
      <c r="J96" s="146">
        <f t="shared" si="23"/>
        <v>0</v>
      </c>
      <c r="K96" s="146">
        <f t="shared" si="23"/>
        <v>0</v>
      </c>
      <c r="L96" s="146">
        <f t="shared" si="23"/>
        <v>0</v>
      </c>
      <c r="M96" s="146">
        <f t="shared" si="23"/>
        <v>0</v>
      </c>
      <c r="N96" s="146">
        <f t="shared" si="23"/>
        <v>0</v>
      </c>
      <c r="O96" s="146">
        <f t="shared" si="23"/>
        <v>0</v>
      </c>
      <c r="P96" s="146">
        <f t="shared" si="23"/>
        <v>0</v>
      </c>
      <c r="Q96" s="146">
        <f t="shared" si="23"/>
        <v>0</v>
      </c>
      <c r="R96" s="343">
        <f t="shared" si="23"/>
        <v>1691220</v>
      </c>
      <c r="S96" s="150">
        <f>SUM(S84:S87,S89:S95)</f>
        <v>400000</v>
      </c>
      <c r="T96" s="146">
        <f>SUM(T84:T87,T89:T95)</f>
        <v>57018</v>
      </c>
      <c r="U96" s="143"/>
    </row>
    <row r="97" spans="1:21" s="144" customFormat="1">
      <c r="A97" s="149" t="s">
        <v>774</v>
      </c>
      <c r="B97" s="146">
        <f>SUM(C97:D97)</f>
        <v>31519422</v>
      </c>
      <c r="C97" s="146">
        <f t="shared" ref="C97:R97" si="24">SUM(C63+C70+C77+C81+C96)</f>
        <v>31519422</v>
      </c>
      <c r="D97" s="146">
        <f t="shared" si="24"/>
        <v>0</v>
      </c>
      <c r="E97" s="146">
        <f t="shared" si="24"/>
        <v>9311551</v>
      </c>
      <c r="F97" s="146">
        <f t="shared" si="24"/>
        <v>6900000</v>
      </c>
      <c r="G97" s="146">
        <f t="shared" si="24"/>
        <v>11490674</v>
      </c>
      <c r="H97" s="146">
        <f t="shared" si="24"/>
        <v>1087527</v>
      </c>
      <c r="I97" s="146">
        <f t="shared" si="24"/>
        <v>1201426</v>
      </c>
      <c r="J97" s="146">
        <f t="shared" si="24"/>
        <v>577280</v>
      </c>
      <c r="K97" s="146">
        <f t="shared" si="24"/>
        <v>0</v>
      </c>
      <c r="L97" s="146">
        <f t="shared" si="24"/>
        <v>100</v>
      </c>
      <c r="M97" s="146">
        <f t="shared" si="24"/>
        <v>950864</v>
      </c>
      <c r="N97" s="146">
        <f t="shared" si="24"/>
        <v>0</v>
      </c>
      <c r="O97" s="146">
        <f t="shared" si="24"/>
        <v>0</v>
      </c>
      <c r="P97" s="146">
        <f t="shared" si="24"/>
        <v>0</v>
      </c>
      <c r="Q97" s="146">
        <f t="shared" si="24"/>
        <v>0</v>
      </c>
      <c r="R97" s="146">
        <f t="shared" si="24"/>
        <v>31519422</v>
      </c>
      <c r="S97" s="146">
        <f>SUM(S63+S70+S81+S96)</f>
        <v>14492125</v>
      </c>
      <c r="T97" s="146">
        <f>SUM(T63+T70+T81+T96)</f>
        <v>9057018</v>
      </c>
      <c r="U97" s="143"/>
    </row>
    <row r="98" spans="1:21" s="144" customFormat="1" ht="12">
      <c r="A98" s="141" t="s">
        <v>775</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776</v>
      </c>
      <c r="B99" s="146">
        <f>SUM(C99+D99)</f>
        <v>3532370</v>
      </c>
      <c r="C99" s="980">
        <v>3532370</v>
      </c>
      <c r="D99" s="980"/>
      <c r="E99" s="980">
        <v>1928249</v>
      </c>
      <c r="F99" s="147"/>
      <c r="G99" s="147"/>
      <c r="H99" s="147"/>
      <c r="I99" s="147"/>
      <c r="J99" s="147"/>
      <c r="K99" s="147">
        <v>1604121</v>
      </c>
      <c r="L99" s="147"/>
      <c r="M99" s="147"/>
      <c r="N99" s="147"/>
      <c r="O99" s="147"/>
      <c r="P99" s="147"/>
      <c r="Q99" s="147"/>
      <c r="R99" s="517">
        <f>SUM(E99:Q99)</f>
        <v>3532370</v>
      </c>
      <c r="S99" s="147">
        <v>2173818</v>
      </c>
      <c r="T99" s="147">
        <v>1358552</v>
      </c>
      <c r="U99" s="143"/>
    </row>
    <row r="100" spans="1:21" s="144" customFormat="1">
      <c r="A100" s="284" t="s">
        <v>1645</v>
      </c>
      <c r="B100" s="146">
        <f>SUM(C100+D100)</f>
        <v>0</v>
      </c>
      <c r="C100" s="147"/>
      <c r="D100" s="147"/>
      <c r="E100" s="147"/>
      <c r="F100" s="147"/>
      <c r="G100" s="147"/>
      <c r="H100" s="147"/>
      <c r="I100" s="147"/>
      <c r="J100" s="147"/>
      <c r="K100" s="147"/>
      <c r="L100" s="147"/>
      <c r="M100" s="147"/>
      <c r="N100" s="147"/>
      <c r="O100" s="147"/>
      <c r="P100" s="147"/>
      <c r="Q100" s="147"/>
      <c r="R100" s="517">
        <f>SUM(E100:Q100)</f>
        <v>0</v>
      </c>
      <c r="S100" s="147"/>
      <c r="T100" s="147"/>
      <c r="U100" s="143"/>
    </row>
    <row r="101" spans="1:21" s="144" customFormat="1" ht="12" customHeight="1">
      <c r="A101" s="145" t="s">
        <v>777</v>
      </c>
      <c r="B101" s="146">
        <f>SUM(C101+D101)</f>
        <v>0</v>
      </c>
      <c r="C101" s="147"/>
      <c r="D101" s="147"/>
      <c r="E101" s="147"/>
      <c r="F101" s="147"/>
      <c r="G101" s="147"/>
      <c r="H101" s="147"/>
      <c r="I101" s="147"/>
      <c r="J101" s="147"/>
      <c r="K101" s="147"/>
      <c r="L101" s="147"/>
      <c r="M101" s="147"/>
      <c r="N101" s="147"/>
      <c r="O101" s="147"/>
      <c r="P101" s="147"/>
      <c r="Q101" s="147"/>
      <c r="R101" s="517">
        <f>SUM(E101:Q101)</f>
        <v>0</v>
      </c>
      <c r="S101" s="147"/>
      <c r="T101" s="147"/>
      <c r="U101" s="143"/>
    </row>
    <row r="102" spans="1:21" s="144" customFormat="1">
      <c r="A102" s="284" t="s">
        <v>1646</v>
      </c>
      <c r="B102" s="146">
        <f>SUM(C102+D102)</f>
        <v>0</v>
      </c>
      <c r="C102" s="147"/>
      <c r="D102" s="147"/>
      <c r="E102" s="147"/>
      <c r="F102" s="147"/>
      <c r="G102" s="147"/>
      <c r="H102" s="147"/>
      <c r="I102" s="147"/>
      <c r="J102" s="147"/>
      <c r="K102" s="147"/>
      <c r="L102" s="147"/>
      <c r="M102" s="147"/>
      <c r="N102" s="147"/>
      <c r="O102" s="147"/>
      <c r="P102" s="147"/>
      <c r="Q102" s="147"/>
      <c r="R102" s="517">
        <f>SUM(E102:Q102)</f>
        <v>0</v>
      </c>
      <c r="S102" s="147"/>
      <c r="T102" s="147"/>
      <c r="U102" s="143"/>
    </row>
    <row r="103" spans="1:21" s="144" customFormat="1">
      <c r="A103" s="1151" t="s">
        <v>34</v>
      </c>
      <c r="B103" s="146">
        <f>SUM(C103+D103)</f>
        <v>0</v>
      </c>
      <c r="C103" s="147"/>
      <c r="D103" s="147"/>
      <c r="E103" s="147"/>
      <c r="F103" s="147"/>
      <c r="G103" s="147"/>
      <c r="H103" s="147"/>
      <c r="I103" s="147"/>
      <c r="J103" s="147"/>
      <c r="K103" s="147"/>
      <c r="L103" s="147"/>
      <c r="M103" s="147"/>
      <c r="N103" s="147"/>
      <c r="O103" s="147"/>
      <c r="P103" s="147"/>
      <c r="Q103" s="147"/>
      <c r="R103" s="517">
        <f>SUM(E103:Q103)</f>
        <v>0</v>
      </c>
      <c r="S103" s="147"/>
      <c r="T103" s="147"/>
      <c r="U103" s="143"/>
    </row>
    <row r="104" spans="1:21" s="144" customFormat="1">
      <c r="A104" s="149" t="s">
        <v>778</v>
      </c>
      <c r="B104" s="146">
        <f>SUM(C104:D104)</f>
        <v>3532370</v>
      </c>
      <c r="C104" s="146">
        <f>SUM(C99:C103)</f>
        <v>3532370</v>
      </c>
      <c r="D104" s="146">
        <f t="shared" ref="D104:T104" si="25">SUM(D99:D103)</f>
        <v>0</v>
      </c>
      <c r="E104" s="146">
        <f t="shared" si="25"/>
        <v>1928249</v>
      </c>
      <c r="F104" s="146">
        <f t="shared" si="25"/>
        <v>0</v>
      </c>
      <c r="G104" s="146">
        <f t="shared" si="25"/>
        <v>0</v>
      </c>
      <c r="H104" s="146">
        <f t="shared" si="25"/>
        <v>0</v>
      </c>
      <c r="I104" s="146">
        <f t="shared" si="25"/>
        <v>0</v>
      </c>
      <c r="J104" s="146">
        <f t="shared" si="25"/>
        <v>0</v>
      </c>
      <c r="K104" s="146">
        <f t="shared" si="25"/>
        <v>1604121</v>
      </c>
      <c r="L104" s="146">
        <f t="shared" si="25"/>
        <v>0</v>
      </c>
      <c r="M104" s="146">
        <f t="shared" si="25"/>
        <v>0</v>
      </c>
      <c r="N104" s="146">
        <f t="shared" si="25"/>
        <v>0</v>
      </c>
      <c r="O104" s="146">
        <f t="shared" si="25"/>
        <v>0</v>
      </c>
      <c r="P104" s="146">
        <f t="shared" si="25"/>
        <v>0</v>
      </c>
      <c r="Q104" s="146">
        <f t="shared" si="25"/>
        <v>0</v>
      </c>
      <c r="R104" s="343">
        <f t="shared" si="25"/>
        <v>3532370</v>
      </c>
      <c r="S104" s="150">
        <f t="shared" si="25"/>
        <v>2173818</v>
      </c>
      <c r="T104" s="150">
        <f t="shared" si="25"/>
        <v>1358552</v>
      </c>
      <c r="U104" s="143"/>
    </row>
    <row r="105" spans="1:21" s="144" customFormat="1">
      <c r="A105" s="149" t="s">
        <v>779</v>
      </c>
      <c r="B105" s="150">
        <f>SUM(C105:D105)</f>
        <v>35051792</v>
      </c>
      <c r="C105" s="150">
        <f t="shared" ref="C105:R105" si="26">SUM(C97+C104)</f>
        <v>35051792</v>
      </c>
      <c r="D105" s="150">
        <f t="shared" si="26"/>
        <v>0</v>
      </c>
      <c r="E105" s="150">
        <f t="shared" si="26"/>
        <v>11239800</v>
      </c>
      <c r="F105" s="150">
        <f t="shared" si="26"/>
        <v>6900000</v>
      </c>
      <c r="G105" s="150">
        <f t="shared" si="26"/>
        <v>11490674</v>
      </c>
      <c r="H105" s="150">
        <f t="shared" si="26"/>
        <v>1087527</v>
      </c>
      <c r="I105" s="150">
        <f t="shared" si="26"/>
        <v>1201426</v>
      </c>
      <c r="J105" s="150">
        <f t="shared" si="26"/>
        <v>577280</v>
      </c>
      <c r="K105" s="150">
        <f t="shared" si="26"/>
        <v>1604121</v>
      </c>
      <c r="L105" s="150">
        <f t="shared" si="26"/>
        <v>100</v>
      </c>
      <c r="M105" s="150">
        <f t="shared" si="26"/>
        <v>950864</v>
      </c>
      <c r="N105" s="150">
        <f t="shared" si="26"/>
        <v>0</v>
      </c>
      <c r="O105" s="150">
        <f t="shared" si="26"/>
        <v>0</v>
      </c>
      <c r="P105" s="150">
        <f t="shared" si="26"/>
        <v>0</v>
      </c>
      <c r="Q105" s="150">
        <f t="shared" si="26"/>
        <v>0</v>
      </c>
      <c r="R105" s="343">
        <f t="shared" si="26"/>
        <v>35051792</v>
      </c>
      <c r="S105" s="150">
        <f>S97+S104</f>
        <v>16665943</v>
      </c>
      <c r="T105" s="150">
        <f>T97+T104</f>
        <v>10415570</v>
      </c>
      <c r="U105" s="143"/>
    </row>
    <row r="106" spans="1:21">
      <c r="A106" s="515" t="s">
        <v>1019</v>
      </c>
      <c r="B106" s="157"/>
      <c r="C106" s="157"/>
      <c r="D106" s="157"/>
      <c r="H106" s="159" t="s">
        <v>92</v>
      </c>
      <c r="I106" s="159"/>
      <c r="J106" s="159"/>
      <c r="R106" s="160" t="s">
        <v>93</v>
      </c>
      <c r="S106" s="147"/>
      <c r="T106" s="147"/>
    </row>
    <row r="107" spans="1:21">
      <c r="A107" s="157" t="s">
        <v>183</v>
      </c>
      <c r="C107" s="157"/>
      <c r="D107" s="157"/>
      <c r="I107" s="162" t="s">
        <v>349</v>
      </c>
      <c r="J107" s="162"/>
      <c r="R107" s="160" t="s">
        <v>94</v>
      </c>
      <c r="S107" s="150">
        <f>S105+S106</f>
        <v>16665943</v>
      </c>
      <c r="T107" s="150">
        <f>T105+T106</f>
        <v>10415570</v>
      </c>
    </row>
    <row r="108" spans="1:21" s="189" customFormat="1">
      <c r="A108" s="162" t="s">
        <v>878</v>
      </c>
      <c r="B108" s="157"/>
      <c r="C108" s="157"/>
      <c r="D108" s="157"/>
      <c r="E108" s="302">
        <f>Application!AO640</f>
        <v>11239800</v>
      </c>
      <c r="F108" s="302">
        <f>Application!AO627</f>
        <v>6900000</v>
      </c>
      <c r="G108" s="302">
        <f>Application!AO628</f>
        <v>11490674</v>
      </c>
      <c r="H108" s="302">
        <f>Application!AO629</f>
        <v>1087527</v>
      </c>
      <c r="I108" s="302">
        <f>Application!AO630</f>
        <v>1201426</v>
      </c>
      <c r="J108" s="302">
        <f>Application!AO631</f>
        <v>577280</v>
      </c>
      <c r="K108" s="302">
        <f>Application!AO632</f>
        <v>1604121</v>
      </c>
      <c r="L108" s="302">
        <f>Application!AO633</f>
        <v>100</v>
      </c>
      <c r="M108" s="302">
        <f>Application!AO634</f>
        <v>950864</v>
      </c>
      <c r="N108" s="302">
        <f>Application!AO635</f>
        <v>0</v>
      </c>
      <c r="O108" s="302">
        <f>Application!AO636</f>
        <v>0</v>
      </c>
      <c r="P108" s="302">
        <f>Application!AO637</f>
        <v>0</v>
      </c>
      <c r="Q108" s="302">
        <f>Application!AO638</f>
        <v>0</v>
      </c>
      <c r="R108" s="158"/>
      <c r="S108" s="158"/>
      <c r="T108" s="158"/>
      <c r="U108" s="188"/>
    </row>
    <row r="109" spans="1:21" ht="10.15" customHeight="1">
      <c r="A109" s="157"/>
      <c r="B109" s="157"/>
      <c r="C109" s="157"/>
      <c r="D109" s="157"/>
    </row>
    <row r="110" spans="1:21">
      <c r="A110" s="162" t="s">
        <v>957</v>
      </c>
      <c r="B110" s="157"/>
      <c r="C110" s="157"/>
      <c r="D110" s="157"/>
    </row>
    <row r="111" spans="1:21">
      <c r="A111" s="156" t="s">
        <v>958</v>
      </c>
      <c r="B111" s="157"/>
      <c r="C111" s="157"/>
      <c r="D111" s="157"/>
    </row>
    <row r="112" spans="1:21" ht="12" customHeight="1">
      <c r="A112" s="313"/>
      <c r="B112" s="157"/>
      <c r="C112" s="157"/>
      <c r="D112" s="157"/>
    </row>
    <row r="113" spans="1:21">
      <c r="A113" s="156" t="s">
        <v>1018</v>
      </c>
      <c r="B113" s="157"/>
      <c r="C113" s="157"/>
      <c r="D113" s="157"/>
    </row>
    <row r="114" spans="1:21">
      <c r="A114" s="156" t="s">
        <v>2096</v>
      </c>
      <c r="B114" s="157"/>
      <c r="C114" s="157"/>
      <c r="D114" s="157"/>
    </row>
    <row r="115" spans="1:21" ht="12" customHeight="1">
      <c r="A115" s="313"/>
      <c r="B115" s="157"/>
      <c r="C115" s="157"/>
      <c r="D115" s="157"/>
    </row>
    <row r="116" spans="1:21">
      <c r="A116" s="346" t="s">
        <v>1021</v>
      </c>
      <c r="B116" s="157"/>
      <c r="C116" s="157"/>
      <c r="D116" s="157"/>
    </row>
    <row r="117" spans="1:21">
      <c r="A117" s="346" t="s">
        <v>1222</v>
      </c>
      <c r="B117" s="157"/>
      <c r="C117" s="157"/>
      <c r="D117" s="157"/>
    </row>
    <row r="118" spans="1:21">
      <c r="A118" s="346" t="s">
        <v>1020</v>
      </c>
      <c r="B118" s="157"/>
      <c r="C118" s="157"/>
      <c r="D118" s="157"/>
    </row>
    <row r="119" spans="1:21">
      <c r="A119" s="346" t="s">
        <v>1022</v>
      </c>
      <c r="B119" s="157"/>
      <c r="C119" s="157"/>
      <c r="D119" s="157"/>
    </row>
    <row r="120" spans="1:21" ht="12" customHeight="1">
      <c r="A120" s="345"/>
      <c r="B120" s="157"/>
      <c r="C120" s="157"/>
      <c r="D120" s="157"/>
    </row>
    <row r="121" spans="1:21" ht="15.5">
      <c r="A121" s="339" t="s">
        <v>1004</v>
      </c>
      <c r="B121" s="157"/>
      <c r="C121" s="157"/>
      <c r="D121" s="157"/>
    </row>
    <row r="122" spans="1:21">
      <c r="A122" s="326" t="s">
        <v>988</v>
      </c>
      <c r="B122" s="325"/>
      <c r="C122" s="325"/>
      <c r="D122" s="1879" t="s">
        <v>989</v>
      </c>
      <c r="E122" s="1879"/>
      <c r="F122" s="1879"/>
      <c r="G122" s="325"/>
      <c r="H122" s="325"/>
      <c r="I122" s="325"/>
      <c r="J122" s="325"/>
      <c r="K122" s="325"/>
      <c r="L122" s="325"/>
      <c r="M122" s="325"/>
      <c r="N122" s="325"/>
      <c r="O122" s="325"/>
      <c r="P122" s="325"/>
      <c r="Q122" s="325"/>
      <c r="R122" s="325"/>
      <c r="S122" s="325"/>
      <c r="T122" s="325"/>
      <c r="U122" s="327"/>
    </row>
    <row r="123" spans="1:21">
      <c r="A123" s="325" t="s">
        <v>990</v>
      </c>
      <c r="B123" s="334">
        <v>5000</v>
      </c>
      <c r="C123" s="325"/>
      <c r="D123" s="1871" t="s">
        <v>1223</v>
      </c>
      <c r="E123" s="1543"/>
      <c r="F123" s="1543"/>
      <c r="G123" s="1543"/>
      <c r="H123" s="1543"/>
      <c r="I123" s="1543"/>
      <c r="J123" s="1543"/>
      <c r="K123" s="1543"/>
      <c r="L123" s="1543"/>
      <c r="M123" s="1543"/>
      <c r="N123" s="1543"/>
      <c r="O123" s="1543"/>
      <c r="P123" s="1543"/>
      <c r="Q123" s="1543"/>
      <c r="R123" s="1543"/>
      <c r="S123" s="1543"/>
      <c r="T123" s="325"/>
      <c r="U123" s="327"/>
    </row>
    <row r="124" spans="1:21" ht="12.5">
      <c r="A124" s="117" t="s">
        <v>991</v>
      </c>
      <c r="B124" s="334"/>
      <c r="C124" s="117"/>
      <c r="D124" s="1543"/>
      <c r="E124" s="1543"/>
      <c r="F124" s="1543"/>
      <c r="G124" s="1543"/>
      <c r="H124" s="1543"/>
      <c r="I124" s="1543"/>
      <c r="J124" s="1543"/>
      <c r="K124" s="1543"/>
      <c r="L124" s="1543"/>
      <c r="M124" s="1543"/>
      <c r="N124" s="1543"/>
      <c r="O124" s="1543"/>
      <c r="P124" s="1543"/>
      <c r="Q124" s="1543"/>
      <c r="R124" s="1543"/>
      <c r="S124" s="1543"/>
      <c r="T124" s="325"/>
      <c r="U124" s="327"/>
    </row>
    <row r="125" spans="1:21" ht="12.5">
      <c r="A125" s="117" t="s">
        <v>992</v>
      </c>
      <c r="B125" s="334">
        <v>90000</v>
      </c>
      <c r="C125" s="117"/>
      <c r="D125" s="1543"/>
      <c r="E125" s="1543"/>
      <c r="F125" s="1543"/>
      <c r="G125" s="1543"/>
      <c r="H125" s="1543"/>
      <c r="I125" s="1543"/>
      <c r="J125" s="1543"/>
      <c r="K125" s="1543"/>
      <c r="L125" s="1543"/>
      <c r="M125" s="1543"/>
      <c r="N125" s="1543"/>
      <c r="O125" s="1543"/>
      <c r="P125" s="1543"/>
      <c r="Q125" s="1543"/>
      <c r="R125" s="1543"/>
      <c r="S125" s="1543"/>
      <c r="T125" s="325"/>
      <c r="U125" s="327"/>
    </row>
    <row r="126" spans="1:21" ht="12.5">
      <c r="A126" s="117" t="s">
        <v>993</v>
      </c>
      <c r="B126" s="334">
        <v>85000</v>
      </c>
      <c r="C126" s="117"/>
      <c r="D126" s="116"/>
      <c r="E126" s="116"/>
      <c r="F126" s="116"/>
      <c r="G126" s="116"/>
      <c r="H126" s="116"/>
      <c r="I126" s="116"/>
      <c r="J126" s="116"/>
      <c r="K126" s="116"/>
      <c r="L126" s="116"/>
      <c r="M126" s="116"/>
      <c r="N126" s="116"/>
      <c r="O126" s="117"/>
      <c r="P126" s="117"/>
      <c r="Q126" s="117"/>
      <c r="R126" s="117"/>
      <c r="S126" s="117"/>
      <c r="T126" s="325"/>
      <c r="U126" s="327"/>
    </row>
    <row r="127" spans="1:21" ht="12.5">
      <c r="A127" s="117" t="s">
        <v>994</v>
      </c>
      <c r="B127" s="334"/>
      <c r="C127" s="117"/>
      <c r="D127" s="116"/>
      <c r="E127" s="116"/>
      <c r="F127" s="116"/>
      <c r="G127" s="116"/>
      <c r="H127" s="116"/>
      <c r="I127" s="116"/>
      <c r="J127" s="116"/>
      <c r="K127" s="116"/>
      <c r="L127" s="116"/>
      <c r="M127" s="116"/>
      <c r="N127" s="116"/>
      <c r="O127" s="117"/>
      <c r="P127" s="117"/>
      <c r="Q127" s="117"/>
      <c r="R127" s="117"/>
      <c r="S127" s="117"/>
      <c r="T127" s="325"/>
      <c r="U127" s="327"/>
    </row>
    <row r="128" spans="1:21" ht="12.5">
      <c r="A128" s="117" t="s">
        <v>995</v>
      </c>
      <c r="B128" s="334"/>
      <c r="C128" s="117"/>
      <c r="D128" s="1874"/>
      <c r="E128" s="1874"/>
      <c r="F128" s="1874"/>
      <c r="G128" s="1874"/>
      <c r="H128" s="1874"/>
      <c r="I128" s="117"/>
      <c r="J128" s="1870"/>
      <c r="K128" s="1870"/>
      <c r="L128" s="117"/>
      <c r="M128" s="117"/>
      <c r="N128" s="117"/>
      <c r="O128" s="117"/>
      <c r="P128" s="117"/>
      <c r="Q128" s="117"/>
      <c r="R128" s="117"/>
      <c r="S128" s="117"/>
      <c r="T128" s="325"/>
      <c r="U128" s="327"/>
    </row>
    <row r="129" spans="1:21" ht="12.5">
      <c r="A129" s="117" t="s">
        <v>299</v>
      </c>
      <c r="B129" s="334"/>
      <c r="C129" s="117"/>
      <c r="D129" s="1878" t="s">
        <v>996</v>
      </c>
      <c r="E129" s="1878"/>
      <c r="F129" s="1878"/>
      <c r="G129" s="1878"/>
      <c r="H129" s="1878"/>
      <c r="I129" s="117"/>
      <c r="J129" s="117" t="s">
        <v>997</v>
      </c>
      <c r="K129" s="117"/>
      <c r="L129" s="117"/>
      <c r="M129" s="117"/>
      <c r="N129" s="117"/>
      <c r="O129" s="117"/>
      <c r="P129" s="117"/>
      <c r="Q129" s="117"/>
      <c r="R129" s="117"/>
      <c r="S129" s="117"/>
      <c r="T129" s="325"/>
      <c r="U129" s="327"/>
    </row>
    <row r="130" spans="1:21" ht="12" customHeight="1">
      <c r="A130" s="117"/>
      <c r="B130" s="333"/>
      <c r="C130" s="117"/>
      <c r="D130" s="117"/>
      <c r="E130" s="117"/>
      <c r="F130" s="117"/>
      <c r="G130" s="117"/>
      <c r="H130" s="117"/>
      <c r="I130" s="117"/>
      <c r="J130" s="117"/>
      <c r="K130" s="117"/>
      <c r="L130" s="117"/>
      <c r="M130" s="117"/>
      <c r="N130" s="117"/>
      <c r="O130" s="117"/>
      <c r="P130" s="117"/>
      <c r="Q130" s="117"/>
      <c r="R130" s="117"/>
      <c r="S130" s="117"/>
      <c r="T130" s="325"/>
      <c r="U130" s="327"/>
    </row>
    <row r="131" spans="1:21" ht="13">
      <c r="A131" s="336" t="s">
        <v>998</v>
      </c>
      <c r="B131" s="335">
        <f>SUM(B123:B129)</f>
        <v>180000</v>
      </c>
      <c r="C131" s="117"/>
      <c r="D131" s="1450"/>
      <c r="E131" s="1450"/>
      <c r="F131" s="1450"/>
      <c r="G131" s="1450"/>
      <c r="H131" s="1450"/>
      <c r="I131" s="117"/>
      <c r="J131" s="1450"/>
      <c r="K131" s="1450"/>
      <c r="L131" s="1450"/>
      <c r="M131" s="1450"/>
      <c r="N131" s="117"/>
      <c r="O131" s="117"/>
      <c r="P131" s="117"/>
      <c r="Q131" s="117"/>
      <c r="R131" s="117"/>
      <c r="S131" s="117"/>
      <c r="T131" s="325"/>
      <c r="U131" s="327"/>
    </row>
    <row r="132" spans="1:21" ht="12" customHeight="1">
      <c r="A132" s="337"/>
      <c r="B132" s="117"/>
      <c r="C132" s="117"/>
      <c r="D132" s="1872" t="s">
        <v>999</v>
      </c>
      <c r="E132" s="1872"/>
      <c r="F132" s="1872"/>
      <c r="G132" s="1872"/>
      <c r="H132" s="1872"/>
      <c r="I132" s="117"/>
      <c r="J132" s="1872" t="s">
        <v>1000</v>
      </c>
      <c r="K132" s="1872"/>
      <c r="L132" s="1872"/>
      <c r="M132" s="1872"/>
      <c r="N132" s="117"/>
      <c r="O132" s="117"/>
      <c r="P132" s="117"/>
      <c r="Q132" s="117"/>
      <c r="R132" s="117"/>
      <c r="S132" s="117"/>
      <c r="T132" s="325"/>
      <c r="U132" s="327"/>
    </row>
    <row r="133" spans="1:21" ht="12" customHeight="1">
      <c r="A133" s="337"/>
      <c r="B133" s="117"/>
      <c r="C133" s="117"/>
      <c r="D133" s="117"/>
      <c r="E133" s="117"/>
      <c r="F133" s="117"/>
      <c r="G133" s="117"/>
      <c r="H133" s="117"/>
      <c r="I133" s="117"/>
      <c r="J133" s="117"/>
      <c r="K133" s="117"/>
      <c r="L133" s="117"/>
      <c r="M133" s="117"/>
      <c r="N133" s="117"/>
      <c r="O133" s="117"/>
      <c r="P133" s="117"/>
      <c r="Q133" s="117"/>
      <c r="R133" s="117"/>
      <c r="S133" s="117"/>
      <c r="T133" s="325"/>
      <c r="U133" s="327"/>
    </row>
    <row r="134" spans="1:21" ht="12.5">
      <c r="A134" s="91" t="s">
        <v>1001</v>
      </c>
      <c r="B134" s="117"/>
      <c r="C134" s="117"/>
      <c r="D134" s="117"/>
      <c r="E134" s="117"/>
      <c r="F134" s="117"/>
      <c r="G134" s="117"/>
      <c r="H134" s="117"/>
      <c r="I134" s="117"/>
      <c r="J134" s="117"/>
      <c r="K134" s="117"/>
      <c r="L134" s="117"/>
      <c r="M134" s="117"/>
      <c r="N134" s="117"/>
      <c r="O134" s="117"/>
      <c r="P134" s="117"/>
      <c r="Q134" s="117"/>
      <c r="R134" s="117"/>
      <c r="S134" s="117"/>
      <c r="T134" s="325"/>
      <c r="U134" s="327"/>
    </row>
    <row r="135" spans="1:21" ht="13">
      <c r="A135" s="313" t="s">
        <v>1002</v>
      </c>
      <c r="B135" s="117"/>
      <c r="C135" s="117"/>
      <c r="D135" s="117"/>
      <c r="E135" s="117"/>
      <c r="F135" s="117"/>
      <c r="G135" s="117"/>
      <c r="H135" s="117"/>
      <c r="I135" s="117"/>
      <c r="J135" s="117"/>
      <c r="K135" s="117"/>
      <c r="L135" s="117"/>
      <c r="M135" s="117"/>
      <c r="N135" s="338"/>
      <c r="O135" s="117"/>
      <c r="P135" s="117"/>
      <c r="Q135" s="117"/>
      <c r="R135" s="117"/>
      <c r="S135" s="117"/>
      <c r="T135" s="325"/>
      <c r="U135" s="327"/>
    </row>
    <row r="136" spans="1:21" ht="12" customHeight="1">
      <c r="A136" s="337"/>
      <c r="B136" s="117"/>
      <c r="C136" s="117"/>
      <c r="D136" s="117"/>
      <c r="E136" s="117"/>
      <c r="F136" s="117"/>
      <c r="G136" s="117"/>
      <c r="H136" s="117"/>
      <c r="I136" s="117"/>
      <c r="J136" s="117"/>
      <c r="K136" s="117"/>
      <c r="L136" s="117"/>
      <c r="M136" s="117"/>
      <c r="N136" s="117"/>
      <c r="O136" s="117"/>
      <c r="P136" s="117"/>
      <c r="Q136" s="117"/>
      <c r="R136" s="117"/>
      <c r="S136" s="117"/>
      <c r="T136" s="331"/>
      <c r="U136" s="332"/>
    </row>
    <row r="137" spans="1:21" ht="12.5">
      <c r="A137" s="337"/>
      <c r="B137" s="117"/>
      <c r="C137" s="117"/>
      <c r="D137" s="117"/>
      <c r="E137" s="117"/>
      <c r="F137" s="117"/>
      <c r="G137" s="117"/>
      <c r="H137" s="117"/>
      <c r="I137" s="117"/>
      <c r="J137" s="117"/>
      <c r="K137" s="117"/>
      <c r="L137" s="117"/>
      <c r="M137" s="117"/>
      <c r="N137" s="117"/>
      <c r="O137" s="117"/>
      <c r="P137" s="117"/>
      <c r="Q137" s="117"/>
      <c r="R137" s="117"/>
      <c r="S137" s="117"/>
      <c r="T137" s="331"/>
      <c r="U137" s="332"/>
    </row>
    <row r="138" spans="1:21" ht="12" customHeight="1">
      <c r="A138" s="1873"/>
      <c r="B138" s="1874"/>
      <c r="C138" s="1874"/>
      <c r="D138" s="329"/>
      <c r="E138" s="1870"/>
      <c r="F138" s="1870"/>
      <c r="G138" s="117"/>
      <c r="H138" s="117"/>
      <c r="I138" s="117"/>
      <c r="J138" s="117"/>
      <c r="K138" s="117"/>
      <c r="L138" s="117"/>
      <c r="M138" s="117"/>
      <c r="N138" s="117"/>
      <c r="O138" s="117"/>
      <c r="P138" s="117"/>
      <c r="Q138" s="117"/>
      <c r="R138" s="117"/>
      <c r="S138" s="117"/>
      <c r="T138" s="331"/>
      <c r="U138" s="332"/>
    </row>
    <row r="139" spans="1:21" ht="13">
      <c r="A139" s="1869" t="s">
        <v>1003</v>
      </c>
      <c r="B139" s="1869"/>
      <c r="C139" s="1869"/>
      <c r="D139" s="329"/>
      <c r="E139" s="117" t="s">
        <v>997</v>
      </c>
      <c r="F139" s="117"/>
      <c r="G139" s="117"/>
      <c r="H139" s="117"/>
      <c r="I139" s="117"/>
      <c r="J139" s="117"/>
      <c r="K139" s="117"/>
      <c r="L139" s="117"/>
      <c r="M139" s="117"/>
      <c r="N139" s="117"/>
      <c r="O139" s="117"/>
      <c r="P139" s="117"/>
      <c r="Q139" s="117"/>
      <c r="R139" s="117"/>
      <c r="S139" s="117"/>
      <c r="T139" s="331"/>
      <c r="U139" s="332"/>
    </row>
    <row r="140" spans="1:21" ht="13">
      <c r="A140" s="337"/>
      <c r="B140" s="117"/>
      <c r="C140" s="117"/>
      <c r="D140" s="329"/>
      <c r="E140" s="117"/>
      <c r="F140" s="117"/>
      <c r="G140" s="117"/>
      <c r="H140" s="117"/>
      <c r="I140" s="117"/>
      <c r="J140" s="117"/>
      <c r="K140" s="117"/>
      <c r="L140" s="117"/>
      <c r="M140" s="117"/>
      <c r="N140" s="117"/>
      <c r="O140" s="117"/>
      <c r="P140" s="117"/>
      <c r="Q140" s="117"/>
      <c r="R140" s="117"/>
      <c r="S140" s="117"/>
      <c r="T140" s="328"/>
      <c r="U140" s="330"/>
    </row>
    <row r="151"/>
    <row r="152"/>
    <row r="153"/>
    <row r="154"/>
    <row r="155"/>
  </sheetData>
  <sheetProtection algorithmName="SHA-512" hashValue="Wq/YQutSlSrteu5qCeqDFsUGfTRTiTztd6D3eqZkAVg4ecV9b+XCvwNY/f+5282xEuGV/Kzm5tHj2lR3zft/YQ==" saltValue="YcjIan+MpCuK2jpyah+gC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9" priority="8">
      <formula>AND(B25&gt;0,OR(A25="",A25="Other: (Specify)"))</formula>
    </cfRule>
  </conditionalFormatting>
  <conditionalFormatting sqref="A37">
    <cfRule type="expression" dxfId="68" priority="7">
      <formula>AND(B37&gt;0,OR(A37="",A37="Other: (Specify)"))</formula>
    </cfRule>
  </conditionalFormatting>
  <conditionalFormatting sqref="A53">
    <cfRule type="expression" dxfId="67" priority="6">
      <formula>AND(B53&gt;0,OR(A53="",A53="Other: (Specify)"))</formula>
    </cfRule>
  </conditionalFormatting>
  <conditionalFormatting sqref="A61">
    <cfRule type="expression" dxfId="66" priority="5">
      <formula>AND(B61&gt;0,OR(A61="",A61="Other: (Specify)"))</formula>
    </cfRule>
  </conditionalFormatting>
  <conditionalFormatting sqref="A69">
    <cfRule type="expression" dxfId="65" priority="4">
      <formula>AND(B69&gt;0,OR(A69="",A69="Other: (Specify)"))</formula>
    </cfRule>
  </conditionalFormatting>
  <conditionalFormatting sqref="A76">
    <cfRule type="expression" dxfId="64" priority="3">
      <formula>AND(B76&gt;0,OR(A76="",A76="Other: (Specify)"))</formula>
    </cfRule>
  </conditionalFormatting>
  <conditionalFormatting sqref="A93:A95">
    <cfRule type="expression" dxfId="63" priority="2">
      <formula>AND(B93&gt;0,OR(A93="",A93="Other: (Specify)"))</formula>
    </cfRule>
  </conditionalFormatting>
  <conditionalFormatting sqref="A103">
    <cfRule type="expression" dxfId="62" priority="1">
      <formula>AND(B103&gt;0,OR(A103="",A103="Other: (Specify)"))</formula>
    </cfRule>
  </conditionalFormatting>
  <conditionalFormatting sqref="C10">
    <cfRule type="expression" dxfId="61" priority="85">
      <formula>"(S10+T10)&gt;C10 "</formula>
    </cfRule>
  </conditionalFormatting>
  <conditionalFormatting sqref="E105:Q105">
    <cfRule type="cellIs" dxfId="60" priority="208" stopIfTrue="1" operator="notEqual">
      <formula>E$108</formula>
    </cfRule>
  </conditionalFormatting>
  <conditionalFormatting sqref="R4:R15">
    <cfRule type="cellIs" dxfId="59"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8"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7"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6"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5"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4"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3"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2"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1" priority="213" stopIfTrue="1" operator="notEqual">
      <formula>$B79</formula>
    </cfRule>
  </conditionalFormatting>
  <conditionalFormatting sqref="R83:R96">
    <cfRule type="cellIs" dxfId="50"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9"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8" priority="253" stopIfTrue="1">
      <formula>(S10+T10)&gt;C10</formula>
    </cfRule>
  </conditionalFormatting>
  <conditionalFormatting sqref="S13:S14">
    <cfRule type="expression" dxfId="47" priority="202" stopIfTrue="1">
      <formula>(S13+T13)&gt;C13</formula>
    </cfRule>
  </conditionalFormatting>
  <conditionalFormatting sqref="S17:S25">
    <cfRule type="expression" dxfId="46" priority="186" stopIfTrue="1">
      <formula>(S17+T17)&gt;C17</formula>
    </cfRule>
  </conditionalFormatting>
  <conditionalFormatting sqref="S27">
    <cfRule type="expression" dxfId="45" priority="179" stopIfTrue="1">
      <formula>(S27+T27)&gt;C27</formula>
    </cfRule>
  </conditionalFormatting>
  <conditionalFormatting sqref="S29:S37">
    <cfRule type="expression" dxfId="44" priority="169" stopIfTrue="1">
      <formula>(S29+T29)&gt;C29</formula>
    </cfRule>
  </conditionalFormatting>
  <conditionalFormatting sqref="S40:S41">
    <cfRule type="expression" dxfId="43" priority="160" stopIfTrue="1">
      <formula>(S40+T40)&gt;C40</formula>
    </cfRule>
  </conditionalFormatting>
  <conditionalFormatting sqref="S43">
    <cfRule type="expression" dxfId="42" priority="157" stopIfTrue="1">
      <formula>(S43+T43)&gt;C43</formula>
    </cfRule>
  </conditionalFormatting>
  <conditionalFormatting sqref="S45:S53">
    <cfRule type="expression" dxfId="41" priority="142" stopIfTrue="1">
      <formula>(S45+T45)&gt;C45</formula>
    </cfRule>
  </conditionalFormatting>
  <conditionalFormatting sqref="S65:S69">
    <cfRule type="expression" dxfId="40" priority="131" stopIfTrue="1">
      <formula>(S65+T65)&gt;C65</formula>
    </cfRule>
  </conditionalFormatting>
  <conditionalFormatting sqref="S79:S80">
    <cfRule type="expression" dxfId="39" priority="127" stopIfTrue="1">
      <formula>(S79+T79)&gt;C79</formula>
    </cfRule>
  </conditionalFormatting>
  <conditionalFormatting sqref="S84:S87">
    <cfRule type="expression" dxfId="38" priority="121" stopIfTrue="1">
      <formula>(S84+T84)&gt;C84</formula>
    </cfRule>
  </conditionalFormatting>
  <conditionalFormatting sqref="S89:S95">
    <cfRule type="expression" dxfId="37" priority="110" stopIfTrue="1">
      <formula>(S89+T89)&gt;C89</formula>
    </cfRule>
  </conditionalFormatting>
  <conditionalFormatting sqref="S99:S103">
    <cfRule type="expression" dxfId="36" priority="93" stopIfTrue="1">
      <formula>(S99+T99)&gt;C99</formula>
    </cfRule>
  </conditionalFormatting>
  <conditionalFormatting sqref="T9">
    <cfRule type="expression" dxfId="35" priority="254" stopIfTrue="1">
      <formula>T9&gt;C9</formula>
    </cfRule>
  </conditionalFormatting>
  <conditionalFormatting sqref="T10">
    <cfRule type="expression" dxfId="34" priority="83" stopIfTrue="1">
      <formula>(S10+T10)&gt;C10</formula>
    </cfRule>
  </conditionalFormatting>
  <conditionalFormatting sqref="T13:T14">
    <cfRule type="expression" dxfId="33" priority="80" stopIfTrue="1">
      <formula>(S13+T13)&gt;C13</formula>
    </cfRule>
  </conditionalFormatting>
  <conditionalFormatting sqref="T17:T25">
    <cfRule type="expression" dxfId="32" priority="56" stopIfTrue="1">
      <formula>(S17+T17)&gt;C17</formula>
    </cfRule>
  </conditionalFormatting>
  <conditionalFormatting sqref="T27">
    <cfRule type="expression" dxfId="31" priority="54" stopIfTrue="1">
      <formula>(S27+T27)&gt;C27</formula>
    </cfRule>
  </conditionalFormatting>
  <conditionalFormatting sqref="T29:T37">
    <cfRule type="expression" dxfId="30" priority="45" stopIfTrue="1">
      <formula>(S29+T29)&gt;C29</formula>
    </cfRule>
  </conditionalFormatting>
  <conditionalFormatting sqref="T40:T41">
    <cfRule type="expression" dxfId="29" priority="43" stopIfTrue="1">
      <formula>(S40+T40)&gt;C40</formula>
    </cfRule>
  </conditionalFormatting>
  <conditionalFormatting sqref="T43">
    <cfRule type="expression" dxfId="28" priority="42" stopIfTrue="1">
      <formula>(S43+T43)&gt;C43</formula>
    </cfRule>
  </conditionalFormatting>
  <conditionalFormatting sqref="T45:T53">
    <cfRule type="expression" dxfId="27" priority="32" stopIfTrue="1">
      <formula>(S45+T45)&gt;C45</formula>
    </cfRule>
  </conditionalFormatting>
  <conditionalFormatting sqref="T65:T69">
    <cfRule type="expression" dxfId="26" priority="30" stopIfTrue="1">
      <formula>(S65+T65)&gt;C65</formula>
    </cfRule>
  </conditionalFormatting>
  <conditionalFormatting sqref="T79:T80">
    <cfRule type="expression" dxfId="25" priority="28" stopIfTrue="1">
      <formula>(S79+T79)&gt;C79</formula>
    </cfRule>
  </conditionalFormatting>
  <conditionalFormatting sqref="T84:T87">
    <cfRule type="expression" dxfId="24" priority="24" stopIfTrue="1">
      <formula>(S84+T84)&gt;C84</formula>
    </cfRule>
  </conditionalFormatting>
  <conditionalFormatting sqref="T89:T95">
    <cfRule type="expression" dxfId="23" priority="17" stopIfTrue="1">
      <formula>(S89+T89)&gt;C89</formula>
    </cfRule>
  </conditionalFormatting>
  <conditionalFormatting sqref="T99:T103">
    <cfRule type="expression" dxfId="22"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topLeftCell="A9" workbookViewId="0">
      <selection activeCell="C18" sqref="C18:C25"/>
    </sheetView>
  </sheetViews>
  <sheetFormatPr defaultColWidth="0" defaultRowHeight="11.5" zeroHeight="1"/>
  <cols>
    <col min="1" max="1" width="32.7265625" style="398" customWidth="1"/>
    <col min="2" max="3" width="12.1796875" style="394" customWidth="1"/>
    <col min="4" max="6" width="12.81640625" style="394" customWidth="1"/>
    <col min="7" max="9" width="12.1796875" style="394" customWidth="1"/>
    <col min="10" max="10" width="12.1796875" style="395" customWidth="1"/>
    <col min="11" max="11" width="8.81640625" style="396" hidden="1" customWidth="1"/>
    <col min="12" max="21" width="8.81640625" style="394" hidden="1" customWidth="1"/>
    <col min="22" max="23" width="0" style="394" hidden="1"/>
    <col min="24" max="256" width="8.81640625" style="394" hidden="1"/>
    <col min="257" max="257" width="32.7265625" style="394" hidden="1" customWidth="1"/>
    <col min="258" max="259" width="12.1796875" style="394" hidden="1" customWidth="1"/>
    <col min="260" max="260" width="12.81640625" style="394" hidden="1" customWidth="1"/>
    <col min="261" max="266" width="12.1796875" style="394" hidden="1" customWidth="1"/>
    <col min="267" max="277" width="8.81640625" style="394" hidden="1" customWidth="1"/>
    <col min="278" max="512" width="8.81640625" style="394" hidden="1"/>
    <col min="513" max="513" width="32.7265625" style="394" hidden="1" customWidth="1"/>
    <col min="514" max="515" width="12.1796875" style="394" hidden="1" customWidth="1"/>
    <col min="516" max="516" width="12.81640625" style="394" hidden="1" customWidth="1"/>
    <col min="517" max="522" width="12.1796875" style="394" hidden="1" customWidth="1"/>
    <col min="523" max="533" width="8.81640625" style="394" hidden="1" customWidth="1"/>
    <col min="534" max="768" width="8.81640625" style="394" hidden="1"/>
    <col min="769" max="769" width="32.7265625" style="394" hidden="1" customWidth="1"/>
    <col min="770" max="771" width="12.1796875" style="394" hidden="1" customWidth="1"/>
    <col min="772" max="772" width="12.81640625" style="394" hidden="1" customWidth="1"/>
    <col min="773" max="778" width="12.1796875" style="394" hidden="1" customWidth="1"/>
    <col min="779" max="789" width="8.81640625" style="394" hidden="1" customWidth="1"/>
    <col min="790" max="1024" width="8.81640625" style="394" hidden="1"/>
    <col min="1025" max="1025" width="32.7265625" style="394" hidden="1" customWidth="1"/>
    <col min="1026" max="1027" width="12.1796875" style="394" hidden="1" customWidth="1"/>
    <col min="1028" max="1028" width="12.81640625" style="394" hidden="1" customWidth="1"/>
    <col min="1029" max="1034" width="12.1796875" style="394" hidden="1" customWidth="1"/>
    <col min="1035" max="1045" width="8.81640625" style="394" hidden="1" customWidth="1"/>
    <col min="1046" max="1280" width="8.81640625" style="394" hidden="1"/>
    <col min="1281" max="1281" width="32.7265625" style="394" hidden="1" customWidth="1"/>
    <col min="1282" max="1283" width="12.1796875" style="394" hidden="1" customWidth="1"/>
    <col min="1284" max="1284" width="12.81640625" style="394" hidden="1" customWidth="1"/>
    <col min="1285" max="1290" width="12.1796875" style="394" hidden="1" customWidth="1"/>
    <col min="1291" max="1301" width="8.81640625" style="394" hidden="1" customWidth="1"/>
    <col min="1302" max="1536" width="8.81640625" style="394" hidden="1"/>
    <col min="1537" max="1537" width="32.7265625" style="394" hidden="1" customWidth="1"/>
    <col min="1538" max="1539" width="12.1796875" style="394" hidden="1" customWidth="1"/>
    <col min="1540" max="1540" width="12.81640625" style="394" hidden="1" customWidth="1"/>
    <col min="1541" max="1546" width="12.1796875" style="394" hidden="1" customWidth="1"/>
    <col min="1547" max="1557" width="8.81640625" style="394" hidden="1" customWidth="1"/>
    <col min="1558" max="1792" width="8.81640625" style="394" hidden="1"/>
    <col min="1793" max="1793" width="32.7265625" style="394" hidden="1" customWidth="1"/>
    <col min="1794" max="1795" width="12.1796875" style="394" hidden="1" customWidth="1"/>
    <col min="1796" max="1796" width="12.81640625" style="394" hidden="1" customWidth="1"/>
    <col min="1797" max="1802" width="12.1796875" style="394" hidden="1" customWidth="1"/>
    <col min="1803" max="1813" width="8.81640625" style="394" hidden="1" customWidth="1"/>
    <col min="1814" max="2048" width="8.81640625" style="394" hidden="1"/>
    <col min="2049" max="2049" width="32.7265625" style="394" hidden="1" customWidth="1"/>
    <col min="2050" max="2051" width="12.1796875" style="394" hidden="1" customWidth="1"/>
    <col min="2052" max="2052" width="12.81640625" style="394" hidden="1" customWidth="1"/>
    <col min="2053" max="2058" width="12.1796875" style="394" hidden="1" customWidth="1"/>
    <col min="2059" max="2069" width="8.81640625" style="394" hidden="1" customWidth="1"/>
    <col min="2070" max="2304" width="8.81640625" style="394" hidden="1"/>
    <col min="2305" max="2305" width="32.7265625" style="394" hidden="1" customWidth="1"/>
    <col min="2306" max="2307" width="12.1796875" style="394" hidden="1" customWidth="1"/>
    <col min="2308" max="2308" width="12.81640625" style="394" hidden="1" customWidth="1"/>
    <col min="2309" max="2314" width="12.1796875" style="394" hidden="1" customWidth="1"/>
    <col min="2315" max="2325" width="8.81640625" style="394" hidden="1" customWidth="1"/>
    <col min="2326" max="2560" width="8.81640625" style="394" hidden="1"/>
    <col min="2561" max="2561" width="32.7265625" style="394" hidden="1" customWidth="1"/>
    <col min="2562" max="2563" width="12.1796875" style="394" hidden="1" customWidth="1"/>
    <col min="2564" max="2564" width="12.81640625" style="394" hidden="1" customWidth="1"/>
    <col min="2565" max="2570" width="12.1796875" style="394" hidden="1" customWidth="1"/>
    <col min="2571" max="2581" width="8.81640625" style="394" hidden="1" customWidth="1"/>
    <col min="2582" max="2816" width="8.81640625" style="394" hidden="1"/>
    <col min="2817" max="2817" width="32.7265625" style="394" hidden="1" customWidth="1"/>
    <col min="2818" max="2819" width="12.1796875" style="394" hidden="1" customWidth="1"/>
    <col min="2820" max="2820" width="12.81640625" style="394" hidden="1" customWidth="1"/>
    <col min="2821" max="2826" width="12.1796875" style="394" hidden="1" customWidth="1"/>
    <col min="2827" max="2837" width="8.81640625" style="394" hidden="1" customWidth="1"/>
    <col min="2838" max="3072" width="8.81640625" style="394" hidden="1"/>
    <col min="3073" max="3073" width="32.7265625" style="394" hidden="1" customWidth="1"/>
    <col min="3074" max="3075" width="12.1796875" style="394" hidden="1" customWidth="1"/>
    <col min="3076" max="3076" width="12.81640625" style="394" hidden="1" customWidth="1"/>
    <col min="3077" max="3082" width="12.1796875" style="394" hidden="1" customWidth="1"/>
    <col min="3083" max="3093" width="8.81640625" style="394" hidden="1" customWidth="1"/>
    <col min="3094" max="3328" width="8.81640625" style="394" hidden="1"/>
    <col min="3329" max="3329" width="32.7265625" style="394" hidden="1" customWidth="1"/>
    <col min="3330" max="3331" width="12.1796875" style="394" hidden="1" customWidth="1"/>
    <col min="3332" max="3332" width="12.81640625" style="394" hidden="1" customWidth="1"/>
    <col min="3333" max="3338" width="12.1796875" style="394" hidden="1" customWidth="1"/>
    <col min="3339" max="3349" width="8.81640625" style="394" hidden="1" customWidth="1"/>
    <col min="3350" max="3584" width="8.81640625" style="394" hidden="1"/>
    <col min="3585" max="3585" width="32.7265625" style="394" hidden="1" customWidth="1"/>
    <col min="3586" max="3587" width="12.1796875" style="394" hidden="1" customWidth="1"/>
    <col min="3588" max="3588" width="12.81640625" style="394" hidden="1" customWidth="1"/>
    <col min="3589" max="3594" width="12.1796875" style="394" hidden="1" customWidth="1"/>
    <col min="3595" max="3605" width="8.81640625" style="394" hidden="1" customWidth="1"/>
    <col min="3606" max="3840" width="8.81640625" style="394" hidden="1"/>
    <col min="3841" max="3841" width="32.7265625" style="394" hidden="1" customWidth="1"/>
    <col min="3842" max="3843" width="12.1796875" style="394" hidden="1" customWidth="1"/>
    <col min="3844" max="3844" width="12.81640625" style="394" hidden="1" customWidth="1"/>
    <col min="3845" max="3850" width="12.1796875" style="394" hidden="1" customWidth="1"/>
    <col min="3851" max="3861" width="8.81640625" style="394" hidden="1" customWidth="1"/>
    <col min="3862" max="4096" width="8.81640625" style="394" hidden="1"/>
    <col min="4097" max="4097" width="32.7265625" style="394" hidden="1" customWidth="1"/>
    <col min="4098" max="4099" width="12.1796875" style="394" hidden="1" customWidth="1"/>
    <col min="4100" max="4100" width="12.81640625" style="394" hidden="1" customWidth="1"/>
    <col min="4101" max="4106" width="12.1796875" style="394" hidden="1" customWidth="1"/>
    <col min="4107" max="4117" width="8.81640625" style="394" hidden="1" customWidth="1"/>
    <col min="4118" max="4352" width="8.81640625" style="394" hidden="1"/>
    <col min="4353" max="4353" width="32.7265625" style="394" hidden="1" customWidth="1"/>
    <col min="4354" max="4355" width="12.1796875" style="394" hidden="1" customWidth="1"/>
    <col min="4356" max="4356" width="12.81640625" style="394" hidden="1" customWidth="1"/>
    <col min="4357" max="4362" width="12.1796875" style="394" hidden="1" customWidth="1"/>
    <col min="4363" max="4373" width="8.81640625" style="394" hidden="1" customWidth="1"/>
    <col min="4374" max="4608" width="8.81640625" style="394" hidden="1"/>
    <col min="4609" max="4609" width="32.7265625" style="394" hidden="1" customWidth="1"/>
    <col min="4610" max="4611" width="12.1796875" style="394" hidden="1" customWidth="1"/>
    <col min="4612" max="4612" width="12.81640625" style="394" hidden="1" customWidth="1"/>
    <col min="4613" max="4618" width="12.1796875" style="394" hidden="1" customWidth="1"/>
    <col min="4619" max="4629" width="8.81640625" style="394" hidden="1" customWidth="1"/>
    <col min="4630" max="4864" width="8.81640625" style="394" hidden="1"/>
    <col min="4865" max="4865" width="32.7265625" style="394" hidden="1" customWidth="1"/>
    <col min="4866" max="4867" width="12.1796875" style="394" hidden="1" customWidth="1"/>
    <col min="4868" max="4868" width="12.81640625" style="394" hidden="1" customWidth="1"/>
    <col min="4869" max="4874" width="12.1796875" style="394" hidden="1" customWidth="1"/>
    <col min="4875" max="4885" width="8.81640625" style="394" hidden="1" customWidth="1"/>
    <col min="4886" max="5120" width="8.81640625" style="394" hidden="1"/>
    <col min="5121" max="5121" width="32.7265625" style="394" hidden="1" customWidth="1"/>
    <col min="5122" max="5123" width="12.1796875" style="394" hidden="1" customWidth="1"/>
    <col min="5124" max="5124" width="12.81640625" style="394" hidden="1" customWidth="1"/>
    <col min="5125" max="5130" width="12.1796875" style="394" hidden="1" customWidth="1"/>
    <col min="5131" max="5141" width="8.81640625" style="394" hidden="1" customWidth="1"/>
    <col min="5142" max="5376" width="8.81640625" style="394" hidden="1"/>
    <col min="5377" max="5377" width="32.7265625" style="394" hidden="1" customWidth="1"/>
    <col min="5378" max="5379" width="12.1796875" style="394" hidden="1" customWidth="1"/>
    <col min="5380" max="5380" width="12.81640625" style="394" hidden="1" customWidth="1"/>
    <col min="5381" max="5386" width="12.1796875" style="394" hidden="1" customWidth="1"/>
    <col min="5387" max="5397" width="8.81640625" style="394" hidden="1" customWidth="1"/>
    <col min="5398" max="5632" width="8.81640625" style="394" hidden="1"/>
    <col min="5633" max="5633" width="32.7265625" style="394" hidden="1" customWidth="1"/>
    <col min="5634" max="5635" width="12.1796875" style="394" hidden="1" customWidth="1"/>
    <col min="5636" max="5636" width="12.81640625" style="394" hidden="1" customWidth="1"/>
    <col min="5637" max="5642" width="12.1796875" style="394" hidden="1" customWidth="1"/>
    <col min="5643" max="5653" width="8.81640625" style="394" hidden="1" customWidth="1"/>
    <col min="5654" max="5888" width="8.81640625" style="394" hidden="1"/>
    <col min="5889" max="5889" width="32.7265625" style="394" hidden="1" customWidth="1"/>
    <col min="5890" max="5891" width="12.1796875" style="394" hidden="1" customWidth="1"/>
    <col min="5892" max="5892" width="12.81640625" style="394" hidden="1" customWidth="1"/>
    <col min="5893" max="5898" width="12.1796875" style="394" hidden="1" customWidth="1"/>
    <col min="5899" max="5909" width="8.81640625" style="394" hidden="1" customWidth="1"/>
    <col min="5910" max="6144" width="8.81640625" style="394" hidden="1"/>
    <col min="6145" max="6145" width="32.7265625" style="394" hidden="1" customWidth="1"/>
    <col min="6146" max="6147" width="12.1796875" style="394" hidden="1" customWidth="1"/>
    <col min="6148" max="6148" width="12.81640625" style="394" hidden="1" customWidth="1"/>
    <col min="6149" max="6154" width="12.1796875" style="394" hidden="1" customWidth="1"/>
    <col min="6155" max="6165" width="8.81640625" style="394" hidden="1" customWidth="1"/>
    <col min="6166" max="6400" width="8.81640625" style="394" hidden="1"/>
    <col min="6401" max="6401" width="32.7265625" style="394" hidden="1" customWidth="1"/>
    <col min="6402" max="6403" width="12.1796875" style="394" hidden="1" customWidth="1"/>
    <col min="6404" max="6404" width="12.81640625" style="394" hidden="1" customWidth="1"/>
    <col min="6405" max="6410" width="12.1796875" style="394" hidden="1" customWidth="1"/>
    <col min="6411" max="6421" width="8.81640625" style="394" hidden="1" customWidth="1"/>
    <col min="6422" max="6656" width="8.81640625" style="394" hidden="1"/>
    <col min="6657" max="6657" width="32.7265625" style="394" hidden="1" customWidth="1"/>
    <col min="6658" max="6659" width="12.1796875" style="394" hidden="1" customWidth="1"/>
    <col min="6660" max="6660" width="12.81640625" style="394" hidden="1" customWidth="1"/>
    <col min="6661" max="6666" width="12.1796875" style="394" hidden="1" customWidth="1"/>
    <col min="6667" max="6677" width="8.81640625" style="394" hidden="1" customWidth="1"/>
    <col min="6678" max="6912" width="8.81640625" style="394" hidden="1"/>
    <col min="6913" max="6913" width="32.7265625" style="394" hidden="1" customWidth="1"/>
    <col min="6914" max="6915" width="12.1796875" style="394" hidden="1" customWidth="1"/>
    <col min="6916" max="6916" width="12.81640625" style="394" hidden="1" customWidth="1"/>
    <col min="6917" max="6922" width="12.1796875" style="394" hidden="1" customWidth="1"/>
    <col min="6923" max="6933" width="8.81640625" style="394" hidden="1" customWidth="1"/>
    <col min="6934" max="7168" width="8.81640625" style="394" hidden="1"/>
    <col min="7169" max="7169" width="32.7265625" style="394" hidden="1" customWidth="1"/>
    <col min="7170" max="7171" width="12.1796875" style="394" hidden="1" customWidth="1"/>
    <col min="7172" max="7172" width="12.81640625" style="394" hidden="1" customWidth="1"/>
    <col min="7173" max="7178" width="12.1796875" style="394" hidden="1" customWidth="1"/>
    <col min="7179" max="7189" width="8.81640625" style="394" hidden="1" customWidth="1"/>
    <col min="7190" max="7424" width="8.81640625" style="394" hidden="1"/>
    <col min="7425" max="7425" width="32.7265625" style="394" hidden="1" customWidth="1"/>
    <col min="7426" max="7427" width="12.1796875" style="394" hidden="1" customWidth="1"/>
    <col min="7428" max="7428" width="12.81640625" style="394" hidden="1" customWidth="1"/>
    <col min="7429" max="7434" width="12.1796875" style="394" hidden="1" customWidth="1"/>
    <col min="7435" max="7445" width="8.81640625" style="394" hidden="1" customWidth="1"/>
    <col min="7446" max="7680" width="8.81640625" style="394" hidden="1"/>
    <col min="7681" max="7681" width="32.7265625" style="394" hidden="1" customWidth="1"/>
    <col min="7682" max="7683" width="12.1796875" style="394" hidden="1" customWidth="1"/>
    <col min="7684" max="7684" width="12.81640625" style="394" hidden="1" customWidth="1"/>
    <col min="7685" max="7690" width="12.1796875" style="394" hidden="1" customWidth="1"/>
    <col min="7691" max="7701" width="8.81640625" style="394" hidden="1" customWidth="1"/>
    <col min="7702" max="7936" width="8.81640625" style="394" hidden="1"/>
    <col min="7937" max="7937" width="32.7265625" style="394" hidden="1" customWidth="1"/>
    <col min="7938" max="7939" width="12.1796875" style="394" hidden="1" customWidth="1"/>
    <col min="7940" max="7940" width="12.81640625" style="394" hidden="1" customWidth="1"/>
    <col min="7941" max="7946" width="12.1796875" style="394" hidden="1" customWidth="1"/>
    <col min="7947" max="7957" width="8.81640625" style="394" hidden="1" customWidth="1"/>
    <col min="7958" max="8192" width="8.81640625" style="394" hidden="1"/>
    <col min="8193" max="8193" width="32.7265625" style="394" hidden="1" customWidth="1"/>
    <col min="8194" max="8195" width="12.1796875" style="394" hidden="1" customWidth="1"/>
    <col min="8196" max="8196" width="12.81640625" style="394" hidden="1" customWidth="1"/>
    <col min="8197" max="8202" width="12.1796875" style="394" hidden="1" customWidth="1"/>
    <col min="8203" max="8213" width="8.81640625" style="394" hidden="1" customWidth="1"/>
    <col min="8214" max="8448" width="8.81640625" style="394" hidden="1"/>
    <col min="8449" max="8449" width="32.7265625" style="394" hidden="1" customWidth="1"/>
    <col min="8450" max="8451" width="12.1796875" style="394" hidden="1" customWidth="1"/>
    <col min="8452" max="8452" width="12.81640625" style="394" hidden="1" customWidth="1"/>
    <col min="8453" max="8458" width="12.1796875" style="394" hidden="1" customWidth="1"/>
    <col min="8459" max="8469" width="8.81640625" style="394" hidden="1" customWidth="1"/>
    <col min="8470" max="8704" width="8.81640625" style="394" hidden="1"/>
    <col min="8705" max="8705" width="32.7265625" style="394" hidden="1" customWidth="1"/>
    <col min="8706" max="8707" width="12.1796875" style="394" hidden="1" customWidth="1"/>
    <col min="8708" max="8708" width="12.81640625" style="394" hidden="1" customWidth="1"/>
    <col min="8709" max="8714" width="12.1796875" style="394" hidden="1" customWidth="1"/>
    <col min="8715" max="8725" width="8.81640625" style="394" hidden="1" customWidth="1"/>
    <col min="8726" max="8960" width="8.81640625" style="394" hidden="1"/>
    <col min="8961" max="8961" width="32.7265625" style="394" hidden="1" customWidth="1"/>
    <col min="8962" max="8963" width="12.1796875" style="394" hidden="1" customWidth="1"/>
    <col min="8964" max="8964" width="12.81640625" style="394" hidden="1" customWidth="1"/>
    <col min="8965" max="8970" width="12.1796875" style="394" hidden="1" customWidth="1"/>
    <col min="8971" max="8981" width="8.81640625" style="394" hidden="1" customWidth="1"/>
    <col min="8982" max="9216" width="8.81640625" style="394" hidden="1"/>
    <col min="9217" max="9217" width="32.7265625" style="394" hidden="1" customWidth="1"/>
    <col min="9218" max="9219" width="12.1796875" style="394" hidden="1" customWidth="1"/>
    <col min="9220" max="9220" width="12.81640625" style="394" hidden="1" customWidth="1"/>
    <col min="9221" max="9226" width="12.1796875" style="394" hidden="1" customWidth="1"/>
    <col min="9227" max="9237" width="8.81640625" style="394" hidden="1" customWidth="1"/>
    <col min="9238" max="9472" width="8.81640625" style="394" hidden="1"/>
    <col min="9473" max="9473" width="32.7265625" style="394" hidden="1" customWidth="1"/>
    <col min="9474" max="9475" width="12.1796875" style="394" hidden="1" customWidth="1"/>
    <col min="9476" max="9476" width="12.81640625" style="394" hidden="1" customWidth="1"/>
    <col min="9477" max="9482" width="12.1796875" style="394" hidden="1" customWidth="1"/>
    <col min="9483" max="9493" width="8.81640625" style="394" hidden="1" customWidth="1"/>
    <col min="9494" max="9728" width="8.81640625" style="394" hidden="1"/>
    <col min="9729" max="9729" width="32.7265625" style="394" hidden="1" customWidth="1"/>
    <col min="9730" max="9731" width="12.1796875" style="394" hidden="1" customWidth="1"/>
    <col min="9732" max="9732" width="12.81640625" style="394" hidden="1" customWidth="1"/>
    <col min="9733" max="9738" width="12.1796875" style="394" hidden="1" customWidth="1"/>
    <col min="9739" max="9749" width="8.81640625" style="394" hidden="1" customWidth="1"/>
    <col min="9750" max="9984" width="8.81640625" style="394" hidden="1"/>
    <col min="9985" max="9985" width="32.7265625" style="394" hidden="1" customWidth="1"/>
    <col min="9986" max="9987" width="12.1796875" style="394" hidden="1" customWidth="1"/>
    <col min="9988" max="9988" width="12.81640625" style="394" hidden="1" customWidth="1"/>
    <col min="9989" max="9994" width="12.1796875" style="394" hidden="1" customWidth="1"/>
    <col min="9995" max="10005" width="8.81640625" style="394" hidden="1" customWidth="1"/>
    <col min="10006" max="10240" width="8.81640625" style="394" hidden="1"/>
    <col min="10241" max="10241" width="32.7265625" style="394" hidden="1" customWidth="1"/>
    <col min="10242" max="10243" width="12.1796875" style="394" hidden="1" customWidth="1"/>
    <col min="10244" max="10244" width="12.81640625" style="394" hidden="1" customWidth="1"/>
    <col min="10245" max="10250" width="12.1796875" style="394" hidden="1" customWidth="1"/>
    <col min="10251" max="10261" width="8.81640625" style="394" hidden="1" customWidth="1"/>
    <col min="10262" max="10496" width="8.81640625" style="394" hidden="1"/>
    <col min="10497" max="10497" width="32.7265625" style="394" hidden="1" customWidth="1"/>
    <col min="10498" max="10499" width="12.1796875" style="394" hidden="1" customWidth="1"/>
    <col min="10500" max="10500" width="12.81640625" style="394" hidden="1" customWidth="1"/>
    <col min="10501" max="10506" width="12.1796875" style="394" hidden="1" customWidth="1"/>
    <col min="10507" max="10517" width="8.81640625" style="394" hidden="1" customWidth="1"/>
    <col min="10518" max="10752" width="8.81640625" style="394" hidden="1"/>
    <col min="10753" max="10753" width="32.7265625" style="394" hidden="1" customWidth="1"/>
    <col min="10754" max="10755" width="12.1796875" style="394" hidden="1" customWidth="1"/>
    <col min="10756" max="10756" width="12.81640625" style="394" hidden="1" customWidth="1"/>
    <col min="10757" max="10762" width="12.1796875" style="394" hidden="1" customWidth="1"/>
    <col min="10763" max="10773" width="8.81640625" style="394" hidden="1" customWidth="1"/>
    <col min="10774" max="11008" width="8.81640625" style="394" hidden="1"/>
    <col min="11009" max="11009" width="32.7265625" style="394" hidden="1" customWidth="1"/>
    <col min="11010" max="11011" width="12.1796875" style="394" hidden="1" customWidth="1"/>
    <col min="11012" max="11012" width="12.81640625" style="394" hidden="1" customWidth="1"/>
    <col min="11013" max="11018" width="12.1796875" style="394" hidden="1" customWidth="1"/>
    <col min="11019" max="11029" width="8.81640625" style="394" hidden="1" customWidth="1"/>
    <col min="11030" max="11264" width="8.81640625" style="394" hidden="1"/>
    <col min="11265" max="11265" width="32.7265625" style="394" hidden="1" customWidth="1"/>
    <col min="11266" max="11267" width="12.1796875" style="394" hidden="1" customWidth="1"/>
    <col min="11268" max="11268" width="12.81640625" style="394" hidden="1" customWidth="1"/>
    <col min="11269" max="11274" width="12.1796875" style="394" hidden="1" customWidth="1"/>
    <col min="11275" max="11285" width="8.81640625" style="394" hidden="1" customWidth="1"/>
    <col min="11286" max="11520" width="8.81640625" style="394" hidden="1"/>
    <col min="11521" max="11521" width="32.7265625" style="394" hidden="1" customWidth="1"/>
    <col min="11522" max="11523" width="12.1796875" style="394" hidden="1" customWidth="1"/>
    <col min="11524" max="11524" width="12.81640625" style="394" hidden="1" customWidth="1"/>
    <col min="11525" max="11530" width="12.1796875" style="394" hidden="1" customWidth="1"/>
    <col min="11531" max="11541" width="8.81640625" style="394" hidden="1" customWidth="1"/>
    <col min="11542" max="11776" width="8.81640625" style="394" hidden="1"/>
    <col min="11777" max="11777" width="32.7265625" style="394" hidden="1" customWidth="1"/>
    <col min="11778" max="11779" width="12.1796875" style="394" hidden="1" customWidth="1"/>
    <col min="11780" max="11780" width="12.81640625" style="394" hidden="1" customWidth="1"/>
    <col min="11781" max="11786" width="12.1796875" style="394" hidden="1" customWidth="1"/>
    <col min="11787" max="11797" width="8.81640625" style="394" hidden="1" customWidth="1"/>
    <col min="11798" max="12032" width="8.81640625" style="394" hidden="1"/>
    <col min="12033" max="12033" width="32.7265625" style="394" hidden="1" customWidth="1"/>
    <col min="12034" max="12035" width="12.1796875" style="394" hidden="1" customWidth="1"/>
    <col min="12036" max="12036" width="12.81640625" style="394" hidden="1" customWidth="1"/>
    <col min="12037" max="12042" width="12.1796875" style="394" hidden="1" customWidth="1"/>
    <col min="12043" max="12053" width="8.81640625" style="394" hidden="1" customWidth="1"/>
    <col min="12054" max="12288" width="8.81640625" style="394" hidden="1"/>
    <col min="12289" max="12289" width="32.7265625" style="394" hidden="1" customWidth="1"/>
    <col min="12290" max="12291" width="12.1796875" style="394" hidden="1" customWidth="1"/>
    <col min="12292" max="12292" width="12.81640625" style="394" hidden="1" customWidth="1"/>
    <col min="12293" max="12298" width="12.1796875" style="394" hidden="1" customWidth="1"/>
    <col min="12299" max="12309" width="8.81640625" style="394" hidden="1" customWidth="1"/>
    <col min="12310" max="12544" width="8.81640625" style="394" hidden="1"/>
    <col min="12545" max="12545" width="32.7265625" style="394" hidden="1" customWidth="1"/>
    <col min="12546" max="12547" width="12.1796875" style="394" hidden="1" customWidth="1"/>
    <col min="12548" max="12548" width="12.81640625" style="394" hidden="1" customWidth="1"/>
    <col min="12549" max="12554" width="12.1796875" style="394" hidden="1" customWidth="1"/>
    <col min="12555" max="12565" width="8.81640625" style="394" hidden="1" customWidth="1"/>
    <col min="12566" max="12800" width="8.81640625" style="394" hidden="1"/>
    <col min="12801" max="12801" width="32.7265625" style="394" hidden="1" customWidth="1"/>
    <col min="12802" max="12803" width="12.1796875" style="394" hidden="1" customWidth="1"/>
    <col min="12804" max="12804" width="12.81640625" style="394" hidden="1" customWidth="1"/>
    <col min="12805" max="12810" width="12.1796875" style="394" hidden="1" customWidth="1"/>
    <col min="12811" max="12821" width="8.81640625" style="394" hidden="1" customWidth="1"/>
    <col min="12822" max="13056" width="8.81640625" style="394" hidden="1"/>
    <col min="13057" max="13057" width="32.7265625" style="394" hidden="1" customWidth="1"/>
    <col min="13058" max="13059" width="12.1796875" style="394" hidden="1" customWidth="1"/>
    <col min="13060" max="13060" width="12.81640625" style="394" hidden="1" customWidth="1"/>
    <col min="13061" max="13066" width="12.1796875" style="394" hidden="1" customWidth="1"/>
    <col min="13067" max="13077" width="8.81640625" style="394" hidden="1" customWidth="1"/>
    <col min="13078" max="13312" width="8.81640625" style="394" hidden="1"/>
    <col min="13313" max="13313" width="32.7265625" style="394" hidden="1" customWidth="1"/>
    <col min="13314" max="13315" width="12.1796875" style="394" hidden="1" customWidth="1"/>
    <col min="13316" max="13316" width="12.81640625" style="394" hidden="1" customWidth="1"/>
    <col min="13317" max="13322" width="12.1796875" style="394" hidden="1" customWidth="1"/>
    <col min="13323" max="13333" width="8.81640625" style="394" hidden="1" customWidth="1"/>
    <col min="13334" max="13568" width="8.81640625" style="394" hidden="1"/>
    <col min="13569" max="13569" width="32.7265625" style="394" hidden="1" customWidth="1"/>
    <col min="13570" max="13571" width="12.1796875" style="394" hidden="1" customWidth="1"/>
    <col min="13572" max="13572" width="12.81640625" style="394" hidden="1" customWidth="1"/>
    <col min="13573" max="13578" width="12.1796875" style="394" hidden="1" customWidth="1"/>
    <col min="13579" max="13589" width="8.81640625" style="394" hidden="1" customWidth="1"/>
    <col min="13590" max="13824" width="8.81640625" style="394" hidden="1"/>
    <col min="13825" max="13825" width="32.7265625" style="394" hidden="1" customWidth="1"/>
    <col min="13826" max="13827" width="12.1796875" style="394" hidden="1" customWidth="1"/>
    <col min="13828" max="13828" width="12.81640625" style="394" hidden="1" customWidth="1"/>
    <col min="13829" max="13834" width="12.1796875" style="394" hidden="1" customWidth="1"/>
    <col min="13835" max="13845" width="8.81640625" style="394" hidden="1" customWidth="1"/>
    <col min="13846" max="14080" width="8.81640625" style="394" hidden="1"/>
    <col min="14081" max="14081" width="32.7265625" style="394" hidden="1" customWidth="1"/>
    <col min="14082" max="14083" width="12.1796875" style="394" hidden="1" customWidth="1"/>
    <col min="14084" max="14084" width="12.81640625" style="394" hidden="1" customWidth="1"/>
    <col min="14085" max="14090" width="12.1796875" style="394" hidden="1" customWidth="1"/>
    <col min="14091" max="14101" width="8.81640625" style="394" hidden="1" customWidth="1"/>
    <col min="14102" max="14336" width="8.81640625" style="394" hidden="1"/>
    <col min="14337" max="14337" width="32.7265625" style="394" hidden="1" customWidth="1"/>
    <col min="14338" max="14339" width="12.1796875" style="394" hidden="1" customWidth="1"/>
    <col min="14340" max="14340" width="12.81640625" style="394" hidden="1" customWidth="1"/>
    <col min="14341" max="14346" width="12.1796875" style="394" hidden="1" customWidth="1"/>
    <col min="14347" max="14357" width="8.81640625" style="394" hidden="1" customWidth="1"/>
    <col min="14358" max="14592" width="8.81640625" style="394" hidden="1"/>
    <col min="14593" max="14593" width="32.7265625" style="394" hidden="1" customWidth="1"/>
    <col min="14594" max="14595" width="12.1796875" style="394" hidden="1" customWidth="1"/>
    <col min="14596" max="14596" width="12.81640625" style="394" hidden="1" customWidth="1"/>
    <col min="14597" max="14602" width="12.1796875" style="394" hidden="1" customWidth="1"/>
    <col min="14603" max="14613" width="8.81640625" style="394" hidden="1" customWidth="1"/>
    <col min="14614" max="14848" width="8.81640625" style="394" hidden="1"/>
    <col min="14849" max="14849" width="32.7265625" style="394" hidden="1" customWidth="1"/>
    <col min="14850" max="14851" width="12.1796875" style="394" hidden="1" customWidth="1"/>
    <col min="14852" max="14852" width="12.81640625" style="394" hidden="1" customWidth="1"/>
    <col min="14853" max="14858" width="12.1796875" style="394" hidden="1" customWidth="1"/>
    <col min="14859" max="14869" width="8.81640625" style="394" hidden="1" customWidth="1"/>
    <col min="14870" max="15104" width="8.81640625" style="394" hidden="1"/>
    <col min="15105" max="15105" width="32.7265625" style="394" hidden="1" customWidth="1"/>
    <col min="15106" max="15107" width="12.1796875" style="394" hidden="1" customWidth="1"/>
    <col min="15108" max="15108" width="12.81640625" style="394" hidden="1" customWidth="1"/>
    <col min="15109" max="15114" width="12.1796875" style="394" hidden="1" customWidth="1"/>
    <col min="15115" max="15125" width="8.81640625" style="394" hidden="1" customWidth="1"/>
    <col min="15126" max="15360" width="8.81640625" style="394" hidden="1"/>
    <col min="15361" max="15361" width="32.7265625" style="394" hidden="1" customWidth="1"/>
    <col min="15362" max="15363" width="12.1796875" style="394" hidden="1" customWidth="1"/>
    <col min="15364" max="15364" width="12.81640625" style="394" hidden="1" customWidth="1"/>
    <col min="15365" max="15370" width="12.1796875" style="394" hidden="1" customWidth="1"/>
    <col min="15371" max="15381" width="8.81640625" style="394" hidden="1" customWidth="1"/>
    <col min="15382" max="15616" width="8.81640625" style="394" hidden="1"/>
    <col min="15617" max="15617" width="32.7265625" style="394" hidden="1" customWidth="1"/>
    <col min="15618" max="15619" width="12.1796875" style="394" hidden="1" customWidth="1"/>
    <col min="15620" max="15620" width="12.81640625" style="394" hidden="1" customWidth="1"/>
    <col min="15621" max="15626" width="12.1796875" style="394" hidden="1" customWidth="1"/>
    <col min="15627" max="15637" width="8.81640625" style="394" hidden="1" customWidth="1"/>
    <col min="15638" max="15872" width="8.81640625" style="394" hidden="1"/>
    <col min="15873" max="15873" width="32.7265625" style="394" hidden="1" customWidth="1"/>
    <col min="15874" max="15875" width="12.1796875" style="394" hidden="1" customWidth="1"/>
    <col min="15876" max="15876" width="12.81640625" style="394" hidden="1" customWidth="1"/>
    <col min="15877" max="15882" width="12.1796875" style="394" hidden="1" customWidth="1"/>
    <col min="15883" max="15893" width="8.81640625" style="394" hidden="1" customWidth="1"/>
    <col min="15894" max="16128" width="8.81640625" style="394" hidden="1"/>
    <col min="16129" max="16129" width="32.7265625" style="394" hidden="1" customWidth="1"/>
    <col min="16130" max="16131" width="12.1796875" style="394" hidden="1" customWidth="1"/>
    <col min="16132" max="16132" width="12.81640625" style="394" hidden="1" customWidth="1"/>
    <col min="16133" max="16138" width="12.1796875" style="394" hidden="1" customWidth="1"/>
    <col min="16139" max="16149" width="8.81640625" style="394" hidden="1" customWidth="1"/>
    <col min="16150" max="16384" width="8.81640625" style="394" hidden="1"/>
  </cols>
  <sheetData>
    <row r="1" spans="1:11" s="357" customFormat="1" ht="13">
      <c r="A1" s="1882" t="s">
        <v>1226</v>
      </c>
      <c r="B1" s="1883"/>
      <c r="C1" s="1883"/>
      <c r="D1" s="1883"/>
      <c r="E1" s="1883"/>
      <c r="F1" s="1883"/>
      <c r="G1" s="1883"/>
      <c r="H1" s="1883"/>
      <c r="I1" s="1883"/>
      <c r="J1" s="1884"/>
      <c r="K1" s="356"/>
    </row>
    <row r="2" spans="1:11" s="402" customFormat="1" ht="69">
      <c r="A2" s="399"/>
      <c r="B2" s="400" t="s">
        <v>1026</v>
      </c>
      <c r="C2" s="400" t="s">
        <v>1228</v>
      </c>
      <c r="D2" s="400" t="s">
        <v>1229</v>
      </c>
      <c r="E2" s="400" t="s">
        <v>1157</v>
      </c>
      <c r="F2" s="400" t="s">
        <v>1230</v>
      </c>
      <c r="G2" s="400" t="s">
        <v>1231</v>
      </c>
      <c r="H2" s="400" t="s">
        <v>1027</v>
      </c>
      <c r="I2" s="400" t="s">
        <v>1232</v>
      </c>
      <c r="J2" s="400" t="s">
        <v>1233</v>
      </c>
      <c r="K2" s="401"/>
    </row>
    <row r="3" spans="1:11" s="361" customFormat="1" ht="12">
      <c r="A3" s="358" t="s">
        <v>26</v>
      </c>
      <c r="B3" s="359"/>
      <c r="C3" s="359"/>
      <c r="D3" s="359"/>
      <c r="E3" s="359"/>
      <c r="F3" s="359"/>
      <c r="G3" s="359"/>
      <c r="H3" s="359"/>
      <c r="I3" s="359"/>
      <c r="J3" s="359"/>
      <c r="K3" s="360"/>
    </row>
    <row r="4" spans="1:11" s="361" customFormat="1">
      <c r="A4" s="365" t="s">
        <v>27</v>
      </c>
      <c r="B4" s="362">
        <f>'Sources and Uses Budget'!C4</f>
        <v>4600000</v>
      </c>
      <c r="C4" s="363">
        <v>4600000</v>
      </c>
      <c r="D4" s="363"/>
      <c r="E4" s="364"/>
      <c r="F4" s="364"/>
      <c r="G4" s="364"/>
      <c r="H4" s="364"/>
      <c r="I4" s="364"/>
      <c r="J4" s="364"/>
      <c r="K4" s="360"/>
    </row>
    <row r="5" spans="1:11" s="361" customFormat="1">
      <c r="A5" s="365" t="s">
        <v>28</v>
      </c>
      <c r="B5" s="362">
        <f>'Sources and Uses Budget'!C5</f>
        <v>0</v>
      </c>
      <c r="C5" s="363"/>
      <c r="D5" s="363"/>
      <c r="E5" s="364"/>
      <c r="F5" s="364"/>
      <c r="G5" s="364"/>
      <c r="H5" s="364"/>
      <c r="I5" s="364"/>
      <c r="J5" s="364"/>
      <c r="K5" s="360"/>
    </row>
    <row r="6" spans="1:11" s="361" customFormat="1">
      <c r="A6" s="365" t="s">
        <v>29</v>
      </c>
      <c r="B6" s="362">
        <f>'Sources and Uses Budget'!C6</f>
        <v>0</v>
      </c>
      <c r="C6" s="363"/>
      <c r="D6" s="363"/>
      <c r="E6" s="364"/>
      <c r="F6" s="364"/>
      <c r="G6" s="364"/>
      <c r="H6" s="364"/>
      <c r="I6" s="364"/>
      <c r="J6" s="364"/>
      <c r="K6" s="360"/>
    </row>
    <row r="7" spans="1:11" s="361" customFormat="1">
      <c r="A7" s="365" t="s">
        <v>97</v>
      </c>
      <c r="B7" s="362">
        <f>'Sources and Uses Budget'!C7</f>
        <v>0</v>
      </c>
      <c r="C7" s="363"/>
      <c r="D7" s="363"/>
      <c r="E7" s="364"/>
      <c r="F7" s="364"/>
      <c r="G7" s="364"/>
      <c r="H7" s="364"/>
      <c r="I7" s="364"/>
      <c r="J7" s="364"/>
      <c r="K7" s="360"/>
    </row>
    <row r="8" spans="1:11" s="361" customFormat="1">
      <c r="A8" s="366" t="s">
        <v>592</v>
      </c>
      <c r="B8" s="362">
        <f>'Sources and Uses Budget'!C8</f>
        <v>4600000</v>
      </c>
      <c r="C8" s="362">
        <f>SUM(C4:C7)</f>
        <v>4600000</v>
      </c>
      <c r="D8" s="362">
        <f>SUM(D4:D7)</f>
        <v>0</v>
      </c>
      <c r="E8" s="364"/>
      <c r="F8" s="364"/>
      <c r="G8" s="364"/>
      <c r="H8" s="364"/>
      <c r="I8" s="364"/>
      <c r="J8" s="364"/>
      <c r="K8" s="360"/>
    </row>
    <row r="9" spans="1:11" s="361" customFormat="1">
      <c r="A9" s="365" t="s">
        <v>593</v>
      </c>
      <c r="B9" s="362">
        <f>'Sources and Uses Budget'!C9</f>
        <v>9000000</v>
      </c>
      <c r="C9" s="363">
        <v>9000000</v>
      </c>
      <c r="D9" s="363"/>
      <c r="E9" s="364"/>
      <c r="F9" s="364"/>
      <c r="G9" s="364"/>
      <c r="H9" s="362">
        <f>'Sources and Uses Budget'!T9</f>
        <v>9000000</v>
      </c>
      <c r="I9" s="363">
        <v>9000000</v>
      </c>
      <c r="J9" s="363"/>
      <c r="K9" s="360"/>
    </row>
    <row r="10" spans="1:11" s="361" customFormat="1">
      <c r="A10" s="365" t="s">
        <v>594</v>
      </c>
      <c r="B10" s="362">
        <f>'Sources and Uses Budget'!C10</f>
        <v>0</v>
      </c>
      <c r="C10" s="363"/>
      <c r="D10" s="363"/>
      <c r="E10" s="362">
        <f>'Sources and Uses Budget'!S10</f>
        <v>0</v>
      </c>
      <c r="F10" s="363"/>
      <c r="G10" s="363"/>
      <c r="H10" s="362">
        <f>'Sources and Uses Budget'!T10</f>
        <v>0</v>
      </c>
      <c r="I10" s="363"/>
      <c r="J10" s="363"/>
      <c r="K10" s="360"/>
    </row>
    <row r="11" spans="1:11" s="361" customFormat="1">
      <c r="A11" s="366" t="s">
        <v>595</v>
      </c>
      <c r="B11" s="362">
        <f>'Sources and Uses Budget'!C11</f>
        <v>9000000</v>
      </c>
      <c r="C11" s="362">
        <f>SUM(C9:C10)</f>
        <v>9000000</v>
      </c>
      <c r="D11" s="362">
        <f>SUM(D9:D10)</f>
        <v>0</v>
      </c>
      <c r="E11" s="364"/>
      <c r="F11" s="364"/>
      <c r="G11" s="364"/>
      <c r="H11" s="362">
        <f>'Sources and Uses Budget'!T11</f>
        <v>9000000</v>
      </c>
      <c r="I11" s="362">
        <f>SUM(I9:I10)</f>
        <v>9000000</v>
      </c>
      <c r="J11" s="362">
        <f>SUM(J9:J10)</f>
        <v>0</v>
      </c>
      <c r="K11" s="360"/>
    </row>
    <row r="12" spans="1:11" s="361" customFormat="1">
      <c r="A12" s="366" t="s">
        <v>84</v>
      </c>
      <c r="B12" s="362">
        <f>'Sources and Uses Budget'!C12</f>
        <v>13600000</v>
      </c>
      <c r="C12" s="362">
        <f>SUM(C8+C11)</f>
        <v>13600000</v>
      </c>
      <c r="D12" s="362">
        <f>SUM(D8+D11)</f>
        <v>0</v>
      </c>
      <c r="E12" s="364"/>
      <c r="F12" s="364"/>
      <c r="G12" s="364"/>
      <c r="H12" s="364"/>
      <c r="I12" s="364"/>
      <c r="J12" s="364"/>
      <c r="K12" s="360"/>
    </row>
    <row r="13" spans="1:11" s="361" customFormat="1">
      <c r="A13" s="367" t="s">
        <v>901</v>
      </c>
      <c r="B13" s="362">
        <f>'Sources and Uses Budget'!C13</f>
        <v>0</v>
      </c>
      <c r="C13" s="363"/>
      <c r="D13" s="363"/>
      <c r="E13" s="362">
        <f>'Sources and Uses Budget'!S13</f>
        <v>0</v>
      </c>
      <c r="F13" s="363"/>
      <c r="G13" s="363"/>
      <c r="H13" s="362">
        <f>'Sources and Uses Budget'!T13</f>
        <v>0</v>
      </c>
      <c r="I13" s="363"/>
      <c r="J13" s="363"/>
      <c r="K13" s="360"/>
    </row>
    <row r="14" spans="1:11" s="361" customFormat="1" ht="23">
      <c r="A14" s="365" t="s">
        <v>902</v>
      </c>
      <c r="B14" s="362">
        <f>'Sources and Uses Budget'!C14</f>
        <v>0</v>
      </c>
      <c r="C14" s="363"/>
      <c r="D14" s="363"/>
      <c r="E14" s="362">
        <f>'Sources and Uses Budget'!S14</f>
        <v>0</v>
      </c>
      <c r="F14" s="363"/>
      <c r="G14" s="363"/>
      <c r="H14" s="362">
        <f>'Sources and Uses Budget'!T14</f>
        <v>0</v>
      </c>
      <c r="I14" s="363"/>
      <c r="J14" s="363"/>
      <c r="K14" s="360"/>
    </row>
    <row r="15" spans="1:11" s="361" customFormat="1">
      <c r="A15" s="365" t="s">
        <v>1160</v>
      </c>
      <c r="B15" s="362">
        <f>'Sources and Uses Budget'!C15</f>
        <v>0</v>
      </c>
      <c r="C15" s="363"/>
      <c r="D15" s="363"/>
      <c r="E15" s="364">
        <f>'Sources and Uses Budget'!S15</f>
        <v>0</v>
      </c>
      <c r="F15" s="364"/>
      <c r="G15" s="364"/>
      <c r="H15" s="364">
        <f>'Sources and Uses Budget'!T15</f>
        <v>0</v>
      </c>
      <c r="I15" s="364"/>
      <c r="J15" s="364"/>
      <c r="K15" s="360"/>
    </row>
    <row r="16" spans="1:11" s="361" customFormat="1" ht="12">
      <c r="A16" s="358" t="s">
        <v>596</v>
      </c>
      <c r="B16" s="359"/>
      <c r="C16" s="359"/>
      <c r="D16" s="359"/>
      <c r="E16" s="359"/>
      <c r="F16" s="359"/>
      <c r="G16" s="359"/>
      <c r="H16" s="359"/>
      <c r="I16" s="359"/>
      <c r="J16" s="359"/>
      <c r="K16" s="360"/>
    </row>
    <row r="17" spans="1:11" s="361" customFormat="1">
      <c r="A17" s="365" t="s">
        <v>597</v>
      </c>
      <c r="B17" s="362">
        <f>'Sources and Uses Budget'!C17</f>
        <v>0</v>
      </c>
      <c r="C17" s="363"/>
      <c r="D17" s="363"/>
      <c r="E17" s="362">
        <f>'Sources and Uses Budget'!S17</f>
        <v>0</v>
      </c>
      <c r="F17" s="363"/>
      <c r="G17" s="363"/>
      <c r="H17" s="362">
        <f>'Sources and Uses Budget'!T17</f>
        <v>0</v>
      </c>
      <c r="I17" s="363"/>
      <c r="J17" s="363"/>
      <c r="K17" s="360"/>
    </row>
    <row r="18" spans="1:11" s="361" customFormat="1">
      <c r="A18" s="365" t="s">
        <v>598</v>
      </c>
      <c r="B18" s="362">
        <f>'Sources and Uses Budget'!C18</f>
        <v>8419656</v>
      </c>
      <c r="C18" s="363">
        <f>+B18</f>
        <v>8419656</v>
      </c>
      <c r="D18" s="363"/>
      <c r="E18" s="362">
        <f>'Sources and Uses Budget'!S18</f>
        <v>8419656</v>
      </c>
      <c r="F18" s="363">
        <f>+E18</f>
        <v>8419656</v>
      </c>
      <c r="G18" s="363"/>
      <c r="H18" s="362">
        <f>'Sources and Uses Budget'!T18</f>
        <v>0</v>
      </c>
      <c r="I18" s="363"/>
      <c r="J18" s="363"/>
      <c r="K18" s="360"/>
    </row>
    <row r="19" spans="1:11" s="361" customFormat="1">
      <c r="A19" s="365" t="s">
        <v>599</v>
      </c>
      <c r="B19" s="362">
        <f>'Sources and Uses Budget'!C19</f>
        <v>520653</v>
      </c>
      <c r="C19" s="363">
        <f t="shared" ref="C19:C25" si="0">+B19</f>
        <v>520653</v>
      </c>
      <c r="D19" s="363"/>
      <c r="E19" s="362">
        <f>'Sources and Uses Budget'!S19</f>
        <v>520653</v>
      </c>
      <c r="F19" s="363">
        <f t="shared" ref="F19:F25" si="1">+E19</f>
        <v>520653</v>
      </c>
      <c r="G19" s="363"/>
      <c r="H19" s="362">
        <f>'Sources and Uses Budget'!T19</f>
        <v>0</v>
      </c>
      <c r="I19" s="363"/>
      <c r="J19" s="363"/>
      <c r="K19" s="360"/>
    </row>
    <row r="20" spans="1:11" s="361" customFormat="1">
      <c r="A20" s="365" t="s">
        <v>137</v>
      </c>
      <c r="B20" s="362">
        <f>'Sources and Uses Budget'!C20</f>
        <v>326321</v>
      </c>
      <c r="C20" s="363">
        <f t="shared" si="0"/>
        <v>326321</v>
      </c>
      <c r="D20" s="363"/>
      <c r="E20" s="362">
        <f>'Sources and Uses Budget'!S20</f>
        <v>326321</v>
      </c>
      <c r="F20" s="363">
        <f t="shared" si="1"/>
        <v>326321</v>
      </c>
      <c r="G20" s="363"/>
      <c r="H20" s="362">
        <f>'Sources and Uses Budget'!T20</f>
        <v>0</v>
      </c>
      <c r="I20" s="363"/>
      <c r="J20" s="363"/>
      <c r="K20" s="360"/>
    </row>
    <row r="21" spans="1:11" s="361" customFormat="1">
      <c r="A21" s="365" t="s">
        <v>138</v>
      </c>
      <c r="B21" s="362">
        <f>'Sources and Uses Budget'!C21</f>
        <v>326321</v>
      </c>
      <c r="C21" s="363">
        <f t="shared" si="0"/>
        <v>326321</v>
      </c>
      <c r="D21" s="363"/>
      <c r="E21" s="362">
        <f>'Sources and Uses Budget'!S21</f>
        <v>326321</v>
      </c>
      <c r="F21" s="363">
        <f t="shared" si="1"/>
        <v>326321</v>
      </c>
      <c r="G21" s="363"/>
      <c r="H21" s="362">
        <f>'Sources and Uses Budget'!T21</f>
        <v>0</v>
      </c>
      <c r="I21" s="363"/>
      <c r="J21" s="363"/>
      <c r="K21" s="360"/>
    </row>
    <row r="22" spans="1:11" s="361" customFormat="1">
      <c r="A22" s="365" t="s">
        <v>139</v>
      </c>
      <c r="B22" s="362">
        <f>'Sources and Uses Budget'!C22</f>
        <v>0</v>
      </c>
      <c r="C22" s="363">
        <f t="shared" si="0"/>
        <v>0</v>
      </c>
      <c r="D22" s="363"/>
      <c r="E22" s="362">
        <f>'Sources and Uses Budget'!S22</f>
        <v>0</v>
      </c>
      <c r="F22" s="363">
        <f t="shared" si="1"/>
        <v>0</v>
      </c>
      <c r="G22" s="363"/>
      <c r="H22" s="362">
        <f>'Sources and Uses Budget'!T22</f>
        <v>0</v>
      </c>
      <c r="I22" s="363"/>
      <c r="J22" s="363"/>
      <c r="K22" s="360"/>
    </row>
    <row r="23" spans="1:11" s="361" customFormat="1">
      <c r="A23" s="365" t="s">
        <v>140</v>
      </c>
      <c r="B23" s="362">
        <f>'Sources and Uses Budget'!C23</f>
        <v>133211</v>
      </c>
      <c r="C23" s="363">
        <f t="shared" si="0"/>
        <v>133211</v>
      </c>
      <c r="D23" s="363"/>
      <c r="E23" s="362">
        <f>'Sources and Uses Budget'!S23</f>
        <v>133211</v>
      </c>
      <c r="F23" s="363">
        <f t="shared" si="1"/>
        <v>133211</v>
      </c>
      <c r="G23" s="363"/>
      <c r="H23" s="362">
        <f>'Sources and Uses Budget'!T23</f>
        <v>0</v>
      </c>
      <c r="I23" s="363"/>
      <c r="J23" s="363"/>
      <c r="K23" s="360"/>
    </row>
    <row r="24" spans="1:11" s="361" customFormat="1">
      <c r="A24" s="509" t="s">
        <v>1639</v>
      </c>
      <c r="B24" s="362">
        <f>'Sources and Uses Budget'!C24</f>
        <v>0</v>
      </c>
      <c r="C24" s="363">
        <f t="shared" si="0"/>
        <v>0</v>
      </c>
      <c r="D24" s="363"/>
      <c r="E24" s="362">
        <f>'Sources and Uses Budget'!S24</f>
        <v>0</v>
      </c>
      <c r="F24" s="363">
        <f t="shared" si="1"/>
        <v>0</v>
      </c>
      <c r="G24" s="363"/>
      <c r="H24" s="362">
        <f>'Sources and Uses Budget'!T24</f>
        <v>0</v>
      </c>
      <c r="I24" s="363"/>
      <c r="J24" s="363"/>
      <c r="K24" s="360"/>
    </row>
    <row r="25" spans="1:11" s="361" customFormat="1">
      <c r="A25" s="365" t="str">
        <f>'Sources and Uses Budget'!$A25</f>
        <v>Other: (Payment and Performance Bond)</v>
      </c>
      <c r="B25" s="362">
        <f>'Sources and Uses Budget'!C25</f>
        <v>142488</v>
      </c>
      <c r="C25" s="363">
        <f t="shared" si="0"/>
        <v>142488</v>
      </c>
      <c r="D25" s="363"/>
      <c r="E25" s="362">
        <f>'Sources and Uses Budget'!S25</f>
        <v>142488</v>
      </c>
      <c r="F25" s="363">
        <f t="shared" si="1"/>
        <v>142488</v>
      </c>
      <c r="G25" s="363"/>
      <c r="H25" s="362">
        <f>'Sources and Uses Budget'!T25</f>
        <v>0</v>
      </c>
      <c r="I25" s="363"/>
      <c r="J25" s="363"/>
      <c r="K25" s="360"/>
    </row>
    <row r="26" spans="1:11" s="361" customFormat="1">
      <c r="A26" s="366" t="s">
        <v>133</v>
      </c>
      <c r="B26" s="362">
        <f>'Sources and Uses Budget'!C26</f>
        <v>9868650</v>
      </c>
      <c r="C26" s="362">
        <f>SUM(C17:C25)</f>
        <v>9868650</v>
      </c>
      <c r="D26" s="362">
        <f>SUM(D17:D25)</f>
        <v>0</v>
      </c>
      <c r="E26" s="362">
        <f>'Sources and Uses Budget'!S26</f>
        <v>9868650</v>
      </c>
      <c r="F26" s="368">
        <f>SUM(F17:F25)</f>
        <v>9868650</v>
      </c>
      <c r="G26" s="368">
        <f>SUM(G17:G25)</f>
        <v>0</v>
      </c>
      <c r="H26" s="362">
        <f>'Sources and Uses Budget'!T26</f>
        <v>0</v>
      </c>
      <c r="I26" s="368">
        <f>SUM(I17:I25)</f>
        <v>0</v>
      </c>
      <c r="J26" s="368">
        <f>SUM(J17:J25)</f>
        <v>0</v>
      </c>
      <c r="K26" s="360"/>
    </row>
    <row r="27" spans="1:11" s="361" customFormat="1">
      <c r="A27" s="366" t="s">
        <v>141</v>
      </c>
      <c r="B27" s="362">
        <f>'Sources and Uses Budget'!C27</f>
        <v>800000</v>
      </c>
      <c r="C27" s="363">
        <v>800000</v>
      </c>
      <c r="D27" s="363"/>
      <c r="E27" s="362">
        <f>'Sources and Uses Budget'!S27</f>
        <v>800000</v>
      </c>
      <c r="F27" s="363">
        <v>800000</v>
      </c>
      <c r="G27" s="363"/>
      <c r="H27" s="362">
        <f>'Sources and Uses Budget'!T27</f>
        <v>0</v>
      </c>
      <c r="I27" s="363"/>
      <c r="J27" s="363"/>
      <c r="K27" s="360"/>
    </row>
    <row r="28" spans="1:11" s="361" customFormat="1" ht="12">
      <c r="A28" s="358" t="s">
        <v>142</v>
      </c>
      <c r="B28" s="359"/>
      <c r="C28" s="359"/>
      <c r="D28" s="359"/>
      <c r="E28" s="359"/>
      <c r="F28" s="359"/>
      <c r="G28" s="359"/>
      <c r="H28" s="359"/>
      <c r="I28" s="359"/>
      <c r="J28" s="359"/>
      <c r="K28" s="360"/>
    </row>
    <row r="29" spans="1:11" s="361" customFormat="1">
      <c r="A29" s="145" t="s">
        <v>597</v>
      </c>
      <c r="B29" s="362">
        <f>'Sources and Uses Budget'!C29</f>
        <v>0</v>
      </c>
      <c r="C29" s="363"/>
      <c r="D29" s="363"/>
      <c r="E29" s="362">
        <f>'Sources and Uses Budget'!S29</f>
        <v>0</v>
      </c>
      <c r="F29" s="363"/>
      <c r="G29" s="363"/>
      <c r="H29" s="362">
        <f>'Sources and Uses Budget'!T29</f>
        <v>0</v>
      </c>
      <c r="I29" s="363"/>
      <c r="J29" s="363"/>
      <c r="K29" s="360"/>
    </row>
    <row r="30" spans="1:11" s="361" customFormat="1">
      <c r="A30" s="145" t="s">
        <v>598</v>
      </c>
      <c r="B30" s="362">
        <f>'Sources and Uses Budget'!C30</f>
        <v>0</v>
      </c>
      <c r="C30" s="363"/>
      <c r="D30" s="363"/>
      <c r="E30" s="362">
        <f>'Sources and Uses Budget'!S30</f>
        <v>0</v>
      </c>
      <c r="F30" s="363"/>
      <c r="G30" s="363"/>
      <c r="H30" s="362">
        <f>'Sources and Uses Budget'!T30</f>
        <v>0</v>
      </c>
      <c r="I30" s="363"/>
      <c r="J30" s="363"/>
      <c r="K30" s="360"/>
    </row>
    <row r="31" spans="1:11" s="361" customFormat="1">
      <c r="A31" s="145" t="s">
        <v>599</v>
      </c>
      <c r="B31" s="362">
        <f>'Sources and Uses Budget'!C31</f>
        <v>0</v>
      </c>
      <c r="C31" s="363"/>
      <c r="D31" s="363"/>
      <c r="E31" s="362">
        <f>'Sources and Uses Budget'!S31</f>
        <v>0</v>
      </c>
      <c r="F31" s="363"/>
      <c r="G31" s="363"/>
      <c r="H31" s="362">
        <f>'Sources and Uses Budget'!T31</f>
        <v>0</v>
      </c>
      <c r="I31" s="363"/>
      <c r="J31" s="363"/>
      <c r="K31" s="360"/>
    </row>
    <row r="32" spans="1:11" s="361" customFormat="1">
      <c r="A32" s="145" t="s">
        <v>137</v>
      </c>
      <c r="B32" s="362">
        <f>'Sources and Uses Budget'!C32</f>
        <v>0</v>
      </c>
      <c r="C32" s="363"/>
      <c r="D32" s="363"/>
      <c r="E32" s="362">
        <f>'Sources and Uses Budget'!S32</f>
        <v>0</v>
      </c>
      <c r="F32" s="363"/>
      <c r="G32" s="363"/>
      <c r="H32" s="362">
        <f>'Sources and Uses Budget'!T32</f>
        <v>0</v>
      </c>
      <c r="I32" s="363"/>
      <c r="J32" s="363"/>
      <c r="K32" s="360"/>
    </row>
    <row r="33" spans="1:11" s="361" customFormat="1">
      <c r="A33" s="145" t="s">
        <v>138</v>
      </c>
      <c r="B33" s="362">
        <f>'Sources and Uses Budget'!C33</f>
        <v>0</v>
      </c>
      <c r="C33" s="363"/>
      <c r="D33" s="363"/>
      <c r="E33" s="362">
        <f>'Sources and Uses Budget'!S33</f>
        <v>0</v>
      </c>
      <c r="F33" s="363"/>
      <c r="G33" s="363"/>
      <c r="H33" s="362">
        <f>'Sources and Uses Budget'!T33</f>
        <v>0</v>
      </c>
      <c r="I33" s="363"/>
      <c r="J33" s="363"/>
      <c r="K33" s="360"/>
    </row>
    <row r="34" spans="1:11" s="361" customFormat="1">
      <c r="A34" s="145" t="s">
        <v>139</v>
      </c>
      <c r="B34" s="362">
        <f>'Sources and Uses Budget'!C34</f>
        <v>0</v>
      </c>
      <c r="C34" s="363"/>
      <c r="D34" s="363"/>
      <c r="E34" s="362">
        <f>'Sources and Uses Budget'!S34</f>
        <v>0</v>
      </c>
      <c r="F34" s="363"/>
      <c r="G34" s="363"/>
      <c r="H34" s="362">
        <f>'Sources and Uses Budget'!T34</f>
        <v>0</v>
      </c>
      <c r="I34" s="363"/>
      <c r="J34" s="363"/>
      <c r="K34" s="360"/>
    </row>
    <row r="35" spans="1:11" s="361" customFormat="1">
      <c r="A35" s="145" t="s">
        <v>140</v>
      </c>
      <c r="B35" s="362">
        <f>'Sources and Uses Budget'!C35</f>
        <v>0</v>
      </c>
      <c r="C35" s="363"/>
      <c r="D35" s="363"/>
      <c r="E35" s="362">
        <f>'Sources and Uses Budget'!S35</f>
        <v>0</v>
      </c>
      <c r="F35" s="363"/>
      <c r="G35" s="363"/>
      <c r="H35" s="362">
        <f>'Sources and Uses Budget'!T35</f>
        <v>0</v>
      </c>
      <c r="I35" s="363"/>
      <c r="J35" s="363"/>
      <c r="K35" s="360"/>
    </row>
    <row r="36" spans="1:11" s="361" customFormat="1">
      <c r="A36" s="509" t="s">
        <v>1639</v>
      </c>
      <c r="B36" s="362">
        <f>'Sources and Uses Budget'!C36</f>
        <v>0</v>
      </c>
      <c r="C36" s="363"/>
      <c r="D36" s="363"/>
      <c r="E36" s="362">
        <f>'Sources and Uses Budget'!S36</f>
        <v>0</v>
      </c>
      <c r="F36" s="363"/>
      <c r="G36" s="363"/>
      <c r="H36" s="362">
        <f>'Sources and Uses Budget'!T36</f>
        <v>0</v>
      </c>
      <c r="I36" s="363"/>
      <c r="J36" s="363"/>
      <c r="K36" s="360"/>
    </row>
    <row r="37" spans="1:11" s="361" customFormat="1">
      <c r="A37" s="365" t="str">
        <f>'Sources and Uses Budget'!$A37</f>
        <v>Other: (Specify)</v>
      </c>
      <c r="B37" s="362">
        <f>'Sources and Uses Budget'!C37</f>
        <v>0</v>
      </c>
      <c r="C37" s="363"/>
      <c r="D37" s="363"/>
      <c r="E37" s="362">
        <f>'Sources and Uses Budget'!S37</f>
        <v>0</v>
      </c>
      <c r="F37" s="363"/>
      <c r="G37" s="363"/>
      <c r="H37" s="362">
        <f>'Sources and Uses Budget'!T37</f>
        <v>0</v>
      </c>
      <c r="I37" s="363"/>
      <c r="J37" s="363"/>
      <c r="K37" s="360"/>
    </row>
    <row r="38" spans="1:11" s="361" customFormat="1">
      <c r="A38" s="366" t="s">
        <v>143</v>
      </c>
      <c r="B38" s="362">
        <f>'Sources and Uses Budget'!C38</f>
        <v>0</v>
      </c>
      <c r="C38" s="362">
        <f>SUM(C29:C37)</f>
        <v>0</v>
      </c>
      <c r="D38" s="362">
        <f>SUM(D29:D37)</f>
        <v>0</v>
      </c>
      <c r="E38" s="362">
        <f>'Sources and Uses Budget'!S38</f>
        <v>0</v>
      </c>
      <c r="F38" s="368">
        <f>SUM(F29:F37)</f>
        <v>0</v>
      </c>
      <c r="G38" s="368">
        <f>SUM(G29:G37)</f>
        <v>0</v>
      </c>
      <c r="H38" s="362">
        <f>'Sources and Uses Budget'!T38</f>
        <v>0</v>
      </c>
      <c r="I38" s="368">
        <f>SUM(I29:I37)</f>
        <v>0</v>
      </c>
      <c r="J38" s="368">
        <f>SUM(J29:J37)</f>
        <v>0</v>
      </c>
      <c r="K38" s="360"/>
    </row>
    <row r="39" spans="1:11" s="361" customFormat="1" ht="12">
      <c r="A39" s="358" t="s">
        <v>144</v>
      </c>
      <c r="B39" s="359"/>
      <c r="C39" s="359"/>
      <c r="D39" s="359"/>
      <c r="E39" s="359"/>
      <c r="F39" s="359"/>
      <c r="G39" s="359"/>
      <c r="H39" s="359"/>
      <c r="I39" s="359"/>
      <c r="J39" s="359"/>
      <c r="K39" s="360"/>
    </row>
    <row r="40" spans="1:11" s="361" customFormat="1">
      <c r="A40" s="365" t="s">
        <v>145</v>
      </c>
      <c r="B40" s="362">
        <f>'Sources and Uses Budget'!C40</f>
        <v>280000</v>
      </c>
      <c r="C40" s="363">
        <v>280000</v>
      </c>
      <c r="D40" s="363"/>
      <c r="E40" s="362">
        <f>'Sources and Uses Budget'!S40</f>
        <v>280000</v>
      </c>
      <c r="F40" s="363">
        <v>280000</v>
      </c>
      <c r="G40" s="363"/>
      <c r="H40" s="362">
        <f>'Sources and Uses Budget'!T40</f>
        <v>0</v>
      </c>
      <c r="I40" s="363"/>
      <c r="J40" s="363"/>
      <c r="K40" s="360"/>
    </row>
    <row r="41" spans="1:11" s="361" customFormat="1">
      <c r="A41" s="365" t="s">
        <v>146</v>
      </c>
      <c r="B41" s="362">
        <f>'Sources and Uses Budget'!C41</f>
        <v>0</v>
      </c>
      <c r="C41" s="363"/>
      <c r="D41" s="363"/>
      <c r="E41" s="362">
        <f>'Sources and Uses Budget'!S41</f>
        <v>0</v>
      </c>
      <c r="F41" s="363"/>
      <c r="G41" s="363"/>
      <c r="H41" s="362">
        <f>'Sources and Uses Budget'!T41</f>
        <v>0</v>
      </c>
      <c r="I41" s="363"/>
      <c r="J41" s="363"/>
      <c r="K41" s="360"/>
    </row>
    <row r="42" spans="1:11" s="361" customFormat="1">
      <c r="A42" s="366" t="s">
        <v>147</v>
      </c>
      <c r="B42" s="362">
        <f>'Sources and Uses Budget'!C42</f>
        <v>280000</v>
      </c>
      <c r="C42" s="362">
        <f>SUM(C39:C41)</f>
        <v>280000</v>
      </c>
      <c r="D42" s="362">
        <f>SUM(D39:D41)</f>
        <v>0</v>
      </c>
      <c r="E42" s="362">
        <f>'Sources and Uses Budget'!S42</f>
        <v>280000</v>
      </c>
      <c r="F42" s="368">
        <f>SUM(F40:F41)</f>
        <v>280000</v>
      </c>
      <c r="G42" s="368">
        <f>SUM(G40:G41)</f>
        <v>0</v>
      </c>
      <c r="H42" s="362">
        <f>'Sources and Uses Budget'!T42</f>
        <v>0</v>
      </c>
      <c r="I42" s="368">
        <f>SUM(I40:I41)</f>
        <v>0</v>
      </c>
      <c r="J42" s="368">
        <f>SUM(J40:J41)</f>
        <v>0</v>
      </c>
      <c r="K42" s="360"/>
    </row>
    <row r="43" spans="1:11" s="361" customFormat="1">
      <c r="A43" s="366" t="s">
        <v>148</v>
      </c>
      <c r="B43" s="362">
        <f>'Sources and Uses Budget'!C43</f>
        <v>97900</v>
      </c>
      <c r="C43" s="363">
        <v>97900</v>
      </c>
      <c r="D43" s="363"/>
      <c r="E43" s="362">
        <f>'Sources and Uses Budget'!S43</f>
        <v>97900</v>
      </c>
      <c r="F43" s="363">
        <v>97900</v>
      </c>
      <c r="G43" s="363"/>
      <c r="H43" s="362">
        <f>'Sources and Uses Budget'!T43</f>
        <v>0</v>
      </c>
      <c r="I43" s="363"/>
      <c r="J43" s="363"/>
      <c r="K43" s="360"/>
    </row>
    <row r="44" spans="1:11" s="361" customFormat="1" ht="12">
      <c r="A44" s="358" t="s">
        <v>149</v>
      </c>
      <c r="B44" s="359"/>
      <c r="C44" s="359"/>
      <c r="D44" s="359"/>
      <c r="E44" s="359"/>
      <c r="F44" s="359"/>
      <c r="G44" s="359"/>
      <c r="H44" s="359"/>
      <c r="I44" s="359"/>
      <c r="J44" s="359"/>
      <c r="K44" s="360"/>
    </row>
    <row r="45" spans="1:11" s="361" customFormat="1">
      <c r="A45" s="365" t="s">
        <v>150</v>
      </c>
      <c r="B45" s="362">
        <f>'Sources and Uses Budget'!C45</f>
        <v>1727434</v>
      </c>
      <c r="C45" s="363">
        <v>1727434</v>
      </c>
      <c r="D45" s="363"/>
      <c r="E45" s="362">
        <f>'Sources and Uses Budget'!S45</f>
        <v>863717</v>
      </c>
      <c r="F45" s="363">
        <f>+E45</f>
        <v>863717</v>
      </c>
      <c r="G45" s="363"/>
      <c r="H45" s="362">
        <f>'Sources and Uses Budget'!T45</f>
        <v>0</v>
      </c>
      <c r="I45" s="363"/>
      <c r="J45" s="363"/>
      <c r="K45" s="360"/>
    </row>
    <row r="46" spans="1:11" s="361" customFormat="1">
      <c r="A46" s="365" t="s">
        <v>151</v>
      </c>
      <c r="B46" s="362">
        <f>'Sources and Uses Budget'!C46</f>
        <v>0</v>
      </c>
      <c r="C46" s="363"/>
      <c r="D46" s="363"/>
      <c r="E46" s="362">
        <f>'Sources and Uses Budget'!S46</f>
        <v>0</v>
      </c>
      <c r="F46" s="363"/>
      <c r="G46" s="363"/>
      <c r="H46" s="362">
        <f>'Sources and Uses Budget'!T46</f>
        <v>0</v>
      </c>
      <c r="I46" s="363"/>
      <c r="J46" s="363"/>
      <c r="K46" s="360"/>
    </row>
    <row r="47" spans="1:11" s="361" customFormat="1" ht="12" customHeight="1">
      <c r="A47" s="365" t="s">
        <v>152</v>
      </c>
      <c r="B47" s="362">
        <f>'Sources and Uses Budget'!C47</f>
        <v>0</v>
      </c>
      <c r="C47" s="363"/>
      <c r="D47" s="363"/>
      <c r="E47" s="362">
        <f>'Sources and Uses Budget'!S47</f>
        <v>0</v>
      </c>
      <c r="F47" s="363"/>
      <c r="G47" s="363"/>
      <c r="H47" s="362">
        <f>'Sources and Uses Budget'!T47</f>
        <v>0</v>
      </c>
      <c r="I47" s="363"/>
      <c r="J47" s="363"/>
      <c r="K47" s="360"/>
    </row>
    <row r="48" spans="1:11" s="361" customFormat="1">
      <c r="A48" s="365" t="s">
        <v>153</v>
      </c>
      <c r="B48" s="362">
        <f>'Sources and Uses Budget'!C48</f>
        <v>0</v>
      </c>
      <c r="C48" s="363"/>
      <c r="D48" s="363"/>
      <c r="E48" s="362">
        <f>'Sources and Uses Budget'!S48</f>
        <v>0</v>
      </c>
      <c r="F48" s="363"/>
      <c r="G48" s="363"/>
      <c r="H48" s="362">
        <f>'Sources and Uses Budget'!T48</f>
        <v>0</v>
      </c>
      <c r="I48" s="363"/>
      <c r="J48" s="363"/>
      <c r="K48" s="360"/>
    </row>
    <row r="49" spans="1:11" s="361" customFormat="1">
      <c r="A49" s="284" t="s">
        <v>57</v>
      </c>
      <c r="B49" s="362">
        <f>'Sources and Uses Budget'!C49</f>
        <v>379043</v>
      </c>
      <c r="C49" s="363">
        <v>379043</v>
      </c>
      <c r="D49" s="363"/>
      <c r="E49" s="362">
        <f>'Sources and Uses Budget'!S49</f>
        <v>121560</v>
      </c>
      <c r="F49" s="363">
        <v>121560</v>
      </c>
      <c r="G49" s="363"/>
      <c r="H49" s="362">
        <f>'Sources and Uses Budget'!T49</f>
        <v>0</v>
      </c>
      <c r="I49" s="363"/>
      <c r="J49" s="363"/>
      <c r="K49" s="360"/>
    </row>
    <row r="50" spans="1:11" s="361" customFormat="1">
      <c r="A50" s="365" t="s">
        <v>156</v>
      </c>
      <c r="B50" s="362">
        <f>'Sources and Uses Budget'!C50</f>
        <v>50000</v>
      </c>
      <c r="C50" s="363">
        <v>50000</v>
      </c>
      <c r="D50" s="363"/>
      <c r="E50" s="362">
        <f>'Sources and Uses Budget'!S50</f>
        <v>50000</v>
      </c>
      <c r="F50" s="363">
        <v>50000</v>
      </c>
      <c r="G50" s="363"/>
      <c r="H50" s="362">
        <f>'Sources and Uses Budget'!T50</f>
        <v>0</v>
      </c>
      <c r="I50" s="363"/>
      <c r="J50" s="363"/>
      <c r="K50" s="360"/>
    </row>
    <row r="51" spans="1:11" s="361" customFormat="1">
      <c r="A51" s="365" t="s">
        <v>154</v>
      </c>
      <c r="B51" s="362">
        <f>'Sources and Uses Budget'!C51</f>
        <v>0</v>
      </c>
      <c r="C51" s="363"/>
      <c r="D51" s="363"/>
      <c r="E51" s="362">
        <f>'Sources and Uses Budget'!S51</f>
        <v>0</v>
      </c>
      <c r="F51" s="363"/>
      <c r="G51" s="363"/>
      <c r="H51" s="362">
        <f>'Sources and Uses Budget'!T51</f>
        <v>0</v>
      </c>
      <c r="I51" s="363"/>
      <c r="J51" s="363"/>
      <c r="K51" s="360"/>
    </row>
    <row r="52" spans="1:11" s="361" customFormat="1">
      <c r="A52" s="365" t="s">
        <v>155</v>
      </c>
      <c r="B52" s="362">
        <f>'Sources and Uses Budget'!C52</f>
        <v>300000</v>
      </c>
      <c r="C52" s="363">
        <v>300000</v>
      </c>
      <c r="D52" s="363"/>
      <c r="E52" s="362">
        <f>'Sources and Uses Budget'!S52</f>
        <v>300000</v>
      </c>
      <c r="F52" s="363">
        <v>300000</v>
      </c>
      <c r="G52" s="363"/>
      <c r="H52" s="362">
        <f>'Sources and Uses Budget'!T52</f>
        <v>0</v>
      </c>
      <c r="I52" s="363"/>
      <c r="J52" s="363"/>
      <c r="K52" s="360"/>
    </row>
    <row r="53" spans="1:11" s="361" customFormat="1" ht="23">
      <c r="A53" s="365" t="str">
        <f>'Sources and Uses Budget'!$A53</f>
        <v>Other: (Bank Construction Inspections &amp; Third Party Reports)</v>
      </c>
      <c r="B53" s="362">
        <f>'Sources and Uses Budget'!C53</f>
        <v>40000</v>
      </c>
      <c r="C53" s="363">
        <v>40000</v>
      </c>
      <c r="D53" s="363"/>
      <c r="E53" s="362">
        <f>'Sources and Uses Budget'!S53</f>
        <v>40000</v>
      </c>
      <c r="F53" s="363">
        <v>40000</v>
      </c>
      <c r="G53" s="363"/>
      <c r="H53" s="362">
        <f>'Sources and Uses Budget'!T53</f>
        <v>0</v>
      </c>
      <c r="I53" s="363"/>
      <c r="J53" s="363"/>
      <c r="K53" s="360"/>
    </row>
    <row r="54" spans="1:11" s="370" customFormat="1">
      <c r="A54" s="366" t="s">
        <v>157</v>
      </c>
      <c r="B54" s="362">
        <f>'Sources and Uses Budget'!C54</f>
        <v>2496477</v>
      </c>
      <c r="C54" s="368">
        <f>SUM(C45:C53)</f>
        <v>2496477</v>
      </c>
      <c r="D54" s="368">
        <f>SUM(D45:D53)</f>
        <v>0</v>
      </c>
      <c r="E54" s="362">
        <f>'Sources and Uses Budget'!S54</f>
        <v>1375277</v>
      </c>
      <c r="F54" s="368">
        <f>SUM(F45:F53)</f>
        <v>1375277</v>
      </c>
      <c r="G54" s="368">
        <f>SUM(G45:G53)</f>
        <v>0</v>
      </c>
      <c r="H54" s="362">
        <f>'Sources and Uses Budget'!T54</f>
        <v>0</v>
      </c>
      <c r="I54" s="368">
        <f>SUM(I45:I53)</f>
        <v>0</v>
      </c>
      <c r="J54" s="368">
        <f>SUM(J45:J53)</f>
        <v>0</v>
      </c>
      <c r="K54" s="369"/>
    </row>
    <row r="55" spans="1:11" s="361" customFormat="1" ht="12">
      <c r="A55" s="358" t="s">
        <v>417</v>
      </c>
      <c r="B55" s="359"/>
      <c r="C55" s="359"/>
      <c r="D55" s="359"/>
      <c r="E55" s="359"/>
      <c r="F55" s="359"/>
      <c r="G55" s="359"/>
      <c r="H55" s="359"/>
      <c r="I55" s="359"/>
      <c r="J55" s="359"/>
      <c r="K55" s="360"/>
    </row>
    <row r="56" spans="1:11" s="361" customFormat="1">
      <c r="A56" s="365" t="s">
        <v>158</v>
      </c>
      <c r="B56" s="362">
        <f>'Sources and Uses Budget'!C56</f>
        <v>0</v>
      </c>
      <c r="C56" s="363"/>
      <c r="D56" s="363"/>
      <c r="E56" s="364"/>
      <c r="F56" s="364"/>
      <c r="G56" s="364"/>
      <c r="H56" s="364"/>
      <c r="I56" s="364"/>
      <c r="J56" s="364"/>
      <c r="K56" s="360"/>
    </row>
    <row r="57" spans="1:11" s="361" customFormat="1" ht="12" customHeight="1">
      <c r="A57" s="365" t="s">
        <v>152</v>
      </c>
      <c r="B57" s="362">
        <f>'Sources and Uses Budget'!C57</f>
        <v>0</v>
      </c>
      <c r="C57" s="363"/>
      <c r="D57" s="363"/>
      <c r="E57" s="364"/>
      <c r="F57" s="364"/>
      <c r="G57" s="364"/>
      <c r="H57" s="364"/>
      <c r="I57" s="364"/>
      <c r="J57" s="364"/>
      <c r="K57" s="360"/>
    </row>
    <row r="58" spans="1:11" s="361" customFormat="1">
      <c r="A58" s="365" t="s">
        <v>156</v>
      </c>
      <c r="B58" s="362">
        <f>'Sources and Uses Budget'!C58</f>
        <v>30000</v>
      </c>
      <c r="C58" s="363">
        <v>30000</v>
      </c>
      <c r="D58" s="363"/>
      <c r="E58" s="364"/>
      <c r="F58" s="364"/>
      <c r="G58" s="364"/>
      <c r="H58" s="364"/>
      <c r="I58" s="364"/>
      <c r="J58" s="364"/>
      <c r="K58" s="360"/>
    </row>
    <row r="59" spans="1:11" s="361" customFormat="1">
      <c r="A59" s="365" t="s">
        <v>154</v>
      </c>
      <c r="B59" s="362">
        <f>'Sources and Uses Budget'!C59</f>
        <v>0</v>
      </c>
      <c r="C59" s="363"/>
      <c r="D59" s="363"/>
      <c r="E59" s="364"/>
      <c r="F59" s="364"/>
      <c r="G59" s="364"/>
      <c r="H59" s="364"/>
      <c r="I59" s="364"/>
      <c r="J59" s="364"/>
      <c r="K59" s="360"/>
    </row>
    <row r="60" spans="1:11" s="361" customFormat="1">
      <c r="A60" s="365" t="s">
        <v>155</v>
      </c>
      <c r="B60" s="362">
        <f>'Sources and Uses Budget'!C60</f>
        <v>0</v>
      </c>
      <c r="C60" s="363"/>
      <c r="D60" s="363"/>
      <c r="E60" s="364"/>
      <c r="F60" s="364"/>
      <c r="G60" s="364"/>
      <c r="H60" s="364"/>
      <c r="I60" s="364"/>
      <c r="J60" s="364"/>
      <c r="K60" s="360"/>
    </row>
    <row r="61" spans="1:11" s="361" customFormat="1">
      <c r="A61" s="365" t="str">
        <f>'Sources and Uses Budget'!$A61</f>
        <v>Other: (Specify)</v>
      </c>
      <c r="B61" s="362">
        <f>'Sources and Uses Budget'!C61</f>
        <v>0</v>
      </c>
      <c r="C61" s="363"/>
      <c r="D61" s="363"/>
      <c r="E61" s="364"/>
      <c r="F61" s="364"/>
      <c r="G61" s="364"/>
      <c r="H61" s="364"/>
      <c r="I61" s="364"/>
      <c r="J61" s="364"/>
      <c r="K61" s="360"/>
    </row>
    <row r="62" spans="1:11" s="361" customFormat="1" ht="13.75" customHeight="1">
      <c r="A62" s="366" t="s">
        <v>300</v>
      </c>
      <c r="B62" s="362">
        <f>'Sources and Uses Budget'!C62</f>
        <v>30000</v>
      </c>
      <c r="C62" s="362">
        <f>SUM(C56:C61)</f>
        <v>30000</v>
      </c>
      <c r="D62" s="362">
        <f>SUM(D56:D61)</f>
        <v>0</v>
      </c>
      <c r="E62" s="364"/>
      <c r="F62" s="364"/>
      <c r="G62" s="364"/>
      <c r="H62" s="364"/>
      <c r="I62" s="364"/>
      <c r="J62" s="364"/>
      <c r="K62" s="360"/>
    </row>
    <row r="63" spans="1:11" s="361" customFormat="1">
      <c r="A63" s="371" t="s">
        <v>301</v>
      </c>
      <c r="B63" s="362">
        <f>'Sources and Uses Budget'!C63</f>
        <v>27173027</v>
      </c>
      <c r="C63" s="362">
        <f>SUM(C8+C11+C13+C14+C15+C26+C27+C38+C42+C43+C54+C62)</f>
        <v>27173027</v>
      </c>
      <c r="D63" s="362">
        <f>SUM(D8+D11+D13+D14+D15+D26+D27+D38+D42+D43+D54+D62)</f>
        <v>0</v>
      </c>
      <c r="E63" s="362">
        <f>'Sources and Uses Budget'!S63</f>
        <v>12421827</v>
      </c>
      <c r="F63" s="362">
        <f>SUM(F10+F13+F14+F15+F26+F27+F38+F42+F43+F54)</f>
        <v>12421827</v>
      </c>
      <c r="G63" s="362">
        <f>SUM(G10+G13+G14+G15+G26+G27+G38+G42+G43+G54)</f>
        <v>0</v>
      </c>
      <c r="H63" s="362">
        <f>'Sources and Uses Budget'!T63</f>
        <v>9000000</v>
      </c>
      <c r="I63" s="362">
        <f>SUM(I11+I13+I14+I15+I26+I27+I38+I42+I43+I54)</f>
        <v>9000000</v>
      </c>
      <c r="J63" s="362">
        <f>SUM(J11+J13+J14+J15+J26+J27+J38+J42+J43+J54)</f>
        <v>0</v>
      </c>
      <c r="K63" s="360"/>
    </row>
    <row r="64" spans="1:11" s="361" customFormat="1" ht="24">
      <c r="A64" s="141" t="s">
        <v>1643</v>
      </c>
      <c r="B64" s="359"/>
      <c r="C64" s="359"/>
      <c r="D64" s="359"/>
      <c r="E64" s="359"/>
      <c r="F64" s="359"/>
      <c r="G64" s="359"/>
      <c r="H64" s="359"/>
      <c r="I64" s="359"/>
      <c r="J64" s="359"/>
      <c r="K64" s="360"/>
    </row>
    <row r="65" spans="1:11" s="361" customFormat="1">
      <c r="A65" s="145" t="s">
        <v>170</v>
      </c>
      <c r="B65" s="362">
        <f>'Sources and Uses Budget'!C65</f>
        <v>0</v>
      </c>
      <c r="C65" s="363"/>
      <c r="D65" s="363"/>
      <c r="E65" s="362">
        <f>'Sources and Uses Budget'!S65</f>
        <v>0</v>
      </c>
      <c r="F65" s="363"/>
      <c r="G65" s="363"/>
      <c r="H65" s="362">
        <f>'Sources and Uses Budget'!T65</f>
        <v>0</v>
      </c>
      <c r="I65" s="363"/>
      <c r="J65" s="363"/>
      <c r="K65" s="360"/>
    </row>
    <row r="66" spans="1:11" s="361" customFormat="1" ht="23">
      <c r="A66" s="284" t="s">
        <v>1640</v>
      </c>
      <c r="B66" s="362">
        <f>'Sources and Uses Budget'!C66</f>
        <v>0</v>
      </c>
      <c r="C66" s="363"/>
      <c r="D66" s="363"/>
      <c r="E66" s="362">
        <f>'Sources and Uses Budget'!S66</f>
        <v>0</v>
      </c>
      <c r="F66" s="363"/>
      <c r="G66" s="363"/>
      <c r="H66" s="362">
        <f>'Sources and Uses Budget'!T66</f>
        <v>0</v>
      </c>
      <c r="I66" s="363"/>
      <c r="J66" s="363"/>
      <c r="K66" s="360"/>
    </row>
    <row r="67" spans="1:11" s="361" customFormat="1" ht="23">
      <c r="A67" s="284" t="s">
        <v>1641</v>
      </c>
      <c r="B67" s="362">
        <f>'Sources and Uses Budget'!C67</f>
        <v>0</v>
      </c>
      <c r="C67" s="363"/>
      <c r="D67" s="363"/>
      <c r="E67" s="362">
        <f>'Sources and Uses Budget'!S67</f>
        <v>0</v>
      </c>
      <c r="F67" s="363"/>
      <c r="G67" s="363"/>
      <c r="H67" s="362">
        <f>'Sources and Uses Budget'!T67</f>
        <v>0</v>
      </c>
      <c r="I67" s="363"/>
      <c r="J67" s="363"/>
      <c r="K67" s="360"/>
    </row>
    <row r="68" spans="1:11" s="361" customFormat="1">
      <c r="A68" s="284" t="s">
        <v>1647</v>
      </c>
      <c r="B68" s="362">
        <f>'Sources and Uses Budget'!C68</f>
        <v>0</v>
      </c>
      <c r="C68" s="363"/>
      <c r="D68" s="363"/>
      <c r="E68" s="362">
        <f>'Sources and Uses Budget'!S68</f>
        <v>0</v>
      </c>
      <c r="F68" s="363"/>
      <c r="G68" s="363"/>
      <c r="H68" s="362">
        <f>'Sources and Uses Budget'!T68</f>
        <v>0</v>
      </c>
      <c r="I68" s="363"/>
      <c r="J68" s="363"/>
      <c r="K68" s="360"/>
    </row>
    <row r="69" spans="1:11" s="361" customFormat="1" ht="23">
      <c r="A69" s="365" t="str">
        <f>'Sources and Uses Budget'!$A69</f>
        <v>Other: (Applicant Legal, Including HUD Counsel)</v>
      </c>
      <c r="B69" s="362">
        <f>'Sources and Uses Budget'!C69</f>
        <v>85000</v>
      </c>
      <c r="C69" s="363">
        <v>85000</v>
      </c>
      <c r="D69" s="363"/>
      <c r="E69" s="362">
        <f>'Sources and Uses Budget'!S69</f>
        <v>40000</v>
      </c>
      <c r="F69" s="363">
        <v>40000</v>
      </c>
      <c r="G69" s="363"/>
      <c r="H69" s="362">
        <f>'Sources and Uses Budget'!T69</f>
        <v>0</v>
      </c>
      <c r="I69" s="363"/>
      <c r="J69" s="363"/>
      <c r="K69" s="360"/>
    </row>
    <row r="70" spans="1:11" s="361" customFormat="1">
      <c r="A70" s="366" t="s">
        <v>600</v>
      </c>
      <c r="B70" s="362">
        <f>'Sources and Uses Budget'!C70</f>
        <v>85000</v>
      </c>
      <c r="C70" s="362">
        <f>SUM(C64:C69)</f>
        <v>85000</v>
      </c>
      <c r="D70" s="362">
        <f>SUM(D64:D69)</f>
        <v>0</v>
      </c>
      <c r="E70" s="362">
        <f>'Sources and Uses Budget'!S70</f>
        <v>40000</v>
      </c>
      <c r="F70" s="368">
        <f>SUM(F65:F69)</f>
        <v>40000</v>
      </c>
      <c r="G70" s="368">
        <f>SUM(G65:G69)</f>
        <v>0</v>
      </c>
      <c r="H70" s="362">
        <f>'Sources and Uses Budget'!T70</f>
        <v>0</v>
      </c>
      <c r="I70" s="368">
        <f>SUM(I65:I69)</f>
        <v>0</v>
      </c>
      <c r="J70" s="368">
        <f>SUM(J65:J69)</f>
        <v>0</v>
      </c>
      <c r="K70" s="360"/>
    </row>
    <row r="71" spans="1:11" s="361" customFormat="1" ht="12">
      <c r="A71" s="358" t="s">
        <v>601</v>
      </c>
      <c r="B71" s="359"/>
      <c r="C71" s="359"/>
      <c r="D71" s="359"/>
      <c r="E71" s="359"/>
      <c r="F71" s="359"/>
      <c r="G71" s="359"/>
      <c r="H71" s="359"/>
      <c r="I71" s="359"/>
      <c r="J71" s="359"/>
      <c r="K71" s="360"/>
    </row>
    <row r="72" spans="1:11" s="361" customFormat="1">
      <c r="A72" s="365" t="s">
        <v>602</v>
      </c>
      <c r="B72" s="362">
        <f>'Sources and Uses Budget'!C72</f>
        <v>0</v>
      </c>
      <c r="C72" s="363"/>
      <c r="D72" s="363"/>
      <c r="E72" s="364"/>
      <c r="F72" s="364"/>
      <c r="G72" s="364"/>
      <c r="H72" s="364"/>
      <c r="I72" s="364"/>
      <c r="J72" s="364"/>
      <c r="K72" s="360"/>
    </row>
    <row r="73" spans="1:11" s="361" customFormat="1">
      <c r="A73" s="365" t="s">
        <v>603</v>
      </c>
      <c r="B73" s="362">
        <f>'Sources and Uses Budget'!C73</f>
        <v>0</v>
      </c>
      <c r="C73" s="363"/>
      <c r="D73" s="363"/>
      <c r="E73" s="364"/>
      <c r="F73" s="364"/>
      <c r="G73" s="364"/>
      <c r="H73" s="364"/>
      <c r="I73" s="364"/>
      <c r="J73" s="364"/>
      <c r="K73" s="360"/>
    </row>
    <row r="74" spans="1:11" s="361" customFormat="1">
      <c r="A74" s="367" t="s">
        <v>985</v>
      </c>
      <c r="B74" s="362">
        <f>'Sources and Uses Budget'!C74</f>
        <v>213500</v>
      </c>
      <c r="C74" s="363">
        <v>213500</v>
      </c>
      <c r="D74" s="363"/>
      <c r="E74" s="364"/>
      <c r="F74" s="364"/>
      <c r="G74" s="364"/>
      <c r="H74" s="364"/>
      <c r="I74" s="364"/>
      <c r="J74" s="364"/>
      <c r="K74" s="360"/>
    </row>
    <row r="75" spans="1:11" s="361" customFormat="1">
      <c r="A75" s="365" t="s">
        <v>604</v>
      </c>
      <c r="B75" s="362">
        <f>'Sources and Uses Budget'!C75</f>
        <v>726377</v>
      </c>
      <c r="C75" s="363">
        <v>726377</v>
      </c>
      <c r="D75" s="363"/>
      <c r="E75" s="364"/>
      <c r="F75" s="364"/>
      <c r="G75" s="364"/>
      <c r="H75" s="364"/>
      <c r="I75" s="364"/>
      <c r="J75" s="364"/>
      <c r="K75" s="360"/>
    </row>
    <row r="76" spans="1:11" s="361" customFormat="1">
      <c r="A76" s="365" t="str">
        <f>'Sources and Uses Budget'!$A76</f>
        <v>Other: (Specify)</v>
      </c>
      <c r="B76" s="362">
        <f>'Sources and Uses Budget'!C76</f>
        <v>0</v>
      </c>
      <c r="C76" s="363"/>
      <c r="D76" s="363"/>
      <c r="E76" s="364"/>
      <c r="F76" s="364"/>
      <c r="G76" s="364"/>
      <c r="H76" s="364"/>
      <c r="I76" s="364"/>
      <c r="J76" s="364"/>
      <c r="K76" s="360"/>
    </row>
    <row r="77" spans="1:11" s="361" customFormat="1">
      <c r="A77" s="366" t="s">
        <v>605</v>
      </c>
      <c r="B77" s="362">
        <f>'Sources and Uses Budget'!C77</f>
        <v>939877</v>
      </c>
      <c r="C77" s="362">
        <f>SUM(C72:C76)</f>
        <v>939877</v>
      </c>
      <c r="D77" s="362">
        <f>SUM(D72:D76)</f>
        <v>0</v>
      </c>
      <c r="E77" s="364"/>
      <c r="F77" s="364"/>
      <c r="G77" s="364"/>
      <c r="H77" s="364"/>
      <c r="I77" s="364"/>
      <c r="J77" s="364"/>
      <c r="K77" s="360"/>
    </row>
    <row r="78" spans="1:11" s="361" customFormat="1" ht="12">
      <c r="A78" s="358" t="s">
        <v>1209</v>
      </c>
      <c r="B78" s="359"/>
      <c r="C78" s="359"/>
      <c r="D78" s="359"/>
      <c r="E78" s="359"/>
      <c r="F78" s="359"/>
      <c r="G78" s="359"/>
      <c r="H78" s="359"/>
      <c r="I78" s="359"/>
      <c r="J78" s="359"/>
      <c r="K78" s="360"/>
    </row>
    <row r="79" spans="1:11" s="361" customFormat="1">
      <c r="A79" s="365" t="s">
        <v>1211</v>
      </c>
      <c r="B79" s="362">
        <f>'Sources and Uses Budget'!C79</f>
        <v>1480298</v>
      </c>
      <c r="C79" s="363">
        <v>1480298</v>
      </c>
      <c r="D79" s="363"/>
      <c r="E79" s="362">
        <f>'Sources and Uses Budget'!S79</f>
        <v>1480298</v>
      </c>
      <c r="F79" s="363">
        <v>1480298</v>
      </c>
      <c r="G79" s="363"/>
      <c r="H79" s="362">
        <f>'Sources and Uses Budget'!T79</f>
        <v>0</v>
      </c>
      <c r="I79" s="363"/>
      <c r="J79" s="363"/>
      <c r="K79" s="360"/>
    </row>
    <row r="80" spans="1:11" s="361" customFormat="1">
      <c r="A80" s="365" t="s">
        <v>58</v>
      </c>
      <c r="B80" s="362">
        <f>'Sources and Uses Budget'!C80</f>
        <v>150000</v>
      </c>
      <c r="C80" s="363">
        <v>150000</v>
      </c>
      <c r="D80" s="363"/>
      <c r="E80" s="362">
        <f>'Sources and Uses Budget'!S80</f>
        <v>150000</v>
      </c>
      <c r="F80" s="363">
        <v>150000</v>
      </c>
      <c r="G80" s="363"/>
      <c r="H80" s="362">
        <f>'Sources and Uses Budget'!T80</f>
        <v>0</v>
      </c>
      <c r="I80" s="363"/>
      <c r="J80" s="363"/>
      <c r="K80" s="360"/>
    </row>
    <row r="81" spans="1:11" s="361" customFormat="1">
      <c r="A81" s="366" t="s">
        <v>1208</v>
      </c>
      <c r="B81" s="362">
        <f>'Sources and Uses Budget'!C81</f>
        <v>1630298</v>
      </c>
      <c r="C81" s="362">
        <f>SUM(C79:C80)</f>
        <v>1630298</v>
      </c>
      <c r="D81" s="362">
        <f>SUM(D79:D80)</f>
        <v>0</v>
      </c>
      <c r="E81" s="362">
        <f>'Sources and Uses Budget'!S81</f>
        <v>1630298</v>
      </c>
      <c r="F81" s="362">
        <f>SUM(F79:F80)</f>
        <v>1630298</v>
      </c>
      <c r="G81" s="362">
        <f>SUM(G79:G80)</f>
        <v>0</v>
      </c>
      <c r="H81" s="362">
        <f>'Sources and Uses Budget'!T81</f>
        <v>0</v>
      </c>
      <c r="I81" s="362">
        <f>SUM(I79:I80)</f>
        <v>0</v>
      </c>
      <c r="J81" s="362">
        <f>SUM(J79:J80)</f>
        <v>0</v>
      </c>
      <c r="K81" s="360"/>
    </row>
    <row r="82" spans="1:11" s="361" customFormat="1" ht="12">
      <c r="A82" s="358" t="s">
        <v>764</v>
      </c>
      <c r="B82" s="359"/>
      <c r="C82" s="359"/>
      <c r="D82" s="359"/>
      <c r="E82" s="359"/>
      <c r="F82" s="359"/>
      <c r="G82" s="359"/>
      <c r="H82" s="359"/>
      <c r="I82" s="359"/>
      <c r="J82" s="359"/>
      <c r="K82" s="360"/>
    </row>
    <row r="83" spans="1:11" s="361" customFormat="1" ht="13.75" customHeight="1">
      <c r="A83" s="145" t="s">
        <v>2095</v>
      </c>
      <c r="B83" s="362">
        <f>'Sources and Uses Budget'!C83</f>
        <v>57033</v>
      </c>
      <c r="C83" s="363">
        <v>57033</v>
      </c>
      <c r="D83" s="363"/>
      <c r="E83" s="364"/>
      <c r="F83" s="364"/>
      <c r="G83" s="364"/>
      <c r="H83" s="364"/>
      <c r="I83" s="364"/>
      <c r="J83" s="364"/>
      <c r="K83" s="360"/>
    </row>
    <row r="84" spans="1:11" s="361" customFormat="1">
      <c r="A84" s="145" t="s">
        <v>766</v>
      </c>
      <c r="B84" s="362">
        <f>'Sources and Uses Budget'!C84</f>
        <v>0</v>
      </c>
      <c r="C84" s="363"/>
      <c r="D84" s="363"/>
      <c r="E84" s="362">
        <f>'Sources and Uses Budget'!S84</f>
        <v>0</v>
      </c>
      <c r="F84" s="363"/>
      <c r="G84" s="363"/>
      <c r="H84" s="362">
        <f>'Sources and Uses Budget'!T84</f>
        <v>0</v>
      </c>
      <c r="I84" s="363"/>
      <c r="J84" s="363"/>
      <c r="K84" s="360"/>
    </row>
    <row r="85" spans="1:11" s="361" customFormat="1">
      <c r="A85" s="145" t="s">
        <v>767</v>
      </c>
      <c r="B85" s="362">
        <f>'Sources and Uses Budget'!C85</f>
        <v>0</v>
      </c>
      <c r="C85" s="363"/>
      <c r="D85" s="363"/>
      <c r="E85" s="362">
        <f>'Sources and Uses Budget'!S85</f>
        <v>0</v>
      </c>
      <c r="F85" s="363"/>
      <c r="G85" s="363"/>
      <c r="H85" s="362">
        <f>'Sources and Uses Budget'!T85</f>
        <v>0</v>
      </c>
      <c r="I85" s="363"/>
      <c r="J85" s="363"/>
      <c r="K85" s="360"/>
    </row>
    <row r="86" spans="1:11" s="361" customFormat="1">
      <c r="A86" s="145" t="s">
        <v>768</v>
      </c>
      <c r="B86" s="362">
        <f>'Sources and Uses Budget'!C86</f>
        <v>100000</v>
      </c>
      <c r="C86" s="363">
        <v>100000</v>
      </c>
      <c r="D86" s="363"/>
      <c r="E86" s="362">
        <f>'Sources and Uses Budget'!S86</f>
        <v>100000</v>
      </c>
      <c r="F86" s="363">
        <v>100000</v>
      </c>
      <c r="G86" s="363"/>
      <c r="H86" s="362">
        <f>'Sources and Uses Budget'!T86</f>
        <v>0</v>
      </c>
      <c r="I86" s="363"/>
      <c r="J86" s="363"/>
      <c r="K86" s="360"/>
    </row>
    <row r="87" spans="1:11" s="361" customFormat="1">
      <c r="A87" s="145" t="s">
        <v>769</v>
      </c>
      <c r="B87" s="362">
        <f>'Sources and Uses Budget'!C87</f>
        <v>0</v>
      </c>
      <c r="C87" s="363"/>
      <c r="D87" s="363"/>
      <c r="E87" s="362">
        <f>'Sources and Uses Budget'!S87</f>
        <v>0</v>
      </c>
      <c r="F87" s="363"/>
      <c r="G87" s="363"/>
      <c r="H87" s="362">
        <f>'Sources and Uses Budget'!T87</f>
        <v>0</v>
      </c>
      <c r="I87" s="363"/>
      <c r="J87" s="363"/>
      <c r="K87" s="360"/>
    </row>
    <row r="88" spans="1:11" s="361" customFormat="1">
      <c r="A88" s="145" t="s">
        <v>770</v>
      </c>
      <c r="B88" s="362">
        <f>'Sources and Uses Budget'!C88</f>
        <v>25000</v>
      </c>
      <c r="C88" s="363">
        <v>25000</v>
      </c>
      <c r="D88" s="363"/>
      <c r="E88" s="364"/>
      <c r="F88" s="364"/>
      <c r="G88" s="364"/>
      <c r="H88" s="364"/>
      <c r="I88" s="364"/>
      <c r="J88" s="364"/>
      <c r="K88" s="360"/>
    </row>
    <row r="89" spans="1:11" s="361" customFormat="1">
      <c r="A89" s="145" t="s">
        <v>771</v>
      </c>
      <c r="B89" s="362">
        <f>'Sources and Uses Budget'!C89</f>
        <v>300000</v>
      </c>
      <c r="C89" s="363">
        <v>300000</v>
      </c>
      <c r="D89" s="363"/>
      <c r="E89" s="362">
        <f>'Sources and Uses Budget'!S89</f>
        <v>300000</v>
      </c>
      <c r="F89" s="363">
        <v>300000</v>
      </c>
      <c r="G89" s="363"/>
      <c r="H89" s="362">
        <f>'Sources and Uses Budget'!T89</f>
        <v>0</v>
      </c>
      <c r="I89" s="363"/>
      <c r="J89" s="363"/>
      <c r="K89" s="360"/>
    </row>
    <row r="90" spans="1:11" s="361" customFormat="1">
      <c r="A90" s="145" t="s">
        <v>772</v>
      </c>
      <c r="B90" s="362">
        <f>'Sources and Uses Budget'!C90</f>
        <v>5500</v>
      </c>
      <c r="C90" s="363">
        <v>5500</v>
      </c>
      <c r="D90" s="363"/>
      <c r="E90" s="362">
        <f>'Sources and Uses Budget'!S90</f>
        <v>0</v>
      </c>
      <c r="F90" s="363"/>
      <c r="G90" s="363"/>
      <c r="H90" s="362">
        <f>'Sources and Uses Budget'!T90</f>
        <v>0</v>
      </c>
      <c r="I90" s="363"/>
      <c r="J90" s="363"/>
      <c r="K90" s="360"/>
    </row>
    <row r="91" spans="1:11" s="361" customFormat="1">
      <c r="A91" s="155" t="s">
        <v>371</v>
      </c>
      <c r="B91" s="362">
        <f>'Sources and Uses Budget'!C91</f>
        <v>30000</v>
      </c>
      <c r="C91" s="363">
        <v>30000</v>
      </c>
      <c r="D91" s="363"/>
      <c r="E91" s="362">
        <f>'Sources and Uses Budget'!S91</f>
        <v>0</v>
      </c>
      <c r="F91" s="363"/>
      <c r="G91" s="363"/>
      <c r="H91" s="362">
        <f>'Sources and Uses Budget'!T91</f>
        <v>0</v>
      </c>
      <c r="I91" s="363"/>
      <c r="J91" s="363"/>
      <c r="K91" s="360"/>
    </row>
    <row r="92" spans="1:11" s="361" customFormat="1">
      <c r="A92" s="509" t="s">
        <v>1210</v>
      </c>
      <c r="B92" s="362">
        <f>'Sources and Uses Budget'!C92</f>
        <v>10000</v>
      </c>
      <c r="C92" s="363">
        <v>10000</v>
      </c>
      <c r="D92" s="363"/>
      <c r="E92" s="362">
        <f>'Sources and Uses Budget'!S92</f>
        <v>0</v>
      </c>
      <c r="F92" s="363"/>
      <c r="G92" s="363"/>
      <c r="H92" s="362">
        <f>'Sources and Uses Budget'!T92</f>
        <v>6618</v>
      </c>
      <c r="I92" s="363">
        <v>6618</v>
      </c>
      <c r="J92" s="363"/>
      <c r="K92" s="360"/>
    </row>
    <row r="93" spans="1:11" s="361" customFormat="1">
      <c r="A93" s="365" t="str">
        <f>'Sources and Uses Budget'!$A93</f>
        <v>Other: (Document Transfer Tax)</v>
      </c>
      <c r="B93" s="362">
        <f>'Sources and Uses Budget'!C93</f>
        <v>76160</v>
      </c>
      <c r="C93" s="363">
        <v>76160</v>
      </c>
      <c r="D93" s="363"/>
      <c r="E93" s="362">
        <f>'Sources and Uses Budget'!S93</f>
        <v>0</v>
      </c>
      <c r="F93" s="363"/>
      <c r="G93" s="363"/>
      <c r="H93" s="362">
        <f>'Sources and Uses Budget'!T93</f>
        <v>50400</v>
      </c>
      <c r="I93" s="363">
        <v>50400</v>
      </c>
      <c r="J93" s="363"/>
      <c r="K93" s="360"/>
    </row>
    <row r="94" spans="1:11" s="361" customFormat="1" ht="23">
      <c r="A94" s="365" t="str">
        <f>'Sources and Uses Budget'!$A94</f>
        <v>Other: (Accrued Interest - Seller and LAHD Loan)</v>
      </c>
      <c r="B94" s="362">
        <f>'Sources and Uses Budget'!C94</f>
        <v>1087527</v>
      </c>
      <c r="C94" s="363">
        <v>1087527</v>
      </c>
      <c r="D94" s="363"/>
      <c r="E94" s="362">
        <f>'Sources and Uses Budget'!S94</f>
        <v>0</v>
      </c>
      <c r="F94" s="363"/>
      <c r="G94" s="363"/>
      <c r="H94" s="362">
        <f>'Sources and Uses Budget'!T94</f>
        <v>0</v>
      </c>
      <c r="I94" s="363"/>
      <c r="J94" s="363"/>
      <c r="K94" s="360"/>
    </row>
    <row r="95" spans="1:11" s="361" customFormat="1">
      <c r="A95" s="365" t="str">
        <f>'Sources and Uses Budget'!$A95</f>
        <v>Other: (Specify)</v>
      </c>
      <c r="B95" s="362">
        <f>'Sources and Uses Budget'!C95</f>
        <v>0</v>
      </c>
      <c r="C95" s="363"/>
      <c r="D95" s="363"/>
      <c r="E95" s="362">
        <f>'Sources and Uses Budget'!S95</f>
        <v>0</v>
      </c>
      <c r="F95" s="363"/>
      <c r="G95" s="363"/>
      <c r="H95" s="362">
        <f>'Sources and Uses Budget'!T95</f>
        <v>0</v>
      </c>
      <c r="I95" s="363"/>
      <c r="J95" s="363"/>
      <c r="K95" s="360"/>
    </row>
    <row r="96" spans="1:11" s="361" customFormat="1">
      <c r="A96" s="366" t="s">
        <v>773</v>
      </c>
      <c r="B96" s="362">
        <f>'Sources and Uses Budget'!C96</f>
        <v>1691220</v>
      </c>
      <c r="C96" s="362">
        <f>SUM(C83:C95)</f>
        <v>1691220</v>
      </c>
      <c r="D96" s="362">
        <f>SUM(D83:D95)</f>
        <v>0</v>
      </c>
      <c r="E96" s="362">
        <f>'Sources and Uses Budget'!S96</f>
        <v>400000</v>
      </c>
      <c r="F96" s="368">
        <f>SUM(F84:F87,F89:F95)</f>
        <v>400000</v>
      </c>
      <c r="G96" s="368">
        <f>SUM(G84:G87,G89:G95)</f>
        <v>0</v>
      </c>
      <c r="H96" s="362">
        <f>'Sources and Uses Budget'!T96</f>
        <v>57018</v>
      </c>
      <c r="I96" s="362">
        <f>SUM(I84:I87,I89:I95)</f>
        <v>57018</v>
      </c>
      <c r="J96" s="362">
        <f>SUM(J84:J87,J89:J95)</f>
        <v>0</v>
      </c>
      <c r="K96" s="360"/>
    </row>
    <row r="97" spans="1:11" s="361" customFormat="1">
      <c r="A97" s="366" t="s">
        <v>1028</v>
      </c>
      <c r="B97" s="362">
        <f>'Sources and Uses Budget'!C97</f>
        <v>31519422</v>
      </c>
      <c r="C97" s="362">
        <f>SUM(C63+C70+C77+C81+C96)</f>
        <v>31519422</v>
      </c>
      <c r="D97" s="362">
        <f>SUM(D63+D70+D77+D81+D96)</f>
        <v>0</v>
      </c>
      <c r="E97" s="362">
        <f>'Sources and Uses Budget'!S97</f>
        <v>14492125</v>
      </c>
      <c r="F97" s="368">
        <f>SUM(+F63+F70+F81+F96)</f>
        <v>14492125</v>
      </c>
      <c r="G97" s="368">
        <f>SUM(+G63+G70+G81+G96)</f>
        <v>0</v>
      </c>
      <c r="H97" s="362">
        <f>'Sources and Uses Budget'!T97</f>
        <v>9057018</v>
      </c>
      <c r="I97" s="368">
        <f>SUM(I63+I70+I81+I96)</f>
        <v>9057018</v>
      </c>
      <c r="J97" s="368">
        <f>SUM(J63+J70+J81+J96)</f>
        <v>0</v>
      </c>
      <c r="K97" s="360"/>
    </row>
    <row r="98" spans="1:11" s="361" customFormat="1" ht="12">
      <c r="A98" s="358" t="s">
        <v>775</v>
      </c>
      <c r="B98" s="359"/>
      <c r="C98" s="359"/>
      <c r="D98" s="359"/>
      <c r="E98" s="359"/>
      <c r="F98" s="359"/>
      <c r="G98" s="359"/>
      <c r="H98" s="359"/>
      <c r="I98" s="359"/>
      <c r="J98" s="359"/>
      <c r="K98" s="360"/>
    </row>
    <row r="99" spans="1:11" s="361" customFormat="1">
      <c r="A99" s="145" t="s">
        <v>776</v>
      </c>
      <c r="B99" s="362">
        <f>'Sources and Uses Budget'!C99</f>
        <v>3532370</v>
      </c>
      <c r="C99" s="363">
        <v>3532370</v>
      </c>
      <c r="D99" s="363"/>
      <c r="E99" s="362">
        <f>'Sources and Uses Budget'!S99</f>
        <v>2173818</v>
      </c>
      <c r="F99" s="363">
        <f>+E99</f>
        <v>2173818</v>
      </c>
      <c r="G99" s="363"/>
      <c r="H99" s="362">
        <f>'Sources and Uses Budget'!T99</f>
        <v>1358552</v>
      </c>
      <c r="I99" s="363">
        <v>1358552</v>
      </c>
      <c r="J99" s="363"/>
      <c r="K99" s="360"/>
    </row>
    <row r="100" spans="1:11" s="361" customFormat="1">
      <c r="A100" s="284" t="s">
        <v>1645</v>
      </c>
      <c r="B100" s="362">
        <f>'Sources and Uses Budget'!C100</f>
        <v>0</v>
      </c>
      <c r="C100" s="363"/>
      <c r="D100" s="363"/>
      <c r="E100" s="362">
        <f>'Sources and Uses Budget'!S100</f>
        <v>0</v>
      </c>
      <c r="F100" s="363"/>
      <c r="G100" s="363"/>
      <c r="H100" s="362">
        <f>'Sources and Uses Budget'!T100</f>
        <v>0</v>
      </c>
      <c r="I100" s="363"/>
      <c r="J100" s="363"/>
      <c r="K100" s="360"/>
    </row>
    <row r="101" spans="1:11" s="361" customFormat="1">
      <c r="A101" s="145" t="s">
        <v>777</v>
      </c>
      <c r="B101" s="362">
        <f>'Sources and Uses Budget'!C101</f>
        <v>0</v>
      </c>
      <c r="C101" s="363"/>
      <c r="D101" s="363"/>
      <c r="E101" s="362">
        <f>'Sources and Uses Budget'!S101</f>
        <v>0</v>
      </c>
      <c r="F101" s="363"/>
      <c r="G101" s="363"/>
      <c r="H101" s="362">
        <f>'Sources and Uses Budget'!T101</f>
        <v>0</v>
      </c>
      <c r="I101" s="363"/>
      <c r="J101" s="363"/>
      <c r="K101" s="360"/>
    </row>
    <row r="102" spans="1:11" s="361" customFormat="1" ht="12" customHeight="1">
      <c r="A102" s="284" t="s">
        <v>1646</v>
      </c>
      <c r="B102" s="362">
        <f>'Sources and Uses Budget'!C102</f>
        <v>0</v>
      </c>
      <c r="C102" s="363"/>
      <c r="D102" s="363"/>
      <c r="E102" s="362">
        <f>'Sources and Uses Budget'!S102</f>
        <v>0</v>
      </c>
      <c r="F102" s="363"/>
      <c r="G102" s="363"/>
      <c r="H102" s="362">
        <f>'Sources and Uses Budget'!T102</f>
        <v>0</v>
      </c>
      <c r="I102" s="363"/>
      <c r="J102" s="363"/>
      <c r="K102" s="360"/>
    </row>
    <row r="103" spans="1:11" s="361" customFormat="1">
      <c r="A103" s="365" t="str">
        <f>'Sources and Uses Budget'!$A103</f>
        <v>Other: (Specify)</v>
      </c>
      <c r="B103" s="362">
        <f>'Sources and Uses Budget'!C103</f>
        <v>0</v>
      </c>
      <c r="C103" s="363"/>
      <c r="D103" s="363"/>
      <c r="E103" s="362">
        <f>'Sources and Uses Budget'!S103</f>
        <v>0</v>
      </c>
      <c r="F103" s="363"/>
      <c r="G103" s="363"/>
      <c r="H103" s="362">
        <f>'Sources and Uses Budget'!T103</f>
        <v>0</v>
      </c>
      <c r="I103" s="363"/>
      <c r="J103" s="363"/>
      <c r="K103" s="360"/>
    </row>
    <row r="104" spans="1:11" s="361" customFormat="1">
      <c r="A104" s="366" t="s">
        <v>778</v>
      </c>
      <c r="B104" s="362">
        <f>'Sources and Uses Budget'!C104</f>
        <v>3532370</v>
      </c>
      <c r="C104" s="362">
        <f>SUM(C99:C103)</f>
        <v>3532370</v>
      </c>
      <c r="D104" s="362">
        <f>SUM(D99:D103)</f>
        <v>0</v>
      </c>
      <c r="E104" s="362">
        <f>'Sources and Uses Budget'!S104</f>
        <v>2173818</v>
      </c>
      <c r="F104" s="368">
        <f>SUM(F99:F103)</f>
        <v>2173818</v>
      </c>
      <c r="G104" s="368">
        <f>SUM(G99:G103)</f>
        <v>0</v>
      </c>
      <c r="H104" s="362">
        <f>'Sources and Uses Budget'!T104</f>
        <v>1358552</v>
      </c>
      <c r="I104" s="368">
        <f>SUM(I99:I103)</f>
        <v>1358552</v>
      </c>
      <c r="J104" s="368">
        <f>SUM(J99:J103)</f>
        <v>0</v>
      </c>
      <c r="K104" s="360"/>
    </row>
    <row r="105" spans="1:11" s="361" customFormat="1">
      <c r="A105" s="366" t="s">
        <v>1029</v>
      </c>
      <c r="B105" s="362">
        <f>'Sources and Uses Budget'!C105</f>
        <v>35051792</v>
      </c>
      <c r="C105" s="368">
        <f>SUM(C97+C104)</f>
        <v>35051792</v>
      </c>
      <c r="D105" s="368">
        <f>SUM(D97+D104)</f>
        <v>0</v>
      </c>
      <c r="E105" s="362">
        <f>'Sources and Uses Budget'!S105</f>
        <v>16665943</v>
      </c>
      <c r="F105" s="368">
        <f>F97+F104</f>
        <v>16665943</v>
      </c>
      <c r="G105" s="368">
        <f>G97+G104</f>
        <v>0</v>
      </c>
      <c r="H105" s="362">
        <f>'Sources and Uses Budget'!T105</f>
        <v>10415570</v>
      </c>
      <c r="I105" s="368">
        <f>I97+I104</f>
        <v>10415570</v>
      </c>
      <c r="J105" s="368">
        <f>J97+J104</f>
        <v>0</v>
      </c>
      <c r="K105" s="360"/>
    </row>
    <row r="106" spans="1:11" s="361" customFormat="1">
      <c r="A106" s="372"/>
      <c r="B106" s="373"/>
      <c r="C106" s="373"/>
      <c r="D106" s="373"/>
      <c r="E106" s="362">
        <f>'Sources and Uses Budget'!S106</f>
        <v>0</v>
      </c>
      <c r="F106" s="363"/>
      <c r="G106" s="363"/>
      <c r="H106" s="362">
        <f>'Sources and Uses Budget'!T106</f>
        <v>0</v>
      </c>
      <c r="I106" s="363"/>
      <c r="J106" s="363"/>
      <c r="K106" s="360"/>
    </row>
    <row r="107" spans="1:11" s="361" customFormat="1">
      <c r="A107" s="374"/>
      <c r="B107" s="375"/>
      <c r="C107" s="373"/>
      <c r="D107" s="455" t="s">
        <v>374</v>
      </c>
      <c r="E107" s="362">
        <f>'Sources and Uses Budget'!S107</f>
        <v>16665943</v>
      </c>
      <c r="F107" s="368">
        <f>F105+F106</f>
        <v>16665943</v>
      </c>
      <c r="G107" s="368">
        <f>G105+G106</f>
        <v>0</v>
      </c>
      <c r="H107" s="362">
        <f>'Sources and Uses Budget'!T107</f>
        <v>10415570</v>
      </c>
      <c r="I107" s="368">
        <f>I105+I106</f>
        <v>10415570</v>
      </c>
      <c r="J107" s="368">
        <f>J105+J106</f>
        <v>0</v>
      </c>
      <c r="K107" s="360"/>
    </row>
    <row r="108" spans="1:11" s="361" customFormat="1">
      <c r="A108" s="374"/>
      <c r="B108" s="376"/>
      <c r="C108" s="376"/>
      <c r="D108" s="376"/>
      <c r="J108" s="377"/>
      <c r="K108" s="360"/>
    </row>
    <row r="109" spans="1:11" s="361" customFormat="1">
      <c r="A109" s="374"/>
      <c r="B109" s="376"/>
      <c r="C109" s="376"/>
      <c r="D109" s="376"/>
      <c r="J109" s="377"/>
      <c r="K109" s="360"/>
    </row>
    <row r="110" spans="1:11" s="361" customFormat="1">
      <c r="A110" s="374"/>
      <c r="B110" s="376"/>
      <c r="C110" s="376"/>
      <c r="D110" s="376"/>
      <c r="J110" s="377"/>
      <c r="K110" s="360"/>
    </row>
    <row r="111" spans="1:11" s="361" customFormat="1" ht="13">
      <c r="A111" s="378"/>
      <c r="B111" s="376"/>
      <c r="C111" s="376"/>
      <c r="D111" s="376"/>
      <c r="J111" s="377"/>
      <c r="K111" s="360"/>
    </row>
    <row r="112" spans="1:11" s="361" customFormat="1" ht="13">
      <c r="A112" s="378"/>
      <c r="B112" s="376"/>
      <c r="C112" s="376"/>
      <c r="D112" s="376"/>
      <c r="J112" s="377"/>
      <c r="K112" s="360"/>
    </row>
    <row r="113" spans="1:11" s="361" customFormat="1" ht="15">
      <c r="A113" s="379"/>
      <c r="B113" s="376"/>
      <c r="C113" s="376"/>
      <c r="D113" s="376"/>
      <c r="J113" s="377"/>
      <c r="K113" s="360"/>
    </row>
    <row r="114" spans="1:11" s="361" customFormat="1" ht="13">
      <c r="A114" s="378"/>
      <c r="J114" s="377"/>
      <c r="K114" s="360"/>
    </row>
    <row r="115" spans="1:11" s="361" customFormat="1" ht="15">
      <c r="A115" s="379"/>
      <c r="J115" s="377"/>
      <c r="K115" s="360"/>
    </row>
    <row r="116" spans="1:11" s="361" customFormat="1" ht="15">
      <c r="A116" s="379"/>
      <c r="J116" s="377"/>
      <c r="K116" s="360"/>
    </row>
    <row r="117" spans="1:11" s="361" customFormat="1">
      <c r="B117" s="376"/>
      <c r="C117" s="376"/>
      <c r="D117" s="376"/>
      <c r="J117" s="377"/>
      <c r="K117" s="360"/>
    </row>
    <row r="118" spans="1:11" s="361" customFormat="1">
      <c r="J118" s="377"/>
      <c r="K118" s="360"/>
    </row>
    <row r="119" spans="1:11" s="361" customFormat="1">
      <c r="J119" s="377"/>
      <c r="K119" s="360"/>
    </row>
    <row r="120" spans="1:11" s="361" customFormat="1">
      <c r="J120" s="377"/>
      <c r="K120" s="360"/>
    </row>
    <row r="121" spans="1:11" s="361" customFormat="1" ht="15">
      <c r="A121" s="379"/>
      <c r="J121" s="377"/>
      <c r="K121" s="360"/>
    </row>
    <row r="122" spans="1:11" s="381" customFormat="1" ht="15.5">
      <c r="A122" s="380"/>
      <c r="J122" s="382"/>
      <c r="K122" s="383"/>
    </row>
    <row r="123" spans="1:11" s="361" customFormat="1">
      <c r="A123" s="384"/>
      <c r="J123" s="377"/>
      <c r="K123" s="360"/>
    </row>
    <row r="124" spans="1:11" s="361" customFormat="1">
      <c r="B124" s="385"/>
      <c r="D124" s="1880"/>
      <c r="E124" s="1322"/>
      <c r="F124" s="1322"/>
      <c r="G124" s="1322"/>
      <c r="H124" s="1322"/>
      <c r="I124" s="1322"/>
      <c r="J124" s="377"/>
      <c r="K124" s="360"/>
    </row>
    <row r="125" spans="1:11" s="361" customFormat="1" ht="12.5">
      <c r="A125" s="386"/>
      <c r="B125" s="385"/>
      <c r="C125" s="386"/>
      <c r="D125" s="1322"/>
      <c r="E125" s="1322"/>
      <c r="F125" s="1322"/>
      <c r="G125" s="1322"/>
      <c r="H125" s="1322"/>
      <c r="I125" s="1322"/>
      <c r="J125" s="377"/>
      <c r="K125" s="360"/>
    </row>
    <row r="126" spans="1:11" s="361" customFormat="1" ht="12.5">
      <c r="A126" s="386"/>
      <c r="B126" s="385"/>
      <c r="C126" s="386"/>
      <c r="D126" s="1322"/>
      <c r="E126" s="1322"/>
      <c r="F126" s="1322"/>
      <c r="G126" s="1322"/>
      <c r="H126" s="1322"/>
      <c r="I126" s="1322"/>
      <c r="J126" s="377"/>
      <c r="K126" s="360"/>
    </row>
    <row r="127" spans="1:11" s="361" customFormat="1" ht="12.5">
      <c r="A127" s="386"/>
      <c r="B127" s="385"/>
      <c r="C127" s="386"/>
      <c r="D127" s="387"/>
      <c r="E127" s="386"/>
      <c r="F127" s="386"/>
      <c r="G127" s="386"/>
      <c r="J127" s="377"/>
      <c r="K127" s="360"/>
    </row>
    <row r="128" spans="1:11" s="361" customFormat="1" ht="12.5">
      <c r="A128" s="386"/>
      <c r="B128" s="385"/>
      <c r="C128" s="386"/>
      <c r="D128" s="387"/>
      <c r="E128" s="386"/>
      <c r="F128" s="386"/>
      <c r="G128" s="386"/>
      <c r="J128" s="377"/>
      <c r="K128" s="360"/>
    </row>
    <row r="129" spans="1:11" s="361" customFormat="1" ht="12.5">
      <c r="A129" s="386"/>
      <c r="B129" s="385"/>
      <c r="C129" s="386"/>
      <c r="D129" s="386"/>
      <c r="E129" s="386"/>
      <c r="F129" s="386"/>
      <c r="G129" s="386"/>
      <c r="J129" s="377"/>
      <c r="K129" s="360"/>
    </row>
    <row r="130" spans="1:11" s="361" customFormat="1" ht="12.5">
      <c r="A130" s="386"/>
      <c r="B130" s="385"/>
      <c r="C130" s="386"/>
      <c r="D130" s="386"/>
      <c r="E130" s="386"/>
      <c r="F130" s="386"/>
      <c r="G130" s="386"/>
      <c r="J130" s="377"/>
      <c r="K130" s="360"/>
    </row>
    <row r="131" spans="1:11" s="361" customFormat="1" ht="12.5">
      <c r="A131" s="386"/>
      <c r="B131" s="388"/>
      <c r="C131" s="386"/>
      <c r="D131" s="386"/>
      <c r="E131" s="386"/>
      <c r="F131" s="386"/>
      <c r="G131" s="386"/>
      <c r="J131" s="377"/>
      <c r="K131" s="360"/>
    </row>
    <row r="132" spans="1:11" s="361" customFormat="1" ht="13">
      <c r="A132" s="389"/>
      <c r="B132" s="390"/>
      <c r="C132" s="386"/>
      <c r="D132" s="391"/>
      <c r="E132" s="386"/>
      <c r="F132" s="386"/>
      <c r="G132" s="386"/>
      <c r="J132" s="377"/>
      <c r="K132" s="360"/>
    </row>
    <row r="133" spans="1:11" s="361" customFormat="1" ht="12.5">
      <c r="A133" s="392"/>
      <c r="B133" s="386"/>
      <c r="C133" s="386"/>
      <c r="D133" s="386"/>
      <c r="E133" s="386"/>
      <c r="F133" s="386"/>
      <c r="G133" s="386"/>
      <c r="J133" s="377"/>
      <c r="K133" s="360"/>
    </row>
    <row r="134" spans="1:11" s="361" customFormat="1" ht="12.5">
      <c r="A134" s="392"/>
      <c r="B134" s="386"/>
      <c r="C134" s="386"/>
      <c r="D134" s="386"/>
      <c r="E134" s="386"/>
      <c r="F134" s="386"/>
      <c r="G134" s="386"/>
      <c r="J134" s="377"/>
      <c r="K134" s="360"/>
    </row>
    <row r="135" spans="1:11" s="361" customFormat="1" ht="12.5">
      <c r="A135" s="393"/>
      <c r="B135" s="386"/>
      <c r="C135" s="386"/>
      <c r="D135" s="386"/>
      <c r="E135" s="386"/>
      <c r="F135" s="386"/>
      <c r="G135" s="386"/>
      <c r="J135" s="377"/>
      <c r="K135" s="360"/>
    </row>
    <row r="136" spans="1:11" s="361" customFormat="1" ht="13">
      <c r="A136" s="378"/>
      <c r="B136" s="386"/>
      <c r="C136" s="386"/>
      <c r="D136" s="386"/>
      <c r="E136" s="386"/>
      <c r="F136" s="386"/>
      <c r="G136" s="386"/>
      <c r="J136" s="377"/>
      <c r="K136" s="360"/>
    </row>
    <row r="137" spans="1:11" ht="12.5">
      <c r="A137" s="392"/>
      <c r="B137" s="386"/>
      <c r="C137" s="386"/>
      <c r="D137" s="386"/>
      <c r="E137" s="386"/>
      <c r="F137" s="386"/>
      <c r="G137" s="386"/>
    </row>
    <row r="138" spans="1:11" ht="12" customHeight="1">
      <c r="A138" s="392"/>
      <c r="B138" s="386"/>
      <c r="C138" s="386"/>
      <c r="D138" s="386"/>
      <c r="E138" s="386"/>
      <c r="F138" s="386"/>
      <c r="G138" s="386"/>
    </row>
    <row r="139" spans="1:11" ht="12" customHeight="1">
      <c r="A139" s="1881"/>
      <c r="B139" s="1322"/>
      <c r="C139" s="1322"/>
      <c r="D139" s="357"/>
      <c r="E139" s="386"/>
      <c r="F139" s="386"/>
      <c r="G139" s="386"/>
    </row>
    <row r="140" spans="1:11" ht="12" customHeight="1">
      <c r="A140" s="1293"/>
      <c r="B140" s="1293"/>
      <c r="C140" s="1293"/>
      <c r="D140" s="357"/>
      <c r="E140" s="386"/>
      <c r="F140" s="386"/>
      <c r="G140" s="386"/>
    </row>
    <row r="141" spans="1:11" ht="12" customHeight="1">
      <c r="A141" s="392"/>
      <c r="B141" s="386"/>
      <c r="C141" s="386"/>
      <c r="D141" s="357"/>
      <c r="E141" s="386"/>
      <c r="F141" s="386"/>
      <c r="G141" s="386"/>
      <c r="H141" s="395"/>
      <c r="I141" s="395"/>
    </row>
    <row r="142" spans="1:11" ht="12" customHeight="1">
      <c r="A142" s="397"/>
      <c r="B142" s="357"/>
      <c r="C142" s="357"/>
      <c r="D142" s="357"/>
      <c r="E142" s="386"/>
      <c r="F142" s="386"/>
      <c r="G142" s="386"/>
      <c r="H142" s="395"/>
      <c r="I142" s="395"/>
    </row>
    <row r="143" spans="1:11"/>
    <row r="144" spans="1:11"/>
    <row r="145"/>
    <row r="146"/>
    <row r="147"/>
    <row r="148"/>
  </sheetData>
  <sheetProtection algorithmName="SHA-512" hashValue="xtngQJ5hM06QpMSFsPwOdQuNVq3KrhEh4zk9d/dCBgDY32r6+lNmf8NbCySi06dFWHpZavPfdFWIutsxEddypg==" saltValue="DNJsejYrhEx5v0kiqpqJdw==" spinCount="100000" sheet="1" objects="1" scenarios="1"/>
  <mergeCells count="4">
    <mergeCell ref="D124:I126"/>
    <mergeCell ref="A139:C139"/>
    <mergeCell ref="A140:C140"/>
    <mergeCell ref="A1:J1"/>
  </mergeCells>
  <conditionalFormatting sqref="B3:B105">
    <cfRule type="cellIs" dxfId="21" priority="5" stopIfTrue="1" operator="notEqual">
      <formula>$C3+$D3</formula>
    </cfRule>
  </conditionalFormatting>
  <conditionalFormatting sqref="E3:E107">
    <cfRule type="cellIs" dxfId="20" priority="2" stopIfTrue="1" operator="notEqual">
      <formula>$F3+$G3</formula>
    </cfRule>
  </conditionalFormatting>
  <conditionalFormatting sqref="H3:H107">
    <cfRule type="cellIs" dxfId="19"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05388-1B95-4C13-8CD9-603A742DE0FE}">
  <sheetPr>
    <pageSetUpPr fitToPage="1"/>
  </sheetPr>
  <dimension ref="A1:CP256"/>
  <sheetViews>
    <sheetView showGridLines="0" workbookViewId="0">
      <selection sqref="A1:BE1"/>
    </sheetView>
  </sheetViews>
  <sheetFormatPr defaultColWidth="2.7265625" defaultRowHeight="15.75" customHeight="1"/>
  <cols>
    <col min="1" max="8" width="2.7265625" style="1189"/>
    <col min="9" max="9" width="7.7265625" style="1189" customWidth="1"/>
    <col min="10" max="13" width="2.7265625" style="1189"/>
    <col min="14" max="14" width="4.7265625" style="1189" customWidth="1"/>
    <col min="15" max="19" width="2.7265625" style="1189"/>
    <col min="20" max="20" width="3.7265625" style="1189" customWidth="1"/>
    <col min="21" max="37" width="2.7265625" style="1189"/>
    <col min="38" max="38" width="3" style="1189" customWidth="1"/>
    <col min="39" max="45" width="2.7265625" style="1189"/>
    <col min="46" max="46" width="4.7265625" style="1189" customWidth="1"/>
    <col min="47" max="64" width="2.7265625" style="1189"/>
    <col min="65" max="65" width="10.453125" style="1189" hidden="1" customWidth="1"/>
    <col min="66" max="66" width="5.54296875" style="1189" bestFit="1" customWidth="1"/>
    <col min="67" max="68" width="5.54296875" style="1189" hidden="1" customWidth="1"/>
    <col min="69" max="69" width="8" style="1189" hidden="1" customWidth="1"/>
    <col min="70" max="70" width="6" style="1189" hidden="1" customWidth="1"/>
    <col min="71" max="71" width="6.1796875" style="1189" hidden="1" customWidth="1"/>
    <col min="72" max="76" width="5.54296875" style="1189" hidden="1" customWidth="1"/>
    <col min="77" max="77" width="6.1796875" style="1189" bestFit="1" customWidth="1"/>
    <col min="78" max="78" width="5.54296875" style="1189" bestFit="1" customWidth="1"/>
    <col min="79" max="16384" width="2.7265625" style="1189"/>
  </cols>
  <sheetData>
    <row r="1" spans="1:65" ht="15.75" customHeight="1">
      <c r="A1" s="1893" t="s">
        <v>2459</v>
      </c>
      <c r="B1" s="1894"/>
      <c r="C1" s="1894"/>
      <c r="D1" s="1894"/>
      <c r="E1" s="1894"/>
      <c r="F1" s="1894"/>
      <c r="G1" s="1894"/>
      <c r="H1" s="1894"/>
      <c r="I1" s="1894"/>
      <c r="J1" s="1894"/>
      <c r="K1" s="1894"/>
      <c r="L1" s="1894"/>
      <c r="M1" s="1894"/>
      <c r="N1" s="1894"/>
      <c r="O1" s="1894"/>
      <c r="P1" s="1894"/>
      <c r="Q1" s="1894"/>
      <c r="R1" s="1894"/>
      <c r="S1" s="1894"/>
      <c r="T1" s="1894"/>
      <c r="U1" s="1894"/>
      <c r="V1" s="1894"/>
      <c r="W1" s="1894"/>
      <c r="X1" s="1894"/>
      <c r="Y1" s="1894"/>
      <c r="Z1" s="1894"/>
      <c r="AA1" s="1894"/>
      <c r="AB1" s="1894"/>
      <c r="AC1" s="1894"/>
      <c r="AD1" s="1894"/>
      <c r="AE1" s="1894"/>
      <c r="AF1" s="1894"/>
      <c r="AG1" s="1894"/>
      <c r="AH1" s="1894"/>
      <c r="AI1" s="1894"/>
      <c r="AJ1" s="1894"/>
      <c r="AK1" s="1894"/>
      <c r="AL1" s="1894"/>
      <c r="AM1" s="1894"/>
      <c r="AN1" s="1894"/>
      <c r="AO1" s="1894"/>
      <c r="AP1" s="1894"/>
      <c r="AQ1" s="1894"/>
      <c r="AR1" s="1894"/>
      <c r="AS1" s="1894"/>
      <c r="AT1" s="1894"/>
      <c r="AU1" s="1894"/>
      <c r="AV1" s="1894"/>
      <c r="AW1" s="1894"/>
      <c r="AX1" s="1894"/>
      <c r="AY1" s="1894"/>
      <c r="AZ1" s="1894"/>
      <c r="BA1" s="1894"/>
      <c r="BB1" s="1894"/>
      <c r="BC1" s="1894"/>
      <c r="BD1" s="1894"/>
      <c r="BE1" s="1895"/>
    </row>
    <row r="2" spans="1:65" ht="15.75" customHeight="1">
      <c r="A2" s="1896" t="s">
        <v>2458</v>
      </c>
      <c r="B2" s="1897"/>
      <c r="C2" s="1897"/>
      <c r="D2" s="1897"/>
      <c r="E2" s="1897"/>
      <c r="F2" s="1897"/>
      <c r="G2" s="1897"/>
      <c r="H2" s="1897"/>
      <c r="I2" s="1897"/>
      <c r="J2" s="1897"/>
      <c r="K2" s="1897"/>
      <c r="L2" s="1897"/>
      <c r="M2" s="1897"/>
      <c r="N2" s="1897"/>
      <c r="O2" s="1897"/>
      <c r="P2" s="1897"/>
      <c r="Q2" s="1897"/>
      <c r="R2" s="1897"/>
      <c r="S2" s="1897"/>
      <c r="T2" s="1897"/>
      <c r="U2" s="1897"/>
      <c r="V2" s="1897"/>
      <c r="W2" s="1897"/>
      <c r="X2" s="1897"/>
      <c r="Y2" s="1897"/>
      <c r="Z2" s="1897"/>
      <c r="AA2" s="1897"/>
      <c r="AB2" s="1897"/>
      <c r="AC2" s="1897"/>
      <c r="AD2" s="1897"/>
      <c r="AE2" s="1897"/>
      <c r="AF2" s="1897"/>
      <c r="AG2" s="1897"/>
      <c r="AH2" s="1897"/>
      <c r="AI2" s="1897"/>
      <c r="AJ2" s="1897"/>
      <c r="AK2" s="1897"/>
      <c r="AL2" s="1897"/>
      <c r="AM2" s="1897"/>
      <c r="AN2" s="1897"/>
      <c r="AO2" s="1897"/>
      <c r="AP2" s="1897"/>
      <c r="AQ2" s="1897"/>
      <c r="AR2" s="1897"/>
      <c r="AS2" s="1897"/>
      <c r="AT2" s="1897"/>
      <c r="AU2" s="1897"/>
      <c r="AV2" s="1897"/>
      <c r="AW2" s="1897"/>
      <c r="AX2" s="1897"/>
      <c r="AY2" s="1897"/>
      <c r="AZ2" s="1897"/>
      <c r="BA2" s="1897"/>
      <c r="BB2" s="1897"/>
      <c r="BC2" s="1897"/>
      <c r="BD2" s="1897"/>
      <c r="BE2" s="1898"/>
      <c r="BF2" s="1190"/>
    </row>
    <row r="3" spans="1:65" ht="15.75" customHeight="1" thickBot="1">
      <c r="A3" s="1191"/>
      <c r="B3" s="1192"/>
      <c r="C3" s="1192"/>
      <c r="D3" s="1192"/>
      <c r="E3" s="1192"/>
      <c r="F3" s="1192"/>
      <c r="G3" s="1192"/>
      <c r="H3" s="1192"/>
      <c r="I3" s="1192"/>
      <c r="J3" s="1192"/>
      <c r="K3" s="1192"/>
      <c r="L3" s="1192"/>
      <c r="M3" s="1192"/>
      <c r="N3" s="1192"/>
      <c r="O3" s="1192"/>
      <c r="P3" s="1192"/>
      <c r="Q3" s="1192"/>
      <c r="R3" s="1192"/>
      <c r="S3" s="1192"/>
      <c r="T3" s="1192"/>
      <c r="U3" s="1192"/>
      <c r="V3" s="1192"/>
      <c r="W3" s="1192"/>
      <c r="X3" s="1192"/>
      <c r="Y3" s="1192"/>
      <c r="Z3" s="1192"/>
      <c r="AA3" s="1192"/>
      <c r="AB3" s="1192"/>
      <c r="AC3" s="1192"/>
      <c r="AD3" s="1192"/>
      <c r="AE3" s="1192"/>
      <c r="AF3" s="1192"/>
      <c r="AG3" s="1192"/>
      <c r="AH3" s="1192"/>
      <c r="AI3" s="1192"/>
      <c r="AJ3" s="1192"/>
      <c r="AK3" s="1192"/>
      <c r="AL3" s="1192"/>
      <c r="AM3" s="1192"/>
      <c r="AN3" s="1192"/>
      <c r="AO3" s="1192"/>
      <c r="AP3" s="1192"/>
      <c r="AQ3" s="1192"/>
      <c r="AR3" s="1192"/>
      <c r="AS3" s="1192"/>
      <c r="AT3" s="1192"/>
      <c r="AU3" s="1192"/>
      <c r="AV3" s="1192"/>
      <c r="AW3" s="1192"/>
      <c r="AX3" s="1192"/>
      <c r="AY3" s="1192"/>
      <c r="AZ3" s="1192"/>
      <c r="BA3" s="1192"/>
      <c r="BB3" s="1192"/>
      <c r="BC3" s="1192"/>
      <c r="BD3" s="1192"/>
      <c r="BE3" s="1193"/>
    </row>
    <row r="4" spans="1:65" ht="15.75" customHeight="1" thickBot="1">
      <c r="A4" s="1191"/>
      <c r="B4" s="1194" t="s">
        <v>655</v>
      </c>
      <c r="C4" s="1194"/>
      <c r="D4" s="1194"/>
      <c r="E4" s="1194"/>
      <c r="F4" s="1194"/>
      <c r="G4" s="1192"/>
      <c r="H4" s="1192"/>
      <c r="I4" s="1192"/>
      <c r="J4" s="1192"/>
      <c r="K4" s="1192"/>
      <c r="L4" s="1885" t="str">
        <f>IF(Application!H18="","",Application!H18)</f>
        <v>George McDonald Court</v>
      </c>
      <c r="M4" s="1886"/>
      <c r="N4" s="1886"/>
      <c r="O4" s="1886"/>
      <c r="P4" s="1886"/>
      <c r="Q4" s="1886"/>
      <c r="R4" s="1886"/>
      <c r="S4" s="1886"/>
      <c r="T4" s="1886"/>
      <c r="U4" s="1886"/>
      <c r="V4" s="1886"/>
      <c r="W4" s="1886"/>
      <c r="X4" s="1886"/>
      <c r="Y4" s="1886"/>
      <c r="Z4" s="1886"/>
      <c r="AA4" s="1886"/>
      <c r="AB4" s="1886"/>
      <c r="AC4" s="1887"/>
      <c r="AD4" s="1192"/>
      <c r="AE4" s="1192"/>
      <c r="AF4" s="1899" t="s">
        <v>2457</v>
      </c>
      <c r="AG4" s="1899"/>
      <c r="AH4" s="1899"/>
      <c r="AI4" s="1899"/>
      <c r="AJ4" s="1899"/>
      <c r="AK4" s="1899"/>
      <c r="AL4" s="1899"/>
      <c r="AM4" s="1899"/>
      <c r="AN4" s="1899"/>
      <c r="AO4" s="1899"/>
      <c r="AP4" s="1900"/>
      <c r="AQ4" s="1901"/>
      <c r="AR4" s="1901"/>
      <c r="AS4" s="1901"/>
      <c r="AT4" s="1901"/>
      <c r="AU4" s="1901"/>
      <c r="AV4" s="1192"/>
      <c r="AW4" s="1192"/>
      <c r="AX4" s="1192"/>
      <c r="AY4" s="1192"/>
      <c r="AZ4" s="1192"/>
      <c r="BA4" s="1192"/>
      <c r="BB4" s="1192"/>
      <c r="BC4" s="1192"/>
      <c r="BD4" s="1192"/>
      <c r="BE4" s="1193"/>
    </row>
    <row r="5" spans="1:65" ht="15.75" customHeight="1" thickBot="1">
      <c r="A5" s="1191"/>
      <c r="B5" s="1192"/>
      <c r="C5" s="1192"/>
      <c r="D5" s="1192"/>
      <c r="E5" s="1192"/>
      <c r="F5" s="1192"/>
      <c r="G5" s="1192"/>
      <c r="H5" s="1192"/>
      <c r="I5" s="1192"/>
      <c r="J5" s="1192"/>
      <c r="K5" s="1192"/>
      <c r="L5" s="1192"/>
      <c r="M5" s="1192"/>
      <c r="N5" s="1192"/>
      <c r="O5" s="1192"/>
      <c r="P5" s="1192"/>
      <c r="Q5" s="1192"/>
      <c r="R5" s="1192"/>
      <c r="S5" s="1192"/>
      <c r="T5" s="1192"/>
      <c r="U5" s="1192"/>
      <c r="V5" s="1192"/>
      <c r="W5" s="1192"/>
      <c r="X5" s="1192"/>
      <c r="Y5" s="1192"/>
      <c r="Z5" s="1192"/>
      <c r="AA5" s="1192"/>
      <c r="AB5" s="1192"/>
      <c r="AC5" s="1192"/>
      <c r="AD5" s="1192"/>
      <c r="AE5" s="1192"/>
      <c r="AF5" s="1899" t="s">
        <v>2456</v>
      </c>
      <c r="AG5" s="1899"/>
      <c r="AH5" s="1899"/>
      <c r="AI5" s="1899"/>
      <c r="AJ5" s="1899"/>
      <c r="AK5" s="1899"/>
      <c r="AL5" s="1899"/>
      <c r="AM5" s="1899"/>
      <c r="AN5" s="1899"/>
      <c r="AO5" s="1899"/>
      <c r="AP5" s="1900"/>
      <c r="AQ5" s="1901"/>
      <c r="AR5" s="1901"/>
      <c r="AS5" s="1901"/>
      <c r="AT5" s="1901"/>
      <c r="AU5" s="1901"/>
      <c r="AV5" s="1192"/>
      <c r="AW5" s="1192"/>
      <c r="AX5" s="1192"/>
      <c r="AY5" s="1192"/>
      <c r="AZ5" s="1192"/>
      <c r="BA5" s="1192"/>
      <c r="BB5" s="1192"/>
      <c r="BC5" s="1192"/>
      <c r="BD5" s="1192"/>
      <c r="BE5" s="1193"/>
    </row>
    <row r="6" spans="1:65" ht="15.75" customHeight="1" thickBot="1">
      <c r="A6" s="1191"/>
      <c r="B6" s="1194" t="s">
        <v>2455</v>
      </c>
      <c r="C6" s="1192"/>
      <c r="D6" s="1192"/>
      <c r="E6" s="1192"/>
      <c r="F6" s="1192"/>
      <c r="G6" s="1192"/>
      <c r="H6" s="1192"/>
      <c r="I6" s="1192"/>
      <c r="J6" s="1192"/>
      <c r="K6" s="1192"/>
      <c r="L6" s="1885" t="str">
        <f>IF(Application!H16="","",Application!H16)</f>
        <v>George McDonald Court LP</v>
      </c>
      <c r="M6" s="1886"/>
      <c r="N6" s="1886"/>
      <c r="O6" s="1886"/>
      <c r="P6" s="1886"/>
      <c r="Q6" s="1886"/>
      <c r="R6" s="1886"/>
      <c r="S6" s="1886"/>
      <c r="T6" s="1886"/>
      <c r="U6" s="1886"/>
      <c r="V6" s="1886"/>
      <c r="W6" s="1886"/>
      <c r="X6" s="1886"/>
      <c r="Y6" s="1886"/>
      <c r="Z6" s="1886"/>
      <c r="AA6" s="1886"/>
      <c r="AB6" s="1886"/>
      <c r="AC6" s="1887"/>
      <c r="AD6" s="1192"/>
      <c r="AE6" s="1192"/>
      <c r="AF6" s="1888" t="s">
        <v>2454</v>
      </c>
      <c r="AG6" s="1888"/>
      <c r="AH6" s="1888"/>
      <c r="AI6" s="1888"/>
      <c r="AJ6" s="1888"/>
      <c r="AK6" s="1888"/>
      <c r="AL6" s="1888"/>
      <c r="AM6" s="1888"/>
      <c r="AN6" s="1888"/>
      <c r="AO6" s="1888"/>
      <c r="AP6" s="1889"/>
      <c r="AQ6" s="1889"/>
      <c r="AR6" s="1889"/>
      <c r="AS6" s="1889"/>
      <c r="AT6" s="1889"/>
      <c r="AU6" s="1889"/>
      <c r="AV6" s="1192"/>
      <c r="AW6" s="1192"/>
      <c r="AX6" s="1192"/>
      <c r="AY6" s="1192"/>
      <c r="AZ6" s="1192"/>
      <c r="BA6" s="1192"/>
      <c r="BB6" s="1192"/>
      <c r="BC6" s="1192"/>
      <c r="BD6" s="1192"/>
      <c r="BE6" s="1193"/>
    </row>
    <row r="7" spans="1:65" ht="15" thickBot="1">
      <c r="A7" s="1191"/>
      <c r="B7" s="1192"/>
      <c r="C7" s="1192"/>
      <c r="D7" s="1192"/>
      <c r="E7" s="1192"/>
      <c r="F7" s="1192"/>
      <c r="G7" s="1192"/>
      <c r="H7" s="1192"/>
      <c r="I7" s="1192"/>
      <c r="J7" s="1192"/>
      <c r="K7" s="1192"/>
      <c r="L7" s="1192"/>
      <c r="M7" s="1192"/>
      <c r="N7" s="1192"/>
      <c r="O7" s="1192"/>
      <c r="P7" s="1192"/>
      <c r="Q7" s="1192"/>
      <c r="R7" s="1192"/>
      <c r="S7" s="1192"/>
      <c r="T7" s="1192"/>
      <c r="U7" s="1192"/>
      <c r="V7" s="1192"/>
      <c r="W7" s="1192"/>
      <c r="X7" s="1192"/>
      <c r="Y7" s="1192"/>
      <c r="Z7" s="1192"/>
      <c r="AA7" s="1192"/>
      <c r="AB7" s="1192"/>
      <c r="AC7" s="1192"/>
      <c r="AD7" s="1192"/>
      <c r="AE7" s="1192"/>
      <c r="AF7" s="1888" t="s">
        <v>2453</v>
      </c>
      <c r="AG7" s="1888"/>
      <c r="AH7" s="1888"/>
      <c r="AI7" s="1888"/>
      <c r="AJ7" s="1888"/>
      <c r="AK7" s="1888"/>
      <c r="AL7" s="1888"/>
      <c r="AM7" s="1888"/>
      <c r="AN7" s="1888"/>
      <c r="AO7" s="1888"/>
      <c r="AP7" s="1889"/>
      <c r="AQ7" s="1889"/>
      <c r="AR7" s="1889"/>
      <c r="AS7" s="1889"/>
      <c r="AT7" s="1889"/>
      <c r="AU7" s="1889"/>
      <c r="AV7" s="1192"/>
      <c r="AW7" s="1192"/>
      <c r="AX7" s="1192"/>
      <c r="AY7" s="1192"/>
      <c r="AZ7" s="1192"/>
      <c r="BA7" s="1192"/>
      <c r="BB7" s="1192"/>
      <c r="BC7" s="1192"/>
      <c r="BD7" s="1192"/>
      <c r="BE7" s="1193"/>
    </row>
    <row r="8" spans="1:65" ht="15" thickBot="1">
      <c r="A8" s="1191"/>
      <c r="B8" s="1194" t="s">
        <v>2452</v>
      </c>
      <c r="C8" s="1192"/>
      <c r="D8" s="1192"/>
      <c r="E8" s="1192"/>
      <c r="F8" s="1192"/>
      <c r="G8" s="1192"/>
      <c r="H8" s="1192"/>
      <c r="I8" s="1192"/>
      <c r="J8" s="1192"/>
      <c r="K8" s="1192"/>
      <c r="L8" s="1192"/>
      <c r="M8" s="1192"/>
      <c r="N8" s="1192"/>
      <c r="O8" s="1192"/>
      <c r="P8" s="1192"/>
      <c r="Q8" s="1192"/>
      <c r="R8" s="1192"/>
      <c r="S8" s="1192"/>
      <c r="T8" s="1192"/>
      <c r="U8" s="1192"/>
      <c r="V8" s="1192"/>
      <c r="W8" s="1192"/>
      <c r="X8" s="1192"/>
      <c r="Y8" s="1192"/>
      <c r="Z8" s="1192"/>
      <c r="AA8" s="1192"/>
      <c r="AB8" s="1890" t="str">
        <f>Application!T197</f>
        <v>No</v>
      </c>
      <c r="AC8" s="1891"/>
      <c r="AD8" s="1892"/>
      <c r="AE8" s="1192"/>
      <c r="AF8" s="1888" t="s">
        <v>2451</v>
      </c>
      <c r="AG8" s="1888"/>
      <c r="AH8" s="1888"/>
      <c r="AI8" s="1888"/>
      <c r="AJ8" s="1888"/>
      <c r="AK8" s="1888"/>
      <c r="AL8" s="1888"/>
      <c r="AM8" s="1888"/>
      <c r="AN8" s="1888"/>
      <c r="AO8" s="1888"/>
      <c r="AP8" s="1889" t="s">
        <v>2099</v>
      </c>
      <c r="AQ8" s="1889"/>
      <c r="AR8" s="1889"/>
      <c r="AS8" s="1889"/>
      <c r="AT8" s="1889"/>
      <c r="AU8" s="1889"/>
      <c r="AV8" s="1192"/>
      <c r="AW8" s="1192"/>
      <c r="AX8" s="1192"/>
      <c r="AY8" s="1192"/>
      <c r="AZ8" s="1192"/>
      <c r="BA8" s="1192"/>
      <c r="BB8" s="1192"/>
      <c r="BC8" s="1192"/>
      <c r="BD8" s="1192"/>
      <c r="BE8" s="1193"/>
      <c r="BM8" s="1189" t="s">
        <v>1983</v>
      </c>
    </row>
    <row r="9" spans="1:65" ht="14.5">
      <c r="A9" s="1192"/>
      <c r="B9" s="1192"/>
      <c r="C9" s="1192"/>
      <c r="D9" s="1192"/>
      <c r="E9" s="1192"/>
      <c r="F9" s="1192"/>
      <c r="G9" s="1192"/>
      <c r="H9" s="1192"/>
      <c r="I9" s="1192"/>
      <c r="J9" s="1192"/>
      <c r="K9" s="1192"/>
      <c r="L9" s="1192"/>
      <c r="M9" s="1192"/>
      <c r="N9" s="1192"/>
      <c r="O9" s="1192"/>
      <c r="P9" s="1192"/>
      <c r="Q9" s="1192"/>
      <c r="R9" s="1192"/>
      <c r="S9" s="1192"/>
      <c r="T9" s="1192"/>
      <c r="U9" s="1192"/>
      <c r="V9" s="1192"/>
      <c r="W9" s="1192"/>
      <c r="X9" s="1192"/>
      <c r="Y9" s="1192"/>
      <c r="Z9" s="1192"/>
      <c r="AA9" s="1192"/>
      <c r="AB9" s="1192"/>
      <c r="AC9" s="1192"/>
      <c r="AD9" s="1192"/>
      <c r="AE9" s="1192"/>
      <c r="AF9" s="1899" t="s">
        <v>2450</v>
      </c>
      <c r="AG9" s="1899"/>
      <c r="AH9" s="1899"/>
      <c r="AI9" s="1899"/>
      <c r="AJ9" s="1899"/>
      <c r="AK9" s="1899"/>
      <c r="AL9" s="1899"/>
      <c r="AM9" s="1899"/>
      <c r="AN9" s="1899"/>
      <c r="AO9" s="1899"/>
      <c r="AP9" s="1900"/>
      <c r="AQ9" s="1901"/>
      <c r="AR9" s="1901"/>
      <c r="AS9" s="1901"/>
      <c r="AT9" s="1901"/>
      <c r="AU9" s="1901"/>
      <c r="AV9" s="1192"/>
      <c r="AW9" s="1192"/>
      <c r="AX9" s="1192"/>
      <c r="AY9" s="1192"/>
      <c r="AZ9" s="1192"/>
      <c r="BA9" s="1192"/>
      <c r="BB9" s="1192"/>
      <c r="BC9" s="1192"/>
      <c r="BD9" s="1192"/>
      <c r="BE9" s="1193"/>
      <c r="BM9" s="1189" t="s">
        <v>2449</v>
      </c>
    </row>
    <row r="10" spans="1:65" ht="14.5">
      <c r="A10" s="1191"/>
      <c r="B10" s="1194" t="s">
        <v>2448</v>
      </c>
      <c r="C10" s="1194"/>
      <c r="D10" s="1194"/>
      <c r="E10" s="1194"/>
      <c r="F10" s="1194"/>
      <c r="G10" s="1194"/>
      <c r="H10" s="1194"/>
      <c r="I10" s="1194"/>
      <c r="J10" s="1194"/>
      <c r="K10" s="1194"/>
      <c r="L10" s="1194"/>
      <c r="M10" s="1192"/>
      <c r="N10" s="1914">
        <f>Application!AO627</f>
        <v>6900000</v>
      </c>
      <c r="O10" s="1914"/>
      <c r="P10" s="1914"/>
      <c r="Q10" s="1914"/>
      <c r="R10" s="1914"/>
      <c r="S10" s="1914"/>
      <c r="T10" s="1914"/>
      <c r="U10" s="1192"/>
      <c r="V10" s="1192"/>
      <c r="W10" s="1192"/>
      <c r="X10" s="1195"/>
      <c r="Y10" s="1195"/>
      <c r="Z10" s="1195"/>
      <c r="AA10" s="1195"/>
      <c r="AB10" s="1195"/>
      <c r="AC10" s="1195"/>
      <c r="AD10" s="1195"/>
      <c r="AE10" s="1195"/>
      <c r="AF10" s="1899" t="s">
        <v>2447</v>
      </c>
      <c r="AG10" s="1899"/>
      <c r="AH10" s="1899"/>
      <c r="AI10" s="1899"/>
      <c r="AJ10" s="1899"/>
      <c r="AK10" s="1899"/>
      <c r="AL10" s="1899"/>
      <c r="AM10" s="1899"/>
      <c r="AN10" s="1899"/>
      <c r="AO10" s="1899"/>
      <c r="AP10" s="1900"/>
      <c r="AQ10" s="1901"/>
      <c r="AR10" s="1901"/>
      <c r="AS10" s="1901"/>
      <c r="AT10" s="1901"/>
      <c r="AU10" s="1901"/>
      <c r="AV10" s="1195"/>
      <c r="AW10" s="1195"/>
      <c r="AX10" s="1192"/>
      <c r="AY10" s="1192"/>
      <c r="AZ10" s="1192"/>
      <c r="BA10" s="1192"/>
      <c r="BB10" s="1192"/>
      <c r="BC10" s="1192"/>
      <c r="BD10" s="1192"/>
      <c r="BE10" s="1193"/>
      <c r="BM10" s="1189" t="s">
        <v>2446</v>
      </c>
    </row>
    <row r="11" spans="1:65" ht="14.5">
      <c r="A11" s="1191"/>
      <c r="B11" s="1194" t="s">
        <v>2445</v>
      </c>
      <c r="C11" s="1194"/>
      <c r="D11" s="1194"/>
      <c r="E11" s="1194"/>
      <c r="F11" s="1194"/>
      <c r="G11" s="1194"/>
      <c r="H11" s="1194"/>
      <c r="I11" s="1194"/>
      <c r="J11" s="1194"/>
      <c r="K11" s="1194"/>
      <c r="L11" s="1194"/>
      <c r="M11" s="1192"/>
      <c r="N11" s="1914">
        <f>Application!AA933</f>
        <v>0</v>
      </c>
      <c r="O11" s="1914"/>
      <c r="P11" s="1914"/>
      <c r="Q11" s="1914"/>
      <c r="R11" s="1914"/>
      <c r="S11" s="1914"/>
      <c r="T11" s="1914"/>
      <c r="U11" s="1192"/>
      <c r="V11" s="1192"/>
      <c r="W11" s="1192"/>
      <c r="X11" s="1195"/>
      <c r="Y11" s="1195"/>
      <c r="Z11" s="1195"/>
      <c r="AA11" s="1195"/>
      <c r="AB11" s="1195"/>
      <c r="AC11" s="1195"/>
      <c r="AD11" s="1195"/>
      <c r="AE11" s="1195"/>
      <c r="AF11" s="1899" t="s">
        <v>2444</v>
      </c>
      <c r="AG11" s="1899"/>
      <c r="AH11" s="1899"/>
      <c r="AI11" s="1899"/>
      <c r="AJ11" s="1899"/>
      <c r="AK11" s="1899"/>
      <c r="AL11" s="1899"/>
      <c r="AM11" s="1899"/>
      <c r="AN11" s="1899"/>
      <c r="AO11" s="1899"/>
      <c r="AP11" s="1900"/>
      <c r="AQ11" s="1901"/>
      <c r="AR11" s="1901"/>
      <c r="AS11" s="1901"/>
      <c r="AT11" s="1901"/>
      <c r="AU11" s="1901"/>
      <c r="AV11" s="1195"/>
      <c r="AW11" s="1195"/>
      <c r="AX11" s="1192"/>
      <c r="AY11" s="1192"/>
      <c r="AZ11" s="1192"/>
      <c r="BA11" s="1192"/>
      <c r="BB11" s="1192"/>
      <c r="BC11" s="1192"/>
      <c r="BD11" s="1192"/>
      <c r="BE11" s="1193"/>
      <c r="BM11" s="1189" t="s">
        <v>2099</v>
      </c>
    </row>
    <row r="12" spans="1:65" ht="15" thickBot="1">
      <c r="A12" s="1192"/>
      <c r="B12" s="1192"/>
      <c r="C12" s="1192"/>
      <c r="D12" s="1192"/>
      <c r="E12" s="1192"/>
      <c r="F12" s="1192"/>
      <c r="G12" s="1192"/>
      <c r="H12" s="1192"/>
      <c r="I12" s="1192"/>
      <c r="J12" s="1192"/>
      <c r="K12" s="1192"/>
      <c r="L12" s="1192"/>
      <c r="M12" s="1192"/>
      <c r="N12" s="1192"/>
      <c r="O12" s="1192"/>
      <c r="P12" s="1192"/>
      <c r="Q12" s="1192"/>
      <c r="R12" s="1192"/>
      <c r="S12" s="1192"/>
      <c r="T12" s="1192"/>
      <c r="U12" s="1192"/>
      <c r="V12" s="1192"/>
      <c r="W12" s="1192"/>
      <c r="X12" s="1195"/>
      <c r="Y12" s="1195"/>
      <c r="Z12" s="1195"/>
      <c r="AA12" s="1195"/>
      <c r="AB12" s="1195"/>
      <c r="AC12" s="1195"/>
      <c r="AD12" s="1195"/>
      <c r="AE12" s="1195"/>
      <c r="AF12" s="1195"/>
      <c r="AG12" s="1195"/>
      <c r="AH12" s="1195"/>
      <c r="AI12" s="1195"/>
      <c r="AJ12" s="1195"/>
      <c r="AK12" s="1195"/>
      <c r="AL12" s="1195"/>
      <c r="AM12" s="1195"/>
      <c r="AN12" s="1195"/>
      <c r="AO12" s="1195"/>
      <c r="AP12" s="1195"/>
      <c r="AQ12" s="1195"/>
      <c r="AR12" s="1195"/>
      <c r="AS12" s="1195"/>
      <c r="AT12" s="1195"/>
      <c r="AU12" s="1195"/>
      <c r="AV12" s="1192"/>
      <c r="AW12" s="1192"/>
      <c r="AX12" s="1192"/>
      <c r="AY12" s="1192"/>
      <c r="AZ12" s="1192"/>
      <c r="BA12" s="1192"/>
      <c r="BB12" s="1192"/>
      <c r="BC12" s="1192"/>
      <c r="BD12" s="1192"/>
      <c r="BE12" s="1196"/>
      <c r="BM12" s="1189" t="s">
        <v>2443</v>
      </c>
    </row>
    <row r="13" spans="1:65" ht="15" thickBot="1">
      <c r="A13" s="1192"/>
      <c r="B13" s="1902" t="s">
        <v>2442</v>
      </c>
      <c r="C13" s="1903"/>
      <c r="D13" s="1903"/>
      <c r="E13" s="1903"/>
      <c r="F13" s="1903"/>
      <c r="G13" s="1903"/>
      <c r="H13" s="1903"/>
      <c r="I13" s="1903"/>
      <c r="J13" s="1903"/>
      <c r="K13" s="1903"/>
      <c r="L13" s="1903"/>
      <c r="M13" s="1903"/>
      <c r="N13" s="1903"/>
      <c r="O13" s="1903"/>
      <c r="P13" s="1904"/>
      <c r="Q13" s="1905" t="s">
        <v>668</v>
      </c>
      <c r="R13" s="1906"/>
      <c r="S13" s="1906"/>
      <c r="T13" s="1907"/>
      <c r="U13" s="1195"/>
      <c r="V13" s="1192"/>
      <c r="W13" s="1192"/>
      <c r="X13" s="1192"/>
      <c r="Y13" s="1192"/>
      <c r="Z13" s="1192"/>
      <c r="AA13" s="1908" t="s">
        <v>2441</v>
      </c>
      <c r="AB13" s="1908"/>
      <c r="AC13" s="1908"/>
      <c r="AD13" s="1908"/>
      <c r="AE13" s="1908"/>
      <c r="AF13" s="1908"/>
      <c r="AG13" s="1908"/>
      <c r="AH13" s="1908"/>
      <c r="AI13" s="1908"/>
      <c r="AJ13" s="1908"/>
      <c r="AK13" s="1908"/>
      <c r="AL13" s="1908"/>
      <c r="AM13" s="1908"/>
      <c r="AN13" s="1908"/>
      <c r="AO13" s="1909">
        <f>Application!W473</f>
        <v>10</v>
      </c>
      <c r="AP13" s="1910"/>
      <c r="AQ13" s="1910"/>
      <c r="AR13" s="1910"/>
      <c r="AS13" s="1910"/>
      <c r="AT13" s="1195"/>
      <c r="AU13" s="1195"/>
      <c r="AV13" s="1195"/>
      <c r="AW13" s="1195"/>
      <c r="AX13" s="1195"/>
      <c r="AY13" s="1195"/>
      <c r="AZ13" s="1195"/>
      <c r="BA13" s="1195"/>
      <c r="BB13" s="1195"/>
      <c r="BC13" s="1195"/>
      <c r="BD13" s="1195"/>
      <c r="BE13" s="1196"/>
      <c r="BM13" s="1189" t="s">
        <v>2440</v>
      </c>
    </row>
    <row r="14" spans="1:65" ht="15" thickBot="1">
      <c r="A14" s="1192"/>
      <c r="B14" s="1192"/>
      <c r="C14" s="1192"/>
      <c r="D14" s="1192"/>
      <c r="E14" s="1192"/>
      <c r="F14" s="1192"/>
      <c r="G14" s="1192"/>
      <c r="H14" s="1192"/>
      <c r="I14" s="1192"/>
      <c r="J14" s="1192"/>
      <c r="K14" s="1192"/>
      <c r="L14" s="1192"/>
      <c r="M14" s="1192"/>
      <c r="N14" s="1192"/>
      <c r="O14" s="1192"/>
      <c r="P14" s="1192"/>
      <c r="Q14" s="1192"/>
      <c r="R14" s="1192"/>
      <c r="S14" s="1192"/>
      <c r="T14" s="1192"/>
      <c r="U14" s="1192"/>
      <c r="V14" s="1192"/>
      <c r="W14" s="1192"/>
      <c r="X14" s="1192"/>
      <c r="Y14" s="1192"/>
      <c r="Z14" s="1192"/>
      <c r="AA14" s="1911" t="s">
        <v>2439</v>
      </c>
      <c r="AB14" s="1911"/>
      <c r="AC14" s="1911"/>
      <c r="AD14" s="1911"/>
      <c r="AE14" s="1911"/>
      <c r="AF14" s="1911"/>
      <c r="AG14" s="1911"/>
      <c r="AH14" s="1911"/>
      <c r="AI14" s="1911"/>
      <c r="AJ14" s="1911"/>
      <c r="AK14" s="1911"/>
      <c r="AL14" s="1911"/>
      <c r="AM14" s="1911"/>
      <c r="AN14" s="1911"/>
      <c r="AO14" s="1912"/>
      <c r="AP14" s="1913"/>
      <c r="AQ14" s="1913"/>
      <c r="AR14" s="1913"/>
      <c r="AS14" s="1913"/>
      <c r="AT14" s="1195"/>
      <c r="AU14" s="1195"/>
      <c r="AV14" s="1195"/>
      <c r="AW14" s="1195"/>
      <c r="AX14" s="1195"/>
      <c r="AY14" s="1195"/>
      <c r="AZ14" s="1195"/>
      <c r="BA14" s="1195"/>
      <c r="BB14" s="1195"/>
      <c r="BC14" s="1195"/>
      <c r="BD14" s="1195"/>
      <c r="BE14" s="1196"/>
    </row>
    <row r="15" spans="1:65" ht="15" thickBot="1">
      <c r="A15" s="1192"/>
      <c r="B15" s="1915" t="s">
        <v>2438</v>
      </c>
      <c r="C15" s="1916"/>
      <c r="D15" s="1916"/>
      <c r="E15" s="1916"/>
      <c r="F15" s="1916"/>
      <c r="G15" s="1916"/>
      <c r="H15" s="1916"/>
      <c r="I15" s="1916"/>
      <c r="J15" s="1916"/>
      <c r="K15" s="1916"/>
      <c r="L15" s="1916"/>
      <c r="M15" s="1916"/>
      <c r="N15" s="1916"/>
      <c r="O15" s="1916"/>
      <c r="P15" s="1916"/>
      <c r="Q15" s="1916"/>
      <c r="R15" s="1917"/>
      <c r="S15" s="1918" t="str">
        <f>IF(Application!AB214="","",Application!AB214)</f>
        <v/>
      </c>
      <c r="T15" s="1918"/>
      <c r="U15" s="1918"/>
      <c r="V15" s="1918"/>
      <c r="W15" s="1919"/>
      <c r="X15" s="1195"/>
      <c r="Y15" s="1192"/>
      <c r="Z15" s="1192"/>
      <c r="AA15" s="1908" t="s">
        <v>2437</v>
      </c>
      <c r="AB15" s="1908"/>
      <c r="AC15" s="1908"/>
      <c r="AD15" s="1908"/>
      <c r="AE15" s="1908"/>
      <c r="AF15" s="1908"/>
      <c r="AG15" s="1908"/>
      <c r="AH15" s="1908"/>
      <c r="AI15" s="1908"/>
      <c r="AJ15" s="1908"/>
      <c r="AK15" s="1908"/>
      <c r="AL15" s="1908"/>
      <c r="AM15" s="1908"/>
      <c r="AN15" s="1908"/>
      <c r="AO15" s="1912"/>
      <c r="AP15" s="1913"/>
      <c r="AQ15" s="1913"/>
      <c r="AR15" s="1913"/>
      <c r="AS15" s="1913"/>
      <c r="AT15" s="1195"/>
      <c r="AU15" s="1195"/>
      <c r="AV15" s="1195"/>
      <c r="AW15" s="1195"/>
      <c r="AX15" s="1195"/>
      <c r="AY15" s="1195"/>
      <c r="AZ15" s="1195"/>
      <c r="BA15" s="1195"/>
      <c r="BB15" s="1195"/>
      <c r="BC15" s="1195"/>
      <c r="BD15" s="1195"/>
      <c r="BE15" s="1196"/>
    </row>
    <row r="16" spans="1:65" ht="15" thickBot="1">
      <c r="A16" s="1191"/>
      <c r="B16" s="1192"/>
      <c r="C16" s="1192"/>
      <c r="D16" s="1192"/>
      <c r="E16" s="1192"/>
      <c r="F16" s="1192"/>
      <c r="G16" s="1192"/>
      <c r="H16" s="1192"/>
      <c r="I16" s="1192"/>
      <c r="J16" s="1192"/>
      <c r="K16" s="1192"/>
      <c r="L16" s="1192"/>
      <c r="M16" s="1192"/>
      <c r="N16" s="1192"/>
      <c r="O16" s="1192"/>
      <c r="P16" s="1192"/>
      <c r="Q16" s="1192"/>
      <c r="R16" s="1192"/>
      <c r="S16" s="1192"/>
      <c r="T16" s="1192"/>
      <c r="U16" s="1192"/>
      <c r="V16" s="1192"/>
      <c r="W16" s="1192"/>
      <c r="X16" s="1192"/>
      <c r="Y16" s="1192"/>
      <c r="Z16" s="1192"/>
      <c r="AA16" s="1192"/>
      <c r="AB16" s="1192"/>
      <c r="AC16" s="1192"/>
      <c r="AD16" s="1192"/>
      <c r="AE16" s="1192"/>
      <c r="AF16" s="1192"/>
      <c r="AG16" s="1192"/>
      <c r="AH16" s="1192"/>
      <c r="AI16" s="1192"/>
      <c r="AJ16" s="1192"/>
      <c r="AK16" s="1192"/>
      <c r="AL16" s="1192"/>
      <c r="AM16" s="1192"/>
      <c r="AN16" s="1192"/>
      <c r="AO16" s="1192"/>
      <c r="AP16" s="1192"/>
      <c r="AQ16" s="1192"/>
      <c r="AR16" s="1192"/>
      <c r="AS16" s="1192"/>
      <c r="AT16" s="1192"/>
      <c r="AU16" s="1192"/>
      <c r="AV16" s="1192"/>
      <c r="AW16" s="1192"/>
      <c r="AX16" s="1192"/>
      <c r="AY16" s="1192"/>
      <c r="AZ16" s="1192"/>
      <c r="BA16" s="1192"/>
      <c r="BB16" s="1192"/>
      <c r="BC16" s="1192"/>
      <c r="BD16" s="1192"/>
      <c r="BE16" s="1196"/>
    </row>
    <row r="17" spans="1:58" ht="14.5">
      <c r="A17" s="1192"/>
      <c r="B17" s="1920" t="s">
        <v>2436</v>
      </c>
      <c r="C17" s="1921"/>
      <c r="D17" s="1921"/>
      <c r="E17" s="1921"/>
      <c r="F17" s="1921"/>
      <c r="G17" s="1921"/>
      <c r="H17" s="1921"/>
      <c r="I17" s="1921"/>
      <c r="J17" s="1921"/>
      <c r="K17" s="1921"/>
      <c r="L17" s="1921"/>
      <c r="M17" s="1921"/>
      <c r="N17" s="1921"/>
      <c r="O17" s="1921"/>
      <c r="P17" s="1921"/>
      <c r="Q17" s="1921"/>
      <c r="R17" s="1921"/>
      <c r="S17" s="1921"/>
      <c r="T17" s="1921"/>
      <c r="U17" s="1921"/>
      <c r="V17" s="1921"/>
      <c r="W17" s="1921"/>
      <c r="X17" s="1921"/>
      <c r="Y17" s="1921"/>
      <c r="Z17" s="1921"/>
      <c r="AA17" s="1921"/>
      <c r="AB17" s="1921"/>
      <c r="AC17" s="1921"/>
      <c r="AD17" s="1921"/>
      <c r="AE17" s="1921"/>
      <c r="AF17" s="1921"/>
      <c r="AG17" s="1921"/>
      <c r="AH17" s="1921"/>
      <c r="AI17" s="1921"/>
      <c r="AJ17" s="1921"/>
      <c r="AK17" s="1921"/>
      <c r="AL17" s="1921"/>
      <c r="AM17" s="1921"/>
      <c r="AN17" s="1921"/>
      <c r="AO17" s="1921"/>
      <c r="AP17" s="1921"/>
      <c r="AQ17" s="1921"/>
      <c r="AR17" s="1921"/>
      <c r="AS17" s="1921"/>
      <c r="AT17" s="1921"/>
      <c r="AU17" s="1921"/>
      <c r="AV17" s="1921"/>
      <c r="AW17" s="1921"/>
      <c r="AX17" s="1921"/>
      <c r="AY17" s="1922"/>
      <c r="AZ17" s="1192"/>
      <c r="BA17" s="1192"/>
      <c r="BB17" s="1192"/>
      <c r="BC17" s="1192"/>
      <c r="BD17" s="1192"/>
      <c r="BE17" s="1196"/>
      <c r="BF17" s="1190"/>
    </row>
    <row r="18" spans="1:58" ht="15.75" customHeight="1">
      <c r="A18" s="1192"/>
      <c r="B18" s="1923" t="s">
        <v>2435</v>
      </c>
      <c r="C18" s="1924"/>
      <c r="D18" s="1924"/>
      <c r="E18" s="1924"/>
      <c r="F18" s="1924"/>
      <c r="G18" s="1924"/>
      <c r="H18" s="1924"/>
      <c r="I18" s="1925"/>
      <c r="J18" s="1926" t="s">
        <v>1585</v>
      </c>
      <c r="K18" s="1927"/>
      <c r="L18" s="1927"/>
      <c r="M18" s="1927"/>
      <c r="N18" s="1927"/>
      <c r="O18" s="1928"/>
      <c r="P18" s="1926" t="s">
        <v>323</v>
      </c>
      <c r="Q18" s="1927"/>
      <c r="R18" s="1927"/>
      <c r="S18" s="1927"/>
      <c r="T18" s="1927"/>
      <c r="U18" s="1928"/>
      <c r="V18" s="1926" t="s">
        <v>324</v>
      </c>
      <c r="W18" s="1927"/>
      <c r="X18" s="1927"/>
      <c r="Y18" s="1927"/>
      <c r="Z18" s="1927"/>
      <c r="AA18" s="1928"/>
      <c r="AB18" s="1926" t="s">
        <v>163</v>
      </c>
      <c r="AC18" s="1927"/>
      <c r="AD18" s="1927"/>
      <c r="AE18" s="1927"/>
      <c r="AF18" s="1927"/>
      <c r="AG18" s="1928"/>
      <c r="AH18" s="1926" t="s">
        <v>164</v>
      </c>
      <c r="AI18" s="1927"/>
      <c r="AJ18" s="1927"/>
      <c r="AK18" s="1927"/>
      <c r="AL18" s="1927"/>
      <c r="AM18" s="1928"/>
      <c r="AN18" s="1926" t="s">
        <v>165</v>
      </c>
      <c r="AO18" s="1927"/>
      <c r="AP18" s="1927"/>
      <c r="AQ18" s="1927"/>
      <c r="AR18" s="1927"/>
      <c r="AS18" s="1928"/>
      <c r="AT18" s="1926" t="s">
        <v>2434</v>
      </c>
      <c r="AU18" s="1927"/>
      <c r="AV18" s="1927"/>
      <c r="AW18" s="1927"/>
      <c r="AX18" s="1927"/>
      <c r="AY18" s="1929"/>
      <c r="AZ18" s="1192"/>
      <c r="BA18" s="1192"/>
      <c r="BB18" s="1192"/>
      <c r="BC18" s="1192"/>
      <c r="BD18" s="1192"/>
      <c r="BE18" s="1196"/>
    </row>
    <row r="19" spans="1:58" ht="14.5">
      <c r="A19" s="1192"/>
      <c r="B19" s="1930">
        <v>0.3</v>
      </c>
      <c r="C19" s="1931"/>
      <c r="D19" s="1931"/>
      <c r="E19" s="1931"/>
      <c r="F19" s="1931"/>
      <c r="G19" s="1931"/>
      <c r="H19" s="1931"/>
      <c r="I19" s="1932"/>
      <c r="J19" s="1933">
        <f t="shared" ref="J19:J24" si="0">SUM(P19:AS19)</f>
        <v>30</v>
      </c>
      <c r="K19" s="1934"/>
      <c r="L19" s="1934"/>
      <c r="M19" s="1934"/>
      <c r="N19" s="1934"/>
      <c r="O19" s="1935"/>
      <c r="P19" s="1933" cm="1">
        <f t="array" ref="P19">SUMPRODUCT((Application!$B$718:$B$752 = 'CalHFA Addendum'!P$18)*(Application!$AC$718:$AC$752 = 'CalHFA Addendum'!$B19),Application!$G$718:$G$752)</f>
        <v>0</v>
      </c>
      <c r="Q19" s="1934"/>
      <c r="R19" s="1934"/>
      <c r="S19" s="1934"/>
      <c r="T19" s="1934"/>
      <c r="U19" s="1935"/>
      <c r="V19" s="1933" cm="1">
        <f t="array" ref="V19">SUMPRODUCT((Application!$B$714:$B$738 = 'CalHFA Addendum'!V$18)*(Application!$AC$714:$AC$738 = 'CalHFA Addendum'!$B19),Application!$G$714:$G$738)</f>
        <v>30</v>
      </c>
      <c r="W19" s="1934"/>
      <c r="X19" s="1934"/>
      <c r="Y19" s="1934"/>
      <c r="Z19" s="1934"/>
      <c r="AA19" s="1935"/>
      <c r="AB19" s="1933" cm="1">
        <f t="array" ref="AB19">SUMPRODUCT((Application!$B$714:$B$738 = 'CalHFA Addendum'!AB$18)*(Application!$AC$714:$AC$738 = 'CalHFA Addendum'!$B19),Application!$G$714:$G$738)</f>
        <v>0</v>
      </c>
      <c r="AC19" s="1934"/>
      <c r="AD19" s="1934"/>
      <c r="AE19" s="1934"/>
      <c r="AF19" s="1934"/>
      <c r="AG19" s="1935"/>
      <c r="AH19" s="1933" cm="1">
        <f t="array" ref="AH19">SUMPRODUCT((Application!$B$714:$B$738 = 'CalHFA Addendum'!AH$18)*(Application!$AC$714:$AC$738 = 'CalHFA Addendum'!$B19),Application!$G$714:$G$738)</f>
        <v>0</v>
      </c>
      <c r="AI19" s="1934"/>
      <c r="AJ19" s="1934"/>
      <c r="AK19" s="1934"/>
      <c r="AL19" s="1934"/>
      <c r="AM19" s="1935"/>
      <c r="AN19" s="1933" cm="1">
        <f t="array" ref="AN19">SUMPRODUCT((Application!$B$714:$B$738 = 'CalHFA Addendum'!AN$18)*(Application!$AC$714:$AC$738 = 'CalHFA Addendum'!$B19),Application!$G$714:$G$738)</f>
        <v>0</v>
      </c>
      <c r="AO19" s="1934"/>
      <c r="AP19" s="1934"/>
      <c r="AQ19" s="1934"/>
      <c r="AR19" s="1934"/>
      <c r="AS19" s="1935"/>
      <c r="AT19" s="1936">
        <f t="shared" ref="AT19:AT29" si="1">J19/$J$29</f>
        <v>0.49180327868852458</v>
      </c>
      <c r="AU19" s="1937"/>
      <c r="AV19" s="1937"/>
      <c r="AW19" s="1937"/>
      <c r="AX19" s="1937"/>
      <c r="AY19" s="1938"/>
      <c r="AZ19" s="1197"/>
      <c r="BA19" s="1192"/>
      <c r="BB19" s="1192"/>
      <c r="BC19" s="1192"/>
      <c r="BD19" s="1192"/>
      <c r="BE19" s="1196"/>
    </row>
    <row r="20" spans="1:58" ht="15" customHeight="1">
      <c r="A20" s="1192"/>
      <c r="B20" s="1930">
        <v>0.4</v>
      </c>
      <c r="C20" s="1931"/>
      <c r="D20" s="1931"/>
      <c r="E20" s="1931"/>
      <c r="F20" s="1931"/>
      <c r="G20" s="1931"/>
      <c r="H20" s="1931"/>
      <c r="I20" s="1932"/>
      <c r="J20" s="1933">
        <f t="shared" si="0"/>
        <v>0</v>
      </c>
      <c r="K20" s="1934"/>
      <c r="L20" s="1934"/>
      <c r="M20" s="1934"/>
      <c r="N20" s="1934"/>
      <c r="O20" s="1935"/>
      <c r="P20" s="1933" cm="1">
        <f t="array" ref="P20">SUMPRODUCT((Application!$B$718:$B$752 = 'CalHFA Addendum'!P$18)*(Application!$AC$718:$AC$752 = 'CalHFA Addendum'!$B20),Application!$G$718:$G$752)</f>
        <v>0</v>
      </c>
      <c r="Q20" s="1934"/>
      <c r="R20" s="1934"/>
      <c r="S20" s="1934"/>
      <c r="T20" s="1934"/>
      <c r="U20" s="1935"/>
      <c r="V20" s="1933" cm="1">
        <f t="array" ref="V20">SUMPRODUCT((Application!$B$714:$B$738 = 'CalHFA Addendum'!V$18)*(Application!$AC$714:$AC$738 = 'CalHFA Addendum'!$B20),Application!$G$714:$G$738)</f>
        <v>0</v>
      </c>
      <c r="W20" s="1934"/>
      <c r="X20" s="1934"/>
      <c r="Y20" s="1934"/>
      <c r="Z20" s="1934"/>
      <c r="AA20" s="1935"/>
      <c r="AB20" s="1933" cm="1">
        <f t="array" ref="AB20">SUMPRODUCT((Application!$B$714:$B$738 = 'CalHFA Addendum'!AB$18)*(Application!$AC$714:$AC$738 = 'CalHFA Addendum'!$B20),Application!$G$714:$G$738)</f>
        <v>0</v>
      </c>
      <c r="AC20" s="1934"/>
      <c r="AD20" s="1934"/>
      <c r="AE20" s="1934"/>
      <c r="AF20" s="1934"/>
      <c r="AG20" s="1935"/>
      <c r="AH20" s="1933" cm="1">
        <f t="array" ref="AH20">SUMPRODUCT((Application!$B$714:$B$738 = 'CalHFA Addendum'!AH$18)*(Application!$AC$714:$AC$738 = 'CalHFA Addendum'!$B20),Application!$G$714:$G$738)</f>
        <v>0</v>
      </c>
      <c r="AI20" s="1934"/>
      <c r="AJ20" s="1934"/>
      <c r="AK20" s="1934"/>
      <c r="AL20" s="1934"/>
      <c r="AM20" s="1935"/>
      <c r="AN20" s="1933" cm="1">
        <f t="array" ref="AN20">SUMPRODUCT((Application!$B$714:$B$738 = 'CalHFA Addendum'!AN$18)*(Application!$AC$714:$AC$738 = 'CalHFA Addendum'!$B20),Application!$G$714:$G$738)</f>
        <v>0</v>
      </c>
      <c r="AO20" s="1934"/>
      <c r="AP20" s="1934"/>
      <c r="AQ20" s="1934"/>
      <c r="AR20" s="1934"/>
      <c r="AS20" s="1935"/>
      <c r="AT20" s="1936">
        <f t="shared" si="1"/>
        <v>0</v>
      </c>
      <c r="AU20" s="1937"/>
      <c r="AV20" s="1937"/>
      <c r="AW20" s="1937"/>
      <c r="AX20" s="1937"/>
      <c r="AY20" s="1938"/>
      <c r="AZ20" s="1192"/>
      <c r="BA20" s="1192"/>
      <c r="BB20" s="1192"/>
      <c r="BC20" s="1192"/>
      <c r="BD20" s="1192"/>
      <c r="BE20" s="1196"/>
    </row>
    <row r="21" spans="1:58" ht="14.5">
      <c r="A21" s="1192"/>
      <c r="B21" s="1930">
        <v>0.5</v>
      </c>
      <c r="C21" s="1931"/>
      <c r="D21" s="1931"/>
      <c r="E21" s="1931"/>
      <c r="F21" s="1931"/>
      <c r="G21" s="1931"/>
      <c r="H21" s="1931"/>
      <c r="I21" s="1932"/>
      <c r="J21" s="1933">
        <f t="shared" si="0"/>
        <v>30</v>
      </c>
      <c r="K21" s="1934"/>
      <c r="L21" s="1934"/>
      <c r="M21" s="1934"/>
      <c r="N21" s="1934"/>
      <c r="O21" s="1935"/>
      <c r="P21" s="1933" cm="1">
        <f t="array" ref="P21">SUMPRODUCT((Application!$B$714:$B$738 = 'CalHFA Addendum'!P$18)*(Application!$AC$714:$AC$738 = 'CalHFA Addendum'!$B21),Application!$G$714:$G$738)</f>
        <v>0</v>
      </c>
      <c r="Q21" s="1934"/>
      <c r="R21" s="1934"/>
      <c r="S21" s="1934"/>
      <c r="T21" s="1934"/>
      <c r="U21" s="1935"/>
      <c r="V21" s="1933" cm="1">
        <f t="array" ref="V21">SUMPRODUCT((Application!$B$714:$B$738 = 'CalHFA Addendum'!V$18)*(Application!$AC$714:$AC$738 = 'CalHFA Addendum'!$B21),Application!$G$714:$G$738)</f>
        <v>30</v>
      </c>
      <c r="W21" s="1934"/>
      <c r="X21" s="1934"/>
      <c r="Y21" s="1934"/>
      <c r="Z21" s="1934"/>
      <c r="AA21" s="1935"/>
      <c r="AB21" s="1933" cm="1">
        <f t="array" ref="AB21">SUMPRODUCT((Application!$B$714:$B$738 = 'CalHFA Addendum'!AB$18)*(Application!$AC$714:$AC$738 = 'CalHFA Addendum'!$B21),Application!$G$714:$G$738)</f>
        <v>0</v>
      </c>
      <c r="AC21" s="1934"/>
      <c r="AD21" s="1934"/>
      <c r="AE21" s="1934"/>
      <c r="AF21" s="1934"/>
      <c r="AG21" s="1935"/>
      <c r="AH21" s="1933" cm="1">
        <f t="array" ref="AH21">SUMPRODUCT((Application!$B$714:$B$738 = 'CalHFA Addendum'!AH$18)*(Application!$AC$714:$AC$738 = 'CalHFA Addendum'!$B21),Application!$G$714:$G$738)</f>
        <v>0</v>
      </c>
      <c r="AI21" s="1934"/>
      <c r="AJ21" s="1934"/>
      <c r="AK21" s="1934"/>
      <c r="AL21" s="1934"/>
      <c r="AM21" s="1935"/>
      <c r="AN21" s="1933" cm="1">
        <f t="array" ref="AN21">SUMPRODUCT((Application!$B$714:$B$738 = 'CalHFA Addendum'!AN$18)*(Application!$AC$714:$AC$738 = 'CalHFA Addendum'!$B21),Application!$G$714:$G$738)</f>
        <v>0</v>
      </c>
      <c r="AO21" s="1934"/>
      <c r="AP21" s="1934"/>
      <c r="AQ21" s="1934"/>
      <c r="AR21" s="1934"/>
      <c r="AS21" s="1935"/>
      <c r="AT21" s="1936">
        <f t="shared" si="1"/>
        <v>0.49180327868852458</v>
      </c>
      <c r="AU21" s="1937"/>
      <c r="AV21" s="1937"/>
      <c r="AW21" s="1937"/>
      <c r="AX21" s="1937"/>
      <c r="AY21" s="1938"/>
      <c r="AZ21" s="1192"/>
      <c r="BA21" s="1192"/>
      <c r="BB21" s="1192"/>
      <c r="BC21" s="1192"/>
      <c r="BD21" s="1192"/>
      <c r="BE21" s="1196"/>
    </row>
    <row r="22" spans="1:58" ht="14.5">
      <c r="A22" s="1192"/>
      <c r="B22" s="1930">
        <v>0.6</v>
      </c>
      <c r="C22" s="1931"/>
      <c r="D22" s="1931"/>
      <c r="E22" s="1931"/>
      <c r="F22" s="1931"/>
      <c r="G22" s="1931"/>
      <c r="H22" s="1931"/>
      <c r="I22" s="1932"/>
      <c r="J22" s="1933">
        <f t="shared" si="0"/>
        <v>0</v>
      </c>
      <c r="K22" s="1934"/>
      <c r="L22" s="1934"/>
      <c r="M22" s="1934"/>
      <c r="N22" s="1934"/>
      <c r="O22" s="1935"/>
      <c r="P22" s="1933" cm="1">
        <f t="array" ref="P22">SUMPRODUCT((Application!$B$714:$B$738 = 'CalHFA Addendum'!P$18)*(Application!$AC$714:$AC$738 = 'CalHFA Addendum'!$B22),Application!$G$714:$G$738)</f>
        <v>0</v>
      </c>
      <c r="Q22" s="1934"/>
      <c r="R22" s="1934"/>
      <c r="S22" s="1934"/>
      <c r="T22" s="1934"/>
      <c r="U22" s="1935"/>
      <c r="V22" s="1933" cm="1">
        <f t="array" ref="V22">SUMPRODUCT((Application!$B$714:$B$738 = 'CalHFA Addendum'!V$18)*(Application!$AC$714:$AC$738 = 'CalHFA Addendum'!$B22),Application!$G$714:$G$738)</f>
        <v>0</v>
      </c>
      <c r="W22" s="1934"/>
      <c r="X22" s="1934"/>
      <c r="Y22" s="1934"/>
      <c r="Z22" s="1934"/>
      <c r="AA22" s="1935"/>
      <c r="AB22" s="1933" cm="1">
        <f t="array" ref="AB22">SUMPRODUCT((Application!$B$714:$B$738 = 'CalHFA Addendum'!AB$18)*(Application!$AC$714:$AC$738 = 'CalHFA Addendum'!$B22),Application!$G$714:$G$738)</f>
        <v>0</v>
      </c>
      <c r="AC22" s="1934"/>
      <c r="AD22" s="1934"/>
      <c r="AE22" s="1934"/>
      <c r="AF22" s="1934"/>
      <c r="AG22" s="1935"/>
      <c r="AH22" s="1933" cm="1">
        <f t="array" ref="AH22">SUMPRODUCT((Application!$B$714:$B$738 = 'CalHFA Addendum'!AH$18)*(Application!$AC$714:$AC$738 = 'CalHFA Addendum'!$B22),Application!$G$714:$G$738)</f>
        <v>0</v>
      </c>
      <c r="AI22" s="1934"/>
      <c r="AJ22" s="1934"/>
      <c r="AK22" s="1934"/>
      <c r="AL22" s="1934"/>
      <c r="AM22" s="1935"/>
      <c r="AN22" s="1933" cm="1">
        <f t="array" ref="AN22">SUMPRODUCT((Application!$B$714:$B$738 = 'CalHFA Addendum'!AN$18)*(Application!$AC$714:$AC$738 = 'CalHFA Addendum'!$B22),Application!$G$714:$G$738)</f>
        <v>0</v>
      </c>
      <c r="AO22" s="1934"/>
      <c r="AP22" s="1934"/>
      <c r="AQ22" s="1934"/>
      <c r="AR22" s="1934"/>
      <c r="AS22" s="1935"/>
      <c r="AT22" s="1936">
        <f t="shared" si="1"/>
        <v>0</v>
      </c>
      <c r="AU22" s="1937"/>
      <c r="AV22" s="1937"/>
      <c r="AW22" s="1937"/>
      <c r="AX22" s="1937"/>
      <c r="AY22" s="1938"/>
      <c r="AZ22" s="1192"/>
      <c r="BA22" s="1192"/>
      <c r="BB22" s="1192"/>
      <c r="BC22" s="1192"/>
      <c r="BD22" s="1192"/>
      <c r="BE22" s="1196"/>
    </row>
    <row r="23" spans="1:58" ht="14.5">
      <c r="A23" s="1192"/>
      <c r="B23" s="1930">
        <v>0.7</v>
      </c>
      <c r="C23" s="1931"/>
      <c r="D23" s="1931"/>
      <c r="E23" s="1931"/>
      <c r="F23" s="1931"/>
      <c r="G23" s="1931"/>
      <c r="H23" s="1931"/>
      <c r="I23" s="1932"/>
      <c r="J23" s="1933">
        <f t="shared" si="0"/>
        <v>0</v>
      </c>
      <c r="K23" s="1934"/>
      <c r="L23" s="1934"/>
      <c r="M23" s="1934"/>
      <c r="N23" s="1934"/>
      <c r="O23" s="1935"/>
      <c r="P23" s="1933" cm="1">
        <f t="array" ref="P23">SUMPRODUCT((Application!$B$714:$B$738 = 'CalHFA Addendum'!P$18)*(Application!$AC$714:$AC$738 = 'CalHFA Addendum'!$B23),Application!$G$714:$G$738)</f>
        <v>0</v>
      </c>
      <c r="Q23" s="1934"/>
      <c r="R23" s="1934"/>
      <c r="S23" s="1934"/>
      <c r="T23" s="1934"/>
      <c r="U23" s="1935"/>
      <c r="V23" s="1933" cm="1">
        <f t="array" ref="V23">SUMPRODUCT((Application!$B$714:$B$738 = 'CalHFA Addendum'!V$18)*(Application!$AC$714:$AC$738 = 'CalHFA Addendum'!$B23),Application!$G$714:$G$738)</f>
        <v>0</v>
      </c>
      <c r="W23" s="1934"/>
      <c r="X23" s="1934"/>
      <c r="Y23" s="1934"/>
      <c r="Z23" s="1934"/>
      <c r="AA23" s="1935"/>
      <c r="AB23" s="1933" cm="1">
        <f t="array" ref="AB23">SUMPRODUCT((Application!$B$714:$B$738 = 'CalHFA Addendum'!AB$18)*(Application!$AC$714:$AC$738 = 'CalHFA Addendum'!$B23),Application!$G$714:$G$738)</f>
        <v>0</v>
      </c>
      <c r="AC23" s="1934"/>
      <c r="AD23" s="1934"/>
      <c r="AE23" s="1934"/>
      <c r="AF23" s="1934"/>
      <c r="AG23" s="1935"/>
      <c r="AH23" s="1933" cm="1">
        <f t="array" ref="AH23">SUMPRODUCT((Application!$B$714:$B$738 = 'CalHFA Addendum'!AH$18)*(Application!$AC$714:$AC$738 = 'CalHFA Addendum'!$B23),Application!$G$714:$G$738)</f>
        <v>0</v>
      </c>
      <c r="AI23" s="1934"/>
      <c r="AJ23" s="1934"/>
      <c r="AK23" s="1934"/>
      <c r="AL23" s="1934"/>
      <c r="AM23" s="1935"/>
      <c r="AN23" s="1933" cm="1">
        <f t="array" ref="AN23">SUMPRODUCT((Application!$B$714:$B$738 = 'CalHFA Addendum'!AN$18)*(Application!$AC$714:$AC$738 = 'CalHFA Addendum'!$B23),Application!$G$714:$G$738)</f>
        <v>0</v>
      </c>
      <c r="AO23" s="1934"/>
      <c r="AP23" s="1934"/>
      <c r="AQ23" s="1934"/>
      <c r="AR23" s="1934"/>
      <c r="AS23" s="1935"/>
      <c r="AT23" s="1936">
        <f t="shared" si="1"/>
        <v>0</v>
      </c>
      <c r="AU23" s="1937"/>
      <c r="AV23" s="1937"/>
      <c r="AW23" s="1937"/>
      <c r="AX23" s="1937"/>
      <c r="AY23" s="1938"/>
      <c r="AZ23" s="1192"/>
      <c r="BA23" s="1192"/>
      <c r="BB23" s="1192"/>
      <c r="BC23" s="1192"/>
      <c r="BD23" s="1192"/>
      <c r="BE23" s="1196"/>
    </row>
    <row r="24" spans="1:58" ht="14.5">
      <c r="A24" s="1192"/>
      <c r="B24" s="1930">
        <v>0.8</v>
      </c>
      <c r="C24" s="1931"/>
      <c r="D24" s="1931"/>
      <c r="E24" s="1931"/>
      <c r="F24" s="1931"/>
      <c r="G24" s="1931"/>
      <c r="H24" s="1931"/>
      <c r="I24" s="1932"/>
      <c r="J24" s="1933">
        <f t="shared" si="0"/>
        <v>0</v>
      </c>
      <c r="K24" s="1934"/>
      <c r="L24" s="1934"/>
      <c r="M24" s="1934"/>
      <c r="N24" s="1934"/>
      <c r="O24" s="1935"/>
      <c r="P24" s="1933" cm="1">
        <f t="array" ref="P24">SUMPRODUCT((Application!$B$714:$B$738 = 'CalHFA Addendum'!P$18)*(Application!$AC$714:$AC$738 = 'CalHFA Addendum'!$B24),Application!$G$714:$G$738)</f>
        <v>0</v>
      </c>
      <c r="Q24" s="1934"/>
      <c r="R24" s="1934"/>
      <c r="S24" s="1934"/>
      <c r="T24" s="1934"/>
      <c r="U24" s="1935"/>
      <c r="V24" s="1933" cm="1">
        <f t="array" ref="V24">SUMPRODUCT((Application!$B$714:$B$738 = 'CalHFA Addendum'!V$18)*(Application!$AC$714:$AC$738 = 'CalHFA Addendum'!$B24),Application!$G$714:$G$738)</f>
        <v>0</v>
      </c>
      <c r="W24" s="1934"/>
      <c r="X24" s="1934"/>
      <c r="Y24" s="1934"/>
      <c r="Z24" s="1934"/>
      <c r="AA24" s="1935"/>
      <c r="AB24" s="1933" cm="1">
        <f t="array" ref="AB24">SUMPRODUCT((Application!$B$714:$B$738 = 'CalHFA Addendum'!AB$18)*(Application!$AC$714:$AC$738 = 'CalHFA Addendum'!$B24),Application!$G$714:$G$738)</f>
        <v>0</v>
      </c>
      <c r="AC24" s="1934"/>
      <c r="AD24" s="1934"/>
      <c r="AE24" s="1934"/>
      <c r="AF24" s="1934"/>
      <c r="AG24" s="1935"/>
      <c r="AH24" s="1933" cm="1">
        <f t="array" ref="AH24">SUMPRODUCT((Application!$B$714:$B$738 = 'CalHFA Addendum'!AH$18)*(Application!$AC$714:$AC$738 = 'CalHFA Addendum'!$B24),Application!$G$714:$G$738)</f>
        <v>0</v>
      </c>
      <c r="AI24" s="1934"/>
      <c r="AJ24" s="1934"/>
      <c r="AK24" s="1934"/>
      <c r="AL24" s="1934"/>
      <c r="AM24" s="1935"/>
      <c r="AN24" s="1933" cm="1">
        <f t="array" ref="AN24">SUMPRODUCT((Application!$B$714:$B$738 = 'CalHFA Addendum'!AN$18)*(Application!$AC$714:$AC$738 = 'CalHFA Addendum'!$B24),Application!$G$714:$G$738)</f>
        <v>0</v>
      </c>
      <c r="AO24" s="1934"/>
      <c r="AP24" s="1934"/>
      <c r="AQ24" s="1934"/>
      <c r="AR24" s="1934"/>
      <c r="AS24" s="1935"/>
      <c r="AT24" s="1936">
        <f t="shared" si="1"/>
        <v>0</v>
      </c>
      <c r="AU24" s="1937"/>
      <c r="AV24" s="1937"/>
      <c r="AW24" s="1937"/>
      <c r="AX24" s="1937"/>
      <c r="AY24" s="1938"/>
      <c r="AZ24" s="1192"/>
      <c r="BA24" s="1192"/>
      <c r="BB24" s="1192"/>
      <c r="BC24" s="1192"/>
      <c r="BD24" s="1192"/>
      <c r="BE24" s="1196"/>
    </row>
    <row r="25" spans="1:58" ht="14.5">
      <c r="A25" s="1192"/>
      <c r="B25" s="1930">
        <v>0.9</v>
      </c>
      <c r="C25" s="1931"/>
      <c r="D25" s="1931"/>
      <c r="E25" s="1931"/>
      <c r="F25" s="1931"/>
      <c r="G25" s="1931"/>
      <c r="H25" s="1931"/>
      <c r="I25" s="1932"/>
      <c r="J25" s="1939"/>
      <c r="K25" s="1940"/>
      <c r="L25" s="1940"/>
      <c r="M25" s="1940"/>
      <c r="N25" s="1940"/>
      <c r="O25" s="1941"/>
      <c r="P25" s="1939"/>
      <c r="Q25" s="1940"/>
      <c r="R25" s="1940"/>
      <c r="S25" s="1940"/>
      <c r="T25" s="1940"/>
      <c r="U25" s="1941"/>
      <c r="V25" s="1939"/>
      <c r="W25" s="1940"/>
      <c r="X25" s="1940"/>
      <c r="Y25" s="1940"/>
      <c r="Z25" s="1940"/>
      <c r="AA25" s="1941"/>
      <c r="AB25" s="1939"/>
      <c r="AC25" s="1940"/>
      <c r="AD25" s="1940"/>
      <c r="AE25" s="1940"/>
      <c r="AF25" s="1940"/>
      <c r="AG25" s="1941"/>
      <c r="AH25" s="1939"/>
      <c r="AI25" s="1940"/>
      <c r="AJ25" s="1940"/>
      <c r="AK25" s="1940"/>
      <c r="AL25" s="1940"/>
      <c r="AM25" s="1941"/>
      <c r="AN25" s="1939"/>
      <c r="AO25" s="1940"/>
      <c r="AP25" s="1940"/>
      <c r="AQ25" s="1940"/>
      <c r="AR25" s="1940"/>
      <c r="AS25" s="1941"/>
      <c r="AT25" s="1936">
        <f t="shared" si="1"/>
        <v>0</v>
      </c>
      <c r="AU25" s="1937"/>
      <c r="AV25" s="1937"/>
      <c r="AW25" s="1937"/>
      <c r="AX25" s="1937"/>
      <c r="AY25" s="1938"/>
      <c r="AZ25" s="1192"/>
      <c r="BA25" s="1192"/>
      <c r="BB25" s="1192"/>
      <c r="BC25" s="1192"/>
      <c r="BD25" s="1192"/>
      <c r="BE25" s="1196"/>
    </row>
    <row r="26" spans="1:58" ht="14.5">
      <c r="A26" s="1192"/>
      <c r="B26" s="1930">
        <v>1</v>
      </c>
      <c r="C26" s="1931"/>
      <c r="D26" s="1931"/>
      <c r="E26" s="1931"/>
      <c r="F26" s="1931"/>
      <c r="G26" s="1931"/>
      <c r="H26" s="1931"/>
      <c r="I26" s="1932"/>
      <c r="J26" s="1939"/>
      <c r="K26" s="1940"/>
      <c r="L26" s="1940"/>
      <c r="M26" s="1940"/>
      <c r="N26" s="1940"/>
      <c r="O26" s="1941"/>
      <c r="P26" s="1939"/>
      <c r="Q26" s="1940"/>
      <c r="R26" s="1940"/>
      <c r="S26" s="1940"/>
      <c r="T26" s="1940"/>
      <c r="U26" s="1941"/>
      <c r="V26" s="1939"/>
      <c r="W26" s="1940"/>
      <c r="X26" s="1940"/>
      <c r="Y26" s="1940"/>
      <c r="Z26" s="1940"/>
      <c r="AA26" s="1941"/>
      <c r="AB26" s="1939"/>
      <c r="AC26" s="1940"/>
      <c r="AD26" s="1940"/>
      <c r="AE26" s="1940"/>
      <c r="AF26" s="1940"/>
      <c r="AG26" s="1941"/>
      <c r="AH26" s="1939"/>
      <c r="AI26" s="1940"/>
      <c r="AJ26" s="1940"/>
      <c r="AK26" s="1940"/>
      <c r="AL26" s="1940"/>
      <c r="AM26" s="1941"/>
      <c r="AN26" s="1939"/>
      <c r="AO26" s="1940"/>
      <c r="AP26" s="1940"/>
      <c r="AQ26" s="1940"/>
      <c r="AR26" s="1940"/>
      <c r="AS26" s="1941"/>
      <c r="AT26" s="1936">
        <f t="shared" si="1"/>
        <v>0</v>
      </c>
      <c r="AU26" s="1937"/>
      <c r="AV26" s="1937"/>
      <c r="AW26" s="1937"/>
      <c r="AX26" s="1937"/>
      <c r="AY26" s="1938"/>
      <c r="AZ26" s="1192"/>
      <c r="BA26" s="1192"/>
      <c r="BB26" s="1192"/>
      <c r="BC26" s="1192"/>
      <c r="BD26" s="1192"/>
      <c r="BE26" s="1196"/>
    </row>
    <row r="27" spans="1:58" ht="14.5">
      <c r="A27" s="1192"/>
      <c r="B27" s="1930">
        <v>1.2</v>
      </c>
      <c r="C27" s="1931"/>
      <c r="D27" s="1931"/>
      <c r="E27" s="1931"/>
      <c r="F27" s="1931"/>
      <c r="G27" s="1931"/>
      <c r="H27" s="1931"/>
      <c r="I27" s="1932"/>
      <c r="J27" s="1939"/>
      <c r="K27" s="1940"/>
      <c r="L27" s="1940"/>
      <c r="M27" s="1940"/>
      <c r="N27" s="1940"/>
      <c r="O27" s="1941"/>
      <c r="P27" s="1939"/>
      <c r="Q27" s="1940"/>
      <c r="R27" s="1940"/>
      <c r="S27" s="1940"/>
      <c r="T27" s="1940"/>
      <c r="U27" s="1941"/>
      <c r="V27" s="1939"/>
      <c r="W27" s="1940"/>
      <c r="X27" s="1940"/>
      <c r="Y27" s="1940"/>
      <c r="Z27" s="1940"/>
      <c r="AA27" s="1941"/>
      <c r="AB27" s="1939"/>
      <c r="AC27" s="1940"/>
      <c r="AD27" s="1940"/>
      <c r="AE27" s="1940"/>
      <c r="AF27" s="1940"/>
      <c r="AG27" s="1941"/>
      <c r="AH27" s="1939"/>
      <c r="AI27" s="1940"/>
      <c r="AJ27" s="1940"/>
      <c r="AK27" s="1940"/>
      <c r="AL27" s="1940"/>
      <c r="AM27" s="1941"/>
      <c r="AN27" s="1939"/>
      <c r="AO27" s="1940"/>
      <c r="AP27" s="1940"/>
      <c r="AQ27" s="1940"/>
      <c r="AR27" s="1940"/>
      <c r="AS27" s="1941"/>
      <c r="AT27" s="1936">
        <f t="shared" si="1"/>
        <v>0</v>
      </c>
      <c r="AU27" s="1937"/>
      <c r="AV27" s="1937"/>
      <c r="AW27" s="1937"/>
      <c r="AX27" s="1937"/>
      <c r="AY27" s="1938"/>
      <c r="AZ27" s="1192"/>
      <c r="BA27" s="1192"/>
      <c r="BB27" s="1192"/>
      <c r="BC27" s="1192"/>
      <c r="BD27" s="1192"/>
      <c r="BE27" s="1196"/>
    </row>
    <row r="28" spans="1:58" ht="15" thickBot="1">
      <c r="A28" s="1192"/>
      <c r="B28" s="1942" t="s">
        <v>2433</v>
      </c>
      <c r="C28" s="1943"/>
      <c r="D28" s="1943"/>
      <c r="E28" s="1943"/>
      <c r="F28" s="1943"/>
      <c r="G28" s="1943"/>
      <c r="H28" s="1943"/>
      <c r="I28" s="1944"/>
      <c r="J28" s="1945">
        <f>SUM(P28:AS28)</f>
        <v>1</v>
      </c>
      <c r="K28" s="1946"/>
      <c r="L28" s="1946"/>
      <c r="M28" s="1946"/>
      <c r="N28" s="1946"/>
      <c r="O28" s="1947"/>
      <c r="P28" s="1945">
        <f>_xlfn.IFNA(VLOOKUP(P$18,Application!$J$773:$S$776,6,FALSE), 0)</f>
        <v>0</v>
      </c>
      <c r="Q28" s="1946"/>
      <c r="R28" s="1946"/>
      <c r="S28" s="1946"/>
      <c r="T28" s="1946"/>
      <c r="U28" s="1947"/>
      <c r="V28" s="1945">
        <f>_xlfn.IFNA(VLOOKUP(V$18,Application!$J$773:$S$776,6,FALSE), 0)</f>
        <v>0</v>
      </c>
      <c r="W28" s="1946"/>
      <c r="X28" s="1946"/>
      <c r="Y28" s="1946"/>
      <c r="Z28" s="1946"/>
      <c r="AA28" s="1947"/>
      <c r="AB28" s="1945">
        <f>_xlfn.IFNA(VLOOKUP(AB$18,Application!$J$773:$S$776,6,FALSE), 0)</f>
        <v>1</v>
      </c>
      <c r="AC28" s="1946"/>
      <c r="AD28" s="1946"/>
      <c r="AE28" s="1946"/>
      <c r="AF28" s="1946"/>
      <c r="AG28" s="1947"/>
      <c r="AH28" s="1945">
        <f>_xlfn.IFNA(VLOOKUP(AH$18,Application!$J$773:$S$776,6,FALSE), 0)</f>
        <v>0</v>
      </c>
      <c r="AI28" s="1946"/>
      <c r="AJ28" s="1946"/>
      <c r="AK28" s="1946"/>
      <c r="AL28" s="1946"/>
      <c r="AM28" s="1947"/>
      <c r="AN28" s="1945">
        <f>_xlfn.IFNA(VLOOKUP(AN$18,Application!$J$773:$S$776,6,FALSE), 0)</f>
        <v>0</v>
      </c>
      <c r="AO28" s="1946"/>
      <c r="AP28" s="1946"/>
      <c r="AQ28" s="1946"/>
      <c r="AR28" s="1946"/>
      <c r="AS28" s="1947"/>
      <c r="AT28" s="1948">
        <f t="shared" si="1"/>
        <v>1.6393442622950821E-2</v>
      </c>
      <c r="AU28" s="1949"/>
      <c r="AV28" s="1949"/>
      <c r="AW28" s="1949"/>
      <c r="AX28" s="1949"/>
      <c r="AY28" s="1950"/>
      <c r="AZ28" s="1192"/>
      <c r="BA28" s="1192"/>
      <c r="BB28" s="1192"/>
      <c r="BC28" s="1192"/>
      <c r="BD28" s="1192"/>
      <c r="BE28" s="1196"/>
    </row>
    <row r="29" spans="1:58" ht="15" thickBot="1">
      <c r="A29" s="1192"/>
      <c r="B29" s="1979" t="s">
        <v>1585</v>
      </c>
      <c r="C29" s="1952"/>
      <c r="D29" s="1952"/>
      <c r="E29" s="1952"/>
      <c r="F29" s="1952"/>
      <c r="G29" s="1952"/>
      <c r="H29" s="1952"/>
      <c r="I29" s="1953"/>
      <c r="J29" s="1951">
        <f>SUM(J19:O28)</f>
        <v>61</v>
      </c>
      <c r="K29" s="1952"/>
      <c r="L29" s="1952"/>
      <c r="M29" s="1952"/>
      <c r="N29" s="1952"/>
      <c r="O29" s="1953"/>
      <c r="P29" s="1951">
        <f>SUM(P19:U28)</f>
        <v>0</v>
      </c>
      <c r="Q29" s="1952"/>
      <c r="R29" s="1952"/>
      <c r="S29" s="1952"/>
      <c r="T29" s="1952"/>
      <c r="U29" s="1953"/>
      <c r="V29" s="1951">
        <f>SUM(V19:AA28)</f>
        <v>60</v>
      </c>
      <c r="W29" s="1952"/>
      <c r="X29" s="1952"/>
      <c r="Y29" s="1952"/>
      <c r="Z29" s="1952"/>
      <c r="AA29" s="1953"/>
      <c r="AB29" s="1951">
        <f>SUM(AB19:AG28)</f>
        <v>1</v>
      </c>
      <c r="AC29" s="1952"/>
      <c r="AD29" s="1952"/>
      <c r="AE29" s="1952"/>
      <c r="AF29" s="1952"/>
      <c r="AG29" s="1953"/>
      <c r="AH29" s="1951">
        <f>SUM(AH19:AM28)</f>
        <v>0</v>
      </c>
      <c r="AI29" s="1952"/>
      <c r="AJ29" s="1952"/>
      <c r="AK29" s="1952"/>
      <c r="AL29" s="1952"/>
      <c r="AM29" s="1953"/>
      <c r="AN29" s="1951">
        <f>SUM(AN19:AS28)</f>
        <v>0</v>
      </c>
      <c r="AO29" s="1952"/>
      <c r="AP29" s="1952"/>
      <c r="AQ29" s="1952"/>
      <c r="AR29" s="1952"/>
      <c r="AS29" s="1953"/>
      <c r="AT29" s="1954">
        <f t="shared" si="1"/>
        <v>1</v>
      </c>
      <c r="AU29" s="1955"/>
      <c r="AV29" s="1955"/>
      <c r="AW29" s="1955"/>
      <c r="AX29" s="1955"/>
      <c r="AY29" s="1956"/>
      <c r="AZ29" s="1192"/>
      <c r="BA29" s="1192"/>
      <c r="BB29" s="1192"/>
      <c r="BC29" s="1192"/>
      <c r="BD29" s="1192"/>
      <c r="BE29" s="1196"/>
    </row>
    <row r="30" spans="1:58" ht="15" thickBot="1">
      <c r="A30" s="1191"/>
      <c r="B30" s="1192"/>
      <c r="C30" s="1192"/>
      <c r="D30" s="1192"/>
      <c r="E30" s="1192"/>
      <c r="F30" s="1192"/>
      <c r="G30" s="1192"/>
      <c r="H30" s="1192"/>
      <c r="I30" s="1192"/>
      <c r="J30" s="1192"/>
      <c r="K30" s="1192"/>
      <c r="L30" s="1192"/>
      <c r="M30" s="1192"/>
      <c r="N30" s="1192"/>
      <c r="O30" s="1192"/>
      <c r="P30" s="1192"/>
      <c r="Q30" s="1192"/>
      <c r="R30" s="1192"/>
      <c r="S30" s="1192"/>
      <c r="T30" s="1192"/>
      <c r="U30" s="1192"/>
      <c r="V30" s="1192"/>
      <c r="W30" s="1192"/>
      <c r="X30" s="1192"/>
      <c r="Y30" s="1192"/>
      <c r="Z30" s="1192"/>
      <c r="AA30" s="1192"/>
      <c r="AB30" s="1192"/>
      <c r="AC30" s="1192"/>
      <c r="AD30" s="1192"/>
      <c r="AE30" s="1192"/>
      <c r="AF30" s="1192"/>
      <c r="AG30" s="1192"/>
      <c r="AH30" s="1192"/>
      <c r="AI30" s="1192"/>
      <c r="AJ30" s="1192"/>
      <c r="AK30" s="1192"/>
      <c r="AL30" s="1192"/>
      <c r="AM30" s="1192"/>
      <c r="AN30" s="1192"/>
      <c r="AO30" s="1192"/>
      <c r="AP30" s="1192"/>
      <c r="AQ30" s="1192"/>
      <c r="AR30" s="1192"/>
      <c r="AS30" s="1192"/>
      <c r="AT30" s="1192"/>
      <c r="AU30" s="1192"/>
      <c r="AV30" s="1192"/>
      <c r="AW30" s="1192"/>
      <c r="AX30" s="1192"/>
      <c r="AY30" s="1192"/>
      <c r="AZ30" s="1192"/>
      <c r="BA30" s="1192"/>
      <c r="BB30" s="1192"/>
      <c r="BC30" s="1192"/>
      <c r="BD30" s="1192"/>
      <c r="BE30" s="1196"/>
    </row>
    <row r="31" spans="1:58" ht="15" thickBot="1">
      <c r="A31" s="1192"/>
      <c r="B31" s="1957" t="s">
        <v>2432</v>
      </c>
      <c r="C31" s="1958"/>
      <c r="D31" s="1958"/>
      <c r="E31" s="1958"/>
      <c r="F31" s="1958"/>
      <c r="G31" s="1958"/>
      <c r="H31" s="1958"/>
      <c r="I31" s="1958"/>
      <c r="J31" s="1958"/>
      <c r="K31" s="1958"/>
      <c r="L31" s="1958"/>
      <c r="M31" s="1958"/>
      <c r="N31" s="1958"/>
      <c r="O31" s="1958"/>
      <c r="P31" s="1958"/>
      <c r="Q31" s="1958"/>
      <c r="R31" s="1958"/>
      <c r="S31" s="1958"/>
      <c r="T31" s="1958"/>
      <c r="U31" s="1958"/>
      <c r="V31" s="1958"/>
      <c r="W31" s="1958"/>
      <c r="X31" s="1958"/>
      <c r="Y31" s="1958"/>
      <c r="Z31" s="1958"/>
      <c r="AA31" s="1958"/>
      <c r="AB31" s="1958"/>
      <c r="AC31" s="1958"/>
      <c r="AD31" s="1958"/>
      <c r="AE31" s="1958"/>
      <c r="AF31" s="1958"/>
      <c r="AG31" s="1958"/>
      <c r="AH31" s="1958"/>
      <c r="AI31" s="1958"/>
      <c r="AJ31" s="1958"/>
      <c r="AK31" s="1958"/>
      <c r="AL31" s="1958"/>
      <c r="AM31" s="1958"/>
      <c r="AN31" s="1958"/>
      <c r="AO31" s="1958"/>
      <c r="AP31" s="1958"/>
      <c r="AQ31" s="1958"/>
      <c r="AR31" s="1958"/>
      <c r="AS31" s="1958"/>
      <c r="AT31" s="1958"/>
      <c r="AU31" s="1958"/>
      <c r="AV31" s="1958"/>
      <c r="AW31" s="1958"/>
      <c r="AX31" s="1958"/>
      <c r="AY31" s="1958"/>
      <c r="AZ31" s="1958"/>
      <c r="BA31" s="1958"/>
      <c r="BB31" s="1958"/>
      <c r="BC31" s="1958"/>
      <c r="BD31" s="1959"/>
      <c r="BE31" s="1196"/>
    </row>
    <row r="32" spans="1:58" ht="15" thickBot="1">
      <c r="A32" s="1192"/>
      <c r="B32" s="1960" t="s">
        <v>2431</v>
      </c>
      <c r="C32" s="1961"/>
      <c r="D32" s="1961"/>
      <c r="E32" s="1961"/>
      <c r="F32" s="1961"/>
      <c r="G32" s="1961"/>
      <c r="H32" s="1961"/>
      <c r="I32" s="1961"/>
      <c r="J32" s="1964" t="s">
        <v>2430</v>
      </c>
      <c r="K32" s="1965"/>
      <c r="L32" s="1965"/>
      <c r="M32" s="1965"/>
      <c r="N32" s="1964" t="s">
        <v>2429</v>
      </c>
      <c r="O32" s="1965"/>
      <c r="P32" s="1965"/>
      <c r="Q32" s="1967"/>
      <c r="R32" s="1969" t="s">
        <v>2428</v>
      </c>
      <c r="S32" s="1970"/>
      <c r="T32" s="1970"/>
      <c r="U32" s="1970"/>
      <c r="V32" s="1970"/>
      <c r="W32" s="1970"/>
      <c r="X32" s="1970"/>
      <c r="Y32" s="1970"/>
      <c r="Z32" s="1970"/>
      <c r="AA32" s="1970"/>
      <c r="AB32" s="1970"/>
      <c r="AC32" s="1970"/>
      <c r="AD32" s="1970"/>
      <c r="AE32" s="1970"/>
      <c r="AF32" s="1970"/>
      <c r="AG32" s="1970"/>
      <c r="AH32" s="1970"/>
      <c r="AI32" s="1970"/>
      <c r="AJ32" s="1970"/>
      <c r="AK32" s="1970"/>
      <c r="AL32" s="1970"/>
      <c r="AM32" s="1970"/>
      <c r="AN32" s="1970"/>
      <c r="AO32" s="1970"/>
      <c r="AP32" s="1970"/>
      <c r="AQ32" s="1970"/>
      <c r="AR32" s="1970"/>
      <c r="AS32" s="1970"/>
      <c r="AT32" s="1970"/>
      <c r="AU32" s="1970"/>
      <c r="AV32" s="1970"/>
      <c r="AW32" s="1970"/>
      <c r="AX32" s="1970"/>
      <c r="AY32" s="1970"/>
      <c r="AZ32" s="1970"/>
      <c r="BA32" s="1970"/>
      <c r="BB32" s="1970"/>
      <c r="BC32" s="1970"/>
      <c r="BD32" s="1971"/>
      <c r="BE32" s="1196"/>
    </row>
    <row r="33" spans="1:58" ht="15" customHeight="1">
      <c r="A33" s="1192"/>
      <c r="B33" s="1962"/>
      <c r="C33" s="1963"/>
      <c r="D33" s="1963"/>
      <c r="E33" s="1963"/>
      <c r="F33" s="1963"/>
      <c r="G33" s="1963"/>
      <c r="H33" s="1963"/>
      <c r="I33" s="1963"/>
      <c r="J33" s="1966"/>
      <c r="K33" s="1966"/>
      <c r="L33" s="1966"/>
      <c r="M33" s="1966"/>
      <c r="N33" s="1966"/>
      <c r="O33" s="1966"/>
      <c r="P33" s="1966"/>
      <c r="Q33" s="1968"/>
      <c r="R33" s="1972" t="s">
        <v>2427</v>
      </c>
      <c r="S33" s="1973"/>
      <c r="T33" s="1973"/>
      <c r="U33" s="1973"/>
      <c r="V33" s="1973"/>
      <c r="W33" s="1973"/>
      <c r="X33" s="1973"/>
      <c r="Y33" s="1973"/>
      <c r="Z33" s="1973"/>
      <c r="AA33" s="1973"/>
      <c r="AB33" s="1973"/>
      <c r="AC33" s="1973"/>
      <c r="AD33" s="1973"/>
      <c r="AE33" s="1973"/>
      <c r="AF33" s="1973"/>
      <c r="AG33" s="1973"/>
      <c r="AH33" s="1973"/>
      <c r="AI33" s="1973"/>
      <c r="AJ33" s="1973"/>
      <c r="AK33" s="1973"/>
      <c r="AL33" s="1973"/>
      <c r="AM33" s="1973"/>
      <c r="AN33" s="1973"/>
      <c r="AO33" s="1973"/>
      <c r="AP33" s="1973"/>
      <c r="AQ33" s="1973"/>
      <c r="AR33" s="1973"/>
      <c r="AS33" s="1973"/>
      <c r="AT33" s="1973"/>
      <c r="AU33" s="1973"/>
      <c r="AV33" s="1973"/>
      <c r="AW33" s="1973"/>
      <c r="AX33" s="1973"/>
      <c r="AY33" s="1973"/>
      <c r="AZ33" s="1973"/>
      <c r="BA33" s="1973"/>
      <c r="BB33" s="1973"/>
      <c r="BC33" s="1973"/>
      <c r="BD33" s="1974"/>
      <c r="BE33" s="1196"/>
    </row>
    <row r="34" spans="1:58" ht="15.75" customHeight="1" thickBot="1">
      <c r="A34" s="1192"/>
      <c r="B34" s="1962"/>
      <c r="C34" s="1963"/>
      <c r="D34" s="1963"/>
      <c r="E34" s="1963"/>
      <c r="F34" s="1963"/>
      <c r="G34" s="1963"/>
      <c r="H34" s="1963"/>
      <c r="I34" s="1963"/>
      <c r="J34" s="1966"/>
      <c r="K34" s="1966"/>
      <c r="L34" s="1966"/>
      <c r="M34" s="1966"/>
      <c r="N34" s="1966"/>
      <c r="O34" s="1966"/>
      <c r="P34" s="1966"/>
      <c r="Q34" s="1968"/>
      <c r="R34" s="1975"/>
      <c r="S34" s="1976"/>
      <c r="T34" s="1976"/>
      <c r="U34" s="1976"/>
      <c r="V34" s="1976"/>
      <c r="W34" s="1976"/>
      <c r="X34" s="1976"/>
      <c r="Y34" s="1976"/>
      <c r="Z34" s="1976"/>
      <c r="AA34" s="1976"/>
      <c r="AB34" s="1976"/>
      <c r="AC34" s="1976"/>
      <c r="AD34" s="1976"/>
      <c r="AE34" s="1976"/>
      <c r="AF34" s="1976"/>
      <c r="AG34" s="1976"/>
      <c r="AH34" s="1976"/>
      <c r="AI34" s="1976"/>
      <c r="AJ34" s="1976"/>
      <c r="AK34" s="1976"/>
      <c r="AL34" s="1976"/>
      <c r="AM34" s="1976"/>
      <c r="AN34" s="1976"/>
      <c r="AO34" s="1976"/>
      <c r="AP34" s="1976"/>
      <c r="AQ34" s="1976"/>
      <c r="AR34" s="1976"/>
      <c r="AS34" s="1976"/>
      <c r="AT34" s="1976"/>
      <c r="AU34" s="1976"/>
      <c r="AV34" s="1976"/>
      <c r="AW34" s="1976"/>
      <c r="AX34" s="1976"/>
      <c r="AY34" s="1976"/>
      <c r="AZ34" s="1976"/>
      <c r="BA34" s="1976"/>
      <c r="BB34" s="1976"/>
      <c r="BC34" s="1976"/>
      <c r="BD34" s="1977"/>
      <c r="BE34" s="1196"/>
    </row>
    <row r="35" spans="1:58" ht="15.75" customHeight="1">
      <c r="A35" s="1192"/>
      <c r="B35" s="1962"/>
      <c r="C35" s="1963"/>
      <c r="D35" s="1963"/>
      <c r="E35" s="1963"/>
      <c r="F35" s="1963"/>
      <c r="G35" s="1963"/>
      <c r="H35" s="1963"/>
      <c r="I35" s="1963"/>
      <c r="J35" s="1966"/>
      <c r="K35" s="1966"/>
      <c r="L35" s="1966"/>
      <c r="M35" s="1966"/>
      <c r="N35" s="1966"/>
      <c r="O35" s="1966"/>
      <c r="P35" s="1966"/>
      <c r="Q35" s="1966"/>
      <c r="R35" s="1978">
        <v>0.3</v>
      </c>
      <c r="S35" s="1978"/>
      <c r="T35" s="1978"/>
      <c r="U35" s="1978"/>
      <c r="V35" s="1978">
        <v>0.4</v>
      </c>
      <c r="W35" s="1978"/>
      <c r="X35" s="1978"/>
      <c r="Y35" s="1978"/>
      <c r="Z35" s="1978">
        <v>0.5</v>
      </c>
      <c r="AA35" s="1978"/>
      <c r="AB35" s="1978"/>
      <c r="AC35" s="1978"/>
      <c r="AD35" s="1978">
        <v>0.6</v>
      </c>
      <c r="AE35" s="1978"/>
      <c r="AF35" s="1978"/>
      <c r="AG35" s="1978"/>
      <c r="AH35" s="1978">
        <v>0.7</v>
      </c>
      <c r="AI35" s="1978"/>
      <c r="AJ35" s="1978"/>
      <c r="AK35" s="1978"/>
      <c r="AL35" s="1983">
        <v>0.8</v>
      </c>
      <c r="AM35" s="1984"/>
      <c r="AN35" s="1984"/>
      <c r="AO35" s="1985"/>
      <c r="AP35" s="1986">
        <v>1.2</v>
      </c>
      <c r="AQ35" s="1987"/>
      <c r="AR35" s="1988"/>
      <c r="AS35" s="1980" t="s">
        <v>2426</v>
      </c>
      <c r="AT35" s="1981"/>
      <c r="AU35" s="1981"/>
      <c r="AV35" s="1981"/>
      <c r="AW35" s="1981"/>
      <c r="AX35" s="1989"/>
      <c r="AY35" s="1980" t="s">
        <v>2425</v>
      </c>
      <c r="AZ35" s="1981"/>
      <c r="BA35" s="1981"/>
      <c r="BB35" s="1981"/>
      <c r="BC35" s="1981"/>
      <c r="BD35" s="1982"/>
      <c r="BE35" s="1196"/>
    </row>
    <row r="36" spans="1:58" ht="15.75" customHeight="1">
      <c r="A36" s="1192"/>
      <c r="B36" s="1999" t="s">
        <v>2424</v>
      </c>
      <c r="C36" s="2000"/>
      <c r="D36" s="2000"/>
      <c r="E36" s="2000"/>
      <c r="F36" s="2000"/>
      <c r="G36" s="2000"/>
      <c r="H36" s="2000"/>
      <c r="I36" s="2000"/>
      <c r="J36" s="2001" t="s">
        <v>2423</v>
      </c>
      <c r="K36" s="2001"/>
      <c r="L36" s="2001"/>
      <c r="M36" s="2001"/>
      <c r="N36" s="2001">
        <v>55</v>
      </c>
      <c r="O36" s="2001"/>
      <c r="P36" s="2001"/>
      <c r="Q36" s="2001"/>
      <c r="R36" s="2002"/>
      <c r="S36" s="2002"/>
      <c r="T36" s="2002"/>
      <c r="U36" s="2002"/>
      <c r="V36" s="2002"/>
      <c r="W36" s="2002"/>
      <c r="X36" s="2002"/>
      <c r="Y36" s="2002"/>
      <c r="Z36" s="2002"/>
      <c r="AA36" s="2002"/>
      <c r="AB36" s="2002"/>
      <c r="AC36" s="2002"/>
      <c r="AD36" s="2002"/>
      <c r="AE36" s="2002"/>
      <c r="AF36" s="2002"/>
      <c r="AG36" s="2002"/>
      <c r="AH36" s="2002"/>
      <c r="AI36" s="2002"/>
      <c r="AJ36" s="2002"/>
      <c r="AK36" s="2002"/>
      <c r="AL36" s="1990"/>
      <c r="AM36" s="1991"/>
      <c r="AN36" s="1991"/>
      <c r="AO36" s="1992"/>
      <c r="AP36" s="1990"/>
      <c r="AQ36" s="1991"/>
      <c r="AR36" s="1992"/>
      <c r="AS36" s="1993">
        <f t="shared" ref="AS36:AS47" si="2">SUM(R36:AR36)</f>
        <v>0</v>
      </c>
      <c r="AT36" s="1994"/>
      <c r="AU36" s="1994"/>
      <c r="AV36" s="1994"/>
      <c r="AW36" s="1994"/>
      <c r="AX36" s="1995"/>
      <c r="AY36" s="1996">
        <f t="shared" ref="AY36:AY47" si="3">AS36/$J$29</f>
        <v>0</v>
      </c>
      <c r="AZ36" s="1997"/>
      <c r="BA36" s="1997"/>
      <c r="BB36" s="1997"/>
      <c r="BC36" s="1997"/>
      <c r="BD36" s="1998"/>
      <c r="BE36" s="1196"/>
    </row>
    <row r="37" spans="1:58" ht="15.75" customHeight="1">
      <c r="A37" s="1192"/>
      <c r="B37" s="1999" t="s">
        <v>2422</v>
      </c>
      <c r="C37" s="2000"/>
      <c r="D37" s="2000"/>
      <c r="E37" s="2000"/>
      <c r="F37" s="2000"/>
      <c r="G37" s="2000"/>
      <c r="H37" s="2000"/>
      <c r="I37" s="2000"/>
      <c r="J37" s="2001" t="s">
        <v>2421</v>
      </c>
      <c r="K37" s="2001"/>
      <c r="L37" s="2001"/>
      <c r="M37" s="2001"/>
      <c r="N37" s="2001">
        <v>55</v>
      </c>
      <c r="O37" s="2001"/>
      <c r="P37" s="2001"/>
      <c r="Q37" s="2001"/>
      <c r="R37" s="2002"/>
      <c r="S37" s="2002"/>
      <c r="T37" s="2002"/>
      <c r="U37" s="2002"/>
      <c r="V37" s="2002"/>
      <c r="W37" s="2002"/>
      <c r="X37" s="2002"/>
      <c r="Y37" s="2002"/>
      <c r="Z37" s="2002"/>
      <c r="AA37" s="2002"/>
      <c r="AB37" s="2002"/>
      <c r="AC37" s="2002"/>
      <c r="AD37" s="2002"/>
      <c r="AE37" s="2002"/>
      <c r="AF37" s="2002"/>
      <c r="AG37" s="2002"/>
      <c r="AH37" s="2002"/>
      <c r="AI37" s="2002"/>
      <c r="AJ37" s="2002"/>
      <c r="AK37" s="2002"/>
      <c r="AL37" s="1990"/>
      <c r="AM37" s="1991"/>
      <c r="AN37" s="1991"/>
      <c r="AO37" s="1992"/>
      <c r="AP37" s="1990"/>
      <c r="AQ37" s="1991"/>
      <c r="AR37" s="1992"/>
      <c r="AS37" s="1993">
        <f t="shared" si="2"/>
        <v>0</v>
      </c>
      <c r="AT37" s="1994"/>
      <c r="AU37" s="1994"/>
      <c r="AV37" s="1994"/>
      <c r="AW37" s="1994"/>
      <c r="AX37" s="1995"/>
      <c r="AY37" s="1996">
        <f t="shared" si="3"/>
        <v>0</v>
      </c>
      <c r="AZ37" s="1997"/>
      <c r="BA37" s="1997"/>
      <c r="BB37" s="1997"/>
      <c r="BC37" s="1997"/>
      <c r="BD37" s="1998"/>
      <c r="BE37" s="1196"/>
    </row>
    <row r="38" spans="1:58" ht="15.75" customHeight="1">
      <c r="A38" s="1192"/>
      <c r="B38" s="1999" t="s">
        <v>2420</v>
      </c>
      <c r="C38" s="2000"/>
      <c r="D38" s="2000"/>
      <c r="E38" s="2000"/>
      <c r="F38" s="2000"/>
      <c r="G38" s="2000"/>
      <c r="H38" s="2000"/>
      <c r="I38" s="2000"/>
      <c r="J38" s="2001" t="s">
        <v>2419</v>
      </c>
      <c r="K38" s="2001"/>
      <c r="L38" s="2001"/>
      <c r="M38" s="2001"/>
      <c r="N38" s="2001">
        <v>55</v>
      </c>
      <c r="O38" s="2001"/>
      <c r="P38" s="2001"/>
      <c r="Q38" s="2001"/>
      <c r="R38" s="2002"/>
      <c r="S38" s="2002"/>
      <c r="T38" s="2002"/>
      <c r="U38" s="2002"/>
      <c r="V38" s="2002"/>
      <c r="W38" s="2002"/>
      <c r="X38" s="2002"/>
      <c r="Y38" s="2002"/>
      <c r="Z38" s="2002"/>
      <c r="AA38" s="2002"/>
      <c r="AB38" s="2002"/>
      <c r="AC38" s="2002"/>
      <c r="AD38" s="2002"/>
      <c r="AE38" s="2002"/>
      <c r="AF38" s="2002"/>
      <c r="AG38" s="2002"/>
      <c r="AH38" s="2002"/>
      <c r="AI38" s="2002"/>
      <c r="AJ38" s="2002"/>
      <c r="AK38" s="2002"/>
      <c r="AL38" s="1990"/>
      <c r="AM38" s="1991"/>
      <c r="AN38" s="1991"/>
      <c r="AO38" s="1992"/>
      <c r="AP38" s="1990"/>
      <c r="AQ38" s="1991"/>
      <c r="AR38" s="1992"/>
      <c r="AS38" s="1993">
        <f t="shared" si="2"/>
        <v>0</v>
      </c>
      <c r="AT38" s="1994"/>
      <c r="AU38" s="1994"/>
      <c r="AV38" s="1994"/>
      <c r="AW38" s="1994"/>
      <c r="AX38" s="1995"/>
      <c r="AY38" s="1996">
        <f t="shared" si="3"/>
        <v>0</v>
      </c>
      <c r="AZ38" s="1997"/>
      <c r="BA38" s="1997"/>
      <c r="BB38" s="1997"/>
      <c r="BC38" s="1997"/>
      <c r="BD38" s="1998"/>
      <c r="BE38" s="1196"/>
    </row>
    <row r="39" spans="1:58" ht="15.75" customHeight="1">
      <c r="A39" s="1192"/>
      <c r="B39" s="1999" t="s">
        <v>2418</v>
      </c>
      <c r="C39" s="2000"/>
      <c r="D39" s="2000"/>
      <c r="E39" s="2000"/>
      <c r="F39" s="2000"/>
      <c r="G39" s="2000"/>
      <c r="H39" s="2000"/>
      <c r="I39" s="2000"/>
      <c r="J39" s="2001"/>
      <c r="K39" s="2001"/>
      <c r="L39" s="2001"/>
      <c r="M39" s="2001"/>
      <c r="N39" s="2001"/>
      <c r="O39" s="2001"/>
      <c r="P39" s="2001"/>
      <c r="Q39" s="2001"/>
      <c r="R39" s="2002"/>
      <c r="S39" s="2002"/>
      <c r="T39" s="2002"/>
      <c r="U39" s="2002"/>
      <c r="V39" s="2002"/>
      <c r="W39" s="2002"/>
      <c r="X39" s="2002"/>
      <c r="Y39" s="2002"/>
      <c r="Z39" s="2002"/>
      <c r="AA39" s="2002"/>
      <c r="AB39" s="2002"/>
      <c r="AC39" s="2002"/>
      <c r="AD39" s="2002"/>
      <c r="AE39" s="2002"/>
      <c r="AF39" s="2002"/>
      <c r="AG39" s="2002"/>
      <c r="AH39" s="2002"/>
      <c r="AI39" s="2002"/>
      <c r="AJ39" s="2002"/>
      <c r="AK39" s="2002"/>
      <c r="AL39" s="1990"/>
      <c r="AM39" s="1991"/>
      <c r="AN39" s="1991"/>
      <c r="AO39" s="1992"/>
      <c r="AP39" s="1990"/>
      <c r="AQ39" s="1991"/>
      <c r="AR39" s="1992"/>
      <c r="AS39" s="1993">
        <f t="shared" si="2"/>
        <v>0</v>
      </c>
      <c r="AT39" s="1994"/>
      <c r="AU39" s="1994"/>
      <c r="AV39" s="1994"/>
      <c r="AW39" s="1994"/>
      <c r="AX39" s="1995"/>
      <c r="AY39" s="1996">
        <f t="shared" si="3"/>
        <v>0</v>
      </c>
      <c r="AZ39" s="1997"/>
      <c r="BA39" s="1997"/>
      <c r="BB39" s="1997"/>
      <c r="BC39" s="1997"/>
      <c r="BD39" s="1998"/>
      <c r="BE39" s="1196"/>
    </row>
    <row r="40" spans="1:58" ht="15.75" customHeight="1">
      <c r="A40" s="1192"/>
      <c r="B40" s="1999" t="s">
        <v>2418</v>
      </c>
      <c r="C40" s="2000"/>
      <c r="D40" s="2000"/>
      <c r="E40" s="2000"/>
      <c r="F40" s="2000"/>
      <c r="G40" s="2000"/>
      <c r="H40" s="2000"/>
      <c r="I40" s="2000"/>
      <c r="J40" s="2001"/>
      <c r="K40" s="2001"/>
      <c r="L40" s="2001"/>
      <c r="M40" s="2001"/>
      <c r="N40" s="2001"/>
      <c r="O40" s="2001"/>
      <c r="P40" s="2001"/>
      <c r="Q40" s="2001"/>
      <c r="R40" s="2002"/>
      <c r="S40" s="2002"/>
      <c r="T40" s="2002"/>
      <c r="U40" s="2002"/>
      <c r="V40" s="2002"/>
      <c r="W40" s="2002"/>
      <c r="X40" s="2002"/>
      <c r="Y40" s="2002"/>
      <c r="Z40" s="2002"/>
      <c r="AA40" s="2002"/>
      <c r="AB40" s="2002"/>
      <c r="AC40" s="2002"/>
      <c r="AD40" s="2002"/>
      <c r="AE40" s="2002"/>
      <c r="AF40" s="2002"/>
      <c r="AG40" s="2002"/>
      <c r="AH40" s="2002"/>
      <c r="AI40" s="2002"/>
      <c r="AJ40" s="2002"/>
      <c r="AK40" s="2002"/>
      <c r="AL40" s="1990"/>
      <c r="AM40" s="1991"/>
      <c r="AN40" s="1991"/>
      <c r="AO40" s="1992"/>
      <c r="AP40" s="1990"/>
      <c r="AQ40" s="1991"/>
      <c r="AR40" s="1992"/>
      <c r="AS40" s="1993">
        <f t="shared" si="2"/>
        <v>0</v>
      </c>
      <c r="AT40" s="1994"/>
      <c r="AU40" s="1994"/>
      <c r="AV40" s="1994"/>
      <c r="AW40" s="1994"/>
      <c r="AX40" s="1995"/>
      <c r="AY40" s="1996">
        <f t="shared" si="3"/>
        <v>0</v>
      </c>
      <c r="AZ40" s="1997"/>
      <c r="BA40" s="1997"/>
      <c r="BB40" s="1997"/>
      <c r="BC40" s="1997"/>
      <c r="BD40" s="1998"/>
      <c r="BE40" s="1196"/>
    </row>
    <row r="41" spans="1:58" ht="15.75" customHeight="1">
      <c r="A41" s="1192"/>
      <c r="B41" s="1999" t="s">
        <v>2417</v>
      </c>
      <c r="C41" s="2000"/>
      <c r="D41" s="2000"/>
      <c r="E41" s="2000"/>
      <c r="F41" s="2000"/>
      <c r="G41" s="2000"/>
      <c r="H41" s="2000"/>
      <c r="I41" s="2000"/>
      <c r="J41" s="2001"/>
      <c r="K41" s="2001"/>
      <c r="L41" s="2001"/>
      <c r="M41" s="2001"/>
      <c r="N41" s="2001"/>
      <c r="O41" s="2001"/>
      <c r="P41" s="2001"/>
      <c r="Q41" s="2001"/>
      <c r="R41" s="2002"/>
      <c r="S41" s="2002"/>
      <c r="T41" s="2002"/>
      <c r="U41" s="2002"/>
      <c r="V41" s="2002"/>
      <c r="W41" s="2002"/>
      <c r="X41" s="2002"/>
      <c r="Y41" s="2002"/>
      <c r="Z41" s="2002"/>
      <c r="AA41" s="2002"/>
      <c r="AB41" s="2002"/>
      <c r="AC41" s="2002"/>
      <c r="AD41" s="2002"/>
      <c r="AE41" s="2002"/>
      <c r="AF41" s="2002"/>
      <c r="AG41" s="2002"/>
      <c r="AH41" s="2002"/>
      <c r="AI41" s="2002"/>
      <c r="AJ41" s="2002"/>
      <c r="AK41" s="2002"/>
      <c r="AL41" s="1990"/>
      <c r="AM41" s="1991"/>
      <c r="AN41" s="1991"/>
      <c r="AO41" s="1992"/>
      <c r="AP41" s="1990"/>
      <c r="AQ41" s="1991"/>
      <c r="AR41" s="1992"/>
      <c r="AS41" s="1993">
        <f t="shared" si="2"/>
        <v>0</v>
      </c>
      <c r="AT41" s="1994"/>
      <c r="AU41" s="1994"/>
      <c r="AV41" s="1994"/>
      <c r="AW41" s="1994"/>
      <c r="AX41" s="1995"/>
      <c r="AY41" s="1996">
        <f t="shared" si="3"/>
        <v>0</v>
      </c>
      <c r="AZ41" s="1997"/>
      <c r="BA41" s="1997"/>
      <c r="BB41" s="1997"/>
      <c r="BC41" s="1997"/>
      <c r="BD41" s="1998"/>
      <c r="BE41" s="1196"/>
    </row>
    <row r="42" spans="1:58" ht="15.75" customHeight="1">
      <c r="A42" s="1192"/>
      <c r="B42" s="1999" t="s">
        <v>2417</v>
      </c>
      <c r="C42" s="2000"/>
      <c r="D42" s="2000"/>
      <c r="E42" s="2000"/>
      <c r="F42" s="2000"/>
      <c r="G42" s="2000"/>
      <c r="H42" s="2000"/>
      <c r="I42" s="2000"/>
      <c r="J42" s="2001"/>
      <c r="K42" s="2001"/>
      <c r="L42" s="2001"/>
      <c r="M42" s="2001"/>
      <c r="N42" s="2001"/>
      <c r="O42" s="2001"/>
      <c r="P42" s="2001"/>
      <c r="Q42" s="2001"/>
      <c r="R42" s="2002"/>
      <c r="S42" s="2002"/>
      <c r="T42" s="2002"/>
      <c r="U42" s="2002"/>
      <c r="V42" s="2002"/>
      <c r="W42" s="2002"/>
      <c r="X42" s="2002"/>
      <c r="Y42" s="2002"/>
      <c r="Z42" s="2002"/>
      <c r="AA42" s="2002"/>
      <c r="AB42" s="2002"/>
      <c r="AC42" s="2002"/>
      <c r="AD42" s="2002"/>
      <c r="AE42" s="2002"/>
      <c r="AF42" s="2002"/>
      <c r="AG42" s="2002"/>
      <c r="AH42" s="2002"/>
      <c r="AI42" s="2002"/>
      <c r="AJ42" s="2002"/>
      <c r="AK42" s="2002"/>
      <c r="AL42" s="1990"/>
      <c r="AM42" s="1991"/>
      <c r="AN42" s="1991"/>
      <c r="AO42" s="1992"/>
      <c r="AP42" s="1990"/>
      <c r="AQ42" s="1991"/>
      <c r="AR42" s="1992"/>
      <c r="AS42" s="1993">
        <f t="shared" si="2"/>
        <v>0</v>
      </c>
      <c r="AT42" s="1994"/>
      <c r="AU42" s="1994"/>
      <c r="AV42" s="1994"/>
      <c r="AW42" s="1994"/>
      <c r="AX42" s="1995"/>
      <c r="AY42" s="1996">
        <f t="shared" si="3"/>
        <v>0</v>
      </c>
      <c r="AZ42" s="1997"/>
      <c r="BA42" s="1997"/>
      <c r="BB42" s="1997"/>
      <c r="BC42" s="1997"/>
      <c r="BD42" s="1998"/>
      <c r="BE42" s="1196"/>
    </row>
    <row r="43" spans="1:58" ht="15.75" customHeight="1">
      <c r="A43" s="1192"/>
      <c r="B43" s="2003" t="s">
        <v>2416</v>
      </c>
      <c r="C43" s="2004"/>
      <c r="D43" s="2004"/>
      <c r="E43" s="2004"/>
      <c r="F43" s="2004"/>
      <c r="G43" s="2004"/>
      <c r="H43" s="2004"/>
      <c r="I43" s="2004"/>
      <c r="J43" s="2001"/>
      <c r="K43" s="2001"/>
      <c r="L43" s="2001"/>
      <c r="M43" s="2001"/>
      <c r="N43" s="2001"/>
      <c r="O43" s="2001"/>
      <c r="P43" s="2001"/>
      <c r="Q43" s="2001"/>
      <c r="R43" s="2002"/>
      <c r="S43" s="2002"/>
      <c r="T43" s="2002"/>
      <c r="U43" s="2002"/>
      <c r="V43" s="2002"/>
      <c r="W43" s="2002"/>
      <c r="X43" s="2002"/>
      <c r="Y43" s="2002"/>
      <c r="Z43" s="2002"/>
      <c r="AA43" s="2002"/>
      <c r="AB43" s="2002"/>
      <c r="AC43" s="2002"/>
      <c r="AD43" s="2002"/>
      <c r="AE43" s="2002"/>
      <c r="AF43" s="2002"/>
      <c r="AG43" s="2002"/>
      <c r="AH43" s="2002"/>
      <c r="AI43" s="2002"/>
      <c r="AJ43" s="2002"/>
      <c r="AK43" s="2002"/>
      <c r="AL43" s="1990"/>
      <c r="AM43" s="1991"/>
      <c r="AN43" s="1991"/>
      <c r="AO43" s="1992"/>
      <c r="AP43" s="1990"/>
      <c r="AQ43" s="1991"/>
      <c r="AR43" s="1992"/>
      <c r="AS43" s="1993">
        <f t="shared" si="2"/>
        <v>0</v>
      </c>
      <c r="AT43" s="1994"/>
      <c r="AU43" s="1994"/>
      <c r="AV43" s="1994"/>
      <c r="AW43" s="1994"/>
      <c r="AX43" s="1995"/>
      <c r="AY43" s="1996">
        <f t="shared" si="3"/>
        <v>0</v>
      </c>
      <c r="AZ43" s="1997"/>
      <c r="BA43" s="1997"/>
      <c r="BB43" s="1997"/>
      <c r="BC43" s="1997"/>
      <c r="BD43" s="1998"/>
      <c r="BE43" s="1196"/>
    </row>
    <row r="44" spans="1:58" ht="15.75" customHeight="1">
      <c r="A44" s="1192"/>
      <c r="B44" s="2003" t="s">
        <v>2415</v>
      </c>
      <c r="C44" s="2004"/>
      <c r="D44" s="2004"/>
      <c r="E44" s="2004"/>
      <c r="F44" s="2004"/>
      <c r="G44" s="2004"/>
      <c r="H44" s="2004"/>
      <c r="I44" s="2004"/>
      <c r="J44" s="2001"/>
      <c r="K44" s="2001"/>
      <c r="L44" s="2001"/>
      <c r="M44" s="2001"/>
      <c r="N44" s="2001"/>
      <c r="O44" s="2001"/>
      <c r="P44" s="2001"/>
      <c r="Q44" s="2001"/>
      <c r="R44" s="2002"/>
      <c r="S44" s="2002"/>
      <c r="T44" s="2002"/>
      <c r="U44" s="2002"/>
      <c r="V44" s="2002"/>
      <c r="W44" s="2002"/>
      <c r="X44" s="2002"/>
      <c r="Y44" s="2002"/>
      <c r="Z44" s="2002"/>
      <c r="AA44" s="2002"/>
      <c r="AB44" s="2002"/>
      <c r="AC44" s="2002"/>
      <c r="AD44" s="2002"/>
      <c r="AE44" s="2002"/>
      <c r="AF44" s="2002"/>
      <c r="AG44" s="2002"/>
      <c r="AH44" s="2002"/>
      <c r="AI44" s="2002"/>
      <c r="AJ44" s="2002"/>
      <c r="AK44" s="2002"/>
      <c r="AL44" s="1990"/>
      <c r="AM44" s="1991"/>
      <c r="AN44" s="1991"/>
      <c r="AO44" s="1992"/>
      <c r="AP44" s="1990"/>
      <c r="AQ44" s="1991"/>
      <c r="AR44" s="1992"/>
      <c r="AS44" s="1993">
        <f t="shared" si="2"/>
        <v>0</v>
      </c>
      <c r="AT44" s="1994"/>
      <c r="AU44" s="1994"/>
      <c r="AV44" s="1994"/>
      <c r="AW44" s="1994"/>
      <c r="AX44" s="1995"/>
      <c r="AY44" s="1996">
        <f t="shared" si="3"/>
        <v>0</v>
      </c>
      <c r="AZ44" s="1997"/>
      <c r="BA44" s="1997"/>
      <c r="BB44" s="1997"/>
      <c r="BC44" s="1997"/>
      <c r="BD44" s="1998"/>
      <c r="BE44" s="1196"/>
    </row>
    <row r="45" spans="1:58" ht="15.75" customHeight="1">
      <c r="A45" s="1192"/>
      <c r="B45" s="2003" t="s">
        <v>2414</v>
      </c>
      <c r="C45" s="2004"/>
      <c r="D45" s="2004"/>
      <c r="E45" s="2004"/>
      <c r="F45" s="2004"/>
      <c r="G45" s="2004"/>
      <c r="H45" s="2004"/>
      <c r="I45" s="2004"/>
      <c r="J45" s="2001"/>
      <c r="K45" s="2001"/>
      <c r="L45" s="2001"/>
      <c r="M45" s="2001"/>
      <c r="N45" s="2001"/>
      <c r="O45" s="2001"/>
      <c r="P45" s="2001"/>
      <c r="Q45" s="2001"/>
      <c r="R45" s="2002"/>
      <c r="S45" s="2002"/>
      <c r="T45" s="2002"/>
      <c r="U45" s="2002"/>
      <c r="V45" s="2002"/>
      <c r="W45" s="2002"/>
      <c r="X45" s="2002"/>
      <c r="Y45" s="2002"/>
      <c r="Z45" s="2002"/>
      <c r="AA45" s="2002"/>
      <c r="AB45" s="2002"/>
      <c r="AC45" s="2002"/>
      <c r="AD45" s="2002"/>
      <c r="AE45" s="2002"/>
      <c r="AF45" s="2002"/>
      <c r="AG45" s="2002"/>
      <c r="AH45" s="2002"/>
      <c r="AI45" s="2002"/>
      <c r="AJ45" s="2002"/>
      <c r="AK45" s="2002"/>
      <c r="AL45" s="1990"/>
      <c r="AM45" s="1991"/>
      <c r="AN45" s="1991"/>
      <c r="AO45" s="1992"/>
      <c r="AP45" s="1990"/>
      <c r="AQ45" s="1991"/>
      <c r="AR45" s="1992"/>
      <c r="AS45" s="1993">
        <f t="shared" si="2"/>
        <v>0</v>
      </c>
      <c r="AT45" s="1994"/>
      <c r="AU45" s="1994"/>
      <c r="AV45" s="1994"/>
      <c r="AW45" s="1994"/>
      <c r="AX45" s="1995"/>
      <c r="AY45" s="1996">
        <f t="shared" si="3"/>
        <v>0</v>
      </c>
      <c r="AZ45" s="1997"/>
      <c r="BA45" s="1997"/>
      <c r="BB45" s="1997"/>
      <c r="BC45" s="1997"/>
      <c r="BD45" s="1998"/>
      <c r="BE45" s="1196"/>
    </row>
    <row r="46" spans="1:58" ht="15.75" customHeight="1">
      <c r="A46" s="1192"/>
      <c r="B46" s="2003" t="s">
        <v>2338</v>
      </c>
      <c r="C46" s="2004"/>
      <c r="D46" s="2004"/>
      <c r="E46" s="2004"/>
      <c r="F46" s="2004"/>
      <c r="G46" s="2004"/>
      <c r="H46" s="2004"/>
      <c r="I46" s="2004"/>
      <c r="J46" s="2001"/>
      <c r="K46" s="2001"/>
      <c r="L46" s="2001"/>
      <c r="M46" s="2001"/>
      <c r="N46" s="2001">
        <v>99</v>
      </c>
      <c r="O46" s="2001"/>
      <c r="P46" s="2001"/>
      <c r="Q46" s="2001"/>
      <c r="R46" s="2002"/>
      <c r="S46" s="2002"/>
      <c r="T46" s="2002"/>
      <c r="U46" s="2002"/>
      <c r="V46" s="2002"/>
      <c r="W46" s="2002"/>
      <c r="X46" s="2002"/>
      <c r="Y46" s="2002"/>
      <c r="Z46" s="2002"/>
      <c r="AA46" s="2002"/>
      <c r="AB46" s="2002"/>
      <c r="AC46" s="2002"/>
      <c r="AD46" s="2002"/>
      <c r="AE46" s="2002"/>
      <c r="AF46" s="2002"/>
      <c r="AG46" s="2002"/>
      <c r="AH46" s="2002"/>
      <c r="AI46" s="2002"/>
      <c r="AJ46" s="2002"/>
      <c r="AK46" s="2002"/>
      <c r="AL46" s="1990"/>
      <c r="AM46" s="1991"/>
      <c r="AN46" s="1991"/>
      <c r="AO46" s="1992"/>
      <c r="AP46" s="1990"/>
      <c r="AQ46" s="1991"/>
      <c r="AR46" s="1992"/>
      <c r="AS46" s="1993">
        <f t="shared" si="2"/>
        <v>0</v>
      </c>
      <c r="AT46" s="1994"/>
      <c r="AU46" s="1994"/>
      <c r="AV46" s="1994"/>
      <c r="AW46" s="1994"/>
      <c r="AX46" s="1995"/>
      <c r="AY46" s="1996">
        <f t="shared" si="3"/>
        <v>0</v>
      </c>
      <c r="AZ46" s="1997"/>
      <c r="BA46" s="1997"/>
      <c r="BB46" s="1997"/>
      <c r="BC46" s="1997"/>
      <c r="BD46" s="1998"/>
      <c r="BE46" s="1196"/>
    </row>
    <row r="47" spans="1:58" ht="15.75" customHeight="1" thickBot="1">
      <c r="A47" s="1192"/>
      <c r="B47" s="2005" t="s">
        <v>299</v>
      </c>
      <c r="C47" s="2006"/>
      <c r="D47" s="2006"/>
      <c r="E47" s="2006"/>
      <c r="F47" s="2006"/>
      <c r="G47" s="2006"/>
      <c r="H47" s="2006"/>
      <c r="I47" s="2006"/>
      <c r="J47" s="2007"/>
      <c r="K47" s="2007"/>
      <c r="L47" s="2007"/>
      <c r="M47" s="2007"/>
      <c r="N47" s="2007"/>
      <c r="O47" s="2007"/>
      <c r="P47" s="2007"/>
      <c r="Q47" s="2007"/>
      <c r="R47" s="2008"/>
      <c r="S47" s="2008"/>
      <c r="T47" s="2008"/>
      <c r="U47" s="2008"/>
      <c r="V47" s="2008"/>
      <c r="W47" s="2008"/>
      <c r="X47" s="2008"/>
      <c r="Y47" s="2008"/>
      <c r="Z47" s="2008"/>
      <c r="AA47" s="2008"/>
      <c r="AB47" s="2008"/>
      <c r="AC47" s="2008"/>
      <c r="AD47" s="2008"/>
      <c r="AE47" s="2008"/>
      <c r="AF47" s="2008"/>
      <c r="AG47" s="2008"/>
      <c r="AH47" s="2008"/>
      <c r="AI47" s="2008"/>
      <c r="AJ47" s="2008"/>
      <c r="AK47" s="2008"/>
      <c r="AL47" s="2012"/>
      <c r="AM47" s="2013"/>
      <c r="AN47" s="2013"/>
      <c r="AO47" s="2014"/>
      <c r="AP47" s="2012"/>
      <c r="AQ47" s="2013"/>
      <c r="AR47" s="2014"/>
      <c r="AS47" s="1993">
        <f t="shared" si="2"/>
        <v>0</v>
      </c>
      <c r="AT47" s="1994"/>
      <c r="AU47" s="1994"/>
      <c r="AV47" s="1994"/>
      <c r="AW47" s="1994"/>
      <c r="AX47" s="1995"/>
      <c r="AY47" s="2009">
        <f t="shared" si="3"/>
        <v>0</v>
      </c>
      <c r="AZ47" s="2010"/>
      <c r="BA47" s="2010"/>
      <c r="BB47" s="2010"/>
      <c r="BC47" s="2010"/>
      <c r="BD47" s="2011"/>
      <c r="BE47" s="1196"/>
    </row>
    <row r="48" spans="1:58" ht="15.75" customHeight="1">
      <c r="A48" s="1192"/>
      <c r="B48" s="1198" t="s">
        <v>2413</v>
      </c>
      <c r="C48" s="1192"/>
      <c r="D48" s="1192"/>
      <c r="E48" s="1192"/>
      <c r="F48" s="1192"/>
      <c r="G48" s="1192"/>
      <c r="H48" s="1192"/>
      <c r="I48" s="1192"/>
      <c r="J48" s="1192"/>
      <c r="K48" s="1192"/>
      <c r="L48" s="1192"/>
      <c r="M48" s="1192"/>
      <c r="N48" s="1192"/>
      <c r="O48" s="1192"/>
      <c r="P48" s="1192"/>
      <c r="Q48" s="1192"/>
      <c r="R48" s="1192"/>
      <c r="S48" s="1192"/>
      <c r="T48" s="1192"/>
      <c r="U48" s="1192"/>
      <c r="V48" s="1192"/>
      <c r="W48" s="1192"/>
      <c r="X48" s="1192"/>
      <c r="Y48" s="1192"/>
      <c r="Z48" s="1192"/>
      <c r="AA48" s="1192"/>
      <c r="AB48" s="1192"/>
      <c r="AC48" s="1192"/>
      <c r="AD48" s="1192"/>
      <c r="AE48" s="1192"/>
      <c r="AF48" s="1192"/>
      <c r="AG48" s="1192"/>
      <c r="AH48" s="1192"/>
      <c r="AI48" s="1192"/>
      <c r="AJ48" s="1192"/>
      <c r="AK48" s="1192"/>
      <c r="AL48" s="1192"/>
      <c r="AM48" s="1192"/>
      <c r="AN48" s="1192"/>
      <c r="AO48" s="1192"/>
      <c r="AP48" s="1192"/>
      <c r="AQ48" s="1192"/>
      <c r="AR48" s="1192"/>
      <c r="AS48" s="1192"/>
      <c r="AT48" s="1192"/>
      <c r="AU48" s="1192"/>
      <c r="AV48" s="1192"/>
      <c r="AW48" s="1192"/>
      <c r="AX48" s="1192"/>
      <c r="AY48" s="1192"/>
      <c r="AZ48" s="1192"/>
      <c r="BA48" s="1192"/>
      <c r="BB48" s="1192"/>
      <c r="BC48" s="1192"/>
      <c r="BD48" s="1192"/>
      <c r="BE48" s="1196"/>
      <c r="BF48" s="1190"/>
    </row>
    <row r="49" spans="1:58" ht="15.75" customHeight="1" thickBot="1">
      <c r="A49" s="1192"/>
      <c r="B49" s="1198" t="s">
        <v>2412</v>
      </c>
      <c r="C49" s="1192"/>
      <c r="D49" s="1192"/>
      <c r="E49" s="1192"/>
      <c r="F49" s="1192"/>
      <c r="G49" s="1192"/>
      <c r="H49" s="1192"/>
      <c r="I49" s="1192"/>
      <c r="J49" s="1192"/>
      <c r="K49" s="1192"/>
      <c r="L49" s="1192"/>
      <c r="M49" s="1192"/>
      <c r="N49" s="1192"/>
      <c r="O49" s="1192"/>
      <c r="P49" s="1192"/>
      <c r="Q49" s="1192"/>
      <c r="R49" s="1192"/>
      <c r="S49" s="1192"/>
      <c r="T49" s="1192"/>
      <c r="U49" s="1192"/>
      <c r="V49" s="1192"/>
      <c r="W49" s="1192"/>
      <c r="X49" s="1192"/>
      <c r="Y49" s="1192"/>
      <c r="Z49" s="1192"/>
      <c r="AA49" s="1192"/>
      <c r="AB49" s="1192"/>
      <c r="AC49" s="1192"/>
      <c r="AD49" s="1192"/>
      <c r="AE49" s="1192"/>
      <c r="AF49" s="1192"/>
      <c r="AG49" s="1192"/>
      <c r="AH49" s="1192"/>
      <c r="AI49" s="1192"/>
      <c r="AJ49" s="1192"/>
      <c r="AK49" s="1192"/>
      <c r="AL49" s="1192"/>
      <c r="AM49" s="1192"/>
      <c r="AN49" s="1192"/>
      <c r="AO49" s="1192"/>
      <c r="AP49" s="1194"/>
      <c r="AQ49" s="1194"/>
      <c r="AR49" s="1194"/>
      <c r="AS49" s="1194"/>
      <c r="AT49" s="1194"/>
      <c r="AU49" s="1194"/>
      <c r="AV49" s="1194"/>
      <c r="AW49" s="1194"/>
      <c r="AX49" s="1192"/>
      <c r="AY49" s="1192"/>
      <c r="AZ49" s="1192"/>
      <c r="BA49" s="1192"/>
      <c r="BB49" s="1192"/>
      <c r="BC49" s="1192"/>
      <c r="BD49" s="1192"/>
      <c r="BE49" s="1196"/>
      <c r="BF49" s="1190"/>
    </row>
    <row r="50" spans="1:58" ht="15.75" customHeight="1">
      <c r="A50" s="1192"/>
      <c r="B50" s="2015" t="s">
        <v>2411</v>
      </c>
      <c r="C50" s="2016"/>
      <c r="D50" s="2016"/>
      <c r="E50" s="2016"/>
      <c r="F50" s="2016"/>
      <c r="G50" s="2016"/>
      <c r="H50" s="2016"/>
      <c r="I50" s="2016"/>
      <c r="J50" s="2016"/>
      <c r="K50" s="2016"/>
      <c r="L50" s="2016"/>
      <c r="M50" s="2016"/>
      <c r="N50" s="2016"/>
      <c r="O50" s="2016"/>
      <c r="P50" s="2016"/>
      <c r="Q50" s="2016"/>
      <c r="R50" s="2016"/>
      <c r="S50" s="2016"/>
      <c r="T50" s="2016"/>
      <c r="U50" s="2016"/>
      <c r="V50" s="2016"/>
      <c r="W50" s="2016"/>
      <c r="X50" s="2016"/>
      <c r="Y50" s="2016"/>
      <c r="Z50" s="2016"/>
      <c r="AA50" s="2016"/>
      <c r="AB50" s="2016"/>
      <c r="AC50" s="2016"/>
      <c r="AD50" s="2016"/>
      <c r="AE50" s="2016"/>
      <c r="AF50" s="2016"/>
      <c r="AG50" s="2016"/>
      <c r="AH50" s="2016"/>
      <c r="AI50" s="2016"/>
      <c r="AJ50" s="2016"/>
      <c r="AK50" s="2016"/>
      <c r="AL50" s="2016"/>
      <c r="AM50" s="2016"/>
      <c r="AN50" s="2016"/>
      <c r="AO50" s="2017"/>
      <c r="AP50" s="1194"/>
      <c r="AQ50" s="1194"/>
      <c r="AR50" s="1194"/>
      <c r="AS50" s="1194"/>
      <c r="AT50" s="1194"/>
      <c r="AU50" s="1194"/>
      <c r="AV50" s="1194"/>
      <c r="AW50" s="1194"/>
      <c r="AX50" s="1192"/>
      <c r="AY50" s="1192"/>
      <c r="AZ50" s="1192"/>
      <c r="BA50" s="1192"/>
      <c r="BB50" s="1192"/>
      <c r="BC50" s="1192"/>
      <c r="BD50" s="1192"/>
      <c r="BE50" s="1196"/>
    </row>
    <row r="51" spans="1:58" ht="33.75" customHeight="1">
      <c r="A51" s="1192"/>
      <c r="B51" s="2018" t="s">
        <v>2404</v>
      </c>
      <c r="C51" s="2019"/>
      <c r="D51" s="2019"/>
      <c r="E51" s="2019"/>
      <c r="F51" s="2019"/>
      <c r="G51" s="2019"/>
      <c r="H51" s="2019"/>
      <c r="I51" s="2019"/>
      <c r="J51" s="2019" t="s">
        <v>2410</v>
      </c>
      <c r="K51" s="2019"/>
      <c r="L51" s="2019"/>
      <c r="M51" s="2019"/>
      <c r="N51" s="2019"/>
      <c r="O51" s="2019"/>
      <c r="P51" s="2019"/>
      <c r="Q51" s="2019"/>
      <c r="R51" s="2020" t="s">
        <v>2409</v>
      </c>
      <c r="S51" s="2020"/>
      <c r="T51" s="2020"/>
      <c r="U51" s="2020"/>
      <c r="V51" s="2020"/>
      <c r="W51" s="2020"/>
      <c r="X51" s="2020"/>
      <c r="Y51" s="2020"/>
      <c r="Z51" s="2020" t="s">
        <v>2408</v>
      </c>
      <c r="AA51" s="2020"/>
      <c r="AB51" s="2020"/>
      <c r="AC51" s="2020"/>
      <c r="AD51" s="2020"/>
      <c r="AE51" s="2020"/>
      <c r="AF51" s="2020"/>
      <c r="AG51" s="2020"/>
      <c r="AH51" s="2020" t="s">
        <v>2407</v>
      </c>
      <c r="AI51" s="2020"/>
      <c r="AJ51" s="2020"/>
      <c r="AK51" s="2020"/>
      <c r="AL51" s="2020"/>
      <c r="AM51" s="2020"/>
      <c r="AN51" s="2020"/>
      <c r="AO51" s="2021"/>
      <c r="AP51" s="1194"/>
      <c r="AQ51" s="1194"/>
      <c r="AR51" s="1194"/>
      <c r="AS51" s="1194"/>
      <c r="AT51" s="1194"/>
      <c r="AU51" s="1194"/>
      <c r="AV51" s="1194"/>
      <c r="AW51" s="1194"/>
      <c r="AX51" s="1197"/>
      <c r="AY51" s="1192"/>
      <c r="AZ51" s="1192"/>
      <c r="BA51" s="1192"/>
      <c r="BB51" s="1192"/>
      <c r="BC51" s="1192"/>
      <c r="BD51" s="1192"/>
      <c r="BE51" s="1196"/>
    </row>
    <row r="52" spans="1:58" ht="15.75" customHeight="1">
      <c r="A52" s="1192"/>
      <c r="B52" s="2003" t="s">
        <v>2406</v>
      </c>
      <c r="C52" s="2004"/>
      <c r="D52" s="2004"/>
      <c r="E52" s="2004"/>
      <c r="F52" s="2004"/>
      <c r="G52" s="2004"/>
      <c r="H52" s="2004"/>
      <c r="I52" s="2004"/>
      <c r="J52" s="2022">
        <v>0</v>
      </c>
      <c r="K52" s="2022"/>
      <c r="L52" s="2022"/>
      <c r="M52" s="2022"/>
      <c r="N52" s="2022"/>
      <c r="O52" s="2022"/>
      <c r="P52" s="2022"/>
      <c r="Q52" s="2022"/>
      <c r="R52" s="2023">
        <v>0</v>
      </c>
      <c r="S52" s="2023"/>
      <c r="T52" s="2023"/>
      <c r="U52" s="2023"/>
      <c r="V52" s="2023"/>
      <c r="W52" s="2023"/>
      <c r="X52" s="2023"/>
      <c r="Y52" s="2023"/>
      <c r="Z52" s="2024">
        <v>0</v>
      </c>
      <c r="AA52" s="2024"/>
      <c r="AB52" s="2024"/>
      <c r="AC52" s="2024"/>
      <c r="AD52" s="2024"/>
      <c r="AE52" s="2024"/>
      <c r="AF52" s="2024"/>
      <c r="AG52" s="2024"/>
      <c r="AH52" s="2025"/>
      <c r="AI52" s="2025"/>
      <c r="AJ52" s="2025"/>
      <c r="AK52" s="2025"/>
      <c r="AL52" s="2025"/>
      <c r="AM52" s="2025"/>
      <c r="AN52" s="2025"/>
      <c r="AO52" s="2026"/>
      <c r="AP52" s="1194"/>
      <c r="AQ52" s="1194"/>
      <c r="AR52" s="1194"/>
      <c r="AS52" s="1194"/>
      <c r="AT52" s="1194"/>
      <c r="AU52" s="1194"/>
      <c r="AV52" s="1194"/>
      <c r="AW52" s="1194"/>
      <c r="AX52" s="1197"/>
      <c r="AY52" s="1192"/>
      <c r="AZ52" s="1192"/>
      <c r="BA52" s="1192"/>
      <c r="BB52" s="1192"/>
      <c r="BC52" s="1192"/>
      <c r="BD52" s="1192"/>
      <c r="BE52" s="1196"/>
    </row>
    <row r="53" spans="1:58" ht="15.75" customHeight="1">
      <c r="A53" s="1192"/>
      <c r="B53" s="2003" t="s">
        <v>2405</v>
      </c>
      <c r="C53" s="2004"/>
      <c r="D53" s="2004"/>
      <c r="E53" s="2004"/>
      <c r="F53" s="2004"/>
      <c r="G53" s="2004"/>
      <c r="H53" s="2004"/>
      <c r="I53" s="2004"/>
      <c r="J53" s="2022">
        <v>0</v>
      </c>
      <c r="K53" s="2022"/>
      <c r="L53" s="2022"/>
      <c r="M53" s="2022"/>
      <c r="N53" s="2022"/>
      <c r="O53" s="2022"/>
      <c r="P53" s="2022"/>
      <c r="Q53" s="2022"/>
      <c r="R53" s="2023">
        <v>0</v>
      </c>
      <c r="S53" s="2023"/>
      <c r="T53" s="2023"/>
      <c r="U53" s="2023"/>
      <c r="V53" s="2023"/>
      <c r="W53" s="2023"/>
      <c r="X53" s="2023"/>
      <c r="Y53" s="2023"/>
      <c r="Z53" s="2024">
        <v>0</v>
      </c>
      <c r="AA53" s="2024"/>
      <c r="AB53" s="2024"/>
      <c r="AC53" s="2024"/>
      <c r="AD53" s="2024"/>
      <c r="AE53" s="2024"/>
      <c r="AF53" s="2024"/>
      <c r="AG53" s="2024"/>
      <c r="AH53" s="2025"/>
      <c r="AI53" s="2025"/>
      <c r="AJ53" s="2025"/>
      <c r="AK53" s="2025"/>
      <c r="AL53" s="2025"/>
      <c r="AM53" s="2025"/>
      <c r="AN53" s="2025"/>
      <c r="AO53" s="2026"/>
      <c r="AP53" s="1194"/>
      <c r="AQ53" s="1194"/>
      <c r="AR53" s="1194"/>
      <c r="AS53" s="1194"/>
      <c r="AT53" s="1194"/>
      <c r="AU53" s="1194"/>
      <c r="AV53" s="1194"/>
      <c r="AW53" s="1194"/>
      <c r="AX53" s="1192"/>
      <c r="AY53" s="1192"/>
      <c r="AZ53" s="1192"/>
      <c r="BA53" s="1192"/>
      <c r="BB53" s="1192"/>
      <c r="BC53" s="1192"/>
      <c r="BD53" s="1192"/>
      <c r="BE53" s="1196"/>
    </row>
    <row r="54" spans="1:58" ht="15.75" customHeight="1">
      <c r="A54" s="1192"/>
      <c r="B54" s="2003"/>
      <c r="C54" s="2004"/>
      <c r="D54" s="2004"/>
      <c r="E54" s="2004"/>
      <c r="F54" s="2004"/>
      <c r="G54" s="2004"/>
      <c r="H54" s="2004"/>
      <c r="I54" s="2004"/>
      <c r="J54" s="2022"/>
      <c r="K54" s="2022"/>
      <c r="L54" s="2022"/>
      <c r="M54" s="2022"/>
      <c r="N54" s="2022"/>
      <c r="O54" s="2022"/>
      <c r="P54" s="2022"/>
      <c r="Q54" s="2022"/>
      <c r="R54" s="2023"/>
      <c r="S54" s="2023"/>
      <c r="T54" s="2023"/>
      <c r="U54" s="2023"/>
      <c r="V54" s="2023"/>
      <c r="W54" s="2023"/>
      <c r="X54" s="2023"/>
      <c r="Y54" s="2023"/>
      <c r="Z54" s="2024"/>
      <c r="AA54" s="2024"/>
      <c r="AB54" s="2024"/>
      <c r="AC54" s="2024"/>
      <c r="AD54" s="2024"/>
      <c r="AE54" s="2024"/>
      <c r="AF54" s="2024"/>
      <c r="AG54" s="2024"/>
      <c r="AH54" s="2025"/>
      <c r="AI54" s="2025"/>
      <c r="AJ54" s="2025"/>
      <c r="AK54" s="2025"/>
      <c r="AL54" s="2025"/>
      <c r="AM54" s="2025"/>
      <c r="AN54" s="2025"/>
      <c r="AO54" s="2026"/>
      <c r="AP54" s="1194"/>
      <c r="AQ54" s="1194"/>
      <c r="AR54" s="1194"/>
      <c r="AS54" s="1194"/>
      <c r="AT54" s="1194"/>
      <c r="AU54" s="1194"/>
      <c r="AV54" s="1194"/>
      <c r="AW54" s="1194"/>
      <c r="AX54" s="1192"/>
      <c r="AY54" s="1192"/>
      <c r="AZ54" s="1192"/>
      <c r="BA54" s="1192"/>
      <c r="BB54" s="1192"/>
      <c r="BC54" s="1192"/>
      <c r="BD54" s="1192"/>
      <c r="BE54" s="1196"/>
    </row>
    <row r="55" spans="1:58" ht="15.75" customHeight="1">
      <c r="A55" s="1192"/>
      <c r="B55" s="2003"/>
      <c r="C55" s="2004"/>
      <c r="D55" s="2004"/>
      <c r="E55" s="2004"/>
      <c r="F55" s="2004"/>
      <c r="G55" s="2004"/>
      <c r="H55" s="2004"/>
      <c r="I55" s="2004"/>
      <c r="J55" s="2022"/>
      <c r="K55" s="2022"/>
      <c r="L55" s="2022"/>
      <c r="M55" s="2022"/>
      <c r="N55" s="2022"/>
      <c r="O55" s="2022"/>
      <c r="P55" s="2022"/>
      <c r="Q55" s="2022"/>
      <c r="R55" s="2023"/>
      <c r="S55" s="2023"/>
      <c r="T55" s="2023"/>
      <c r="U55" s="2023"/>
      <c r="V55" s="2023"/>
      <c r="W55" s="2023"/>
      <c r="X55" s="2023"/>
      <c r="Y55" s="2023"/>
      <c r="Z55" s="2024"/>
      <c r="AA55" s="2024"/>
      <c r="AB55" s="2024"/>
      <c r="AC55" s="2024"/>
      <c r="AD55" s="2024"/>
      <c r="AE55" s="2024"/>
      <c r="AF55" s="2024"/>
      <c r="AG55" s="2024"/>
      <c r="AH55" s="2025"/>
      <c r="AI55" s="2025"/>
      <c r="AJ55" s="2025"/>
      <c r="AK55" s="2025"/>
      <c r="AL55" s="2025"/>
      <c r="AM55" s="2025"/>
      <c r="AN55" s="2025"/>
      <c r="AO55" s="2026"/>
      <c r="AP55" s="1194"/>
      <c r="AQ55" s="1194"/>
      <c r="AR55" s="1194"/>
      <c r="AS55" s="1194"/>
      <c r="AT55" s="1194" t="s">
        <v>249</v>
      </c>
      <c r="AU55" s="1194"/>
      <c r="AV55" s="1194"/>
      <c r="AW55" s="1194"/>
      <c r="AX55" s="1192"/>
      <c r="AY55" s="1192"/>
      <c r="AZ55" s="1192"/>
      <c r="BA55" s="1192"/>
      <c r="BB55" s="1192"/>
      <c r="BC55" s="1192"/>
      <c r="BD55" s="1192"/>
      <c r="BE55" s="1196"/>
    </row>
    <row r="56" spans="1:58" ht="15.75" customHeight="1">
      <c r="A56" s="1192"/>
      <c r="B56" s="2003"/>
      <c r="C56" s="2004"/>
      <c r="D56" s="2004"/>
      <c r="E56" s="2004"/>
      <c r="F56" s="2004"/>
      <c r="G56" s="2004"/>
      <c r="H56" s="2004"/>
      <c r="I56" s="2004"/>
      <c r="J56" s="2022"/>
      <c r="K56" s="2022"/>
      <c r="L56" s="2022"/>
      <c r="M56" s="2022"/>
      <c r="N56" s="2022"/>
      <c r="O56" s="2022"/>
      <c r="P56" s="2022"/>
      <c r="Q56" s="2022"/>
      <c r="R56" s="2023"/>
      <c r="S56" s="2023"/>
      <c r="T56" s="2023"/>
      <c r="U56" s="2023"/>
      <c r="V56" s="2023"/>
      <c r="W56" s="2023"/>
      <c r="X56" s="2023"/>
      <c r="Y56" s="2023"/>
      <c r="Z56" s="2024"/>
      <c r="AA56" s="2024"/>
      <c r="AB56" s="2024"/>
      <c r="AC56" s="2024"/>
      <c r="AD56" s="2024"/>
      <c r="AE56" s="2024"/>
      <c r="AF56" s="2024"/>
      <c r="AG56" s="2024"/>
      <c r="AH56" s="2025"/>
      <c r="AI56" s="2025"/>
      <c r="AJ56" s="2025"/>
      <c r="AK56" s="2025"/>
      <c r="AL56" s="2025"/>
      <c r="AM56" s="2025"/>
      <c r="AN56" s="2025"/>
      <c r="AO56" s="2026"/>
      <c r="AP56" s="1194"/>
      <c r="AQ56" s="1194"/>
      <c r="AR56" s="1194"/>
      <c r="AS56" s="1194"/>
      <c r="AT56" s="1194"/>
      <c r="AU56" s="1194"/>
      <c r="AV56" s="1194"/>
      <c r="AW56" s="1194"/>
      <c r="AX56" s="1192"/>
      <c r="AY56" s="1192"/>
      <c r="AZ56" s="1192"/>
      <c r="BA56" s="1192"/>
      <c r="BB56" s="1192"/>
      <c r="BC56" s="1192"/>
      <c r="BD56" s="1192"/>
      <c r="BE56" s="1196"/>
    </row>
    <row r="57" spans="1:58" s="1200" customFormat="1" ht="15.75" customHeight="1" thickBot="1">
      <c r="A57" s="1194"/>
      <c r="B57" s="2036" t="s">
        <v>1585</v>
      </c>
      <c r="C57" s="2037"/>
      <c r="D57" s="2037"/>
      <c r="E57" s="2037"/>
      <c r="F57" s="2037"/>
      <c r="G57" s="2037"/>
      <c r="H57" s="2037"/>
      <c r="I57" s="2037"/>
      <c r="J57" s="2037"/>
      <c r="K57" s="2037"/>
      <c r="L57" s="2037"/>
      <c r="M57" s="2037"/>
      <c r="N57" s="2037"/>
      <c r="O57" s="2037"/>
      <c r="P57" s="2037"/>
      <c r="Q57" s="2037"/>
      <c r="R57" s="2038">
        <f>SUM(R52:Y56)</f>
        <v>0</v>
      </c>
      <c r="S57" s="2038"/>
      <c r="T57" s="2038"/>
      <c r="U57" s="2038"/>
      <c r="V57" s="2038"/>
      <c r="W57" s="2038"/>
      <c r="X57" s="2038"/>
      <c r="Y57" s="2038"/>
      <c r="Z57" s="2039">
        <f>SUM(Z52:AG56)</f>
        <v>0</v>
      </c>
      <c r="AA57" s="2039"/>
      <c r="AB57" s="2039"/>
      <c r="AC57" s="2039"/>
      <c r="AD57" s="2039"/>
      <c r="AE57" s="2039"/>
      <c r="AF57" s="2039"/>
      <c r="AG57" s="2039"/>
      <c r="AH57" s="2040"/>
      <c r="AI57" s="2040"/>
      <c r="AJ57" s="2040"/>
      <c r="AK57" s="2040"/>
      <c r="AL57" s="2040"/>
      <c r="AM57" s="2040"/>
      <c r="AN57" s="2040"/>
      <c r="AO57" s="2041"/>
      <c r="AP57" s="1194"/>
      <c r="AQ57" s="1194"/>
      <c r="AR57" s="1194"/>
      <c r="AS57" s="1194"/>
      <c r="AT57" s="1194"/>
      <c r="AU57" s="1194"/>
      <c r="AV57" s="1194"/>
      <c r="AW57" s="1194"/>
      <c r="AX57" s="1194"/>
      <c r="AY57" s="1194"/>
      <c r="AZ57" s="1194"/>
      <c r="BA57" s="1194"/>
      <c r="BB57" s="1194"/>
      <c r="BC57" s="1194"/>
      <c r="BD57" s="1194"/>
      <c r="BE57" s="1199"/>
    </row>
    <row r="58" spans="1:58" ht="15.75" customHeight="1" thickBot="1">
      <c r="A58" s="1192"/>
      <c r="B58" s="1192"/>
      <c r="C58" s="1192"/>
      <c r="D58" s="1192"/>
      <c r="E58" s="1192"/>
      <c r="F58" s="1192"/>
      <c r="G58" s="1192"/>
      <c r="H58" s="1192"/>
      <c r="I58" s="1192"/>
      <c r="J58" s="1192"/>
      <c r="K58" s="1192"/>
      <c r="L58" s="1192"/>
      <c r="M58" s="1192"/>
      <c r="N58" s="1192"/>
      <c r="O58" s="1192"/>
      <c r="P58" s="1192"/>
      <c r="Q58" s="1192"/>
      <c r="R58" s="1192"/>
      <c r="S58" s="1192"/>
      <c r="T58" s="1192"/>
      <c r="U58" s="1192"/>
      <c r="V58" s="1192"/>
      <c r="W58" s="1192"/>
      <c r="X58" s="1192"/>
      <c r="Y58" s="1192"/>
      <c r="Z58" s="1192"/>
      <c r="AA58" s="1192"/>
      <c r="AB58" s="1192"/>
      <c r="AC58" s="1192"/>
      <c r="AD58" s="1192"/>
      <c r="AE58" s="1192"/>
      <c r="AF58" s="1192"/>
      <c r="AG58" s="1192"/>
      <c r="AH58" s="1192"/>
      <c r="AI58" s="1192"/>
      <c r="AJ58" s="1192"/>
      <c r="AK58" s="1192"/>
      <c r="AL58" s="1192"/>
      <c r="AM58" s="1192"/>
      <c r="AN58" s="1192"/>
      <c r="AO58" s="1192"/>
      <c r="AP58" s="1192"/>
      <c r="AQ58" s="1192"/>
      <c r="AR58" s="1192"/>
      <c r="AS58" s="1192"/>
      <c r="AT58" s="1192"/>
      <c r="AU58" s="1192"/>
      <c r="AV58" s="1192"/>
      <c r="AW58" s="1192"/>
      <c r="AX58" s="1192"/>
      <c r="AY58" s="1192"/>
      <c r="AZ58" s="1192"/>
      <c r="BA58" s="1192"/>
      <c r="BB58" s="1192"/>
      <c r="BC58" s="1192"/>
      <c r="BD58" s="1192"/>
      <c r="BE58" s="1196"/>
    </row>
    <row r="59" spans="1:58" ht="15.75" customHeight="1">
      <c r="A59" s="1192"/>
      <c r="B59" s="2027" t="s">
        <v>2404</v>
      </c>
      <c r="C59" s="2028"/>
      <c r="D59" s="2028"/>
      <c r="E59" s="2028"/>
      <c r="F59" s="2028"/>
      <c r="G59" s="2028"/>
      <c r="H59" s="2028"/>
      <c r="I59" s="2029"/>
      <c r="J59" s="1921" t="s">
        <v>2403</v>
      </c>
      <c r="K59" s="1921"/>
      <c r="L59" s="1921"/>
      <c r="M59" s="1921"/>
      <c r="N59" s="1921"/>
      <c r="O59" s="1921"/>
      <c r="P59" s="1921"/>
      <c r="Q59" s="1921"/>
      <c r="R59" s="1921"/>
      <c r="S59" s="1921"/>
      <c r="T59" s="1921"/>
      <c r="U59" s="1921"/>
      <c r="V59" s="1921"/>
      <c r="W59" s="1921"/>
      <c r="X59" s="1921"/>
      <c r="Y59" s="1921"/>
      <c r="Z59" s="1921"/>
      <c r="AA59" s="1921"/>
      <c r="AB59" s="1921"/>
      <c r="AC59" s="1921"/>
      <c r="AD59" s="1921"/>
      <c r="AE59" s="1921"/>
      <c r="AF59" s="1921"/>
      <c r="AG59" s="1921"/>
      <c r="AH59" s="1921"/>
      <c r="AI59" s="1921"/>
      <c r="AJ59" s="1921"/>
      <c r="AK59" s="1921"/>
      <c r="AL59" s="1921"/>
      <c r="AM59" s="1921"/>
      <c r="AN59" s="1921"/>
      <c r="AO59" s="1921"/>
      <c r="AP59" s="1921"/>
      <c r="AQ59" s="1921"/>
      <c r="AR59" s="1921"/>
      <c r="AS59" s="1921"/>
      <c r="AT59" s="1921"/>
      <c r="AU59" s="1921"/>
      <c r="AV59" s="1921"/>
      <c r="AW59" s="1922"/>
      <c r="AX59" s="1192"/>
      <c r="AY59" s="1192"/>
      <c r="AZ59" s="1192"/>
      <c r="BA59" s="1192"/>
      <c r="BB59" s="1192"/>
      <c r="BC59" s="1192"/>
      <c r="BD59" s="1192"/>
      <c r="BE59" s="1196"/>
    </row>
    <row r="60" spans="1:58" ht="15.75" customHeight="1">
      <c r="A60" s="1192"/>
      <c r="B60" s="2030" t="str">
        <f>IF(B52="", "", B52)</f>
        <v>Services Company 1</v>
      </c>
      <c r="C60" s="2031"/>
      <c r="D60" s="2031"/>
      <c r="E60" s="2031"/>
      <c r="F60" s="2031"/>
      <c r="G60" s="2031"/>
      <c r="H60" s="2031"/>
      <c r="I60" s="2032"/>
      <c r="J60" s="2033"/>
      <c r="K60" s="2034"/>
      <c r="L60" s="2034"/>
      <c r="M60" s="2034"/>
      <c r="N60" s="2034"/>
      <c r="O60" s="2034"/>
      <c r="P60" s="2034"/>
      <c r="Q60" s="2034"/>
      <c r="R60" s="2034"/>
      <c r="S60" s="2034"/>
      <c r="T60" s="2034"/>
      <c r="U60" s="2034"/>
      <c r="V60" s="2034"/>
      <c r="W60" s="2034"/>
      <c r="X60" s="2034"/>
      <c r="Y60" s="2034"/>
      <c r="Z60" s="2034"/>
      <c r="AA60" s="2034"/>
      <c r="AB60" s="2034"/>
      <c r="AC60" s="2034"/>
      <c r="AD60" s="2034"/>
      <c r="AE60" s="2034"/>
      <c r="AF60" s="2034"/>
      <c r="AG60" s="2034"/>
      <c r="AH60" s="2034"/>
      <c r="AI60" s="2034"/>
      <c r="AJ60" s="2034"/>
      <c r="AK60" s="2034"/>
      <c r="AL60" s="2034"/>
      <c r="AM60" s="2034"/>
      <c r="AN60" s="2034"/>
      <c r="AO60" s="2034"/>
      <c r="AP60" s="2034"/>
      <c r="AQ60" s="2034"/>
      <c r="AR60" s="2034"/>
      <c r="AS60" s="2034"/>
      <c r="AT60" s="2034"/>
      <c r="AU60" s="2034"/>
      <c r="AV60" s="2034"/>
      <c r="AW60" s="2035"/>
      <c r="AX60" s="1192"/>
      <c r="AY60" s="1192"/>
      <c r="AZ60" s="1192"/>
      <c r="BA60" s="1192"/>
      <c r="BB60" s="1192"/>
      <c r="BC60" s="1192"/>
      <c r="BD60" s="1192"/>
      <c r="BE60" s="1196"/>
    </row>
    <row r="61" spans="1:58" ht="15.75" customHeight="1">
      <c r="A61" s="1192"/>
      <c r="B61" s="2030" t="str">
        <f>IF(B53="", "", B53)</f>
        <v>Services Company 2</v>
      </c>
      <c r="C61" s="2031"/>
      <c r="D61" s="2031"/>
      <c r="E61" s="2031"/>
      <c r="F61" s="2031"/>
      <c r="G61" s="2031"/>
      <c r="H61" s="2031"/>
      <c r="I61" s="2032"/>
      <c r="J61" s="2033"/>
      <c r="K61" s="2034"/>
      <c r="L61" s="2034"/>
      <c r="M61" s="2034"/>
      <c r="N61" s="2034"/>
      <c r="O61" s="2034"/>
      <c r="P61" s="2034"/>
      <c r="Q61" s="2034"/>
      <c r="R61" s="2034"/>
      <c r="S61" s="2034"/>
      <c r="T61" s="2034"/>
      <c r="U61" s="2034"/>
      <c r="V61" s="2034"/>
      <c r="W61" s="2034"/>
      <c r="X61" s="2034"/>
      <c r="Y61" s="2034"/>
      <c r="Z61" s="2034"/>
      <c r="AA61" s="2034"/>
      <c r="AB61" s="2034"/>
      <c r="AC61" s="2034"/>
      <c r="AD61" s="2034"/>
      <c r="AE61" s="2034"/>
      <c r="AF61" s="2034"/>
      <c r="AG61" s="2034"/>
      <c r="AH61" s="2034"/>
      <c r="AI61" s="2034"/>
      <c r="AJ61" s="2034"/>
      <c r="AK61" s="2034"/>
      <c r="AL61" s="2034"/>
      <c r="AM61" s="2034"/>
      <c r="AN61" s="2034"/>
      <c r="AO61" s="2034"/>
      <c r="AP61" s="2034"/>
      <c r="AQ61" s="2034"/>
      <c r="AR61" s="2034"/>
      <c r="AS61" s="2034"/>
      <c r="AT61" s="2034"/>
      <c r="AU61" s="2034"/>
      <c r="AV61" s="2034"/>
      <c r="AW61" s="2035"/>
      <c r="AX61" s="1192"/>
      <c r="AY61" s="1192"/>
      <c r="AZ61" s="1192"/>
      <c r="BA61" s="1192"/>
      <c r="BB61" s="1192"/>
      <c r="BC61" s="1192"/>
      <c r="BD61" s="1192"/>
      <c r="BE61" s="1196"/>
    </row>
    <row r="62" spans="1:58" ht="15.75" customHeight="1">
      <c r="A62" s="1192"/>
      <c r="B62" s="2030" t="str">
        <f>IF(B54="", "", B54)</f>
        <v/>
      </c>
      <c r="C62" s="2031"/>
      <c r="D62" s="2031"/>
      <c r="E62" s="2031"/>
      <c r="F62" s="2031"/>
      <c r="G62" s="2031"/>
      <c r="H62" s="2031"/>
      <c r="I62" s="2032"/>
      <c r="J62" s="2033"/>
      <c r="K62" s="2034"/>
      <c r="L62" s="2034"/>
      <c r="M62" s="2034"/>
      <c r="N62" s="2034"/>
      <c r="O62" s="2034"/>
      <c r="P62" s="2034"/>
      <c r="Q62" s="2034"/>
      <c r="R62" s="2034"/>
      <c r="S62" s="2034"/>
      <c r="T62" s="2034"/>
      <c r="U62" s="2034"/>
      <c r="V62" s="2034"/>
      <c r="W62" s="2034"/>
      <c r="X62" s="2034"/>
      <c r="Y62" s="2034"/>
      <c r="Z62" s="2034"/>
      <c r="AA62" s="2034"/>
      <c r="AB62" s="2034"/>
      <c r="AC62" s="2034"/>
      <c r="AD62" s="2034"/>
      <c r="AE62" s="2034"/>
      <c r="AF62" s="2034"/>
      <c r="AG62" s="2034"/>
      <c r="AH62" s="2034"/>
      <c r="AI62" s="2034"/>
      <c r="AJ62" s="2034"/>
      <c r="AK62" s="2034"/>
      <c r="AL62" s="2034"/>
      <c r="AM62" s="2034"/>
      <c r="AN62" s="2034"/>
      <c r="AO62" s="2034"/>
      <c r="AP62" s="2034"/>
      <c r="AQ62" s="2034"/>
      <c r="AR62" s="2034"/>
      <c r="AS62" s="2034"/>
      <c r="AT62" s="2034"/>
      <c r="AU62" s="2034"/>
      <c r="AV62" s="2034"/>
      <c r="AW62" s="2035"/>
      <c r="AX62" s="1192"/>
      <c r="AY62" s="1192"/>
      <c r="AZ62" s="1192"/>
      <c r="BA62" s="1192"/>
      <c r="BB62" s="1192"/>
      <c r="BC62" s="1192"/>
      <c r="BD62" s="1192"/>
      <c r="BE62" s="1196"/>
    </row>
    <row r="63" spans="1:58" ht="15.75" customHeight="1">
      <c r="A63" s="1192"/>
      <c r="B63" s="2030" t="str">
        <f>IF(B55="", "", B55)</f>
        <v/>
      </c>
      <c r="C63" s="2031"/>
      <c r="D63" s="2031"/>
      <c r="E63" s="2031"/>
      <c r="F63" s="2031"/>
      <c r="G63" s="2031"/>
      <c r="H63" s="2031"/>
      <c r="I63" s="2032"/>
      <c r="J63" s="2033"/>
      <c r="K63" s="2034"/>
      <c r="L63" s="2034"/>
      <c r="M63" s="2034"/>
      <c r="N63" s="2034"/>
      <c r="O63" s="2034"/>
      <c r="P63" s="2034"/>
      <c r="Q63" s="2034"/>
      <c r="R63" s="2034"/>
      <c r="S63" s="2034"/>
      <c r="T63" s="2034"/>
      <c r="U63" s="2034"/>
      <c r="V63" s="2034"/>
      <c r="W63" s="2034"/>
      <c r="X63" s="2034"/>
      <c r="Y63" s="2034"/>
      <c r="Z63" s="2034"/>
      <c r="AA63" s="2034"/>
      <c r="AB63" s="2034"/>
      <c r="AC63" s="2034"/>
      <c r="AD63" s="2034"/>
      <c r="AE63" s="2034"/>
      <c r="AF63" s="2034"/>
      <c r="AG63" s="2034"/>
      <c r="AH63" s="2034"/>
      <c r="AI63" s="2034"/>
      <c r="AJ63" s="2034"/>
      <c r="AK63" s="2034"/>
      <c r="AL63" s="2034"/>
      <c r="AM63" s="2034"/>
      <c r="AN63" s="2034"/>
      <c r="AO63" s="2034"/>
      <c r="AP63" s="2034"/>
      <c r="AQ63" s="2034"/>
      <c r="AR63" s="2034"/>
      <c r="AS63" s="2034"/>
      <c r="AT63" s="2034"/>
      <c r="AU63" s="2034"/>
      <c r="AV63" s="2034"/>
      <c r="AW63" s="2035"/>
      <c r="AX63" s="1192"/>
      <c r="AY63" s="1192"/>
      <c r="AZ63" s="1192"/>
      <c r="BA63" s="1192"/>
      <c r="BB63" s="1192"/>
      <c r="BC63" s="1192"/>
      <c r="BD63" s="1192"/>
      <c r="BE63" s="1196"/>
    </row>
    <row r="64" spans="1:58" ht="15.75" customHeight="1" thickBot="1">
      <c r="A64" s="1192"/>
      <c r="B64" s="2052" t="str">
        <f>IF(B56="", "", B56)</f>
        <v/>
      </c>
      <c r="C64" s="2053"/>
      <c r="D64" s="2053"/>
      <c r="E64" s="2053"/>
      <c r="F64" s="2053"/>
      <c r="G64" s="2053"/>
      <c r="H64" s="2053"/>
      <c r="I64" s="2054"/>
      <c r="J64" s="2055"/>
      <c r="K64" s="2056"/>
      <c r="L64" s="2056"/>
      <c r="M64" s="2056"/>
      <c r="N64" s="2056"/>
      <c r="O64" s="2056"/>
      <c r="P64" s="2056"/>
      <c r="Q64" s="2056"/>
      <c r="R64" s="2056"/>
      <c r="S64" s="2056"/>
      <c r="T64" s="2056"/>
      <c r="U64" s="2056"/>
      <c r="V64" s="2056"/>
      <c r="W64" s="2056"/>
      <c r="X64" s="2056"/>
      <c r="Y64" s="2056"/>
      <c r="Z64" s="2056"/>
      <c r="AA64" s="2056"/>
      <c r="AB64" s="2056"/>
      <c r="AC64" s="2056"/>
      <c r="AD64" s="2056"/>
      <c r="AE64" s="2056"/>
      <c r="AF64" s="2056"/>
      <c r="AG64" s="2056"/>
      <c r="AH64" s="2056"/>
      <c r="AI64" s="2056"/>
      <c r="AJ64" s="2056"/>
      <c r="AK64" s="2056"/>
      <c r="AL64" s="2056"/>
      <c r="AM64" s="2056"/>
      <c r="AN64" s="2056"/>
      <c r="AO64" s="2056"/>
      <c r="AP64" s="2056"/>
      <c r="AQ64" s="2056"/>
      <c r="AR64" s="2056"/>
      <c r="AS64" s="2056"/>
      <c r="AT64" s="2056"/>
      <c r="AU64" s="2056"/>
      <c r="AV64" s="2056"/>
      <c r="AW64" s="2057"/>
      <c r="AX64" s="1192"/>
      <c r="AY64" s="1192"/>
      <c r="AZ64" s="1192"/>
      <c r="BA64" s="1192"/>
      <c r="BB64" s="1192"/>
      <c r="BC64" s="1192"/>
      <c r="BD64" s="1192"/>
      <c r="BE64" s="1196"/>
    </row>
    <row r="65" spans="1:94" ht="15.75" customHeight="1">
      <c r="A65" s="1192"/>
      <c r="B65" s="1192"/>
      <c r="C65" s="1192"/>
      <c r="D65" s="1192"/>
      <c r="E65" s="1192"/>
      <c r="F65" s="1192"/>
      <c r="G65" s="1192"/>
      <c r="H65" s="1192"/>
      <c r="I65" s="1192"/>
      <c r="J65" s="1192"/>
      <c r="K65" s="1192"/>
      <c r="L65" s="1192"/>
      <c r="M65" s="1192"/>
      <c r="N65" s="1192"/>
      <c r="O65" s="1192"/>
      <c r="P65" s="1192"/>
      <c r="Q65" s="1192"/>
      <c r="R65" s="1192"/>
      <c r="S65" s="1192"/>
      <c r="T65" s="1192"/>
      <c r="U65" s="1192"/>
      <c r="V65" s="1192"/>
      <c r="W65" s="1192"/>
      <c r="X65" s="1192"/>
      <c r="Y65" s="1192"/>
      <c r="Z65" s="1192"/>
      <c r="AA65" s="1192"/>
      <c r="AB65" s="1192"/>
      <c r="AC65" s="1192"/>
      <c r="AD65" s="1192"/>
      <c r="AE65" s="1192"/>
      <c r="AF65" s="1192"/>
      <c r="AG65" s="1192"/>
      <c r="AH65" s="1192"/>
      <c r="AI65" s="1192"/>
      <c r="AJ65" s="1192"/>
      <c r="AK65" s="1192"/>
      <c r="AL65" s="1192"/>
      <c r="AM65" s="1192"/>
      <c r="AN65" s="1192"/>
      <c r="AO65" s="1192"/>
      <c r="AP65" s="1192"/>
      <c r="AQ65" s="1192"/>
      <c r="AR65" s="1192"/>
      <c r="AS65" s="1192"/>
      <c r="AT65" s="1192"/>
      <c r="AU65" s="1192"/>
      <c r="AV65" s="1192"/>
      <c r="AW65" s="1192"/>
      <c r="AX65" s="1192"/>
      <c r="AY65" s="1192"/>
      <c r="AZ65" s="1192"/>
      <c r="BA65" s="1192"/>
      <c r="BB65" s="1192"/>
      <c r="BC65" s="1192"/>
      <c r="BD65" s="1192"/>
      <c r="BE65" s="1196"/>
    </row>
    <row r="66" spans="1:94" ht="15.75" customHeight="1">
      <c r="A66" s="1192"/>
      <c r="B66" s="1200" t="s">
        <v>2402</v>
      </c>
      <c r="C66" s="1200"/>
      <c r="D66" s="1200"/>
      <c r="E66" s="1200"/>
      <c r="F66" s="1200"/>
      <c r="G66" s="1200"/>
      <c r="H66" s="1200"/>
      <c r="I66" s="1200"/>
      <c r="J66" s="1200"/>
      <c r="K66" s="1200"/>
      <c r="L66" s="1192"/>
      <c r="M66" s="1192"/>
      <c r="N66" s="1192"/>
      <c r="O66" s="1192"/>
      <c r="P66" s="1192"/>
      <c r="Q66" s="1192"/>
      <c r="R66" s="1192"/>
      <c r="S66" s="1192"/>
      <c r="T66" s="1192"/>
      <c r="U66" s="1192"/>
      <c r="V66" s="1192"/>
      <c r="W66" s="1192"/>
      <c r="X66" s="1192"/>
      <c r="Y66" s="1192"/>
      <c r="Z66" s="1192"/>
      <c r="AA66" s="1192"/>
      <c r="AB66" s="1192"/>
      <c r="AC66" s="1192"/>
      <c r="AD66" s="1192"/>
      <c r="AE66" s="1192"/>
      <c r="AF66" s="1192"/>
      <c r="AG66" s="1192"/>
      <c r="AH66" s="1192"/>
      <c r="AI66" s="1192"/>
      <c r="AJ66" s="1192"/>
      <c r="AK66" s="1192"/>
      <c r="AL66" s="1192"/>
      <c r="AM66" s="1192"/>
      <c r="AN66" s="1192"/>
      <c r="AO66" s="1192"/>
      <c r="AP66" s="1192"/>
      <c r="AQ66" s="1192"/>
      <c r="AR66" s="1192"/>
      <c r="AS66" s="1192"/>
      <c r="AT66" s="1192"/>
      <c r="AU66" s="1192"/>
      <c r="AV66" s="1192"/>
      <c r="AW66" s="1192"/>
      <c r="AX66" s="1192"/>
      <c r="AY66" s="1192"/>
      <c r="AZ66" s="1192"/>
      <c r="BA66" s="1192"/>
      <c r="BB66" s="1192"/>
      <c r="BC66" s="1192"/>
      <c r="BD66" s="1192"/>
      <c r="BE66" s="1196"/>
    </row>
    <row r="67" spans="1:94" ht="15.75" customHeight="1" thickBot="1">
      <c r="A67" s="1192"/>
      <c r="B67" s="1192"/>
      <c r="C67" s="1192"/>
      <c r="D67" s="1192"/>
      <c r="E67" s="1192"/>
      <c r="F67" s="1192"/>
      <c r="G67" s="1192"/>
      <c r="H67" s="1192"/>
      <c r="I67" s="1192"/>
      <c r="J67" s="1192"/>
      <c r="K67" s="1192"/>
      <c r="L67" s="1192"/>
      <c r="M67" s="1192"/>
      <c r="N67" s="1192"/>
      <c r="O67" s="1192"/>
      <c r="P67" s="1192"/>
      <c r="Q67" s="1192"/>
      <c r="R67" s="1192"/>
      <c r="S67" s="1192"/>
      <c r="T67" s="1192"/>
      <c r="U67" s="1192"/>
      <c r="V67" s="1192"/>
      <c r="W67" s="1192"/>
      <c r="X67" s="1192"/>
      <c r="Y67" s="1192"/>
      <c r="Z67" s="1192"/>
      <c r="AA67" s="1192"/>
      <c r="AB67" s="1192"/>
      <c r="AC67" s="1192"/>
      <c r="AD67" s="1192"/>
      <c r="AE67" s="1192"/>
      <c r="AF67" s="1192"/>
      <c r="AG67" s="1192"/>
      <c r="AH67" s="1192"/>
      <c r="AI67" s="1192"/>
      <c r="AJ67" s="1192"/>
      <c r="AK67" s="1192"/>
      <c r="AL67" s="1192"/>
      <c r="AM67" s="1192"/>
      <c r="AN67" s="1192"/>
      <c r="AO67" s="1192"/>
      <c r="AP67" s="1192"/>
      <c r="AQ67" s="1192"/>
      <c r="AR67" s="1192"/>
      <c r="AS67" s="1192"/>
      <c r="AT67" s="1192"/>
      <c r="AU67" s="1192"/>
      <c r="AV67" s="1192"/>
      <c r="AW67" s="1192"/>
      <c r="AX67" s="1192"/>
      <c r="AY67" s="1192"/>
      <c r="AZ67" s="1192"/>
      <c r="BA67" s="1192"/>
      <c r="BB67" s="1192"/>
      <c r="BC67" s="1192"/>
      <c r="BD67" s="1192"/>
      <c r="BE67" s="1196"/>
    </row>
    <row r="68" spans="1:94" ht="15.75" customHeight="1" thickBot="1">
      <c r="A68" s="1192"/>
      <c r="B68" s="1920" t="s">
        <v>2401</v>
      </c>
      <c r="C68" s="1921"/>
      <c r="D68" s="1921"/>
      <c r="E68" s="1921"/>
      <c r="F68" s="1921"/>
      <c r="G68" s="1921"/>
      <c r="H68" s="1921"/>
      <c r="I68" s="1921"/>
      <c r="J68" s="1921"/>
      <c r="K68" s="1921"/>
      <c r="L68" s="1921"/>
      <c r="M68" s="1921"/>
      <c r="N68" s="1921"/>
      <c r="O68" s="1921"/>
      <c r="P68" s="1921"/>
      <c r="Q68" s="1921"/>
      <c r="R68" s="1921"/>
      <c r="S68" s="1921"/>
      <c r="T68" s="1921"/>
      <c r="U68" s="1921"/>
      <c r="V68" s="1921"/>
      <c r="W68" s="1921"/>
      <c r="X68" s="1921"/>
      <c r="Y68" s="1921"/>
      <c r="Z68" s="1921"/>
      <c r="AA68" s="1922"/>
      <c r="AB68" s="1192"/>
      <c r="AC68" s="2064" t="s">
        <v>2400</v>
      </c>
      <c r="AD68" s="2065"/>
      <c r="AE68" s="2065"/>
      <c r="AF68" s="2065"/>
      <c r="AG68" s="2065"/>
      <c r="AH68" s="2065"/>
      <c r="AI68" s="2065"/>
      <c r="AJ68" s="2065"/>
      <c r="AK68" s="2065"/>
      <c r="AL68" s="2065"/>
      <c r="AM68" s="2065"/>
      <c r="AN68" s="2065"/>
      <c r="AO68" s="2065"/>
      <c r="AP68" s="2065"/>
      <c r="AQ68" s="2065"/>
      <c r="AR68" s="2065"/>
      <c r="AS68" s="2065"/>
      <c r="AT68" s="2065"/>
      <c r="AU68" s="2065"/>
      <c r="AV68" s="2042" t="s">
        <v>668</v>
      </c>
      <c r="AW68" s="2043"/>
      <c r="AX68" s="2043"/>
      <c r="AY68" s="2043"/>
      <c r="AZ68" s="2043"/>
      <c r="BA68" s="2043"/>
      <c r="BB68" s="2043"/>
      <c r="BC68" s="2044"/>
      <c r="BD68" s="1192"/>
      <c r="BE68" s="1196"/>
      <c r="BM68" s="1201" t="s">
        <v>2399</v>
      </c>
    </row>
    <row r="69" spans="1:94" ht="15.75" customHeight="1" thickTop="1" thickBot="1">
      <c r="A69" s="1192"/>
      <c r="B69" s="2045" t="s">
        <v>2398</v>
      </c>
      <c r="C69" s="2046"/>
      <c r="D69" s="2046"/>
      <c r="E69" s="2046"/>
      <c r="F69" s="2046"/>
      <c r="G69" s="2046"/>
      <c r="H69" s="2046"/>
      <c r="I69" s="2046"/>
      <c r="J69" s="2046"/>
      <c r="K69" s="2046"/>
      <c r="L69" s="2046"/>
      <c r="M69" s="2046"/>
      <c r="N69" s="2046"/>
      <c r="O69" s="2047" t="s">
        <v>2397</v>
      </c>
      <c r="P69" s="2048"/>
      <c r="Q69" s="2048"/>
      <c r="R69" s="2048"/>
      <c r="S69" s="2048"/>
      <c r="T69" s="2048"/>
      <c r="U69" s="2048"/>
      <c r="V69" s="2048"/>
      <c r="W69" s="2048"/>
      <c r="X69" s="2048"/>
      <c r="Y69" s="2048"/>
      <c r="Z69" s="2048"/>
      <c r="AA69" s="2049"/>
      <c r="AB69" s="1192"/>
      <c r="AC69" s="2050" t="s">
        <v>2396</v>
      </c>
      <c r="AD69" s="2051"/>
      <c r="AE69" s="2051"/>
      <c r="AF69" s="2051"/>
      <c r="AG69" s="2051"/>
      <c r="AH69" s="2051"/>
      <c r="AI69" s="2051"/>
      <c r="AJ69" s="2051"/>
      <c r="AK69" s="2051"/>
      <c r="AL69" s="2051"/>
      <c r="AM69" s="2051"/>
      <c r="AN69" s="2051"/>
      <c r="AO69" s="2051"/>
      <c r="AP69" s="2051"/>
      <c r="AQ69" s="2051"/>
      <c r="AR69" s="2051"/>
      <c r="AS69" s="2051"/>
      <c r="AT69" s="2051"/>
      <c r="AU69" s="2051"/>
      <c r="AV69" s="2042" t="s">
        <v>668</v>
      </c>
      <c r="AW69" s="2043"/>
      <c r="AX69" s="2043"/>
      <c r="AY69" s="2043"/>
      <c r="AZ69" s="2043"/>
      <c r="BA69" s="2043"/>
      <c r="BB69" s="2043"/>
      <c r="BC69" s="2044"/>
      <c r="BD69" s="1192"/>
      <c r="BE69" s="1196"/>
      <c r="BM69" s="1202" t="s">
        <v>544</v>
      </c>
    </row>
    <row r="70" spans="1:94" ht="15.75" customHeight="1">
      <c r="A70" s="1192"/>
      <c r="B70" s="1999" t="s">
        <v>2395</v>
      </c>
      <c r="C70" s="2000"/>
      <c r="D70" s="2000"/>
      <c r="E70" s="2000"/>
      <c r="F70" s="2000"/>
      <c r="G70" s="2000"/>
      <c r="H70" s="2000"/>
      <c r="I70" s="2000"/>
      <c r="J70" s="2000"/>
      <c r="K70" s="2000"/>
      <c r="L70" s="2000"/>
      <c r="M70" s="2000"/>
      <c r="N70" s="2000"/>
      <c r="O70" s="2058">
        <v>0</v>
      </c>
      <c r="P70" s="2058"/>
      <c r="Q70" s="2058"/>
      <c r="R70" s="2058"/>
      <c r="S70" s="2058"/>
      <c r="T70" s="2058"/>
      <c r="U70" s="2058"/>
      <c r="V70" s="2058"/>
      <c r="W70" s="2058"/>
      <c r="X70" s="2058"/>
      <c r="Y70" s="2058"/>
      <c r="Z70" s="2058"/>
      <c r="AA70" s="2059"/>
      <c r="AB70" s="1192"/>
      <c r="AC70" s="2015" t="s">
        <v>2394</v>
      </c>
      <c r="AD70" s="2016"/>
      <c r="AE70" s="2016"/>
      <c r="AF70" s="2060"/>
      <c r="AG70" s="2060"/>
      <c r="AH70" s="2060"/>
      <c r="AI70" s="2060"/>
      <c r="AJ70" s="2060"/>
      <c r="AK70" s="2060"/>
      <c r="AL70" s="2060"/>
      <c r="AM70" s="2060"/>
      <c r="AN70" s="2060"/>
      <c r="AO70" s="2060"/>
      <c r="AP70" s="2060"/>
      <c r="AQ70" s="2060"/>
      <c r="AR70" s="2060"/>
      <c r="AS70" s="2060"/>
      <c r="AT70" s="2060"/>
      <c r="AU70" s="2061"/>
      <c r="AV70" s="1192"/>
      <c r="AW70" s="1192"/>
      <c r="AX70" s="1192"/>
      <c r="AY70" s="1192"/>
      <c r="AZ70" s="1192"/>
      <c r="BA70" s="1192"/>
      <c r="BB70" s="1192"/>
      <c r="BC70" s="1192"/>
      <c r="BD70" s="1192"/>
      <c r="BE70" s="1196"/>
      <c r="BM70" s="1203" t="s">
        <v>668</v>
      </c>
    </row>
    <row r="71" spans="1:94" ht="15.75" customHeight="1" thickBot="1">
      <c r="A71" s="1192"/>
      <c r="B71" s="1999" t="s">
        <v>2393</v>
      </c>
      <c r="C71" s="2000"/>
      <c r="D71" s="2000"/>
      <c r="E71" s="2000"/>
      <c r="F71" s="2000"/>
      <c r="G71" s="2000"/>
      <c r="H71" s="2000"/>
      <c r="I71" s="2000"/>
      <c r="J71" s="2000"/>
      <c r="K71" s="2000"/>
      <c r="L71" s="2000"/>
      <c r="M71" s="2000"/>
      <c r="N71" s="2000"/>
      <c r="O71" s="2058">
        <v>0</v>
      </c>
      <c r="P71" s="2058"/>
      <c r="Q71" s="2058"/>
      <c r="R71" s="2058"/>
      <c r="S71" s="2058"/>
      <c r="T71" s="2058"/>
      <c r="U71" s="2058"/>
      <c r="V71" s="2058"/>
      <c r="W71" s="2058"/>
      <c r="X71" s="2058"/>
      <c r="Y71" s="2058"/>
      <c r="Z71" s="2058"/>
      <c r="AA71" s="2059"/>
      <c r="AB71" s="1192"/>
      <c r="AC71" s="2062" t="s">
        <v>2392</v>
      </c>
      <c r="AD71" s="2063"/>
      <c r="AE71" s="2063"/>
      <c r="AF71" s="2056"/>
      <c r="AG71" s="2056"/>
      <c r="AH71" s="2056"/>
      <c r="AI71" s="2056"/>
      <c r="AJ71" s="2056"/>
      <c r="AK71" s="2056"/>
      <c r="AL71" s="2056"/>
      <c r="AM71" s="2056"/>
      <c r="AN71" s="2056"/>
      <c r="AO71" s="2056"/>
      <c r="AP71" s="2056"/>
      <c r="AQ71" s="2056"/>
      <c r="AR71" s="2056"/>
      <c r="AS71" s="2056"/>
      <c r="AT71" s="2056"/>
      <c r="AU71" s="2057"/>
      <c r="AV71" s="1192"/>
      <c r="AW71" s="1192"/>
      <c r="AX71" s="1192"/>
      <c r="AY71" s="1192"/>
      <c r="AZ71" s="1192"/>
      <c r="BA71" s="1192"/>
      <c r="BB71" s="1192"/>
      <c r="BC71" s="1192"/>
      <c r="BD71" s="1192"/>
      <c r="BE71" s="1196"/>
      <c r="BM71" s="1189" t="s">
        <v>2391</v>
      </c>
    </row>
    <row r="72" spans="1:94" ht="15.75" customHeight="1">
      <c r="A72" s="1192"/>
      <c r="B72" s="1999" t="s">
        <v>2390</v>
      </c>
      <c r="C72" s="2000"/>
      <c r="D72" s="2000"/>
      <c r="E72" s="2000"/>
      <c r="F72" s="2000"/>
      <c r="G72" s="2000"/>
      <c r="H72" s="2000"/>
      <c r="I72" s="2000"/>
      <c r="J72" s="2000"/>
      <c r="K72" s="2000"/>
      <c r="L72" s="2000"/>
      <c r="M72" s="2000"/>
      <c r="N72" s="2000"/>
      <c r="O72" s="2058">
        <v>0</v>
      </c>
      <c r="P72" s="2058"/>
      <c r="Q72" s="2058"/>
      <c r="R72" s="2058"/>
      <c r="S72" s="2058"/>
      <c r="T72" s="2058"/>
      <c r="U72" s="2058"/>
      <c r="V72" s="2058"/>
      <c r="W72" s="2058"/>
      <c r="X72" s="2058"/>
      <c r="Y72" s="2058"/>
      <c r="Z72" s="2058"/>
      <c r="AA72" s="2059"/>
      <c r="AB72" s="1192"/>
      <c r="AC72" s="2082" t="s">
        <v>2389</v>
      </c>
      <c r="AD72" s="2083"/>
      <c r="AE72" s="2083"/>
      <c r="AF72" s="2083"/>
      <c r="AG72" s="2083"/>
      <c r="AH72" s="2083"/>
      <c r="AI72" s="2083"/>
      <c r="AJ72" s="2083"/>
      <c r="AK72" s="2083"/>
      <c r="AL72" s="2083"/>
      <c r="AM72" s="2083"/>
      <c r="AN72" s="2083"/>
      <c r="AO72" s="2083"/>
      <c r="AP72" s="2083"/>
      <c r="AQ72" s="2083"/>
      <c r="AR72" s="2083"/>
      <c r="AS72" s="2083"/>
      <c r="AT72" s="2083"/>
      <c r="AU72" s="2083"/>
      <c r="AV72" s="2016"/>
      <c r="AW72" s="2016"/>
      <c r="AX72" s="2016"/>
      <c r="AY72" s="2016"/>
      <c r="AZ72" s="2016"/>
      <c r="BA72" s="2016"/>
      <c r="BB72" s="2016"/>
      <c r="BC72" s="2017"/>
      <c r="BD72" s="1192"/>
      <c r="BE72" s="1196"/>
    </row>
    <row r="73" spans="1:94" ht="15.75" customHeight="1">
      <c r="A73" s="1192"/>
      <c r="B73" s="2003" t="s">
        <v>2388</v>
      </c>
      <c r="C73" s="2004"/>
      <c r="D73" s="2004"/>
      <c r="E73" s="2004"/>
      <c r="F73" s="2004"/>
      <c r="G73" s="2004"/>
      <c r="H73" s="2004"/>
      <c r="I73" s="2004"/>
      <c r="J73" s="2004"/>
      <c r="K73" s="2004"/>
      <c r="L73" s="2004"/>
      <c r="M73" s="2004"/>
      <c r="N73" s="2004"/>
      <c r="O73" s="2058">
        <v>0</v>
      </c>
      <c r="P73" s="2058"/>
      <c r="Q73" s="2058"/>
      <c r="R73" s="2058"/>
      <c r="S73" s="2058"/>
      <c r="T73" s="2058"/>
      <c r="U73" s="2058"/>
      <c r="V73" s="2058"/>
      <c r="W73" s="2058"/>
      <c r="X73" s="2058"/>
      <c r="Y73" s="2058"/>
      <c r="Z73" s="2058"/>
      <c r="AA73" s="2059"/>
      <c r="AB73" s="1192"/>
      <c r="AC73" s="2084" t="s">
        <v>2333</v>
      </c>
      <c r="AD73" s="2085"/>
      <c r="AE73" s="2085"/>
      <c r="AF73" s="2085"/>
      <c r="AG73" s="2085"/>
      <c r="AH73" s="2085"/>
      <c r="AI73" s="2085"/>
      <c r="AJ73" s="2085"/>
      <c r="AK73" s="2085"/>
      <c r="AL73" s="2085"/>
      <c r="AM73" s="2085"/>
      <c r="AN73" s="2085"/>
      <c r="AO73" s="2085"/>
      <c r="AP73" s="2085"/>
      <c r="AQ73" s="2085"/>
      <c r="AR73" s="2085"/>
      <c r="AS73" s="2085"/>
      <c r="AT73" s="2085"/>
      <c r="AU73" s="2085"/>
      <c r="AV73" s="2085"/>
      <c r="AW73" s="2085"/>
      <c r="AX73" s="2085"/>
      <c r="AY73" s="2085"/>
      <c r="AZ73" s="2085"/>
      <c r="BA73" s="2085"/>
      <c r="BB73" s="2085"/>
      <c r="BC73" s="2086"/>
      <c r="BD73" s="1192"/>
      <c r="BE73" s="1196"/>
      <c r="CK73" s="1190"/>
      <c r="CL73" s="1190"/>
      <c r="CM73" s="1190"/>
      <c r="CN73" s="1190"/>
      <c r="CO73" s="1190"/>
      <c r="CP73" s="1190"/>
    </row>
    <row r="74" spans="1:94" ht="15.75" customHeight="1">
      <c r="A74" s="1192"/>
      <c r="B74" s="2090"/>
      <c r="C74" s="2022"/>
      <c r="D74" s="2022"/>
      <c r="E74" s="2022"/>
      <c r="F74" s="2022"/>
      <c r="G74" s="2022"/>
      <c r="H74" s="2022"/>
      <c r="I74" s="2022"/>
      <c r="J74" s="2022"/>
      <c r="K74" s="2022"/>
      <c r="L74" s="2022"/>
      <c r="M74" s="2022"/>
      <c r="N74" s="2022"/>
      <c r="O74" s="2058"/>
      <c r="P74" s="2058"/>
      <c r="Q74" s="2058"/>
      <c r="R74" s="2058"/>
      <c r="S74" s="2058"/>
      <c r="T74" s="2058"/>
      <c r="U74" s="2058"/>
      <c r="V74" s="2058"/>
      <c r="W74" s="2058"/>
      <c r="X74" s="2058"/>
      <c r="Y74" s="2058"/>
      <c r="Z74" s="2058"/>
      <c r="AA74" s="2059"/>
      <c r="AB74" s="1192"/>
      <c r="AC74" s="2084"/>
      <c r="AD74" s="2085"/>
      <c r="AE74" s="2085"/>
      <c r="AF74" s="2085"/>
      <c r="AG74" s="2085"/>
      <c r="AH74" s="2085"/>
      <c r="AI74" s="2085"/>
      <c r="AJ74" s="2085"/>
      <c r="AK74" s="2085"/>
      <c r="AL74" s="2085"/>
      <c r="AM74" s="2085"/>
      <c r="AN74" s="2085"/>
      <c r="AO74" s="2085"/>
      <c r="AP74" s="2085"/>
      <c r="AQ74" s="2085"/>
      <c r="AR74" s="2085"/>
      <c r="AS74" s="2085"/>
      <c r="AT74" s="2085"/>
      <c r="AU74" s="2085"/>
      <c r="AV74" s="2085"/>
      <c r="AW74" s="2085"/>
      <c r="AX74" s="2085"/>
      <c r="AY74" s="2085"/>
      <c r="AZ74" s="2085"/>
      <c r="BA74" s="2085"/>
      <c r="BB74" s="2085"/>
      <c r="BC74" s="2086"/>
      <c r="BD74" s="1192"/>
      <c r="BE74" s="1196"/>
      <c r="CK74" s="1190"/>
      <c r="CL74" s="1190"/>
      <c r="CM74" s="1190"/>
      <c r="CN74" s="1190"/>
      <c r="CO74" s="1190"/>
      <c r="CP74" s="1190"/>
    </row>
    <row r="75" spans="1:94" ht="15.75" customHeight="1" thickBot="1">
      <c r="A75" s="1192"/>
      <c r="B75" s="2091" t="s">
        <v>124</v>
      </c>
      <c r="C75" s="2092"/>
      <c r="D75" s="2092"/>
      <c r="E75" s="2092"/>
      <c r="F75" s="2092"/>
      <c r="G75" s="2092"/>
      <c r="H75" s="2092"/>
      <c r="I75" s="2092"/>
      <c r="J75" s="2092"/>
      <c r="K75" s="2092"/>
      <c r="L75" s="2092"/>
      <c r="M75" s="2092"/>
      <c r="N75" s="2092"/>
      <c r="O75" s="2093">
        <f>SUM(O70:AA74)</f>
        <v>0</v>
      </c>
      <c r="P75" s="2093"/>
      <c r="Q75" s="2093"/>
      <c r="R75" s="2093"/>
      <c r="S75" s="2093"/>
      <c r="T75" s="2093"/>
      <c r="U75" s="2093"/>
      <c r="V75" s="2093"/>
      <c r="W75" s="2093"/>
      <c r="X75" s="2093"/>
      <c r="Y75" s="2093"/>
      <c r="Z75" s="2093"/>
      <c r="AA75" s="2094"/>
      <c r="AB75" s="1192"/>
      <c r="AC75" s="2084"/>
      <c r="AD75" s="2085"/>
      <c r="AE75" s="2085"/>
      <c r="AF75" s="2085"/>
      <c r="AG75" s="2085"/>
      <c r="AH75" s="2085"/>
      <c r="AI75" s="2085"/>
      <c r="AJ75" s="2085"/>
      <c r="AK75" s="2085"/>
      <c r="AL75" s="2085"/>
      <c r="AM75" s="2085"/>
      <c r="AN75" s="2085"/>
      <c r="AO75" s="2085"/>
      <c r="AP75" s="2085"/>
      <c r="AQ75" s="2085"/>
      <c r="AR75" s="2085"/>
      <c r="AS75" s="2085"/>
      <c r="AT75" s="2085"/>
      <c r="AU75" s="2085"/>
      <c r="AV75" s="2085"/>
      <c r="AW75" s="2085"/>
      <c r="AX75" s="2085"/>
      <c r="AY75" s="2085"/>
      <c r="AZ75" s="2085"/>
      <c r="BA75" s="2085"/>
      <c r="BB75" s="2085"/>
      <c r="BC75" s="2086"/>
      <c r="BD75" s="1192"/>
      <c r="BE75" s="1196"/>
      <c r="CK75" s="1190"/>
      <c r="CL75" s="1190"/>
      <c r="CM75" s="1190"/>
      <c r="CN75" s="1190"/>
      <c r="CO75" s="1190"/>
      <c r="CP75" s="1190"/>
    </row>
    <row r="76" spans="1:94" ht="15.75" customHeight="1">
      <c r="A76" s="1192"/>
      <c r="B76" s="1192"/>
      <c r="C76" s="1192"/>
      <c r="D76" s="1192"/>
      <c r="E76" s="1192"/>
      <c r="F76" s="1192"/>
      <c r="G76" s="1192"/>
      <c r="H76" s="1192"/>
      <c r="I76" s="1192"/>
      <c r="J76" s="1192"/>
      <c r="K76" s="1192"/>
      <c r="L76" s="1192"/>
      <c r="M76" s="1192"/>
      <c r="N76" s="1192"/>
      <c r="O76" s="1192"/>
      <c r="P76" s="1192"/>
      <c r="Q76" s="1192"/>
      <c r="R76" s="1192"/>
      <c r="S76" s="1192"/>
      <c r="T76" s="1192"/>
      <c r="U76" s="1192"/>
      <c r="V76" s="1192"/>
      <c r="W76" s="1192"/>
      <c r="X76" s="1192"/>
      <c r="Y76" s="1192"/>
      <c r="Z76" s="1192"/>
      <c r="AA76" s="1192"/>
      <c r="AB76" s="1192"/>
      <c r="AC76" s="2084"/>
      <c r="AD76" s="2085"/>
      <c r="AE76" s="2085"/>
      <c r="AF76" s="2085"/>
      <c r="AG76" s="2085"/>
      <c r="AH76" s="2085"/>
      <c r="AI76" s="2085"/>
      <c r="AJ76" s="2085"/>
      <c r="AK76" s="2085"/>
      <c r="AL76" s="2085"/>
      <c r="AM76" s="2085"/>
      <c r="AN76" s="2085"/>
      <c r="AO76" s="2085"/>
      <c r="AP76" s="2085"/>
      <c r="AQ76" s="2085"/>
      <c r="AR76" s="2085"/>
      <c r="AS76" s="2085"/>
      <c r="AT76" s="2085"/>
      <c r="AU76" s="2085"/>
      <c r="AV76" s="2085"/>
      <c r="AW76" s="2085"/>
      <c r="AX76" s="2085"/>
      <c r="AY76" s="2085"/>
      <c r="AZ76" s="2085"/>
      <c r="BA76" s="2085"/>
      <c r="BB76" s="2085"/>
      <c r="BC76" s="2086"/>
      <c r="BD76" s="1192"/>
      <c r="BE76" s="1196"/>
      <c r="CK76" s="1190"/>
      <c r="CL76" s="1190"/>
      <c r="CM76" s="1190"/>
      <c r="CN76" s="1190"/>
      <c r="CO76" s="1190"/>
      <c r="CP76" s="1190"/>
    </row>
    <row r="77" spans="1:94" ht="15.75" customHeight="1" thickBot="1">
      <c r="A77" s="1192"/>
      <c r="B77" s="1192"/>
      <c r="C77" s="1192"/>
      <c r="D77" s="1192"/>
      <c r="E77" s="1192"/>
      <c r="F77" s="1192"/>
      <c r="G77" s="1192"/>
      <c r="H77" s="1192"/>
      <c r="I77" s="1192"/>
      <c r="J77" s="1192"/>
      <c r="K77" s="1192"/>
      <c r="L77" s="1192"/>
      <c r="M77" s="1192"/>
      <c r="N77" s="1192"/>
      <c r="O77" s="1192"/>
      <c r="P77" s="1192"/>
      <c r="Q77" s="1192"/>
      <c r="R77" s="1192"/>
      <c r="S77" s="1192"/>
      <c r="T77" s="1192"/>
      <c r="U77" s="1192"/>
      <c r="V77" s="1192"/>
      <c r="W77" s="1192"/>
      <c r="X77" s="1192"/>
      <c r="Y77" s="1192"/>
      <c r="Z77" s="1192"/>
      <c r="AA77" s="1192"/>
      <c r="AB77" s="1192"/>
      <c r="AC77" s="2087"/>
      <c r="AD77" s="2088"/>
      <c r="AE77" s="2088"/>
      <c r="AF77" s="2088"/>
      <c r="AG77" s="2088"/>
      <c r="AH77" s="2088"/>
      <c r="AI77" s="2088"/>
      <c r="AJ77" s="2088"/>
      <c r="AK77" s="2088"/>
      <c r="AL77" s="2088"/>
      <c r="AM77" s="2088"/>
      <c r="AN77" s="2088"/>
      <c r="AO77" s="2088"/>
      <c r="AP77" s="2088"/>
      <c r="AQ77" s="2088"/>
      <c r="AR77" s="2088"/>
      <c r="AS77" s="2088"/>
      <c r="AT77" s="2088"/>
      <c r="AU77" s="2088"/>
      <c r="AV77" s="2088"/>
      <c r="AW77" s="2088"/>
      <c r="AX77" s="2088"/>
      <c r="AY77" s="2088"/>
      <c r="AZ77" s="2088"/>
      <c r="BA77" s="2088"/>
      <c r="BB77" s="2088"/>
      <c r="BC77" s="2089"/>
      <c r="BD77" s="1192"/>
      <c r="BE77" s="1196"/>
      <c r="CK77" s="1190"/>
      <c r="CL77" s="1190"/>
      <c r="CM77" s="1190"/>
      <c r="CN77" s="1190"/>
      <c r="CO77" s="1190"/>
      <c r="CP77" s="1190"/>
    </row>
    <row r="78" spans="1:94" ht="15.75" customHeight="1" thickBot="1">
      <c r="A78" s="1192"/>
      <c r="B78" s="1204" t="s">
        <v>2387</v>
      </c>
      <c r="C78" s="1205"/>
      <c r="D78" s="1206"/>
      <c r="E78" s="1206"/>
      <c r="F78" s="1206"/>
      <c r="G78" s="1206"/>
      <c r="H78" s="1206"/>
      <c r="I78" s="1206"/>
      <c r="J78" s="1206"/>
      <c r="K78" s="1206"/>
      <c r="L78" s="1206"/>
      <c r="M78" s="1206"/>
      <c r="N78" s="1206"/>
      <c r="O78" s="1206"/>
      <c r="P78" s="1206"/>
      <c r="Q78" s="1206"/>
      <c r="R78" s="1206"/>
      <c r="S78" s="1206"/>
      <c r="T78" s="1207"/>
      <c r="U78" s="1192"/>
      <c r="V78" s="1192"/>
      <c r="W78" s="1192"/>
      <c r="X78" s="1192"/>
      <c r="Y78" s="1192"/>
      <c r="Z78" s="1192"/>
      <c r="AA78" s="1192"/>
      <c r="AB78" s="1192"/>
      <c r="AC78" s="1192"/>
      <c r="AD78" s="1192"/>
      <c r="AE78" s="1192"/>
      <c r="AF78" s="1192"/>
      <c r="AG78" s="1192"/>
      <c r="AH78" s="1192"/>
      <c r="AI78" s="1192"/>
      <c r="AJ78" s="1192"/>
      <c r="AK78" s="1192"/>
      <c r="AL78" s="1192"/>
      <c r="AM78" s="1192"/>
      <c r="AN78" s="1192"/>
      <c r="AO78" s="1192"/>
      <c r="AP78" s="1192"/>
      <c r="AQ78" s="1192"/>
      <c r="AR78" s="1192"/>
      <c r="AS78" s="1192"/>
      <c r="AT78" s="1192"/>
      <c r="AU78" s="1192"/>
      <c r="AV78" s="1192"/>
      <c r="AW78" s="1192"/>
      <c r="AX78" s="1192"/>
      <c r="AY78" s="1192"/>
      <c r="AZ78" s="1192"/>
      <c r="BA78" s="1192"/>
      <c r="BB78" s="1192"/>
      <c r="BC78" s="1192"/>
      <c r="BD78" s="1192"/>
      <c r="BE78" s="1196"/>
      <c r="CK78" s="1190"/>
      <c r="CL78" s="1190"/>
      <c r="CM78" s="1190"/>
      <c r="CN78" s="1190"/>
      <c r="CO78" s="1190"/>
      <c r="CP78" s="1190"/>
    </row>
    <row r="79" spans="1:94" ht="15.75" customHeight="1">
      <c r="A79" s="1192"/>
      <c r="B79" s="1204" t="s">
        <v>2286</v>
      </c>
      <c r="C79" s="1208"/>
      <c r="D79" s="1208"/>
      <c r="E79" s="1209"/>
      <c r="F79" s="2066"/>
      <c r="G79" s="2067"/>
      <c r="H79" s="2067"/>
      <c r="I79" s="2067"/>
      <c r="J79" s="2067"/>
      <c r="K79" s="2067"/>
      <c r="L79" s="2067"/>
      <c r="M79" s="2067"/>
      <c r="N79" s="2067"/>
      <c r="O79" s="2067"/>
      <c r="P79" s="2067"/>
      <c r="Q79" s="2067"/>
      <c r="R79" s="2067"/>
      <c r="S79" s="2067"/>
      <c r="T79" s="2068"/>
      <c r="U79" s="1192"/>
      <c r="V79" s="1192"/>
      <c r="W79" s="1192"/>
      <c r="X79" s="1192"/>
      <c r="Y79" s="1192"/>
      <c r="Z79" s="1192"/>
      <c r="AA79" s="1192"/>
      <c r="AB79" s="1192"/>
      <c r="AC79" s="1192"/>
      <c r="AD79" s="1192"/>
      <c r="AE79" s="1192"/>
      <c r="AF79" s="1192"/>
      <c r="AG79" s="1192"/>
      <c r="AH79" s="1192"/>
      <c r="AI79" s="1192"/>
      <c r="AJ79" s="1192"/>
      <c r="AK79" s="1192"/>
      <c r="AL79" s="1192"/>
      <c r="AM79" s="1192"/>
      <c r="AN79" s="1192"/>
      <c r="AO79" s="1192"/>
      <c r="AP79" s="1192"/>
      <c r="AQ79" s="1192"/>
      <c r="AR79" s="1192"/>
      <c r="AS79" s="1192"/>
      <c r="AT79" s="1192"/>
      <c r="AU79" s="1192"/>
      <c r="AV79" s="1192"/>
      <c r="AW79" s="1192"/>
      <c r="AX79" s="1192"/>
      <c r="AY79" s="1192"/>
      <c r="AZ79" s="1192"/>
      <c r="BA79" s="1192"/>
      <c r="BB79" s="1192"/>
      <c r="BC79" s="1192"/>
      <c r="BD79" s="1192"/>
      <c r="BE79" s="1196"/>
      <c r="CK79" s="1190"/>
      <c r="CL79" s="1190"/>
      <c r="CM79" s="1190"/>
      <c r="CN79" s="1190"/>
      <c r="CO79" s="1190"/>
      <c r="CP79" s="1190"/>
    </row>
    <row r="80" spans="1:94" ht="15.75" customHeight="1" thickBot="1">
      <c r="A80" s="1192"/>
      <c r="B80" s="2069" t="s">
        <v>2386</v>
      </c>
      <c r="C80" s="2070"/>
      <c r="D80" s="2070"/>
      <c r="E80" s="2070"/>
      <c r="F80" s="2070"/>
      <c r="G80" s="2070"/>
      <c r="H80" s="2070"/>
      <c r="I80" s="2070"/>
      <c r="J80" s="2070"/>
      <c r="K80" s="2070"/>
      <c r="L80" s="2070"/>
      <c r="M80" s="2070"/>
      <c r="N80" s="2070"/>
      <c r="O80" s="2070"/>
      <c r="P80" s="2070"/>
      <c r="Q80" s="2070"/>
      <c r="R80" s="2071" t="str">
        <f>IFERROR(INDEX(BR96:BR98,MATCH(F79,$BQ$96:$BQ$98,0))/SUM($BR$96:$BR$98),"")</f>
        <v/>
      </c>
      <c r="S80" s="2072"/>
      <c r="T80" s="2073"/>
      <c r="U80" s="1192"/>
      <c r="V80" s="1192"/>
      <c r="W80" s="1192"/>
      <c r="X80" s="1192"/>
      <c r="Y80" s="1192"/>
      <c r="Z80" s="1192"/>
      <c r="AA80" s="1192"/>
      <c r="AB80" s="1192"/>
      <c r="AC80" s="1192"/>
      <c r="AD80" s="1192"/>
      <c r="AE80" s="1192"/>
      <c r="AF80" s="1192"/>
      <c r="AG80" s="1192"/>
      <c r="AH80" s="1192"/>
      <c r="AI80" s="1192"/>
      <c r="AJ80" s="1192"/>
      <c r="AK80" s="1192"/>
      <c r="AL80" s="1192"/>
      <c r="AM80" s="1192"/>
      <c r="AN80" s="1192"/>
      <c r="AO80" s="1192"/>
      <c r="AP80" s="1192"/>
      <c r="AQ80" s="1192"/>
      <c r="AR80" s="1192"/>
      <c r="AS80" s="1192"/>
      <c r="AT80" s="1192"/>
      <c r="AU80" s="1192"/>
      <c r="AV80" s="1192"/>
      <c r="AW80" s="1192"/>
      <c r="AX80" s="1192"/>
      <c r="AY80" s="1192"/>
      <c r="AZ80" s="1192"/>
      <c r="BA80" s="1192"/>
      <c r="BB80" s="1192"/>
      <c r="BC80" s="1192"/>
      <c r="BD80" s="1192"/>
      <c r="BE80" s="1196"/>
      <c r="CK80" s="1190"/>
      <c r="CL80" s="1190"/>
      <c r="CM80" s="1190"/>
      <c r="CN80" s="1190"/>
      <c r="CO80" s="1190"/>
      <c r="CP80" s="1190"/>
    </row>
    <row r="81" spans="1:94" ht="15.75" customHeight="1" thickBot="1">
      <c r="A81" s="1192"/>
      <c r="B81" s="2074" t="s">
        <v>2385</v>
      </c>
      <c r="C81" s="2075"/>
      <c r="D81" s="2075"/>
      <c r="E81" s="2075"/>
      <c r="F81" s="2075"/>
      <c r="G81" s="2075"/>
      <c r="H81" s="2075"/>
      <c r="I81" s="2075"/>
      <c r="J81" s="2075"/>
      <c r="K81" s="2075"/>
      <c r="L81" s="2075"/>
      <c r="M81" s="2075"/>
      <c r="N81" s="2075"/>
      <c r="O81" s="2075"/>
      <c r="P81" s="2075"/>
      <c r="Q81" s="2075"/>
      <c r="R81" s="2076" t="s">
        <v>2189</v>
      </c>
      <c r="S81" s="2077"/>
      <c r="T81" s="2078"/>
      <c r="U81" s="1192"/>
      <c r="V81" s="1192"/>
      <c r="W81" s="1192"/>
      <c r="X81" s="1192"/>
      <c r="Y81" s="1192"/>
      <c r="Z81" s="1192"/>
      <c r="AA81" s="1192"/>
      <c r="AB81" s="1192"/>
      <c r="AC81" s="1192"/>
      <c r="AD81" s="1192"/>
      <c r="AE81" s="1192"/>
      <c r="AF81" s="1192"/>
      <c r="AG81" s="1192"/>
      <c r="AH81" s="1192"/>
      <c r="AI81" s="1192"/>
      <c r="AJ81" s="1192"/>
      <c r="AK81" s="1192"/>
      <c r="AL81" s="1192"/>
      <c r="AM81" s="1192"/>
      <c r="AN81" s="1192"/>
      <c r="AO81" s="1192"/>
      <c r="AP81" s="1192"/>
      <c r="AQ81" s="1192"/>
      <c r="AR81" s="1192"/>
      <c r="AS81" s="1192"/>
      <c r="AT81" s="1192"/>
      <c r="AU81" s="1192"/>
      <c r="AV81" s="1192"/>
      <c r="AW81" s="1192"/>
      <c r="AX81" s="1192"/>
      <c r="AY81" s="1192"/>
      <c r="AZ81" s="1192"/>
      <c r="BA81" s="1192"/>
      <c r="BB81" s="1192"/>
      <c r="BC81" s="1192"/>
      <c r="BD81" s="1192"/>
      <c r="BE81" s="1196"/>
      <c r="CK81" s="1190"/>
      <c r="CL81" s="1190"/>
      <c r="CM81" s="1190"/>
      <c r="CN81" s="1190"/>
      <c r="CO81" s="1190"/>
      <c r="CP81" s="1190"/>
    </row>
    <row r="82" spans="1:94" ht="15.75" customHeight="1" thickBot="1">
      <c r="A82" s="1192"/>
      <c r="B82" s="1192"/>
      <c r="C82" s="1192"/>
      <c r="D82" s="1192"/>
      <c r="E82" s="1192"/>
      <c r="F82" s="1192"/>
      <c r="G82" s="1192"/>
      <c r="H82" s="1192"/>
      <c r="I82" s="1192"/>
      <c r="J82" s="1192"/>
      <c r="K82" s="1192"/>
      <c r="L82" s="1192"/>
      <c r="M82" s="1192"/>
      <c r="N82" s="1192"/>
      <c r="O82" s="1192"/>
      <c r="P82" s="1192"/>
      <c r="Q82" s="1192"/>
      <c r="R82" s="1192"/>
      <c r="S82" s="1192"/>
      <c r="T82" s="1192"/>
      <c r="U82" s="1192"/>
      <c r="V82" s="1192"/>
      <c r="W82" s="1192"/>
      <c r="X82" s="1192"/>
      <c r="Y82" s="1192"/>
      <c r="Z82" s="1192"/>
      <c r="AA82" s="1192"/>
      <c r="AB82" s="1192"/>
      <c r="AC82" s="1192"/>
      <c r="AD82" s="1192"/>
      <c r="AE82" s="1192"/>
      <c r="AF82" s="1192"/>
      <c r="AG82" s="1192"/>
      <c r="AH82" s="1192"/>
      <c r="AI82" s="1192"/>
      <c r="AJ82" s="1192"/>
      <c r="AK82" s="1192"/>
      <c r="AL82" s="1192"/>
      <c r="AM82" s="1192"/>
      <c r="AN82" s="1192"/>
      <c r="AO82" s="1192"/>
      <c r="AP82" s="1192"/>
      <c r="AQ82" s="1192"/>
      <c r="AR82" s="1192"/>
      <c r="AS82" s="1192"/>
      <c r="AT82" s="1192"/>
      <c r="AU82" s="1192"/>
      <c r="AV82" s="1192"/>
      <c r="AW82" s="1192"/>
      <c r="AX82" s="1192"/>
      <c r="AY82" s="1192"/>
      <c r="AZ82" s="1192"/>
      <c r="BA82" s="1192"/>
      <c r="BB82" s="1192"/>
      <c r="BC82" s="1192"/>
      <c r="BD82" s="1192"/>
      <c r="BE82" s="1196"/>
      <c r="CK82" s="1190"/>
      <c r="CL82" s="1190"/>
      <c r="CM82" s="1190"/>
      <c r="CN82" s="1190"/>
      <c r="CO82" s="1190"/>
      <c r="CP82" s="1190"/>
    </row>
    <row r="83" spans="1:94" ht="15.75" customHeight="1">
      <c r="A83" s="1192"/>
      <c r="B83" s="2079" t="s">
        <v>2384</v>
      </c>
      <c r="C83" s="2080"/>
      <c r="D83" s="2080"/>
      <c r="E83" s="2080"/>
      <c r="F83" s="2080"/>
      <c r="G83" s="2080"/>
      <c r="H83" s="2080"/>
      <c r="I83" s="2080"/>
      <c r="J83" s="2080"/>
      <c r="K83" s="2080"/>
      <c r="L83" s="2080"/>
      <c r="M83" s="2080"/>
      <c r="N83" s="2080"/>
      <c r="O83" s="2080"/>
      <c r="P83" s="2080"/>
      <c r="Q83" s="2080"/>
      <c r="R83" s="2080"/>
      <c r="S83" s="2080"/>
      <c r="T83" s="2080"/>
      <c r="U83" s="2080"/>
      <c r="V83" s="2080"/>
      <c r="W83" s="2080"/>
      <c r="X83" s="2080"/>
      <c r="Y83" s="2080"/>
      <c r="Z83" s="2080"/>
      <c r="AA83" s="2080"/>
      <c r="AB83" s="2080"/>
      <c r="AC83" s="2080"/>
      <c r="AD83" s="2080"/>
      <c r="AE83" s="2080"/>
      <c r="AF83" s="2080"/>
      <c r="AG83" s="2080"/>
      <c r="AH83" s="2081"/>
      <c r="AI83" s="1192"/>
      <c r="AJ83" s="2097" t="s">
        <v>2383</v>
      </c>
      <c r="AK83" s="2098"/>
      <c r="AL83" s="2098"/>
      <c r="AM83" s="2098"/>
      <c r="AN83" s="2098"/>
      <c r="AO83" s="2098"/>
      <c r="AP83" s="2098"/>
      <c r="AQ83" s="2098"/>
      <c r="AR83" s="2098"/>
      <c r="AS83" s="2098"/>
      <c r="AT83" s="2098"/>
      <c r="AU83" s="2098"/>
      <c r="AV83" s="2098"/>
      <c r="AW83" s="2098"/>
      <c r="AX83" s="2098"/>
      <c r="AY83" s="2101" t="s">
        <v>544</v>
      </c>
      <c r="AZ83" s="2101"/>
      <c r="BA83" s="2101"/>
      <c r="BB83" s="2102"/>
      <c r="BC83" s="1192"/>
      <c r="BD83" s="1192"/>
      <c r="BE83" s="1196"/>
      <c r="CK83" s="1190"/>
      <c r="CL83" s="1190"/>
      <c r="CM83" s="1190"/>
      <c r="CN83" s="1190"/>
      <c r="CO83" s="1190"/>
      <c r="CP83" s="1190"/>
    </row>
    <row r="84" spans="1:94" ht="15.75" customHeight="1">
      <c r="A84" s="1192"/>
      <c r="B84" s="2018"/>
      <c r="C84" s="2019"/>
      <c r="D84" s="2019"/>
      <c r="E84" s="2019"/>
      <c r="F84" s="2019"/>
      <c r="G84" s="2019"/>
      <c r="H84" s="2019"/>
      <c r="I84" s="2019" t="s">
        <v>2373</v>
      </c>
      <c r="J84" s="2019"/>
      <c r="K84" s="2019"/>
      <c r="L84" s="2019"/>
      <c r="M84" s="2019"/>
      <c r="N84" s="2019"/>
      <c r="O84" s="2019" t="s">
        <v>2349</v>
      </c>
      <c r="P84" s="2019"/>
      <c r="Q84" s="2019"/>
      <c r="R84" s="2019"/>
      <c r="S84" s="2019"/>
      <c r="T84" s="2019"/>
      <c r="U84" s="2019"/>
      <c r="V84" s="2105" t="s">
        <v>2348</v>
      </c>
      <c r="W84" s="2105"/>
      <c r="X84" s="2105"/>
      <c r="Y84" s="2105"/>
      <c r="Z84" s="2105"/>
      <c r="AA84" s="2105"/>
      <c r="AB84" s="2106" t="s">
        <v>2372</v>
      </c>
      <c r="AC84" s="2106"/>
      <c r="AD84" s="2106"/>
      <c r="AE84" s="2106"/>
      <c r="AF84" s="2106"/>
      <c r="AG84" s="2106"/>
      <c r="AH84" s="2107"/>
      <c r="AI84" s="1192"/>
      <c r="AJ84" s="2099"/>
      <c r="AK84" s="2100"/>
      <c r="AL84" s="2100"/>
      <c r="AM84" s="2100"/>
      <c r="AN84" s="2100"/>
      <c r="AO84" s="2100"/>
      <c r="AP84" s="2100"/>
      <c r="AQ84" s="2100"/>
      <c r="AR84" s="2100"/>
      <c r="AS84" s="2100"/>
      <c r="AT84" s="2100"/>
      <c r="AU84" s="2100"/>
      <c r="AV84" s="2100"/>
      <c r="AW84" s="2100"/>
      <c r="AX84" s="2100"/>
      <c r="AY84" s="2103"/>
      <c r="AZ84" s="2103"/>
      <c r="BA84" s="2103"/>
      <c r="BB84" s="2104"/>
      <c r="BC84" s="1192"/>
      <c r="BD84" s="1192"/>
      <c r="BE84" s="1196"/>
      <c r="CK84" s="1190"/>
      <c r="CL84" s="1190"/>
      <c r="CM84" s="1190"/>
      <c r="CN84" s="1190"/>
      <c r="CO84" s="1190"/>
      <c r="CP84" s="1190"/>
    </row>
    <row r="85" spans="1:94" ht="15.75" customHeight="1">
      <c r="A85" s="1192"/>
      <c r="B85" s="2018"/>
      <c r="C85" s="2019"/>
      <c r="D85" s="2019"/>
      <c r="E85" s="2019"/>
      <c r="F85" s="2019"/>
      <c r="G85" s="2019"/>
      <c r="H85" s="2019"/>
      <c r="I85" s="2019"/>
      <c r="J85" s="2019"/>
      <c r="K85" s="2019"/>
      <c r="L85" s="2019"/>
      <c r="M85" s="2019"/>
      <c r="N85" s="2019"/>
      <c r="O85" s="2019"/>
      <c r="P85" s="2019"/>
      <c r="Q85" s="2019"/>
      <c r="R85" s="2019"/>
      <c r="S85" s="2019"/>
      <c r="T85" s="2019"/>
      <c r="U85" s="2019"/>
      <c r="V85" s="2105"/>
      <c r="W85" s="2105"/>
      <c r="X85" s="2105"/>
      <c r="Y85" s="2105"/>
      <c r="Z85" s="2105"/>
      <c r="AA85" s="2105"/>
      <c r="AB85" s="2106"/>
      <c r="AC85" s="2106"/>
      <c r="AD85" s="2106"/>
      <c r="AE85" s="2106"/>
      <c r="AF85" s="2106"/>
      <c r="AG85" s="2106"/>
      <c r="AH85" s="2107"/>
      <c r="AI85" s="1192"/>
      <c r="AJ85" s="2099"/>
      <c r="AK85" s="2100"/>
      <c r="AL85" s="2100"/>
      <c r="AM85" s="2100"/>
      <c r="AN85" s="2100"/>
      <c r="AO85" s="2100"/>
      <c r="AP85" s="2100"/>
      <c r="AQ85" s="2100"/>
      <c r="AR85" s="2100"/>
      <c r="AS85" s="2100"/>
      <c r="AT85" s="2100"/>
      <c r="AU85" s="2100"/>
      <c r="AV85" s="2100"/>
      <c r="AW85" s="2100"/>
      <c r="AX85" s="2100"/>
      <c r="AY85" s="2103"/>
      <c r="AZ85" s="2103"/>
      <c r="BA85" s="2103"/>
      <c r="BB85" s="2104"/>
      <c r="BC85" s="1192"/>
      <c r="BD85" s="1192"/>
      <c r="BE85" s="1196"/>
      <c r="CK85" s="1190"/>
      <c r="CL85" s="1190"/>
      <c r="CM85" s="1190"/>
      <c r="CN85" s="1190"/>
      <c r="CO85" s="1190"/>
      <c r="CP85" s="1190"/>
    </row>
    <row r="86" spans="1:94" ht="15.75" customHeight="1">
      <c r="A86" s="1192"/>
      <c r="B86" s="2018" t="s">
        <v>2371</v>
      </c>
      <c r="C86" s="2019"/>
      <c r="D86" s="2019"/>
      <c r="E86" s="2019"/>
      <c r="F86" s="2019"/>
      <c r="G86" s="2019"/>
      <c r="H86" s="2019"/>
      <c r="I86" s="2095">
        <v>0</v>
      </c>
      <c r="J86" s="2095"/>
      <c r="K86" s="2095"/>
      <c r="L86" s="2095"/>
      <c r="M86" s="2095"/>
      <c r="N86" s="2095"/>
      <c r="O86" s="2095">
        <v>0</v>
      </c>
      <c r="P86" s="2095"/>
      <c r="Q86" s="2095"/>
      <c r="R86" s="2095"/>
      <c r="S86" s="2095"/>
      <c r="T86" s="2095"/>
      <c r="U86" s="2095"/>
      <c r="V86" s="2095">
        <v>0</v>
      </c>
      <c r="W86" s="2095"/>
      <c r="X86" s="2095"/>
      <c r="Y86" s="2095"/>
      <c r="Z86" s="2095"/>
      <c r="AA86" s="2095"/>
      <c r="AB86" s="2095">
        <v>0</v>
      </c>
      <c r="AC86" s="2095"/>
      <c r="AD86" s="2095"/>
      <c r="AE86" s="2095"/>
      <c r="AF86" s="2095"/>
      <c r="AG86" s="2095"/>
      <c r="AH86" s="2096"/>
      <c r="AI86" s="1192"/>
      <c r="AJ86" s="2099"/>
      <c r="AK86" s="2100"/>
      <c r="AL86" s="2100"/>
      <c r="AM86" s="2100"/>
      <c r="AN86" s="2100"/>
      <c r="AO86" s="2100"/>
      <c r="AP86" s="2100"/>
      <c r="AQ86" s="2100"/>
      <c r="AR86" s="2100"/>
      <c r="AS86" s="2100"/>
      <c r="AT86" s="2100"/>
      <c r="AU86" s="2100"/>
      <c r="AV86" s="2100"/>
      <c r="AW86" s="2100"/>
      <c r="AX86" s="2100"/>
      <c r="AY86" s="2103"/>
      <c r="AZ86" s="2103"/>
      <c r="BA86" s="2103"/>
      <c r="BB86" s="2104"/>
      <c r="BC86" s="1192"/>
      <c r="BD86" s="1192"/>
      <c r="BE86" s="1196"/>
      <c r="CK86" s="1190"/>
      <c r="CL86" s="1190"/>
      <c r="CM86" s="1190"/>
      <c r="CN86" s="1190"/>
      <c r="CO86" s="1190"/>
      <c r="CP86" s="1190"/>
    </row>
    <row r="87" spans="1:94" ht="15.75" customHeight="1">
      <c r="A87" s="1192"/>
      <c r="B87" s="2018" t="s">
        <v>2370</v>
      </c>
      <c r="C87" s="2019"/>
      <c r="D87" s="2019"/>
      <c r="E87" s="2019"/>
      <c r="F87" s="2019"/>
      <c r="G87" s="2019"/>
      <c r="H87" s="2019"/>
      <c r="I87" s="2095">
        <v>0</v>
      </c>
      <c r="J87" s="2095"/>
      <c r="K87" s="2095"/>
      <c r="L87" s="2095"/>
      <c r="M87" s="2095"/>
      <c r="N87" s="2095"/>
      <c r="O87" s="2095">
        <v>0</v>
      </c>
      <c r="P87" s="2095"/>
      <c r="Q87" s="2095"/>
      <c r="R87" s="2095"/>
      <c r="S87" s="2095"/>
      <c r="T87" s="2095"/>
      <c r="U87" s="2095"/>
      <c r="V87" s="2095">
        <v>0</v>
      </c>
      <c r="W87" s="2095"/>
      <c r="X87" s="2095"/>
      <c r="Y87" s="2095"/>
      <c r="Z87" s="2095"/>
      <c r="AA87" s="2095"/>
      <c r="AB87" s="2095">
        <v>0</v>
      </c>
      <c r="AC87" s="2095"/>
      <c r="AD87" s="2095"/>
      <c r="AE87" s="2095"/>
      <c r="AF87" s="2095"/>
      <c r="AG87" s="2095"/>
      <c r="AH87" s="2096"/>
      <c r="AI87" s="1192"/>
      <c r="AJ87" s="2084" t="s">
        <v>2377</v>
      </c>
      <c r="AK87" s="2085"/>
      <c r="AL87" s="2085"/>
      <c r="AM87" s="2085"/>
      <c r="AN87" s="2085"/>
      <c r="AO87" s="2085"/>
      <c r="AP87" s="2085"/>
      <c r="AQ87" s="2085"/>
      <c r="AR87" s="2085"/>
      <c r="AS87" s="2085"/>
      <c r="AT87" s="2085"/>
      <c r="AU87" s="2085"/>
      <c r="AV87" s="2085"/>
      <c r="AW87" s="2085"/>
      <c r="AX87" s="2085"/>
      <c r="AY87" s="2085"/>
      <c r="AZ87" s="2085"/>
      <c r="BA87" s="2085"/>
      <c r="BB87" s="2086"/>
      <c r="BC87" s="1192"/>
      <c r="BD87" s="1192"/>
      <c r="BE87" s="1196"/>
      <c r="CK87" s="1190"/>
      <c r="CL87" s="1190"/>
      <c r="CM87" s="1190"/>
      <c r="CN87" s="1190"/>
      <c r="CO87" s="1190"/>
      <c r="CP87" s="1190"/>
    </row>
    <row r="88" spans="1:94" ht="15.75" customHeight="1" thickBot="1">
      <c r="A88" s="1192"/>
      <c r="B88" s="2036" t="s">
        <v>2369</v>
      </c>
      <c r="C88" s="2037"/>
      <c r="D88" s="2037"/>
      <c r="E88" s="2037"/>
      <c r="F88" s="2037"/>
      <c r="G88" s="2037"/>
      <c r="H88" s="2037"/>
      <c r="I88" s="2110">
        <v>0</v>
      </c>
      <c r="J88" s="2110"/>
      <c r="K88" s="2110"/>
      <c r="L88" s="2110"/>
      <c r="M88" s="2110"/>
      <c r="N88" s="2110"/>
      <c r="O88" s="2110">
        <v>0</v>
      </c>
      <c r="P88" s="2110"/>
      <c r="Q88" s="2110"/>
      <c r="R88" s="2110"/>
      <c r="S88" s="2110"/>
      <c r="T88" s="2110"/>
      <c r="U88" s="2110"/>
      <c r="V88" s="2110">
        <v>0</v>
      </c>
      <c r="W88" s="2110"/>
      <c r="X88" s="2110"/>
      <c r="Y88" s="2110"/>
      <c r="Z88" s="2110"/>
      <c r="AA88" s="2110"/>
      <c r="AB88" s="2110">
        <v>0</v>
      </c>
      <c r="AC88" s="2110"/>
      <c r="AD88" s="2110"/>
      <c r="AE88" s="2110"/>
      <c r="AF88" s="2110"/>
      <c r="AG88" s="2110"/>
      <c r="AH88" s="2111"/>
      <c r="AI88" s="1192"/>
      <c r="AJ88" s="2087"/>
      <c r="AK88" s="2088"/>
      <c r="AL88" s="2088"/>
      <c r="AM88" s="2088"/>
      <c r="AN88" s="2088"/>
      <c r="AO88" s="2088"/>
      <c r="AP88" s="2088"/>
      <c r="AQ88" s="2088"/>
      <c r="AR88" s="2088"/>
      <c r="AS88" s="2088"/>
      <c r="AT88" s="2088"/>
      <c r="AU88" s="2088"/>
      <c r="AV88" s="2088"/>
      <c r="AW88" s="2088"/>
      <c r="AX88" s="2088"/>
      <c r="AY88" s="2088"/>
      <c r="AZ88" s="2088"/>
      <c r="BA88" s="2088"/>
      <c r="BB88" s="2089"/>
      <c r="BC88" s="1192"/>
      <c r="BD88" s="1192"/>
      <c r="BE88" s="1196"/>
      <c r="CK88" s="1190"/>
      <c r="CL88" s="1190"/>
      <c r="CM88" s="1190"/>
      <c r="CN88" s="1190"/>
      <c r="CO88" s="1190"/>
      <c r="CP88" s="1190"/>
    </row>
    <row r="89" spans="1:94" ht="15.75" customHeight="1">
      <c r="A89" s="1192"/>
      <c r="B89" s="1192"/>
      <c r="C89" s="1192"/>
      <c r="D89" s="1192"/>
      <c r="E89" s="1192"/>
      <c r="F89" s="1192"/>
      <c r="G89" s="1192"/>
      <c r="H89" s="1192"/>
      <c r="I89" s="1192"/>
      <c r="J89" s="1192"/>
      <c r="K89" s="1192"/>
      <c r="L89" s="1192"/>
      <c r="M89" s="1192"/>
      <c r="N89" s="1192"/>
      <c r="O89" s="1192"/>
      <c r="P89" s="1192"/>
      <c r="Q89" s="1192"/>
      <c r="R89" s="1192"/>
      <c r="S89" s="1192"/>
      <c r="T89" s="1192"/>
      <c r="U89" s="1192"/>
      <c r="V89" s="1192"/>
      <c r="W89" s="1192"/>
      <c r="X89" s="1192"/>
      <c r="Y89" s="1192"/>
      <c r="Z89" s="1192"/>
      <c r="AA89" s="1192"/>
      <c r="AB89" s="1192"/>
      <c r="AC89" s="1192"/>
      <c r="AD89" s="1192"/>
      <c r="AE89" s="1192"/>
      <c r="AF89" s="1192"/>
      <c r="AG89" s="1192"/>
      <c r="AH89" s="1192"/>
      <c r="AI89" s="1192"/>
      <c r="AJ89" s="1192"/>
      <c r="AK89" s="1192"/>
      <c r="AL89" s="1192"/>
      <c r="AM89" s="1192"/>
      <c r="AN89" s="1192"/>
      <c r="AO89" s="1192"/>
      <c r="AP89" s="1192"/>
      <c r="AQ89" s="1192"/>
      <c r="AR89" s="1192"/>
      <c r="AS89" s="1192"/>
      <c r="AT89" s="1192"/>
      <c r="AU89" s="1192"/>
      <c r="AV89" s="1192"/>
      <c r="AW89" s="1192"/>
      <c r="AX89" s="1192"/>
      <c r="AY89" s="1192"/>
      <c r="AZ89" s="1192"/>
      <c r="BA89" s="1192"/>
      <c r="BB89" s="1192"/>
      <c r="BC89" s="1192"/>
      <c r="BD89" s="1192"/>
      <c r="BE89" s="1196"/>
      <c r="CM89" s="1190"/>
      <c r="CN89" s="1190"/>
      <c r="CO89" s="1190"/>
      <c r="CP89" s="1190"/>
    </row>
    <row r="90" spans="1:94" ht="15.75" customHeight="1" thickBot="1">
      <c r="A90" s="1192"/>
      <c r="B90" s="1192"/>
      <c r="C90" s="1192"/>
      <c r="D90" s="1192"/>
      <c r="E90" s="1192"/>
      <c r="F90" s="1192"/>
      <c r="G90" s="1192"/>
      <c r="H90" s="1192"/>
      <c r="I90" s="1192"/>
      <c r="J90" s="1192"/>
      <c r="K90" s="1192"/>
      <c r="L90" s="1192"/>
      <c r="M90" s="1192"/>
      <c r="N90" s="1192"/>
      <c r="O90" s="1192"/>
      <c r="P90" s="1192"/>
      <c r="Q90" s="1192"/>
      <c r="R90" s="1192"/>
      <c r="S90" s="1192"/>
      <c r="T90" s="1192"/>
      <c r="U90" s="1192"/>
      <c r="V90" s="1192"/>
      <c r="W90" s="1192"/>
      <c r="X90" s="1192"/>
      <c r="Y90" s="1192"/>
      <c r="Z90" s="1192"/>
      <c r="AA90" s="1192"/>
      <c r="AB90" s="1192"/>
      <c r="AC90" s="1192"/>
      <c r="AD90" s="1192"/>
      <c r="AE90" s="1192"/>
      <c r="AF90" s="1192"/>
      <c r="AG90" s="1192"/>
      <c r="AH90" s="1192"/>
      <c r="AI90" s="1192"/>
      <c r="AJ90" s="1192"/>
      <c r="AK90" s="1192"/>
      <c r="AL90" s="1192"/>
      <c r="AM90" s="1192"/>
      <c r="AN90" s="1192"/>
      <c r="AO90" s="1192"/>
      <c r="AP90" s="1192"/>
      <c r="AQ90" s="1192"/>
      <c r="AR90" s="1192"/>
      <c r="AS90" s="1192"/>
      <c r="AT90" s="1192"/>
      <c r="AU90" s="1192"/>
      <c r="AV90" s="1192"/>
      <c r="AW90" s="1192"/>
      <c r="AX90" s="1192"/>
      <c r="AY90" s="1192"/>
      <c r="AZ90" s="1192"/>
      <c r="BA90" s="1192"/>
      <c r="BB90" s="1192"/>
      <c r="BC90" s="1192"/>
      <c r="BD90" s="1192"/>
      <c r="BE90" s="1196"/>
      <c r="CM90" s="1190"/>
      <c r="CN90" s="1190"/>
      <c r="CO90" s="1190"/>
      <c r="CP90" s="1190"/>
    </row>
    <row r="91" spans="1:94" ht="15.75" customHeight="1" thickBot="1">
      <c r="A91" s="1192"/>
      <c r="B91" s="1204" t="s">
        <v>2382</v>
      </c>
      <c r="C91" s="1210"/>
      <c r="D91" s="1211"/>
      <c r="E91" s="1212"/>
      <c r="F91" s="1212"/>
      <c r="G91" s="1212"/>
      <c r="H91" s="1212"/>
      <c r="I91" s="1212"/>
      <c r="J91" s="1212"/>
      <c r="K91" s="1212"/>
      <c r="L91" s="1212"/>
      <c r="M91" s="1212"/>
      <c r="N91" s="1212"/>
      <c r="O91" s="1212"/>
      <c r="P91" s="1212"/>
      <c r="Q91" s="1212"/>
      <c r="R91" s="1212"/>
      <c r="S91" s="1212"/>
      <c r="T91" s="1213"/>
      <c r="U91" s="1192"/>
      <c r="V91" s="1192"/>
      <c r="W91" s="1192"/>
      <c r="X91" s="1192"/>
      <c r="Y91" s="1192"/>
      <c r="Z91" s="1192"/>
      <c r="AA91" s="1192"/>
      <c r="AB91" s="1192"/>
      <c r="AC91" s="1192"/>
      <c r="AD91" s="1192"/>
      <c r="AE91" s="1192"/>
      <c r="AF91" s="1192"/>
      <c r="AG91" s="1192"/>
      <c r="AH91" s="1192"/>
      <c r="AI91" s="1192"/>
      <c r="AJ91" s="1192"/>
      <c r="AK91" s="1192"/>
      <c r="AL91" s="1192"/>
      <c r="AM91" s="1192"/>
      <c r="AN91" s="1192"/>
      <c r="AO91" s="1192"/>
      <c r="AP91" s="1192"/>
      <c r="AQ91" s="1192"/>
      <c r="AR91" s="1192"/>
      <c r="AS91" s="1192"/>
      <c r="AT91" s="1192"/>
      <c r="AU91" s="1192"/>
      <c r="AV91" s="1192"/>
      <c r="AW91" s="1192"/>
      <c r="AX91" s="1192"/>
      <c r="AY91" s="1192"/>
      <c r="AZ91" s="1192"/>
      <c r="BA91" s="1192"/>
      <c r="BB91" s="1192"/>
      <c r="BC91" s="1192"/>
      <c r="BD91" s="1192"/>
      <c r="BE91" s="1196"/>
      <c r="BQ91" s="1214"/>
      <c r="CM91" s="1190"/>
      <c r="CN91" s="1190"/>
      <c r="CO91" s="1190"/>
      <c r="CP91" s="1190"/>
    </row>
    <row r="92" spans="1:94" ht="15.75" customHeight="1">
      <c r="A92" s="1192"/>
      <c r="B92" s="1215" t="s">
        <v>2286</v>
      </c>
      <c r="C92" s="1215"/>
      <c r="D92" s="1216"/>
      <c r="E92" s="1217"/>
      <c r="F92" s="2066"/>
      <c r="G92" s="2067"/>
      <c r="H92" s="2067"/>
      <c r="I92" s="2067"/>
      <c r="J92" s="2067"/>
      <c r="K92" s="2067"/>
      <c r="L92" s="2067"/>
      <c r="M92" s="2067"/>
      <c r="N92" s="2067"/>
      <c r="O92" s="2067"/>
      <c r="P92" s="2067"/>
      <c r="Q92" s="2067"/>
      <c r="R92" s="2067"/>
      <c r="S92" s="2067"/>
      <c r="T92" s="2068"/>
      <c r="U92" s="1192"/>
      <c r="V92" s="1192"/>
      <c r="W92" s="1192"/>
      <c r="X92" s="1192"/>
      <c r="Y92" s="1192"/>
      <c r="Z92" s="1192"/>
      <c r="AA92" s="1192"/>
      <c r="AB92" s="1192"/>
      <c r="AC92" s="1192"/>
      <c r="AD92" s="1192"/>
      <c r="AE92" s="1192"/>
      <c r="AF92" s="1192"/>
      <c r="AG92" s="1192"/>
      <c r="AH92" s="1192"/>
      <c r="AI92" s="1192"/>
      <c r="AJ92" s="1192"/>
      <c r="AK92" s="1192"/>
      <c r="AL92" s="1192"/>
      <c r="AM92" s="1192"/>
      <c r="AN92" s="1192"/>
      <c r="AO92" s="1192"/>
      <c r="AP92" s="1192"/>
      <c r="AQ92" s="1192"/>
      <c r="AR92" s="1192"/>
      <c r="AS92" s="1192"/>
      <c r="AT92" s="1192"/>
      <c r="AU92" s="1192"/>
      <c r="AV92" s="1192"/>
      <c r="AW92" s="1192"/>
      <c r="AX92" s="1192"/>
      <c r="AY92" s="1192"/>
      <c r="AZ92" s="1192"/>
      <c r="BA92" s="1192"/>
      <c r="BB92" s="1192"/>
      <c r="BC92" s="1192"/>
      <c r="BD92" s="1192"/>
      <c r="BE92" s="1196"/>
      <c r="CM92" s="1190"/>
      <c r="CN92" s="1190"/>
      <c r="CO92" s="1190"/>
      <c r="CP92" s="1190"/>
    </row>
    <row r="93" spans="1:94" ht="15.75" customHeight="1" thickBot="1">
      <c r="A93" s="1192"/>
      <c r="B93" s="2069" t="s">
        <v>2381</v>
      </c>
      <c r="C93" s="2070"/>
      <c r="D93" s="2070"/>
      <c r="E93" s="2070"/>
      <c r="F93" s="2070"/>
      <c r="G93" s="2070"/>
      <c r="H93" s="2070"/>
      <c r="I93" s="2070"/>
      <c r="J93" s="2070"/>
      <c r="K93" s="2070"/>
      <c r="L93" s="2070"/>
      <c r="M93" s="2070"/>
      <c r="N93" s="2070"/>
      <c r="O93" s="2070"/>
      <c r="P93" s="2070"/>
      <c r="Q93" s="2108"/>
      <c r="R93" s="2071" t="str">
        <f>IFERROR(INDEX(BR96:BR98,MATCH(F92,$BQ$96:$BQ$98,0))/SUM($BR$96:$BR$98),"")</f>
        <v/>
      </c>
      <c r="S93" s="2072"/>
      <c r="T93" s="2073"/>
      <c r="U93" s="1192"/>
      <c r="V93" s="1192"/>
      <c r="W93" s="1192"/>
      <c r="X93" s="1192"/>
      <c r="Y93" s="1192"/>
      <c r="Z93" s="1192"/>
      <c r="AA93" s="1192"/>
      <c r="AB93" s="1192"/>
      <c r="AC93" s="1192"/>
      <c r="AD93" s="1192"/>
      <c r="AE93" s="1192"/>
      <c r="AF93" s="1192"/>
      <c r="AG93" s="1192"/>
      <c r="AH93" s="1192"/>
      <c r="AI93" s="1192"/>
      <c r="AJ93" s="1192"/>
      <c r="AK93" s="1192"/>
      <c r="AL93" s="1192"/>
      <c r="AM93" s="1192"/>
      <c r="AN93" s="1192"/>
      <c r="AO93" s="1192"/>
      <c r="AP93" s="1192"/>
      <c r="AQ93" s="1192"/>
      <c r="AR93" s="1192"/>
      <c r="AS93" s="1192"/>
      <c r="AT93" s="1192"/>
      <c r="AU93" s="1192"/>
      <c r="AV93" s="1192"/>
      <c r="AW93" s="1192"/>
      <c r="AX93" s="1192"/>
      <c r="AY93" s="1192"/>
      <c r="AZ93" s="1192"/>
      <c r="BA93" s="1192"/>
      <c r="BB93" s="1192"/>
      <c r="BC93" s="1192"/>
      <c r="BD93" s="1192"/>
      <c r="BE93" s="1196"/>
      <c r="CM93" s="1190"/>
      <c r="CN93" s="1190"/>
      <c r="CO93" s="1190"/>
      <c r="CP93" s="1190"/>
    </row>
    <row r="94" spans="1:94" ht="15.75" customHeight="1" thickBot="1">
      <c r="A94" s="1192"/>
      <c r="B94" s="2074" t="s">
        <v>2380</v>
      </c>
      <c r="C94" s="2075"/>
      <c r="D94" s="2075"/>
      <c r="E94" s="2075"/>
      <c r="F94" s="2075"/>
      <c r="G94" s="2075"/>
      <c r="H94" s="2075"/>
      <c r="I94" s="2075"/>
      <c r="J94" s="2075"/>
      <c r="K94" s="2075"/>
      <c r="L94" s="2075"/>
      <c r="M94" s="2075"/>
      <c r="N94" s="2075"/>
      <c r="O94" s="2075"/>
      <c r="P94" s="2075"/>
      <c r="Q94" s="2109"/>
      <c r="R94" s="2076" t="s">
        <v>2189</v>
      </c>
      <c r="S94" s="2077"/>
      <c r="T94" s="2078"/>
      <c r="U94" s="1192"/>
      <c r="V94" s="1192"/>
      <c r="W94" s="1192"/>
      <c r="X94" s="1192"/>
      <c r="Y94" s="1192"/>
      <c r="Z94" s="1192"/>
      <c r="AA94" s="1192"/>
      <c r="AB94" s="1192"/>
      <c r="AC94" s="1192"/>
      <c r="AD94" s="1192"/>
      <c r="AE94" s="1192"/>
      <c r="AF94" s="1192"/>
      <c r="AG94" s="1192"/>
      <c r="AH94" s="1192"/>
      <c r="AI94" s="1192"/>
      <c r="AJ94" s="1192"/>
      <c r="AK94" s="1192"/>
      <c r="AL94" s="1192"/>
      <c r="AM94" s="1192"/>
      <c r="AN94" s="1192"/>
      <c r="AO94" s="1192"/>
      <c r="AP94" s="1192"/>
      <c r="AQ94" s="1192"/>
      <c r="AR94" s="1192"/>
      <c r="AS94" s="1192"/>
      <c r="AT94" s="1192"/>
      <c r="AU94" s="1192"/>
      <c r="AV94" s="1192"/>
      <c r="AW94" s="1192"/>
      <c r="AX94" s="1192"/>
      <c r="AY94" s="1192"/>
      <c r="AZ94" s="1192"/>
      <c r="BA94" s="1192"/>
      <c r="BB94" s="1192"/>
      <c r="BC94" s="1192"/>
      <c r="BD94" s="1192"/>
      <c r="BE94" s="1196"/>
      <c r="CM94" s="1190"/>
      <c r="CN94" s="1190"/>
      <c r="CO94" s="1190"/>
      <c r="CP94" s="1190"/>
    </row>
    <row r="95" spans="1:94" ht="15.75" customHeight="1" thickBot="1">
      <c r="A95" s="1192"/>
      <c r="B95" s="1192"/>
      <c r="C95" s="1192"/>
      <c r="D95" s="1192"/>
      <c r="E95" s="1192"/>
      <c r="F95" s="1192"/>
      <c r="G95" s="1192"/>
      <c r="H95" s="1192"/>
      <c r="I95" s="1192"/>
      <c r="J95" s="1192"/>
      <c r="K95" s="1192"/>
      <c r="L95" s="1192"/>
      <c r="M95" s="1192"/>
      <c r="N95" s="1192"/>
      <c r="O95" s="1192"/>
      <c r="P95" s="1192"/>
      <c r="Q95" s="1192"/>
      <c r="R95" s="1192"/>
      <c r="S95" s="1192"/>
      <c r="T95" s="1192"/>
      <c r="U95" s="1192"/>
      <c r="V95" s="1192"/>
      <c r="W95" s="1192"/>
      <c r="X95" s="1192"/>
      <c r="Y95" s="1192"/>
      <c r="Z95" s="1192"/>
      <c r="AA95" s="1192"/>
      <c r="AB95" s="1192"/>
      <c r="AC95" s="1192"/>
      <c r="AD95" s="1192"/>
      <c r="AE95" s="1192"/>
      <c r="AF95" s="1192"/>
      <c r="AG95" s="1192"/>
      <c r="AH95" s="1192"/>
      <c r="AI95" s="1192"/>
      <c r="AJ95" s="1192"/>
      <c r="AK95" s="1192"/>
      <c r="AL95" s="1192"/>
      <c r="AM95" s="1192"/>
      <c r="AN95" s="1192"/>
      <c r="AO95" s="1192"/>
      <c r="AP95" s="1192"/>
      <c r="AQ95" s="1192"/>
      <c r="AR95" s="1192"/>
      <c r="AS95" s="1192"/>
      <c r="AT95" s="1192"/>
      <c r="AU95" s="1192"/>
      <c r="AV95" s="1192"/>
      <c r="AW95" s="1192"/>
      <c r="AX95" s="1192"/>
      <c r="AY95" s="1192"/>
      <c r="AZ95" s="1192"/>
      <c r="BA95" s="1192"/>
      <c r="BB95" s="1192"/>
      <c r="BC95" s="1192"/>
      <c r="BD95" s="1192"/>
      <c r="BE95" s="1196"/>
      <c r="CM95" s="1190"/>
      <c r="CN95" s="1190"/>
      <c r="CO95" s="1190"/>
      <c r="CP95" s="1190"/>
    </row>
    <row r="96" spans="1:94" ht="15.75" customHeight="1">
      <c r="A96" s="1192"/>
      <c r="B96" s="2079" t="s">
        <v>2379</v>
      </c>
      <c r="C96" s="2080"/>
      <c r="D96" s="2080"/>
      <c r="E96" s="2080"/>
      <c r="F96" s="2080"/>
      <c r="G96" s="2080"/>
      <c r="H96" s="2080"/>
      <c r="I96" s="2080"/>
      <c r="J96" s="2080"/>
      <c r="K96" s="2080"/>
      <c r="L96" s="2080"/>
      <c r="M96" s="2080"/>
      <c r="N96" s="2080"/>
      <c r="O96" s="2080"/>
      <c r="P96" s="2080"/>
      <c r="Q96" s="2080"/>
      <c r="R96" s="2080"/>
      <c r="S96" s="2080"/>
      <c r="T96" s="2080"/>
      <c r="U96" s="2080"/>
      <c r="V96" s="2080"/>
      <c r="W96" s="2080"/>
      <c r="X96" s="2080"/>
      <c r="Y96" s="2080"/>
      <c r="Z96" s="2080"/>
      <c r="AA96" s="2080"/>
      <c r="AB96" s="2080"/>
      <c r="AC96" s="2080"/>
      <c r="AD96" s="2080"/>
      <c r="AE96" s="2080"/>
      <c r="AF96" s="2080"/>
      <c r="AG96" s="2080"/>
      <c r="AH96" s="2081"/>
      <c r="AI96" s="1192"/>
      <c r="AJ96" s="2097" t="s">
        <v>2378</v>
      </c>
      <c r="AK96" s="2098"/>
      <c r="AL96" s="2098"/>
      <c r="AM96" s="2098"/>
      <c r="AN96" s="2098"/>
      <c r="AO96" s="2098"/>
      <c r="AP96" s="2098"/>
      <c r="AQ96" s="2098"/>
      <c r="AR96" s="2098"/>
      <c r="AS96" s="2098"/>
      <c r="AT96" s="2098"/>
      <c r="AU96" s="2098"/>
      <c r="AV96" s="2098"/>
      <c r="AW96" s="2098"/>
      <c r="AX96" s="2098"/>
      <c r="AY96" s="2101" t="s">
        <v>544</v>
      </c>
      <c r="AZ96" s="2101"/>
      <c r="BA96" s="2101"/>
      <c r="BB96" s="2102"/>
      <c r="BC96" s="1192"/>
      <c r="BD96" s="1192"/>
      <c r="BE96" s="1196"/>
      <c r="BQ96" s="1189" t="str">
        <f>Application!M243&amp;IF(TRIM(Application!AA249)&lt;&gt;""," ("&amp;Application!AA249&amp;")","")</f>
        <v>Castle Argyle, a California Non-profit public benefit corporation (HumanGood Affordable Housing)</v>
      </c>
      <c r="BR96" s="1218">
        <f>Application!AH246</f>
        <v>100</v>
      </c>
      <c r="CM96" s="1190"/>
      <c r="CN96" s="1190"/>
      <c r="CO96" s="1190"/>
      <c r="CP96" s="1190"/>
    </row>
    <row r="97" spans="1:94" ht="15.75" customHeight="1">
      <c r="A97" s="1192"/>
      <c r="B97" s="2018"/>
      <c r="C97" s="2019"/>
      <c r="D97" s="2019"/>
      <c r="E97" s="2019"/>
      <c r="F97" s="2019"/>
      <c r="G97" s="2019"/>
      <c r="H97" s="2019"/>
      <c r="I97" s="2019" t="s">
        <v>2373</v>
      </c>
      <c r="J97" s="2019"/>
      <c r="K97" s="2019"/>
      <c r="L97" s="2019"/>
      <c r="M97" s="2019"/>
      <c r="N97" s="2019"/>
      <c r="O97" s="2019" t="s">
        <v>2349</v>
      </c>
      <c r="P97" s="2019"/>
      <c r="Q97" s="2019"/>
      <c r="R97" s="2019"/>
      <c r="S97" s="2019"/>
      <c r="T97" s="2019"/>
      <c r="U97" s="2019"/>
      <c r="V97" s="2105" t="s">
        <v>2348</v>
      </c>
      <c r="W97" s="2105"/>
      <c r="X97" s="2105"/>
      <c r="Y97" s="2105"/>
      <c r="Z97" s="2105"/>
      <c r="AA97" s="2105"/>
      <c r="AB97" s="2106" t="s">
        <v>2372</v>
      </c>
      <c r="AC97" s="2106"/>
      <c r="AD97" s="2106"/>
      <c r="AE97" s="2106"/>
      <c r="AF97" s="2106"/>
      <c r="AG97" s="2106"/>
      <c r="AH97" s="2107"/>
      <c r="AI97" s="1192"/>
      <c r="AJ97" s="2099"/>
      <c r="AK97" s="2100"/>
      <c r="AL97" s="2100"/>
      <c r="AM97" s="2100"/>
      <c r="AN97" s="2100"/>
      <c r="AO97" s="2100"/>
      <c r="AP97" s="2100"/>
      <c r="AQ97" s="2100"/>
      <c r="AR97" s="2100"/>
      <c r="AS97" s="2100"/>
      <c r="AT97" s="2100"/>
      <c r="AU97" s="2100"/>
      <c r="AV97" s="2100"/>
      <c r="AW97" s="2100"/>
      <c r="AX97" s="2100"/>
      <c r="AY97" s="2103"/>
      <c r="AZ97" s="2103"/>
      <c r="BA97" s="2103"/>
      <c r="BB97" s="2104"/>
      <c r="BC97" s="1192"/>
      <c r="BD97" s="1192"/>
      <c r="BE97" s="1196"/>
      <c r="BQ97" s="1189" t="str">
        <f>Application!M251&amp;IF(TRIM(Application!AA257)&lt;&gt;""," ("&amp;Application!AA257&amp;")","")</f>
        <v/>
      </c>
      <c r="BR97" s="1218">
        <f>Application!AH254</f>
        <v>0</v>
      </c>
      <c r="CM97" s="1190"/>
      <c r="CN97" s="1190"/>
      <c r="CO97" s="1190"/>
      <c r="CP97" s="1190"/>
    </row>
    <row r="98" spans="1:94" ht="15.75" customHeight="1">
      <c r="A98" s="1192"/>
      <c r="B98" s="2018"/>
      <c r="C98" s="2019"/>
      <c r="D98" s="2019"/>
      <c r="E98" s="2019"/>
      <c r="F98" s="2019"/>
      <c r="G98" s="2019"/>
      <c r="H98" s="2019"/>
      <c r="I98" s="2019"/>
      <c r="J98" s="2019"/>
      <c r="K98" s="2019"/>
      <c r="L98" s="2019"/>
      <c r="M98" s="2019"/>
      <c r="N98" s="2019"/>
      <c r="O98" s="2019"/>
      <c r="P98" s="2019"/>
      <c r="Q98" s="2019"/>
      <c r="R98" s="2019"/>
      <c r="S98" s="2019"/>
      <c r="T98" s="2019"/>
      <c r="U98" s="2019"/>
      <c r="V98" s="2105"/>
      <c r="W98" s="2105"/>
      <c r="X98" s="2105"/>
      <c r="Y98" s="2105"/>
      <c r="Z98" s="2105"/>
      <c r="AA98" s="2105"/>
      <c r="AB98" s="2106"/>
      <c r="AC98" s="2106"/>
      <c r="AD98" s="2106"/>
      <c r="AE98" s="2106"/>
      <c r="AF98" s="2106"/>
      <c r="AG98" s="2106"/>
      <c r="AH98" s="2107"/>
      <c r="AI98" s="1192"/>
      <c r="AJ98" s="2099"/>
      <c r="AK98" s="2100"/>
      <c r="AL98" s="2100"/>
      <c r="AM98" s="2100"/>
      <c r="AN98" s="2100"/>
      <c r="AO98" s="2100"/>
      <c r="AP98" s="2100"/>
      <c r="AQ98" s="2100"/>
      <c r="AR98" s="2100"/>
      <c r="AS98" s="2100"/>
      <c r="AT98" s="2100"/>
      <c r="AU98" s="2100"/>
      <c r="AV98" s="2100"/>
      <c r="AW98" s="2100"/>
      <c r="AX98" s="2100"/>
      <c r="AY98" s="2103"/>
      <c r="AZ98" s="2103"/>
      <c r="BA98" s="2103"/>
      <c r="BB98" s="2104"/>
      <c r="BC98" s="1192"/>
      <c r="BD98" s="1192"/>
      <c r="BE98" s="1196"/>
      <c r="BQ98" s="1189" t="str">
        <f>Application!M259&amp;IF(TRIM(Application!AA265)&lt;&gt;""," ("&amp;Application!AA265&amp;")","")</f>
        <v/>
      </c>
      <c r="BR98" s="1218">
        <f>Application!AH262</f>
        <v>0</v>
      </c>
      <c r="CM98" s="1190"/>
      <c r="CN98" s="1190"/>
      <c r="CO98" s="1190"/>
      <c r="CP98" s="1190"/>
    </row>
    <row r="99" spans="1:94" ht="15.75" customHeight="1">
      <c r="A99" s="1192"/>
      <c r="B99" s="2018" t="s">
        <v>2371</v>
      </c>
      <c r="C99" s="2019"/>
      <c r="D99" s="2019"/>
      <c r="E99" s="2019"/>
      <c r="F99" s="2019"/>
      <c r="G99" s="2019"/>
      <c r="H99" s="2019"/>
      <c r="I99" s="2095">
        <v>0</v>
      </c>
      <c r="J99" s="2095"/>
      <c r="K99" s="2095"/>
      <c r="L99" s="2095"/>
      <c r="M99" s="2095"/>
      <c r="N99" s="2095"/>
      <c r="O99" s="2095">
        <v>0</v>
      </c>
      <c r="P99" s="2095"/>
      <c r="Q99" s="2095"/>
      <c r="R99" s="2095"/>
      <c r="S99" s="2095"/>
      <c r="T99" s="2095"/>
      <c r="U99" s="2095"/>
      <c r="V99" s="2095">
        <v>0</v>
      </c>
      <c r="W99" s="2095"/>
      <c r="X99" s="2095"/>
      <c r="Y99" s="2095"/>
      <c r="Z99" s="2095"/>
      <c r="AA99" s="2095"/>
      <c r="AB99" s="2095">
        <v>0</v>
      </c>
      <c r="AC99" s="2095"/>
      <c r="AD99" s="2095"/>
      <c r="AE99" s="2095"/>
      <c r="AF99" s="2095"/>
      <c r="AG99" s="2095"/>
      <c r="AH99" s="2096"/>
      <c r="AI99" s="1192"/>
      <c r="AJ99" s="2099"/>
      <c r="AK99" s="2100"/>
      <c r="AL99" s="2100"/>
      <c r="AM99" s="2100"/>
      <c r="AN99" s="2100"/>
      <c r="AO99" s="2100"/>
      <c r="AP99" s="2100"/>
      <c r="AQ99" s="2100"/>
      <c r="AR99" s="2100"/>
      <c r="AS99" s="2100"/>
      <c r="AT99" s="2100"/>
      <c r="AU99" s="2100"/>
      <c r="AV99" s="2100"/>
      <c r="AW99" s="2100"/>
      <c r="AX99" s="2100"/>
      <c r="AY99" s="2103"/>
      <c r="AZ99" s="2103"/>
      <c r="BA99" s="2103"/>
      <c r="BB99" s="2104"/>
      <c r="BC99" s="1192"/>
      <c r="BD99" s="1192"/>
      <c r="BE99" s="1196"/>
      <c r="CM99" s="1190"/>
      <c r="CN99" s="1190"/>
      <c r="CO99" s="1190"/>
      <c r="CP99" s="1190"/>
    </row>
    <row r="100" spans="1:94" ht="15.75" customHeight="1">
      <c r="A100" s="1192"/>
      <c r="B100" s="2018" t="s">
        <v>2370</v>
      </c>
      <c r="C100" s="2019"/>
      <c r="D100" s="2019"/>
      <c r="E100" s="2019"/>
      <c r="F100" s="2019"/>
      <c r="G100" s="2019"/>
      <c r="H100" s="2019"/>
      <c r="I100" s="2095">
        <v>0</v>
      </c>
      <c r="J100" s="2095"/>
      <c r="K100" s="2095"/>
      <c r="L100" s="2095"/>
      <c r="M100" s="2095"/>
      <c r="N100" s="2095"/>
      <c r="O100" s="2095">
        <v>0</v>
      </c>
      <c r="P100" s="2095"/>
      <c r="Q100" s="2095"/>
      <c r="R100" s="2095"/>
      <c r="S100" s="2095"/>
      <c r="T100" s="2095"/>
      <c r="U100" s="2095"/>
      <c r="V100" s="2095">
        <v>0</v>
      </c>
      <c r="W100" s="2095"/>
      <c r="X100" s="2095"/>
      <c r="Y100" s="2095"/>
      <c r="Z100" s="2095"/>
      <c r="AA100" s="2095"/>
      <c r="AB100" s="2095">
        <v>0</v>
      </c>
      <c r="AC100" s="2095"/>
      <c r="AD100" s="2095"/>
      <c r="AE100" s="2095"/>
      <c r="AF100" s="2095"/>
      <c r="AG100" s="2095"/>
      <c r="AH100" s="2096"/>
      <c r="AI100" s="1192"/>
      <c r="AJ100" s="2084" t="s">
        <v>2377</v>
      </c>
      <c r="AK100" s="2085"/>
      <c r="AL100" s="2085"/>
      <c r="AM100" s="2085"/>
      <c r="AN100" s="2085"/>
      <c r="AO100" s="2085"/>
      <c r="AP100" s="2085"/>
      <c r="AQ100" s="2085"/>
      <c r="AR100" s="2085"/>
      <c r="AS100" s="2085"/>
      <c r="AT100" s="2085"/>
      <c r="AU100" s="2085"/>
      <c r="AV100" s="2085"/>
      <c r="AW100" s="2085"/>
      <c r="AX100" s="2085"/>
      <c r="AY100" s="2085"/>
      <c r="AZ100" s="2085"/>
      <c r="BA100" s="2085"/>
      <c r="BB100" s="2086"/>
      <c r="BC100" s="1192"/>
      <c r="BD100" s="1192"/>
      <c r="BE100" s="1196"/>
      <c r="CM100" s="1190"/>
      <c r="CN100" s="1190"/>
      <c r="CO100" s="1190"/>
      <c r="CP100" s="1190"/>
    </row>
    <row r="101" spans="1:94" ht="15.75" customHeight="1" thickBot="1">
      <c r="A101" s="1192"/>
      <c r="B101" s="2036" t="s">
        <v>2369</v>
      </c>
      <c r="C101" s="2037"/>
      <c r="D101" s="2037"/>
      <c r="E101" s="2037"/>
      <c r="F101" s="2037"/>
      <c r="G101" s="2037"/>
      <c r="H101" s="2037"/>
      <c r="I101" s="2110">
        <v>0</v>
      </c>
      <c r="J101" s="2110"/>
      <c r="K101" s="2110"/>
      <c r="L101" s="2110"/>
      <c r="M101" s="2110"/>
      <c r="N101" s="2110"/>
      <c r="O101" s="2110">
        <v>0</v>
      </c>
      <c r="P101" s="2110"/>
      <c r="Q101" s="2110"/>
      <c r="R101" s="2110"/>
      <c r="S101" s="2110"/>
      <c r="T101" s="2110"/>
      <c r="U101" s="2110"/>
      <c r="V101" s="2110">
        <v>0</v>
      </c>
      <c r="W101" s="2110"/>
      <c r="X101" s="2110"/>
      <c r="Y101" s="2110"/>
      <c r="Z101" s="2110"/>
      <c r="AA101" s="2110"/>
      <c r="AB101" s="2110">
        <v>0</v>
      </c>
      <c r="AC101" s="2110"/>
      <c r="AD101" s="2110"/>
      <c r="AE101" s="2110"/>
      <c r="AF101" s="2110"/>
      <c r="AG101" s="2110"/>
      <c r="AH101" s="2111"/>
      <c r="AI101" s="1192"/>
      <c r="AJ101" s="2087"/>
      <c r="AK101" s="2088"/>
      <c r="AL101" s="2088"/>
      <c r="AM101" s="2088"/>
      <c r="AN101" s="2088"/>
      <c r="AO101" s="2088"/>
      <c r="AP101" s="2088"/>
      <c r="AQ101" s="2088"/>
      <c r="AR101" s="2088"/>
      <c r="AS101" s="2088"/>
      <c r="AT101" s="2088"/>
      <c r="AU101" s="2088"/>
      <c r="AV101" s="2088"/>
      <c r="AW101" s="2088"/>
      <c r="AX101" s="2088"/>
      <c r="AY101" s="2088"/>
      <c r="AZ101" s="2088"/>
      <c r="BA101" s="2088"/>
      <c r="BB101" s="2089"/>
      <c r="BC101" s="1192"/>
      <c r="BD101" s="1192"/>
      <c r="BE101" s="1196"/>
      <c r="CM101" s="1190"/>
      <c r="CN101" s="1190"/>
      <c r="CO101" s="1190"/>
      <c r="CP101" s="1190"/>
    </row>
    <row r="102" spans="1:94" ht="15.75" customHeight="1" thickBot="1">
      <c r="A102" s="1192"/>
      <c r="B102" s="1192"/>
      <c r="C102" s="1192"/>
      <c r="D102" s="1192"/>
      <c r="E102" s="1192"/>
      <c r="F102" s="1192"/>
      <c r="G102" s="1192"/>
      <c r="H102" s="1192"/>
      <c r="I102" s="1192"/>
      <c r="J102" s="1192"/>
      <c r="K102" s="1192"/>
      <c r="L102" s="1192"/>
      <c r="M102" s="1192"/>
      <c r="N102" s="1192"/>
      <c r="O102" s="1192"/>
      <c r="P102" s="1192"/>
      <c r="Q102" s="1192"/>
      <c r="R102" s="1192"/>
      <c r="S102" s="1192"/>
      <c r="T102" s="1192"/>
      <c r="U102" s="1192"/>
      <c r="V102" s="1192"/>
      <c r="W102" s="1192"/>
      <c r="X102" s="1192"/>
      <c r="Y102" s="1192"/>
      <c r="Z102" s="1192"/>
      <c r="AA102" s="1192"/>
      <c r="AB102" s="1192"/>
      <c r="AC102" s="1192"/>
      <c r="AD102" s="1192"/>
      <c r="AE102" s="1192"/>
      <c r="AF102" s="1192"/>
      <c r="AG102" s="1192"/>
      <c r="AH102" s="1192"/>
      <c r="AI102" s="1192"/>
      <c r="AJ102" s="1192"/>
      <c r="AK102" s="1192"/>
      <c r="AL102" s="1192"/>
      <c r="AM102" s="1192"/>
      <c r="AN102" s="1192"/>
      <c r="AO102" s="1192"/>
      <c r="AP102" s="1192"/>
      <c r="AQ102" s="1192"/>
      <c r="AR102" s="1192"/>
      <c r="AS102" s="1192"/>
      <c r="AT102" s="1192"/>
      <c r="AU102" s="1192"/>
      <c r="AV102" s="1192"/>
      <c r="AW102" s="1192"/>
      <c r="AX102" s="1192"/>
      <c r="AY102" s="1192"/>
      <c r="AZ102" s="1192"/>
      <c r="BA102" s="1192"/>
      <c r="BB102" s="1192"/>
      <c r="BC102" s="1192"/>
      <c r="BD102" s="1192"/>
      <c r="BE102" s="1196"/>
      <c r="CM102" s="1190"/>
      <c r="CN102" s="1190"/>
      <c r="CO102" s="1190"/>
      <c r="CP102" s="1190"/>
    </row>
    <row r="103" spans="1:94" ht="15.75" customHeight="1" thickBot="1">
      <c r="A103" s="1192"/>
      <c r="B103" s="1211" t="s">
        <v>2376</v>
      </c>
      <c r="C103" s="1205"/>
      <c r="D103" s="1206"/>
      <c r="E103" s="1206"/>
      <c r="F103" s="1219"/>
      <c r="G103" s="1219"/>
      <c r="H103" s="1219"/>
      <c r="I103" s="1219"/>
      <c r="J103" s="1219"/>
      <c r="K103" s="1219"/>
      <c r="L103" s="1219"/>
      <c r="M103" s="1219"/>
      <c r="N103" s="1219"/>
      <c r="O103" s="1220"/>
      <c r="P103" s="1219"/>
      <c r="Q103" s="1219"/>
      <c r="R103" s="1220"/>
      <c r="S103" s="1192" t="s">
        <v>249</v>
      </c>
      <c r="T103" s="1192"/>
      <c r="U103" s="1192"/>
      <c r="V103" s="1192"/>
      <c r="W103" s="1192"/>
      <c r="X103" s="1192"/>
      <c r="Y103" s="1192"/>
      <c r="Z103" s="1192"/>
      <c r="AA103" s="1192"/>
      <c r="AB103" s="1192"/>
      <c r="AC103" s="1192"/>
      <c r="AD103" s="1192"/>
      <c r="AE103" s="1192"/>
      <c r="AF103" s="1192"/>
      <c r="AG103" s="1192"/>
      <c r="AH103" s="1192"/>
      <c r="AI103" s="1192"/>
      <c r="AJ103" s="1192"/>
      <c r="AK103" s="1192"/>
      <c r="AL103" s="1192"/>
      <c r="AM103" s="1192"/>
      <c r="AN103" s="1192"/>
      <c r="AO103" s="1192"/>
      <c r="AP103" s="1192"/>
      <c r="AQ103" s="1192"/>
      <c r="AR103" s="1192"/>
      <c r="AS103" s="1192"/>
      <c r="AT103" s="1192"/>
      <c r="AU103" s="1192"/>
      <c r="AV103" s="1192"/>
      <c r="AW103" s="1192"/>
      <c r="AX103" s="1192"/>
      <c r="AY103" s="1192"/>
      <c r="AZ103" s="1192"/>
      <c r="BA103" s="1192"/>
      <c r="BB103" s="1192"/>
      <c r="BC103" s="1192"/>
      <c r="BD103" s="1192"/>
      <c r="BE103" s="1196"/>
      <c r="CM103" s="1190"/>
      <c r="CN103" s="1190"/>
      <c r="CO103" s="1190"/>
      <c r="CP103" s="1190"/>
    </row>
    <row r="104" spans="1:94" ht="15.75" customHeight="1">
      <c r="A104" s="1192"/>
      <c r="B104" s="1215" t="s">
        <v>2286</v>
      </c>
      <c r="C104" s="1215"/>
      <c r="D104" s="1221"/>
      <c r="E104" s="1222"/>
      <c r="F104" s="2112"/>
      <c r="G104" s="2113"/>
      <c r="H104" s="2113"/>
      <c r="I104" s="2113"/>
      <c r="J104" s="2113"/>
      <c r="K104" s="2113"/>
      <c r="L104" s="2113"/>
      <c r="M104" s="2113"/>
      <c r="N104" s="2113"/>
      <c r="O104" s="2113"/>
      <c r="P104" s="2113"/>
      <c r="Q104" s="2113"/>
      <c r="R104" s="2114"/>
      <c r="S104" s="1192"/>
      <c r="T104" s="1192"/>
      <c r="U104" s="1192"/>
      <c r="V104" s="1192"/>
      <c r="W104" s="1192"/>
      <c r="X104" s="1192"/>
      <c r="Y104" s="1192"/>
      <c r="Z104" s="1192"/>
      <c r="AA104" s="1192"/>
      <c r="AB104" s="1192"/>
      <c r="AC104" s="1192"/>
      <c r="AD104" s="1192"/>
      <c r="AE104" s="1192"/>
      <c r="AF104" s="1192"/>
      <c r="AG104" s="1192"/>
      <c r="AH104" s="1192"/>
      <c r="AI104" s="1192"/>
      <c r="AJ104" s="1192"/>
      <c r="AK104" s="1192"/>
      <c r="AL104" s="1192"/>
      <c r="AM104" s="1192"/>
      <c r="AN104" s="1192"/>
      <c r="AO104" s="1192"/>
      <c r="AP104" s="1192"/>
      <c r="AQ104" s="1192"/>
      <c r="AR104" s="1192"/>
      <c r="AS104" s="1192"/>
      <c r="AT104" s="1192"/>
      <c r="AU104" s="1192"/>
      <c r="AV104" s="1192"/>
      <c r="AW104" s="1192"/>
      <c r="AX104" s="1192"/>
      <c r="AY104" s="1192"/>
      <c r="AZ104" s="1192"/>
      <c r="BA104" s="1192"/>
      <c r="BB104" s="1192"/>
      <c r="BC104" s="1192"/>
      <c r="BD104" s="1192"/>
      <c r="BE104" s="1196"/>
      <c r="CM104" s="1190"/>
      <c r="CN104" s="1190"/>
      <c r="CO104" s="1190"/>
      <c r="CP104" s="1190"/>
    </row>
    <row r="105" spans="1:94" ht="15.75" customHeight="1" thickBot="1">
      <c r="A105" s="1192"/>
      <c r="B105" s="1223" t="s">
        <v>2375</v>
      </c>
      <c r="C105" s="1224"/>
      <c r="D105" s="1225"/>
      <c r="E105" s="1225"/>
      <c r="F105" s="1225"/>
      <c r="G105" s="1225"/>
      <c r="H105" s="1225"/>
      <c r="I105" s="1225"/>
      <c r="J105" s="1225"/>
      <c r="K105" s="1225"/>
      <c r="L105" s="1226"/>
      <c r="M105" s="1225"/>
      <c r="N105" s="1226"/>
      <c r="O105" s="2076" t="str">
        <f>IFERROR(INDEX(BR96:BR98,MATCH(F104,$BQ$96:$BQ$98,0))/SUM($BR$96:$BR$98),"")</f>
        <v/>
      </c>
      <c r="P105" s="2077"/>
      <c r="Q105" s="2077"/>
      <c r="R105" s="2078"/>
      <c r="S105" s="1192"/>
      <c r="T105" s="1192"/>
      <c r="U105" s="1192"/>
      <c r="V105" s="1192"/>
      <c r="W105" s="1192"/>
      <c r="X105" s="1192"/>
      <c r="Y105" s="1192"/>
      <c r="Z105" s="1192"/>
      <c r="AA105" s="1192"/>
      <c r="AB105" s="1192"/>
      <c r="AC105" s="1192"/>
      <c r="AD105" s="1192"/>
      <c r="AE105" s="1192"/>
      <c r="AF105" s="1192"/>
      <c r="AG105" s="1192"/>
      <c r="AH105" s="1192"/>
      <c r="AI105" s="1192"/>
      <c r="AJ105" s="1192"/>
      <c r="AK105" s="1192"/>
      <c r="AL105" s="1192"/>
      <c r="AM105" s="1192"/>
      <c r="AN105" s="1192"/>
      <c r="AO105" s="1192"/>
      <c r="AP105" s="1192"/>
      <c r="AQ105" s="1192"/>
      <c r="AR105" s="1192"/>
      <c r="AS105" s="1192"/>
      <c r="AT105" s="1192"/>
      <c r="AU105" s="1192"/>
      <c r="AV105" s="1192"/>
      <c r="AW105" s="1192"/>
      <c r="AX105" s="1192"/>
      <c r="AY105" s="1192"/>
      <c r="AZ105" s="1192"/>
      <c r="BA105" s="1192"/>
      <c r="BB105" s="1192"/>
      <c r="BC105" s="1192"/>
      <c r="BD105" s="1192"/>
      <c r="BE105" s="1196"/>
      <c r="CM105" s="1190"/>
      <c r="CN105" s="1190"/>
      <c r="CO105" s="1190"/>
      <c r="CP105" s="1190"/>
    </row>
    <row r="106" spans="1:94" ht="15.75" customHeight="1" thickBot="1">
      <c r="A106" s="1192"/>
      <c r="B106" s="1192"/>
      <c r="C106" s="1192"/>
      <c r="D106" s="1192"/>
      <c r="E106" s="1192"/>
      <c r="F106" s="1192"/>
      <c r="G106" s="1192"/>
      <c r="H106" s="1192"/>
      <c r="I106" s="1192"/>
      <c r="J106" s="1192"/>
      <c r="K106" s="1192"/>
      <c r="L106" s="1192"/>
      <c r="M106" s="1192"/>
      <c r="N106" s="1192"/>
      <c r="O106" s="1192"/>
      <c r="P106" s="1227"/>
      <c r="Q106" s="1192"/>
      <c r="R106" s="1192"/>
      <c r="S106" s="1192"/>
      <c r="T106" s="1192"/>
      <c r="U106" s="1192"/>
      <c r="V106" s="1192"/>
      <c r="W106" s="1192"/>
      <c r="X106" s="1192"/>
      <c r="Y106" s="1192"/>
      <c r="Z106" s="1192"/>
      <c r="AA106" s="1192"/>
      <c r="AB106" s="1192"/>
      <c r="AC106" s="1192"/>
      <c r="AD106" s="1192"/>
      <c r="AE106" s="1192"/>
      <c r="AF106" s="1192"/>
      <c r="AG106" s="1192"/>
      <c r="AH106" s="1192"/>
      <c r="AI106" s="1192"/>
      <c r="AJ106" s="1192"/>
      <c r="AK106" s="1192"/>
      <c r="AL106" s="1192"/>
      <c r="AM106" s="1192"/>
      <c r="AN106" s="1192"/>
      <c r="AO106" s="1192"/>
      <c r="AP106" s="1192"/>
      <c r="AQ106" s="1192"/>
      <c r="AR106" s="1192"/>
      <c r="AS106" s="1192"/>
      <c r="AT106" s="1192"/>
      <c r="AU106" s="1192"/>
      <c r="AV106" s="1192"/>
      <c r="AW106" s="1192"/>
      <c r="AX106" s="1192"/>
      <c r="AY106" s="1192"/>
      <c r="AZ106" s="1192"/>
      <c r="BA106" s="1192"/>
      <c r="BB106" s="1192"/>
      <c r="BC106" s="1192"/>
      <c r="BD106" s="1192"/>
      <c r="BE106" s="1196"/>
      <c r="CM106" s="1190"/>
      <c r="CN106" s="1190"/>
      <c r="CO106" s="1190"/>
      <c r="CP106" s="1190"/>
    </row>
    <row r="107" spans="1:94" ht="15.75" customHeight="1">
      <c r="A107" s="1192"/>
      <c r="B107" s="2064" t="s">
        <v>2374</v>
      </c>
      <c r="C107" s="2065"/>
      <c r="D107" s="2065"/>
      <c r="E107" s="2065"/>
      <c r="F107" s="2065"/>
      <c r="G107" s="2065"/>
      <c r="H107" s="2065"/>
      <c r="I107" s="2065"/>
      <c r="J107" s="2065"/>
      <c r="K107" s="2065"/>
      <c r="L107" s="2065"/>
      <c r="M107" s="2065"/>
      <c r="N107" s="2065"/>
      <c r="O107" s="2065"/>
      <c r="P107" s="2065"/>
      <c r="Q107" s="2065"/>
      <c r="R107" s="2065"/>
      <c r="S107" s="2065"/>
      <c r="T107" s="2065"/>
      <c r="U107" s="2065"/>
      <c r="V107" s="2065"/>
      <c r="W107" s="2065"/>
      <c r="X107" s="2065"/>
      <c r="Y107" s="2065"/>
      <c r="Z107" s="2065"/>
      <c r="AA107" s="2065"/>
      <c r="AB107" s="2065"/>
      <c r="AC107" s="2065"/>
      <c r="AD107" s="2065"/>
      <c r="AE107" s="2065"/>
      <c r="AF107" s="2065"/>
      <c r="AG107" s="2065"/>
      <c r="AH107" s="2115"/>
      <c r="AI107" s="1192"/>
      <c r="AJ107" s="1192"/>
      <c r="AK107" s="1192"/>
      <c r="AL107" s="1192"/>
      <c r="AM107" s="1192"/>
      <c r="AN107" s="1192"/>
      <c r="AO107" s="1192"/>
      <c r="AP107" s="1192"/>
      <c r="AQ107" s="1192"/>
      <c r="AR107" s="1192"/>
      <c r="AS107" s="1192"/>
      <c r="AT107" s="1192"/>
      <c r="AU107" s="1192"/>
      <c r="AV107" s="1192"/>
      <c r="AW107" s="1192"/>
      <c r="AX107" s="1192"/>
      <c r="AY107" s="1192"/>
      <c r="AZ107" s="1192"/>
      <c r="BA107" s="1192"/>
      <c r="BB107" s="1192"/>
      <c r="BC107" s="1192"/>
      <c r="BD107" s="1192"/>
      <c r="BE107" s="1196"/>
      <c r="CM107" s="1190"/>
      <c r="CN107" s="1190"/>
      <c r="CO107" s="1190"/>
      <c r="CP107" s="1190"/>
    </row>
    <row r="108" spans="1:94" ht="16.5" customHeight="1">
      <c r="A108" s="1192"/>
      <c r="B108" s="2018"/>
      <c r="C108" s="2019"/>
      <c r="D108" s="2019"/>
      <c r="E108" s="2019"/>
      <c r="F108" s="2019"/>
      <c r="G108" s="2019"/>
      <c r="H108" s="2019"/>
      <c r="I108" s="2019" t="s">
        <v>2373</v>
      </c>
      <c r="J108" s="2019"/>
      <c r="K108" s="2019"/>
      <c r="L108" s="2019"/>
      <c r="M108" s="2019"/>
      <c r="N108" s="2019"/>
      <c r="O108" s="2019" t="s">
        <v>2349</v>
      </c>
      <c r="P108" s="2019"/>
      <c r="Q108" s="2019"/>
      <c r="R108" s="2019"/>
      <c r="S108" s="2019"/>
      <c r="T108" s="2019"/>
      <c r="U108" s="2019"/>
      <c r="V108" s="2105" t="s">
        <v>2348</v>
      </c>
      <c r="W108" s="2105"/>
      <c r="X108" s="2105"/>
      <c r="Y108" s="2105"/>
      <c r="Z108" s="2105"/>
      <c r="AA108" s="2105"/>
      <c r="AB108" s="2106" t="s">
        <v>2372</v>
      </c>
      <c r="AC108" s="2106"/>
      <c r="AD108" s="2106"/>
      <c r="AE108" s="2106"/>
      <c r="AF108" s="2106"/>
      <c r="AG108" s="2106"/>
      <c r="AH108" s="2107"/>
      <c r="AI108" s="1192"/>
      <c r="AJ108" s="1192"/>
      <c r="AK108" s="1192"/>
      <c r="AL108" s="1192"/>
      <c r="AM108" s="1192"/>
      <c r="AN108" s="1192"/>
      <c r="AO108" s="1192"/>
      <c r="AP108" s="1192"/>
      <c r="AQ108" s="1192"/>
      <c r="AR108" s="1192"/>
      <c r="AS108" s="1192"/>
      <c r="AT108" s="1192"/>
      <c r="AU108" s="1192"/>
      <c r="AV108" s="1192"/>
      <c r="AW108" s="1192"/>
      <c r="AX108" s="1192"/>
      <c r="AY108" s="1192"/>
      <c r="AZ108" s="1192"/>
      <c r="BA108" s="1192"/>
      <c r="BB108" s="1192"/>
      <c r="BC108" s="1192"/>
      <c r="BD108" s="1192"/>
      <c r="BE108" s="1196"/>
      <c r="CM108" s="1190"/>
      <c r="CN108" s="1190"/>
      <c r="CO108" s="1190"/>
      <c r="CP108" s="1190"/>
    </row>
    <row r="109" spans="1:94" ht="16.5" customHeight="1">
      <c r="A109" s="1192"/>
      <c r="B109" s="2018"/>
      <c r="C109" s="2019"/>
      <c r="D109" s="2019"/>
      <c r="E109" s="2019"/>
      <c r="F109" s="2019"/>
      <c r="G109" s="2019"/>
      <c r="H109" s="2019"/>
      <c r="I109" s="2019"/>
      <c r="J109" s="2019"/>
      <c r="K109" s="2019"/>
      <c r="L109" s="2019"/>
      <c r="M109" s="2019"/>
      <c r="N109" s="2019"/>
      <c r="O109" s="2019"/>
      <c r="P109" s="2019"/>
      <c r="Q109" s="2019"/>
      <c r="R109" s="2019"/>
      <c r="S109" s="2019"/>
      <c r="T109" s="2019"/>
      <c r="U109" s="2019"/>
      <c r="V109" s="2105"/>
      <c r="W109" s="2105"/>
      <c r="X109" s="2105"/>
      <c r="Y109" s="2105"/>
      <c r="Z109" s="2105"/>
      <c r="AA109" s="2105"/>
      <c r="AB109" s="2106"/>
      <c r="AC109" s="2106"/>
      <c r="AD109" s="2106"/>
      <c r="AE109" s="2106"/>
      <c r="AF109" s="2106"/>
      <c r="AG109" s="2106"/>
      <c r="AH109" s="2107"/>
      <c r="AI109" s="1192"/>
      <c r="AJ109" s="1192"/>
      <c r="AK109" s="1192"/>
      <c r="AL109" s="1192"/>
      <c r="AM109" s="1192"/>
      <c r="AN109" s="1192"/>
      <c r="AO109" s="1192"/>
      <c r="AP109" s="1192"/>
      <c r="AQ109" s="1192"/>
      <c r="AR109" s="1192"/>
      <c r="AS109" s="1192"/>
      <c r="AT109" s="1192"/>
      <c r="AU109" s="1192"/>
      <c r="AV109" s="1192"/>
      <c r="AW109" s="1192"/>
      <c r="AX109" s="1192"/>
      <c r="AY109" s="1192"/>
      <c r="AZ109" s="1192"/>
      <c r="BA109" s="1192"/>
      <c r="BB109" s="1192"/>
      <c r="BC109" s="1192"/>
      <c r="BD109" s="1192"/>
      <c r="BE109" s="1196"/>
      <c r="CM109" s="1190"/>
      <c r="CN109" s="1190"/>
      <c r="CO109" s="1190"/>
      <c r="CP109" s="1190"/>
    </row>
    <row r="110" spans="1:94" ht="15.75" customHeight="1">
      <c r="A110" s="1192"/>
      <c r="B110" s="2018" t="s">
        <v>2371</v>
      </c>
      <c r="C110" s="2019"/>
      <c r="D110" s="2019"/>
      <c r="E110" s="2019"/>
      <c r="F110" s="2019"/>
      <c r="G110" s="2019"/>
      <c r="H110" s="2019"/>
      <c r="I110" s="2095">
        <v>0</v>
      </c>
      <c r="J110" s="2095"/>
      <c r="K110" s="2095"/>
      <c r="L110" s="2095"/>
      <c r="M110" s="2095"/>
      <c r="N110" s="2095"/>
      <c r="O110" s="2095">
        <v>0</v>
      </c>
      <c r="P110" s="2095"/>
      <c r="Q110" s="2095"/>
      <c r="R110" s="2095"/>
      <c r="S110" s="2095"/>
      <c r="T110" s="2095"/>
      <c r="U110" s="2095"/>
      <c r="V110" s="2095">
        <v>0</v>
      </c>
      <c r="W110" s="2095"/>
      <c r="X110" s="2095"/>
      <c r="Y110" s="2095"/>
      <c r="Z110" s="2095"/>
      <c r="AA110" s="2095"/>
      <c r="AB110" s="2095">
        <v>0</v>
      </c>
      <c r="AC110" s="2095"/>
      <c r="AD110" s="2095"/>
      <c r="AE110" s="2095"/>
      <c r="AF110" s="2095"/>
      <c r="AG110" s="2095"/>
      <c r="AH110" s="2096"/>
      <c r="AI110" s="1192"/>
      <c r="AJ110" s="1192"/>
      <c r="AK110" s="1192"/>
      <c r="AL110" s="1192"/>
      <c r="AM110" s="1192"/>
      <c r="AN110" s="1192"/>
      <c r="AO110" s="1192"/>
      <c r="AP110" s="1192"/>
      <c r="AQ110" s="1192"/>
      <c r="AR110" s="1192"/>
      <c r="AS110" s="1192"/>
      <c r="AT110" s="1192"/>
      <c r="AU110" s="1192"/>
      <c r="AV110" s="1192"/>
      <c r="AW110" s="1192"/>
      <c r="AX110" s="1192"/>
      <c r="AY110" s="1192"/>
      <c r="AZ110" s="1192"/>
      <c r="BA110" s="1192"/>
      <c r="BB110" s="1192"/>
      <c r="BC110" s="1192"/>
      <c r="BD110" s="1192"/>
      <c r="BE110" s="1196"/>
      <c r="CM110" s="1190"/>
      <c r="CN110" s="1190"/>
      <c r="CO110" s="1190"/>
      <c r="CP110" s="1190"/>
    </row>
    <row r="111" spans="1:94" ht="15.75" customHeight="1">
      <c r="A111" s="1192"/>
      <c r="B111" s="2018" t="s">
        <v>2370</v>
      </c>
      <c r="C111" s="2019"/>
      <c r="D111" s="2019"/>
      <c r="E111" s="2019"/>
      <c r="F111" s="2019"/>
      <c r="G111" s="2019"/>
      <c r="H111" s="2019"/>
      <c r="I111" s="2095">
        <v>0</v>
      </c>
      <c r="J111" s="2095"/>
      <c r="K111" s="2095"/>
      <c r="L111" s="2095"/>
      <c r="M111" s="2095"/>
      <c r="N111" s="2095"/>
      <c r="O111" s="2095">
        <v>0</v>
      </c>
      <c r="P111" s="2095"/>
      <c r="Q111" s="2095"/>
      <c r="R111" s="2095"/>
      <c r="S111" s="2095"/>
      <c r="T111" s="2095"/>
      <c r="U111" s="2095"/>
      <c r="V111" s="2095">
        <v>0</v>
      </c>
      <c r="W111" s="2095"/>
      <c r="X111" s="2095"/>
      <c r="Y111" s="2095"/>
      <c r="Z111" s="2095"/>
      <c r="AA111" s="2095"/>
      <c r="AB111" s="2095">
        <v>0</v>
      </c>
      <c r="AC111" s="2095"/>
      <c r="AD111" s="2095"/>
      <c r="AE111" s="2095"/>
      <c r="AF111" s="2095"/>
      <c r="AG111" s="2095"/>
      <c r="AH111" s="2096"/>
      <c r="AI111" s="1192"/>
      <c r="AJ111" s="1192"/>
      <c r="AK111" s="1192"/>
      <c r="AL111" s="1192"/>
      <c r="AM111" s="1192"/>
      <c r="AN111" s="1192"/>
      <c r="AO111" s="1192"/>
      <c r="AP111" s="1192"/>
      <c r="AQ111" s="1192"/>
      <c r="AR111" s="1192"/>
      <c r="AS111" s="1192"/>
      <c r="AT111" s="1192"/>
      <c r="AU111" s="1192"/>
      <c r="AV111" s="1192"/>
      <c r="AW111" s="1192"/>
      <c r="AX111" s="1192"/>
      <c r="AY111" s="1192"/>
      <c r="AZ111" s="1192"/>
      <c r="BA111" s="1192"/>
      <c r="BB111" s="1192"/>
      <c r="BC111" s="1192"/>
      <c r="BD111" s="1192"/>
      <c r="BE111" s="1196"/>
      <c r="CM111" s="1190"/>
      <c r="CN111" s="1190"/>
      <c r="CO111" s="1190"/>
      <c r="CP111" s="1190"/>
    </row>
    <row r="112" spans="1:94" ht="15.75" customHeight="1" thickBot="1">
      <c r="A112" s="1192"/>
      <c r="B112" s="2036" t="s">
        <v>2369</v>
      </c>
      <c r="C112" s="2037"/>
      <c r="D112" s="2037"/>
      <c r="E112" s="2037"/>
      <c r="F112" s="2037"/>
      <c r="G112" s="2037"/>
      <c r="H112" s="2037"/>
      <c r="I112" s="2110">
        <v>0</v>
      </c>
      <c r="J112" s="2110"/>
      <c r="K112" s="2110"/>
      <c r="L112" s="2110"/>
      <c r="M112" s="2110"/>
      <c r="N112" s="2110"/>
      <c r="O112" s="2110">
        <v>0</v>
      </c>
      <c r="P112" s="2110"/>
      <c r="Q112" s="2110"/>
      <c r="R112" s="2110"/>
      <c r="S112" s="2110"/>
      <c r="T112" s="2110"/>
      <c r="U112" s="2110"/>
      <c r="V112" s="2110">
        <v>0</v>
      </c>
      <c r="W112" s="2110"/>
      <c r="X112" s="2110"/>
      <c r="Y112" s="2110"/>
      <c r="Z112" s="2110"/>
      <c r="AA112" s="2110"/>
      <c r="AB112" s="2110">
        <v>0</v>
      </c>
      <c r="AC112" s="2110"/>
      <c r="AD112" s="2110"/>
      <c r="AE112" s="2110"/>
      <c r="AF112" s="2110"/>
      <c r="AG112" s="2110"/>
      <c r="AH112" s="2111"/>
      <c r="AI112" s="1192"/>
      <c r="AJ112" s="1192"/>
      <c r="AK112" s="1192"/>
      <c r="AL112" s="1192"/>
      <c r="AM112" s="1192"/>
      <c r="AN112" s="1192"/>
      <c r="AO112" s="1192"/>
      <c r="AP112" s="1192"/>
      <c r="AQ112" s="1192"/>
      <c r="AR112" s="1192"/>
      <c r="AS112" s="1192"/>
      <c r="AT112" s="1192"/>
      <c r="AU112" s="1192"/>
      <c r="AV112" s="1192"/>
      <c r="AW112" s="1192"/>
      <c r="AX112" s="1192"/>
      <c r="AY112" s="1192"/>
      <c r="AZ112" s="1192"/>
      <c r="BA112" s="1192"/>
      <c r="BB112" s="1192"/>
      <c r="BC112" s="1192"/>
      <c r="BD112" s="1192"/>
      <c r="BE112" s="1196"/>
      <c r="CM112" s="1190"/>
      <c r="CN112" s="1190"/>
      <c r="CO112" s="1190"/>
      <c r="CP112" s="1190"/>
    </row>
    <row r="113" spans="1:57" ht="15.75" customHeight="1" thickBot="1">
      <c r="A113" s="1192"/>
      <c r="B113" s="1192"/>
      <c r="C113" s="1192"/>
      <c r="D113" s="1192"/>
      <c r="E113" s="1192"/>
      <c r="F113" s="1192"/>
      <c r="G113" s="1192"/>
      <c r="H113" s="1192"/>
      <c r="I113" s="1192"/>
      <c r="J113" s="1192"/>
      <c r="K113" s="1192"/>
      <c r="L113" s="1192"/>
      <c r="M113" s="1192"/>
      <c r="N113" s="1192"/>
      <c r="O113" s="1192"/>
      <c r="P113" s="1192"/>
      <c r="Q113" s="1192"/>
      <c r="R113" s="1192"/>
      <c r="S113" s="1192"/>
      <c r="T113" s="1192"/>
      <c r="U113" s="1192" t="s">
        <v>249</v>
      </c>
      <c r="V113" s="1192"/>
      <c r="W113" s="1192"/>
      <c r="X113" s="1192"/>
      <c r="Y113" s="1192"/>
      <c r="Z113" s="1192"/>
      <c r="AA113" s="1192"/>
      <c r="AB113" s="1192"/>
      <c r="AC113" s="1192"/>
      <c r="AD113" s="1192"/>
      <c r="AE113" s="1192"/>
      <c r="AF113" s="1192"/>
      <c r="AG113" s="1192"/>
      <c r="AH113" s="1192"/>
      <c r="AI113" s="1192"/>
      <c r="AJ113" s="1192"/>
      <c r="AK113" s="1192"/>
      <c r="AL113" s="1192"/>
      <c r="AM113" s="1192"/>
      <c r="AN113" s="1192"/>
      <c r="AO113" s="1192"/>
      <c r="AP113" s="1192"/>
      <c r="AQ113" s="1192"/>
      <c r="AR113" s="1192"/>
      <c r="AS113" s="1192"/>
      <c r="AT113" s="1192"/>
      <c r="AU113" s="1192"/>
      <c r="AV113" s="1192"/>
      <c r="AW113" s="1192"/>
      <c r="AX113" s="1192"/>
      <c r="AY113" s="1192"/>
      <c r="AZ113" s="1192"/>
      <c r="BA113" s="1192"/>
      <c r="BB113" s="1192"/>
      <c r="BC113" s="1192"/>
      <c r="BD113" s="1192"/>
      <c r="BE113" s="1196"/>
    </row>
    <row r="114" spans="1:57" ht="15.75" customHeight="1" thickBot="1">
      <c r="A114" s="1192"/>
      <c r="B114" s="1204" t="s">
        <v>2368</v>
      </c>
      <c r="C114" s="1210"/>
      <c r="D114" s="1210"/>
      <c r="E114" s="1210"/>
      <c r="F114" s="1210"/>
      <c r="G114" s="1210"/>
      <c r="H114" s="1210"/>
      <c r="I114" s="1210"/>
      <c r="J114" s="1210"/>
      <c r="K114" s="1210"/>
      <c r="L114" s="1210"/>
      <c r="M114" s="1210"/>
      <c r="N114" s="1210"/>
      <c r="O114" s="1210"/>
      <c r="P114" s="1210"/>
      <c r="Q114" s="1210"/>
      <c r="R114" s="1228"/>
      <c r="S114" s="1192"/>
      <c r="T114" s="1192"/>
      <c r="U114" s="1192"/>
      <c r="V114" s="1192"/>
      <c r="W114" s="1192"/>
      <c r="X114" s="1192"/>
      <c r="Y114" s="1192"/>
      <c r="Z114" s="1192"/>
      <c r="AA114" s="1192"/>
      <c r="AB114" s="1192"/>
      <c r="AC114" s="1192"/>
      <c r="AD114" s="1192"/>
      <c r="AE114" s="1192"/>
      <c r="AF114" s="1192"/>
      <c r="AG114" s="1192"/>
      <c r="AH114" s="1192"/>
      <c r="AI114" s="1192"/>
      <c r="AJ114" s="1192"/>
      <c r="AK114" s="1192"/>
      <c r="AL114" s="1192"/>
      <c r="AM114" s="1192"/>
      <c r="AN114" s="1192"/>
      <c r="AO114" s="1192"/>
      <c r="AP114" s="1192"/>
      <c r="AQ114" s="1192"/>
      <c r="AR114" s="1192"/>
      <c r="AS114" s="1192"/>
      <c r="AT114" s="1192"/>
      <c r="AU114" s="1192"/>
      <c r="AV114" s="1192"/>
      <c r="AW114" s="1192"/>
      <c r="AX114" s="1192"/>
      <c r="AY114" s="1192"/>
      <c r="AZ114" s="1192"/>
      <c r="BA114" s="1192"/>
      <c r="BB114" s="1192"/>
      <c r="BC114" s="1192"/>
      <c r="BD114" s="1192"/>
      <c r="BE114" s="1196"/>
    </row>
    <row r="115" spans="1:57" ht="15.75" customHeight="1">
      <c r="A115" s="1192"/>
      <c r="B115" s="1215" t="s">
        <v>2286</v>
      </c>
      <c r="C115" s="1215"/>
      <c r="D115" s="1221"/>
      <c r="E115" s="1222"/>
      <c r="F115" s="2116"/>
      <c r="G115" s="2117"/>
      <c r="H115" s="2117"/>
      <c r="I115" s="2117"/>
      <c r="J115" s="2117"/>
      <c r="K115" s="2117"/>
      <c r="L115" s="2117"/>
      <c r="M115" s="2117"/>
      <c r="N115" s="2117"/>
      <c r="O115" s="2117"/>
      <c r="P115" s="2117"/>
      <c r="Q115" s="2117"/>
      <c r="R115" s="2118"/>
      <c r="S115" s="1192"/>
      <c r="T115" s="1192"/>
      <c r="U115" s="1192"/>
      <c r="V115" s="1192"/>
      <c r="W115" s="1192"/>
      <c r="X115" s="1192"/>
      <c r="Y115" s="1192"/>
      <c r="Z115" s="1192"/>
      <c r="AA115" s="1192"/>
      <c r="AB115" s="1192"/>
      <c r="AC115" s="1192"/>
      <c r="AD115" s="1192"/>
      <c r="AE115" s="1192"/>
      <c r="AF115" s="1192"/>
      <c r="AG115" s="1192"/>
      <c r="AH115" s="1192"/>
      <c r="AI115" s="1192"/>
      <c r="AJ115" s="1192"/>
      <c r="AK115" s="1192"/>
      <c r="AL115" s="1192"/>
      <c r="AM115" s="1192"/>
      <c r="AN115" s="1192"/>
      <c r="AO115" s="1192"/>
      <c r="AP115" s="1192"/>
      <c r="AQ115" s="1192"/>
      <c r="AR115" s="1192"/>
      <c r="AS115" s="1192"/>
      <c r="AT115" s="1192"/>
      <c r="AU115" s="1192"/>
      <c r="AV115" s="1192"/>
      <c r="AW115" s="1192"/>
      <c r="AX115" s="1192"/>
      <c r="AY115" s="1192"/>
      <c r="AZ115" s="1192"/>
      <c r="BA115" s="1192"/>
      <c r="BB115" s="1192"/>
      <c r="BC115" s="1192"/>
      <c r="BD115" s="1192"/>
      <c r="BE115" s="1196"/>
    </row>
    <row r="116" spans="1:57" ht="15.75" customHeight="1" thickBot="1">
      <c r="A116" s="1192"/>
      <c r="B116" s="1192"/>
      <c r="C116" s="1192"/>
      <c r="D116" s="1192"/>
      <c r="E116" s="1192"/>
      <c r="F116" s="1192"/>
      <c r="G116" s="1192"/>
      <c r="H116" s="1192"/>
      <c r="I116" s="1192"/>
      <c r="J116" s="1192"/>
      <c r="K116" s="1192"/>
      <c r="L116" s="1192"/>
      <c r="M116" s="1192"/>
      <c r="N116" s="1192"/>
      <c r="O116" s="1192"/>
      <c r="P116" s="1192"/>
      <c r="Q116" s="1192"/>
      <c r="R116" s="1192"/>
      <c r="S116" s="1192"/>
      <c r="T116" s="1192"/>
      <c r="U116" s="1192"/>
      <c r="V116" s="1192"/>
      <c r="W116" s="1192"/>
      <c r="X116" s="1192"/>
      <c r="Y116" s="1192"/>
      <c r="Z116" s="1192"/>
      <c r="AA116" s="1192"/>
      <c r="AB116" s="1192"/>
      <c r="AC116" s="1192"/>
      <c r="AD116" s="1192"/>
      <c r="AE116" s="1192"/>
      <c r="AF116" s="1192"/>
      <c r="AG116" s="1192"/>
      <c r="AH116" s="1192"/>
      <c r="AI116" s="1192"/>
      <c r="AJ116" s="1192"/>
      <c r="AK116" s="1192"/>
      <c r="AL116" s="1192"/>
      <c r="AM116" s="1192"/>
      <c r="AN116" s="1192"/>
      <c r="AO116" s="1192"/>
      <c r="AP116" s="1192"/>
      <c r="AQ116" s="1192"/>
      <c r="AR116" s="1192"/>
      <c r="AS116" s="1192"/>
      <c r="AT116" s="1192"/>
      <c r="AU116" s="1192"/>
      <c r="AV116" s="1192"/>
      <c r="AW116" s="1192"/>
      <c r="AX116" s="1192"/>
      <c r="AY116" s="1192"/>
      <c r="AZ116" s="1192"/>
      <c r="BA116" s="1192"/>
      <c r="BB116" s="1192"/>
      <c r="BC116" s="1192"/>
      <c r="BD116" s="1192"/>
      <c r="BE116" s="1196"/>
    </row>
    <row r="117" spans="1:57" ht="15.75" customHeight="1">
      <c r="A117" s="1192"/>
      <c r="B117" s="2127" t="s">
        <v>2367</v>
      </c>
      <c r="C117" s="2128"/>
      <c r="D117" s="2128"/>
      <c r="E117" s="2128"/>
      <c r="F117" s="2128"/>
      <c r="G117" s="2128"/>
      <c r="H117" s="2128"/>
      <c r="I117" s="2128"/>
      <c r="J117" s="2128"/>
      <c r="K117" s="2128"/>
      <c r="L117" s="2128"/>
      <c r="M117" s="2128"/>
      <c r="N117" s="2128"/>
      <c r="O117" s="2128"/>
      <c r="P117" s="2128"/>
      <c r="Q117" s="2128"/>
      <c r="R117" s="2128"/>
      <c r="S117" s="2128"/>
      <c r="T117" s="2128"/>
      <c r="U117" s="2131" t="s">
        <v>544</v>
      </c>
      <c r="V117" s="2131"/>
      <c r="W117" s="2131"/>
      <c r="X117" s="2132"/>
      <c r="Y117" s="1192"/>
      <c r="Z117" s="1192"/>
      <c r="AA117" s="1192"/>
      <c r="AB117" s="1192"/>
      <c r="AC117" s="1192"/>
      <c r="AD117" s="1192"/>
      <c r="AE117" s="1192"/>
      <c r="AF117" s="1192"/>
      <c r="AG117" s="1192"/>
      <c r="AH117" s="1192"/>
      <c r="AI117" s="1192"/>
      <c r="AJ117" s="1192"/>
      <c r="AK117" s="1192"/>
      <c r="AL117" s="1192"/>
      <c r="AM117" s="1192"/>
      <c r="AN117" s="1192"/>
      <c r="AO117" s="1192"/>
      <c r="AP117" s="1192"/>
      <c r="AQ117" s="1192"/>
      <c r="AR117" s="1192"/>
      <c r="AS117" s="1192"/>
      <c r="AT117" s="1192"/>
      <c r="AU117" s="1192"/>
      <c r="AV117" s="1192"/>
      <c r="AW117" s="1192"/>
      <c r="AX117" s="1192"/>
      <c r="AY117" s="1192"/>
      <c r="AZ117" s="1192"/>
      <c r="BA117" s="1192"/>
      <c r="BB117" s="1192"/>
      <c r="BC117" s="1192"/>
      <c r="BD117" s="1192"/>
      <c r="BE117" s="1196"/>
    </row>
    <row r="118" spans="1:57" ht="15.75" customHeight="1">
      <c r="A118" s="1192"/>
      <c r="B118" s="2129"/>
      <c r="C118" s="2130"/>
      <c r="D118" s="2130"/>
      <c r="E118" s="2130"/>
      <c r="F118" s="2130"/>
      <c r="G118" s="2130"/>
      <c r="H118" s="2130"/>
      <c r="I118" s="2130"/>
      <c r="J118" s="2130"/>
      <c r="K118" s="2130"/>
      <c r="L118" s="2130"/>
      <c r="M118" s="2130"/>
      <c r="N118" s="2130"/>
      <c r="O118" s="2130"/>
      <c r="P118" s="2130"/>
      <c r="Q118" s="2130"/>
      <c r="R118" s="2130"/>
      <c r="S118" s="2130"/>
      <c r="T118" s="2130"/>
      <c r="U118" s="2133"/>
      <c r="V118" s="2133"/>
      <c r="W118" s="2133"/>
      <c r="X118" s="2134"/>
      <c r="Y118" s="1192"/>
      <c r="Z118" s="1192"/>
      <c r="AA118" s="1192"/>
      <c r="AB118" s="1192"/>
      <c r="AC118" s="1192"/>
      <c r="AD118" s="1192"/>
      <c r="AE118" s="1192"/>
      <c r="AF118" s="1192"/>
      <c r="AG118" s="1192"/>
      <c r="AH118" s="1192"/>
      <c r="AI118" s="1192"/>
      <c r="AJ118" s="1192"/>
      <c r="AK118" s="1192"/>
      <c r="AL118" s="1192"/>
      <c r="AM118" s="1192"/>
      <c r="AN118" s="1192"/>
      <c r="AO118" s="1192"/>
      <c r="AP118" s="1192"/>
      <c r="AQ118" s="1192"/>
      <c r="AR118" s="1192"/>
      <c r="AS118" s="1192"/>
      <c r="AT118" s="1192"/>
      <c r="AU118" s="1192"/>
      <c r="AV118" s="1192"/>
      <c r="AW118" s="1192"/>
      <c r="AX118" s="1192"/>
      <c r="AY118" s="1192"/>
      <c r="AZ118" s="1192"/>
      <c r="BA118" s="1192"/>
      <c r="BB118" s="1192"/>
      <c r="BC118" s="1192"/>
      <c r="BD118" s="1192"/>
      <c r="BE118" s="1196"/>
    </row>
    <row r="119" spans="1:57" ht="15.75" customHeight="1">
      <c r="A119" s="1192"/>
      <c r="B119" s="2129"/>
      <c r="C119" s="2130"/>
      <c r="D119" s="2130"/>
      <c r="E119" s="2130"/>
      <c r="F119" s="2130"/>
      <c r="G119" s="2130"/>
      <c r="H119" s="2130"/>
      <c r="I119" s="2130"/>
      <c r="J119" s="2130"/>
      <c r="K119" s="2130"/>
      <c r="L119" s="2130"/>
      <c r="M119" s="2130"/>
      <c r="N119" s="2130"/>
      <c r="O119" s="2130"/>
      <c r="P119" s="2130"/>
      <c r="Q119" s="2130"/>
      <c r="R119" s="2130"/>
      <c r="S119" s="2130"/>
      <c r="T119" s="2130"/>
      <c r="U119" s="2133"/>
      <c r="V119" s="2133"/>
      <c r="W119" s="2133"/>
      <c r="X119" s="2134"/>
      <c r="Y119" s="1192"/>
      <c r="Z119" s="1192"/>
      <c r="AA119" s="1192"/>
      <c r="AB119" s="1192"/>
      <c r="AC119" s="1192"/>
      <c r="AD119" s="1192"/>
      <c r="AE119" s="1192"/>
      <c r="AF119" s="1192"/>
      <c r="AG119" s="1192"/>
      <c r="AH119" s="1192"/>
      <c r="AI119" s="1192"/>
      <c r="AJ119" s="1192"/>
      <c r="AK119" s="1192"/>
      <c r="AL119" s="1192"/>
      <c r="AM119" s="1192"/>
      <c r="AN119" s="1192"/>
      <c r="AO119" s="1192"/>
      <c r="AP119" s="1192"/>
      <c r="AQ119" s="1192"/>
      <c r="AR119" s="1192"/>
      <c r="AS119" s="1192"/>
      <c r="AT119" s="1192"/>
      <c r="AU119" s="1192"/>
      <c r="AV119" s="1192"/>
      <c r="AW119" s="1192"/>
      <c r="AX119" s="1192"/>
      <c r="AY119" s="1192"/>
      <c r="AZ119" s="1192"/>
      <c r="BA119" s="1192"/>
      <c r="BB119" s="1192"/>
      <c r="BC119" s="1192"/>
      <c r="BD119" s="1192"/>
      <c r="BE119" s="1196"/>
    </row>
    <row r="120" spans="1:57" ht="15.75" customHeight="1">
      <c r="A120" s="1192"/>
      <c r="B120" s="2129"/>
      <c r="C120" s="2130"/>
      <c r="D120" s="2130"/>
      <c r="E120" s="2130"/>
      <c r="F120" s="2130"/>
      <c r="G120" s="2130"/>
      <c r="H120" s="2130"/>
      <c r="I120" s="2130"/>
      <c r="J120" s="2130"/>
      <c r="K120" s="2130"/>
      <c r="L120" s="2130"/>
      <c r="M120" s="2130"/>
      <c r="N120" s="2130"/>
      <c r="O120" s="2130"/>
      <c r="P120" s="2130"/>
      <c r="Q120" s="2130"/>
      <c r="R120" s="2130"/>
      <c r="S120" s="2130"/>
      <c r="T120" s="2130"/>
      <c r="U120" s="2133"/>
      <c r="V120" s="2133"/>
      <c r="W120" s="2133"/>
      <c r="X120" s="2134"/>
      <c r="Y120" s="1192"/>
      <c r="Z120" s="1192"/>
      <c r="AA120" s="1192"/>
      <c r="AB120" s="1192"/>
      <c r="AC120" s="1192"/>
      <c r="AD120" s="1192"/>
      <c r="AE120" s="1192"/>
      <c r="AF120" s="1192"/>
      <c r="AG120" s="1192"/>
      <c r="AH120" s="1192"/>
      <c r="AI120" s="1192"/>
      <c r="AJ120" s="1192"/>
      <c r="AK120" s="1192"/>
      <c r="AL120" s="1192"/>
      <c r="AM120" s="1192"/>
      <c r="AN120" s="1192"/>
      <c r="AO120" s="1192"/>
      <c r="AP120" s="1192"/>
      <c r="AQ120" s="1192"/>
      <c r="AR120" s="1192"/>
      <c r="AS120" s="1192"/>
      <c r="AT120" s="1192"/>
      <c r="AU120" s="1192"/>
      <c r="AV120" s="1192"/>
      <c r="AW120" s="1192"/>
      <c r="AX120" s="1192"/>
      <c r="AY120" s="1192"/>
      <c r="AZ120" s="1192"/>
      <c r="BA120" s="1192"/>
      <c r="BB120" s="1192"/>
      <c r="BC120" s="1192"/>
      <c r="BD120" s="1192"/>
      <c r="BE120" s="1196"/>
    </row>
    <row r="121" spans="1:57" ht="15.75" customHeight="1">
      <c r="A121" s="1192"/>
      <c r="B121" s="2135" t="s">
        <v>2367</v>
      </c>
      <c r="C121" s="2136"/>
      <c r="D121" s="2136"/>
      <c r="E121" s="2136"/>
      <c r="F121" s="2136"/>
      <c r="G121" s="2136"/>
      <c r="H121" s="2136"/>
      <c r="I121" s="2136"/>
      <c r="J121" s="2136"/>
      <c r="K121" s="2136"/>
      <c r="L121" s="2136"/>
      <c r="M121" s="2136"/>
      <c r="N121" s="2136"/>
      <c r="O121" s="2136"/>
      <c r="P121" s="2136"/>
      <c r="Q121" s="2136"/>
      <c r="R121" s="2136"/>
      <c r="S121" s="2136"/>
      <c r="T121" s="2136"/>
      <c r="U121" s="2139" t="s">
        <v>544</v>
      </c>
      <c r="V121" s="2139"/>
      <c r="W121" s="2139"/>
      <c r="X121" s="2140"/>
      <c r="Y121" s="1192"/>
      <c r="Z121" s="1192"/>
      <c r="AA121" s="1192"/>
      <c r="AB121" s="1192"/>
      <c r="AC121" s="1192"/>
      <c r="AD121" s="1192"/>
      <c r="AE121" s="1192"/>
      <c r="AF121" s="1192"/>
      <c r="AG121" s="1192"/>
      <c r="AH121" s="1192"/>
      <c r="AI121" s="1192"/>
      <c r="AJ121" s="1192"/>
      <c r="AK121" s="1192"/>
      <c r="AL121" s="1192"/>
      <c r="AM121" s="1192"/>
      <c r="AN121" s="1192"/>
      <c r="AO121" s="1192"/>
      <c r="AP121" s="1192"/>
      <c r="AQ121" s="1192"/>
      <c r="AR121" s="1192"/>
      <c r="AS121" s="1192"/>
      <c r="AT121" s="1192"/>
      <c r="AU121" s="1192"/>
      <c r="AV121" s="1192"/>
      <c r="AW121" s="1192"/>
      <c r="AX121" s="1192"/>
      <c r="AY121" s="1192"/>
      <c r="AZ121" s="1192"/>
      <c r="BA121" s="1192"/>
      <c r="BB121" s="1192"/>
      <c r="BC121" s="1192"/>
      <c r="BD121" s="1192"/>
      <c r="BE121" s="1196"/>
    </row>
    <row r="122" spans="1:57" ht="15.75" customHeight="1" thickBot="1">
      <c r="A122" s="1192"/>
      <c r="B122" s="2137"/>
      <c r="C122" s="2138"/>
      <c r="D122" s="2138"/>
      <c r="E122" s="2138"/>
      <c r="F122" s="2138"/>
      <c r="G122" s="2138"/>
      <c r="H122" s="2138"/>
      <c r="I122" s="2138"/>
      <c r="J122" s="2138"/>
      <c r="K122" s="2138"/>
      <c r="L122" s="2138"/>
      <c r="M122" s="2138"/>
      <c r="N122" s="2138"/>
      <c r="O122" s="2138"/>
      <c r="P122" s="2138"/>
      <c r="Q122" s="2138"/>
      <c r="R122" s="2138"/>
      <c r="S122" s="2138"/>
      <c r="T122" s="2138"/>
      <c r="U122" s="2141"/>
      <c r="V122" s="2141"/>
      <c r="W122" s="2141"/>
      <c r="X122" s="2142"/>
      <c r="Y122" s="1192"/>
      <c r="Z122" s="1192"/>
      <c r="AA122" s="1192"/>
      <c r="AB122" s="1192"/>
      <c r="AC122" s="1192"/>
      <c r="AD122" s="1192"/>
      <c r="AE122" s="1192"/>
      <c r="AF122" s="1192"/>
      <c r="AG122" s="1192"/>
      <c r="AH122" s="1192"/>
      <c r="AI122" s="1192"/>
      <c r="AJ122" s="1192"/>
      <c r="AK122" s="1192"/>
      <c r="AL122" s="1192"/>
      <c r="AM122" s="1192"/>
      <c r="AN122" s="1192"/>
      <c r="AO122" s="1192"/>
      <c r="AP122" s="1192"/>
      <c r="AQ122" s="1192"/>
      <c r="AR122" s="1192"/>
      <c r="AS122" s="1192"/>
      <c r="AT122" s="1192"/>
      <c r="AU122" s="1192"/>
      <c r="AV122" s="1192"/>
      <c r="AW122" s="1192"/>
      <c r="AX122" s="1192"/>
      <c r="AY122" s="1192"/>
      <c r="AZ122" s="1192"/>
      <c r="BA122" s="1192"/>
      <c r="BB122" s="1192"/>
      <c r="BC122" s="1192"/>
      <c r="BD122" s="1192"/>
      <c r="BE122" s="1196"/>
    </row>
    <row r="123" spans="1:57" ht="15.75" customHeight="1" thickBot="1">
      <c r="A123" s="1192"/>
      <c r="B123" s="1192"/>
      <c r="C123" s="1192"/>
      <c r="D123" s="1192"/>
      <c r="E123" s="1192"/>
      <c r="F123" s="1192"/>
      <c r="G123" s="1192"/>
      <c r="H123" s="1192"/>
      <c r="I123" s="1192"/>
      <c r="J123" s="1192"/>
      <c r="K123" s="1192"/>
      <c r="L123" s="1192"/>
      <c r="M123" s="1192"/>
      <c r="N123" s="1192"/>
      <c r="O123" s="1192"/>
      <c r="P123" s="1192"/>
      <c r="Q123" s="1192"/>
      <c r="R123" s="1192"/>
      <c r="S123" s="1192"/>
      <c r="T123" s="1192"/>
      <c r="U123" s="1192"/>
      <c r="V123" s="1192"/>
      <c r="W123" s="1192"/>
      <c r="X123" s="1192"/>
      <c r="Y123" s="1192"/>
      <c r="Z123" s="1192"/>
      <c r="AA123" s="1192"/>
      <c r="AB123" s="1192"/>
      <c r="AC123" s="1192"/>
      <c r="AD123" s="1192"/>
      <c r="AE123" s="1192"/>
      <c r="AF123" s="1192"/>
      <c r="AG123" s="1192"/>
      <c r="AH123" s="1192"/>
      <c r="AI123" s="1192"/>
      <c r="AJ123" s="1192"/>
      <c r="AK123" s="1192"/>
      <c r="AL123" s="1192"/>
      <c r="AM123" s="1192"/>
      <c r="AN123" s="1192"/>
      <c r="AO123" s="1192"/>
      <c r="AP123" s="1192"/>
      <c r="AQ123" s="1192"/>
      <c r="AR123" s="1192"/>
      <c r="AS123" s="1192"/>
      <c r="AT123" s="1192"/>
      <c r="AU123" s="1192"/>
      <c r="AV123" s="1192"/>
      <c r="AW123" s="1192"/>
      <c r="AX123" s="1192"/>
      <c r="AY123" s="1192"/>
      <c r="AZ123" s="1192"/>
      <c r="BA123" s="1192"/>
      <c r="BB123" s="1192"/>
      <c r="BC123" s="1192"/>
      <c r="BD123" s="1192"/>
      <c r="BE123" s="1196"/>
    </row>
    <row r="124" spans="1:57" ht="15.75" customHeight="1" thickBot="1">
      <c r="A124" s="1192"/>
      <c r="B124" s="1211" t="s">
        <v>2366</v>
      </c>
      <c r="C124" s="1206"/>
      <c r="D124" s="1206"/>
      <c r="E124" s="1206"/>
      <c r="F124" s="1206"/>
      <c r="G124" s="1206"/>
      <c r="H124" s="1206"/>
      <c r="I124" s="1206"/>
      <c r="J124" s="1206"/>
      <c r="K124" s="1206"/>
      <c r="L124" s="1206"/>
      <c r="M124" s="1206"/>
      <c r="N124" s="1206"/>
      <c r="O124" s="1206"/>
      <c r="P124" s="1206"/>
      <c r="Q124" s="1206"/>
      <c r="R124" s="1207"/>
      <c r="S124" s="1192"/>
      <c r="T124" s="1192"/>
      <c r="U124" s="1192"/>
      <c r="V124" s="1192"/>
      <c r="W124" s="1192"/>
      <c r="X124" s="1192"/>
      <c r="Y124" s="1192"/>
      <c r="Z124" s="1192"/>
      <c r="AA124" s="1192"/>
      <c r="AB124" s="1192"/>
      <c r="AC124" s="1192"/>
      <c r="AD124" s="1192"/>
      <c r="AE124" s="1192"/>
      <c r="AF124" s="1192"/>
      <c r="AG124" s="1192"/>
      <c r="AH124" s="1192"/>
      <c r="AI124" s="1192"/>
      <c r="AJ124" s="1192"/>
      <c r="AK124" s="1192"/>
      <c r="AL124" s="1192"/>
      <c r="AM124" s="1192"/>
      <c r="AN124" s="1192"/>
      <c r="AO124" s="1192"/>
      <c r="AP124" s="1192"/>
      <c r="AQ124" s="1192"/>
      <c r="AR124" s="1192"/>
      <c r="AS124" s="1192"/>
      <c r="AT124" s="1192"/>
      <c r="AU124" s="1192"/>
      <c r="AV124" s="1192"/>
      <c r="AW124" s="1192"/>
      <c r="AX124" s="1192"/>
      <c r="AY124" s="1192"/>
      <c r="AZ124" s="1192"/>
      <c r="BA124" s="1192"/>
      <c r="BB124" s="1192"/>
      <c r="BC124" s="1192"/>
      <c r="BD124" s="1192"/>
      <c r="BE124" s="1196"/>
    </row>
    <row r="125" spans="1:57" ht="15.75" customHeight="1" thickBot="1">
      <c r="A125" s="1192"/>
      <c r="B125" s="1192"/>
      <c r="C125" s="1192"/>
      <c r="D125" s="1192"/>
      <c r="E125" s="1192"/>
      <c r="F125" s="1192"/>
      <c r="G125" s="1192"/>
      <c r="H125" s="1192"/>
      <c r="I125" s="1192"/>
      <c r="J125" s="1192"/>
      <c r="K125" s="1192"/>
      <c r="L125" s="1192"/>
      <c r="M125" s="1192"/>
      <c r="N125" s="1192"/>
      <c r="O125" s="1192"/>
      <c r="P125" s="1227"/>
      <c r="Q125" s="1192"/>
      <c r="R125" s="1192"/>
      <c r="S125" s="1192"/>
      <c r="T125" s="1192"/>
      <c r="U125" s="1192"/>
      <c r="V125" s="1192"/>
      <c r="W125" s="1192"/>
      <c r="X125" s="2097" t="s">
        <v>2365</v>
      </c>
      <c r="Y125" s="2098"/>
      <c r="Z125" s="2098"/>
      <c r="AA125" s="2098"/>
      <c r="AB125" s="2098"/>
      <c r="AC125" s="2098"/>
      <c r="AD125" s="2098"/>
      <c r="AE125" s="2098"/>
      <c r="AF125" s="2098"/>
      <c r="AG125" s="2098"/>
      <c r="AH125" s="2098"/>
      <c r="AI125" s="2098"/>
      <c r="AJ125" s="2098"/>
      <c r="AK125" s="2098"/>
      <c r="AL125" s="2098"/>
      <c r="AM125" s="2098"/>
      <c r="AN125" s="2098"/>
      <c r="AO125" s="2098"/>
      <c r="AP125" s="2098"/>
      <c r="AQ125" s="2098"/>
      <c r="AR125" s="2098"/>
      <c r="AS125" s="2098"/>
      <c r="AT125" s="2098"/>
      <c r="AU125" s="2098"/>
      <c r="AV125" s="2098"/>
      <c r="AW125" s="2098"/>
      <c r="AX125" s="2098"/>
      <c r="AY125" s="2098"/>
      <c r="AZ125" s="2098"/>
      <c r="BA125" s="2098"/>
      <c r="BB125" s="2098"/>
      <c r="BC125" s="2098"/>
      <c r="BD125" s="2143"/>
      <c r="BE125" s="1196"/>
    </row>
    <row r="126" spans="1:57" ht="15.75" customHeight="1">
      <c r="A126" s="1192"/>
      <c r="B126" s="2145" t="s">
        <v>1575</v>
      </c>
      <c r="C126" s="2146"/>
      <c r="D126" s="2146"/>
      <c r="E126" s="2146"/>
      <c r="F126" s="2146"/>
      <c r="G126" s="2146"/>
      <c r="H126" s="2146"/>
      <c r="I126" s="2146"/>
      <c r="J126" s="2146"/>
      <c r="K126" s="2146"/>
      <c r="L126" s="2146"/>
      <c r="M126" s="2146"/>
      <c r="N126" s="2146"/>
      <c r="O126" s="2146"/>
      <c r="P126" s="2146"/>
      <c r="Q126" s="2146"/>
      <c r="R126" s="2146"/>
      <c r="S126" s="2146"/>
      <c r="T126" s="2146"/>
      <c r="U126" s="2147"/>
      <c r="V126" s="1192"/>
      <c r="W126" s="1192"/>
      <c r="X126" s="2099"/>
      <c r="Y126" s="2100"/>
      <c r="Z126" s="2100"/>
      <c r="AA126" s="2100"/>
      <c r="AB126" s="2100"/>
      <c r="AC126" s="2100"/>
      <c r="AD126" s="2100"/>
      <c r="AE126" s="2100"/>
      <c r="AF126" s="2100"/>
      <c r="AG126" s="2100"/>
      <c r="AH126" s="2100"/>
      <c r="AI126" s="2100"/>
      <c r="AJ126" s="2100"/>
      <c r="AK126" s="2100"/>
      <c r="AL126" s="2100"/>
      <c r="AM126" s="2100"/>
      <c r="AN126" s="2100"/>
      <c r="AO126" s="2100"/>
      <c r="AP126" s="2100"/>
      <c r="AQ126" s="2100"/>
      <c r="AR126" s="2100"/>
      <c r="AS126" s="2100"/>
      <c r="AT126" s="2100"/>
      <c r="AU126" s="2100"/>
      <c r="AV126" s="2100"/>
      <c r="AW126" s="2100"/>
      <c r="AX126" s="2100"/>
      <c r="AY126" s="2100"/>
      <c r="AZ126" s="2100"/>
      <c r="BA126" s="2100"/>
      <c r="BB126" s="2100"/>
      <c r="BC126" s="2100"/>
      <c r="BD126" s="2144"/>
      <c r="BE126" s="1196"/>
    </row>
    <row r="127" spans="1:57" ht="15.75" customHeight="1">
      <c r="A127" s="1192"/>
      <c r="B127" s="2163"/>
      <c r="C127" s="2164"/>
      <c r="D127" s="2164"/>
      <c r="E127" s="2164"/>
      <c r="F127" s="2164"/>
      <c r="G127" s="2164"/>
      <c r="H127" s="2164"/>
      <c r="I127" s="2019" t="s">
        <v>2364</v>
      </c>
      <c r="J127" s="2019"/>
      <c r="K127" s="2019"/>
      <c r="L127" s="2019"/>
      <c r="M127" s="2019"/>
      <c r="N127" s="2019"/>
      <c r="O127" s="2119" t="s">
        <v>2363</v>
      </c>
      <c r="P127" s="2119"/>
      <c r="Q127" s="2119"/>
      <c r="R127" s="2119"/>
      <c r="S127" s="2119"/>
      <c r="T127" s="2119"/>
      <c r="U127" s="2120"/>
      <c r="V127" s="1192"/>
      <c r="W127" s="1192"/>
      <c r="X127" s="2084" t="s">
        <v>2333</v>
      </c>
      <c r="Y127" s="2085"/>
      <c r="Z127" s="2085"/>
      <c r="AA127" s="2085"/>
      <c r="AB127" s="2085"/>
      <c r="AC127" s="2085"/>
      <c r="AD127" s="2085"/>
      <c r="AE127" s="2085"/>
      <c r="AF127" s="2085"/>
      <c r="AG127" s="2085"/>
      <c r="AH127" s="2085"/>
      <c r="AI127" s="2085"/>
      <c r="AJ127" s="2085"/>
      <c r="AK127" s="2085"/>
      <c r="AL127" s="2085"/>
      <c r="AM127" s="2085"/>
      <c r="AN127" s="2085"/>
      <c r="AO127" s="2085"/>
      <c r="AP127" s="2085"/>
      <c r="AQ127" s="2085"/>
      <c r="AR127" s="2085"/>
      <c r="AS127" s="2085"/>
      <c r="AT127" s="2085"/>
      <c r="AU127" s="2085"/>
      <c r="AV127" s="2085"/>
      <c r="AW127" s="2085"/>
      <c r="AX127" s="2085"/>
      <c r="AY127" s="2085"/>
      <c r="AZ127" s="2085"/>
      <c r="BA127" s="2085"/>
      <c r="BB127" s="2085"/>
      <c r="BC127" s="2085"/>
      <c r="BD127" s="2086"/>
      <c r="BE127" s="1196"/>
    </row>
    <row r="128" spans="1:57" ht="15.75" customHeight="1">
      <c r="A128" s="1192"/>
      <c r="B128" s="2121" t="s">
        <v>2347</v>
      </c>
      <c r="C128" s="2122"/>
      <c r="D128" s="2122"/>
      <c r="E128" s="2122"/>
      <c r="F128" s="2122"/>
      <c r="G128" s="2122"/>
      <c r="H128" s="2122"/>
      <c r="I128" s="2095">
        <v>0</v>
      </c>
      <c r="J128" s="2095"/>
      <c r="K128" s="2095"/>
      <c r="L128" s="2095"/>
      <c r="M128" s="2095"/>
      <c r="N128" s="2095"/>
      <c r="O128" s="2095">
        <v>0</v>
      </c>
      <c r="P128" s="2095"/>
      <c r="Q128" s="2095"/>
      <c r="R128" s="2095"/>
      <c r="S128" s="2095"/>
      <c r="T128" s="2095"/>
      <c r="U128" s="2096"/>
      <c r="V128" s="1192"/>
      <c r="W128" s="1192"/>
      <c r="X128" s="2084"/>
      <c r="Y128" s="2085"/>
      <c r="Z128" s="2085"/>
      <c r="AA128" s="2085"/>
      <c r="AB128" s="2085"/>
      <c r="AC128" s="2085"/>
      <c r="AD128" s="2085"/>
      <c r="AE128" s="2085"/>
      <c r="AF128" s="2085"/>
      <c r="AG128" s="2085"/>
      <c r="AH128" s="2085"/>
      <c r="AI128" s="2085"/>
      <c r="AJ128" s="2085"/>
      <c r="AK128" s="2085"/>
      <c r="AL128" s="2085"/>
      <c r="AM128" s="2085"/>
      <c r="AN128" s="2085"/>
      <c r="AO128" s="2085"/>
      <c r="AP128" s="2085"/>
      <c r="AQ128" s="2085"/>
      <c r="AR128" s="2085"/>
      <c r="AS128" s="2085"/>
      <c r="AT128" s="2085"/>
      <c r="AU128" s="2085"/>
      <c r="AV128" s="2085"/>
      <c r="AW128" s="2085"/>
      <c r="AX128" s="2085"/>
      <c r="AY128" s="2085"/>
      <c r="AZ128" s="2085"/>
      <c r="BA128" s="2085"/>
      <c r="BB128" s="2085"/>
      <c r="BC128" s="2085"/>
      <c r="BD128" s="2086"/>
      <c r="BE128" s="1196"/>
    </row>
    <row r="129" spans="1:57" ht="15.75" customHeight="1" thickBot="1">
      <c r="A129" s="1192"/>
      <c r="B129" s="2123" t="s">
        <v>2346</v>
      </c>
      <c r="C129" s="2124"/>
      <c r="D129" s="2124"/>
      <c r="E129" s="2124"/>
      <c r="F129" s="2124"/>
      <c r="G129" s="2124"/>
      <c r="H129" s="2124"/>
      <c r="I129" s="2110">
        <v>0</v>
      </c>
      <c r="J129" s="2110"/>
      <c r="K129" s="2110"/>
      <c r="L129" s="2110"/>
      <c r="M129" s="2110"/>
      <c r="N129" s="2110"/>
      <c r="O129" s="2125"/>
      <c r="P129" s="2125"/>
      <c r="Q129" s="2125"/>
      <c r="R129" s="2125"/>
      <c r="S129" s="2125"/>
      <c r="T129" s="2125"/>
      <c r="U129" s="2126"/>
      <c r="V129" s="1192"/>
      <c r="W129" s="1192"/>
      <c r="X129" s="2084"/>
      <c r="Y129" s="2085"/>
      <c r="Z129" s="2085"/>
      <c r="AA129" s="2085"/>
      <c r="AB129" s="2085"/>
      <c r="AC129" s="2085"/>
      <c r="AD129" s="2085"/>
      <c r="AE129" s="2085"/>
      <c r="AF129" s="2085"/>
      <c r="AG129" s="2085"/>
      <c r="AH129" s="2085"/>
      <c r="AI129" s="2085"/>
      <c r="AJ129" s="2085"/>
      <c r="AK129" s="2085"/>
      <c r="AL129" s="2085"/>
      <c r="AM129" s="2085"/>
      <c r="AN129" s="2085"/>
      <c r="AO129" s="2085"/>
      <c r="AP129" s="2085"/>
      <c r="AQ129" s="2085"/>
      <c r="AR129" s="2085"/>
      <c r="AS129" s="2085"/>
      <c r="AT129" s="2085"/>
      <c r="AU129" s="2085"/>
      <c r="AV129" s="2085"/>
      <c r="AW129" s="2085"/>
      <c r="AX129" s="2085"/>
      <c r="AY129" s="2085"/>
      <c r="AZ129" s="2085"/>
      <c r="BA129" s="2085"/>
      <c r="BB129" s="2085"/>
      <c r="BC129" s="2085"/>
      <c r="BD129" s="2086"/>
      <c r="BE129" s="1196"/>
    </row>
    <row r="130" spans="1:57" ht="15.75" customHeight="1" thickBot="1">
      <c r="A130" s="1192"/>
      <c r="B130" s="1192"/>
      <c r="C130" s="1192"/>
      <c r="D130" s="1192"/>
      <c r="E130" s="1192"/>
      <c r="F130" s="1192"/>
      <c r="G130" s="1192"/>
      <c r="H130" s="1192"/>
      <c r="I130" s="1192"/>
      <c r="J130" s="1192"/>
      <c r="K130" s="1192"/>
      <c r="L130" s="1192"/>
      <c r="M130" s="1192"/>
      <c r="N130" s="1192"/>
      <c r="O130" s="1192"/>
      <c r="P130" s="1192"/>
      <c r="Q130" s="1192"/>
      <c r="R130" s="1192"/>
      <c r="S130" s="1192"/>
      <c r="T130" s="1192"/>
      <c r="U130" s="1192"/>
      <c r="V130" s="1192"/>
      <c r="W130" s="1192"/>
      <c r="X130" s="2084"/>
      <c r="Y130" s="2085"/>
      <c r="Z130" s="2085"/>
      <c r="AA130" s="2085"/>
      <c r="AB130" s="2085"/>
      <c r="AC130" s="2085"/>
      <c r="AD130" s="2085"/>
      <c r="AE130" s="2085"/>
      <c r="AF130" s="2085"/>
      <c r="AG130" s="2085"/>
      <c r="AH130" s="2085"/>
      <c r="AI130" s="2085"/>
      <c r="AJ130" s="2085"/>
      <c r="AK130" s="2085"/>
      <c r="AL130" s="2085"/>
      <c r="AM130" s="2085"/>
      <c r="AN130" s="2085"/>
      <c r="AO130" s="2085"/>
      <c r="AP130" s="2085"/>
      <c r="AQ130" s="2085"/>
      <c r="AR130" s="2085"/>
      <c r="AS130" s="2085"/>
      <c r="AT130" s="2085"/>
      <c r="AU130" s="2085"/>
      <c r="AV130" s="2085"/>
      <c r="AW130" s="2085"/>
      <c r="AX130" s="2085"/>
      <c r="AY130" s="2085"/>
      <c r="AZ130" s="2085"/>
      <c r="BA130" s="2085"/>
      <c r="BB130" s="2085"/>
      <c r="BC130" s="2085"/>
      <c r="BD130" s="2086"/>
      <c r="BE130" s="1196"/>
    </row>
    <row r="131" spans="1:57" ht="15.75" customHeight="1" thickBot="1">
      <c r="A131" s="1192"/>
      <c r="B131" s="1211" t="s">
        <v>2362</v>
      </c>
      <c r="C131" s="1212"/>
      <c r="D131" s="1212"/>
      <c r="E131" s="1212"/>
      <c r="F131" s="1212"/>
      <c r="G131" s="1212"/>
      <c r="H131" s="1212"/>
      <c r="I131" s="1212"/>
      <c r="J131" s="1212"/>
      <c r="K131" s="1212"/>
      <c r="L131" s="1212"/>
      <c r="M131" s="1212"/>
      <c r="N131" s="1212"/>
      <c r="O131" s="1212"/>
      <c r="P131" s="1213"/>
      <c r="Q131" s="1197" t="s">
        <v>249</v>
      </c>
      <c r="R131" s="1197" t="s">
        <v>249</v>
      </c>
      <c r="S131" s="1192"/>
      <c r="T131" s="1192"/>
      <c r="U131" s="1192"/>
      <c r="V131" s="1192" t="s">
        <v>249</v>
      </c>
      <c r="W131" s="1192"/>
      <c r="X131" s="2084"/>
      <c r="Y131" s="2085"/>
      <c r="Z131" s="2085"/>
      <c r="AA131" s="2085"/>
      <c r="AB131" s="2085"/>
      <c r="AC131" s="2085"/>
      <c r="AD131" s="2085"/>
      <c r="AE131" s="2085"/>
      <c r="AF131" s="2085"/>
      <c r="AG131" s="2085"/>
      <c r="AH131" s="2085"/>
      <c r="AI131" s="2085"/>
      <c r="AJ131" s="2085"/>
      <c r="AK131" s="2085"/>
      <c r="AL131" s="2085"/>
      <c r="AM131" s="2085"/>
      <c r="AN131" s="2085"/>
      <c r="AO131" s="2085"/>
      <c r="AP131" s="2085"/>
      <c r="AQ131" s="2085"/>
      <c r="AR131" s="2085"/>
      <c r="AS131" s="2085"/>
      <c r="AT131" s="2085"/>
      <c r="AU131" s="2085"/>
      <c r="AV131" s="2085"/>
      <c r="AW131" s="2085"/>
      <c r="AX131" s="2085"/>
      <c r="AY131" s="2085"/>
      <c r="AZ131" s="2085"/>
      <c r="BA131" s="2085"/>
      <c r="BB131" s="2085"/>
      <c r="BC131" s="2085"/>
      <c r="BD131" s="2086"/>
      <c r="BE131" s="1196"/>
    </row>
    <row r="132" spans="1:57" ht="15.75" customHeight="1" thickBot="1">
      <c r="A132" s="1192"/>
      <c r="B132" s="1192"/>
      <c r="C132" s="1192"/>
      <c r="D132" s="1192"/>
      <c r="E132" s="1192"/>
      <c r="F132" s="1192"/>
      <c r="G132" s="1192"/>
      <c r="H132" s="1192"/>
      <c r="I132" s="1192"/>
      <c r="J132" s="1192"/>
      <c r="K132" s="1192"/>
      <c r="L132" s="1192"/>
      <c r="M132" s="1192"/>
      <c r="N132" s="1192"/>
      <c r="O132" s="1192"/>
      <c r="P132" s="1192"/>
      <c r="Q132" s="1192"/>
      <c r="R132" s="1192"/>
      <c r="S132" s="1192"/>
      <c r="T132" s="1192"/>
      <c r="U132" s="1192"/>
      <c r="V132" s="1192"/>
      <c r="W132" s="1192"/>
      <c r="X132" s="2084"/>
      <c r="Y132" s="2085"/>
      <c r="Z132" s="2085"/>
      <c r="AA132" s="2085"/>
      <c r="AB132" s="2085"/>
      <c r="AC132" s="2085"/>
      <c r="AD132" s="2085"/>
      <c r="AE132" s="2085"/>
      <c r="AF132" s="2085"/>
      <c r="AG132" s="2085"/>
      <c r="AH132" s="2085"/>
      <c r="AI132" s="2085"/>
      <c r="AJ132" s="2085"/>
      <c r="AK132" s="2085"/>
      <c r="AL132" s="2085"/>
      <c r="AM132" s="2085"/>
      <c r="AN132" s="2085"/>
      <c r="AO132" s="2085"/>
      <c r="AP132" s="2085"/>
      <c r="AQ132" s="2085"/>
      <c r="AR132" s="2085"/>
      <c r="AS132" s="2085"/>
      <c r="AT132" s="2085"/>
      <c r="AU132" s="2085"/>
      <c r="AV132" s="2085"/>
      <c r="AW132" s="2085"/>
      <c r="AX132" s="2085"/>
      <c r="AY132" s="2085"/>
      <c r="AZ132" s="2085"/>
      <c r="BA132" s="2085"/>
      <c r="BB132" s="2085"/>
      <c r="BC132" s="2085"/>
      <c r="BD132" s="2086"/>
      <c r="BE132" s="1196"/>
    </row>
    <row r="133" spans="1:57" ht="15.75" customHeight="1">
      <c r="A133" s="1192"/>
      <c r="B133" s="1920" t="s">
        <v>2361</v>
      </c>
      <c r="C133" s="1921"/>
      <c r="D133" s="1921"/>
      <c r="E133" s="1921"/>
      <c r="F133" s="1921"/>
      <c r="G133" s="1921"/>
      <c r="H133" s="1921"/>
      <c r="I133" s="1921"/>
      <c r="J133" s="1921"/>
      <c r="K133" s="1921"/>
      <c r="L133" s="1921"/>
      <c r="M133" s="1921"/>
      <c r="N133" s="1921"/>
      <c r="O133" s="1921"/>
      <c r="P133" s="1921"/>
      <c r="Q133" s="1921"/>
      <c r="R133" s="1921"/>
      <c r="S133" s="1921"/>
      <c r="T133" s="1921"/>
      <c r="U133" s="1922"/>
      <c r="V133" s="1192"/>
      <c r="W133" s="1192"/>
      <c r="X133" s="2084"/>
      <c r="Y133" s="2085"/>
      <c r="Z133" s="2085"/>
      <c r="AA133" s="2085"/>
      <c r="AB133" s="2085"/>
      <c r="AC133" s="2085"/>
      <c r="AD133" s="2085"/>
      <c r="AE133" s="2085"/>
      <c r="AF133" s="2085"/>
      <c r="AG133" s="2085"/>
      <c r="AH133" s="2085"/>
      <c r="AI133" s="2085"/>
      <c r="AJ133" s="2085"/>
      <c r="AK133" s="2085"/>
      <c r="AL133" s="2085"/>
      <c r="AM133" s="2085"/>
      <c r="AN133" s="2085"/>
      <c r="AO133" s="2085"/>
      <c r="AP133" s="2085"/>
      <c r="AQ133" s="2085"/>
      <c r="AR133" s="2085"/>
      <c r="AS133" s="2085"/>
      <c r="AT133" s="2085"/>
      <c r="AU133" s="2085"/>
      <c r="AV133" s="2085"/>
      <c r="AW133" s="2085"/>
      <c r="AX133" s="2085"/>
      <c r="AY133" s="2085"/>
      <c r="AZ133" s="2085"/>
      <c r="BA133" s="2085"/>
      <c r="BB133" s="2085"/>
      <c r="BC133" s="2085"/>
      <c r="BD133" s="2086"/>
      <c r="BE133" s="1196"/>
    </row>
    <row r="134" spans="1:57" ht="15.75" customHeight="1">
      <c r="A134" s="1192"/>
      <c r="B134" s="2163"/>
      <c r="C134" s="2164"/>
      <c r="D134" s="2164"/>
      <c r="E134" s="2164"/>
      <c r="F134" s="2164"/>
      <c r="G134" s="2164"/>
      <c r="H134" s="2164"/>
      <c r="I134" s="2165" t="s">
        <v>2349</v>
      </c>
      <c r="J134" s="2165"/>
      <c r="K134" s="2165"/>
      <c r="L134" s="2165"/>
      <c r="M134" s="2165"/>
      <c r="N134" s="2165"/>
      <c r="O134" s="2165"/>
      <c r="P134" s="2165" t="s">
        <v>2348</v>
      </c>
      <c r="Q134" s="2165"/>
      <c r="R134" s="2165"/>
      <c r="S134" s="2165"/>
      <c r="T134" s="2165"/>
      <c r="U134" s="2166"/>
      <c r="V134" s="1192"/>
      <c r="W134" s="1192"/>
      <c r="X134" s="2084"/>
      <c r="Y134" s="2085"/>
      <c r="Z134" s="2085"/>
      <c r="AA134" s="2085"/>
      <c r="AB134" s="2085"/>
      <c r="AC134" s="2085"/>
      <c r="AD134" s="2085"/>
      <c r="AE134" s="2085"/>
      <c r="AF134" s="2085"/>
      <c r="AG134" s="2085"/>
      <c r="AH134" s="2085"/>
      <c r="AI134" s="2085"/>
      <c r="AJ134" s="2085"/>
      <c r="AK134" s="2085"/>
      <c r="AL134" s="2085"/>
      <c r="AM134" s="2085"/>
      <c r="AN134" s="2085"/>
      <c r="AO134" s="2085"/>
      <c r="AP134" s="2085"/>
      <c r="AQ134" s="2085"/>
      <c r="AR134" s="2085"/>
      <c r="AS134" s="2085"/>
      <c r="AT134" s="2085"/>
      <c r="AU134" s="2085"/>
      <c r="AV134" s="2085"/>
      <c r="AW134" s="2085"/>
      <c r="AX134" s="2085"/>
      <c r="AY134" s="2085"/>
      <c r="AZ134" s="2085"/>
      <c r="BA134" s="2085"/>
      <c r="BB134" s="2085"/>
      <c r="BC134" s="2085"/>
      <c r="BD134" s="2086"/>
      <c r="BE134" s="1196"/>
    </row>
    <row r="135" spans="1:57" ht="15.75" customHeight="1">
      <c r="A135" s="1192"/>
      <c r="B135" s="2163"/>
      <c r="C135" s="2164"/>
      <c r="D135" s="2164"/>
      <c r="E135" s="2164"/>
      <c r="F135" s="2164"/>
      <c r="G135" s="2164"/>
      <c r="H135" s="2164"/>
      <c r="I135" s="2165"/>
      <c r="J135" s="2165"/>
      <c r="K135" s="2165"/>
      <c r="L135" s="2165"/>
      <c r="M135" s="2165"/>
      <c r="N135" s="2165"/>
      <c r="O135" s="2165"/>
      <c r="P135" s="2165"/>
      <c r="Q135" s="2165"/>
      <c r="R135" s="2165"/>
      <c r="S135" s="2165"/>
      <c r="T135" s="2165"/>
      <c r="U135" s="2166"/>
      <c r="V135" s="1192"/>
      <c r="W135" s="1192"/>
      <c r="X135" s="2084"/>
      <c r="Y135" s="2085"/>
      <c r="Z135" s="2085"/>
      <c r="AA135" s="2085"/>
      <c r="AB135" s="2085"/>
      <c r="AC135" s="2085"/>
      <c r="AD135" s="2085"/>
      <c r="AE135" s="2085"/>
      <c r="AF135" s="2085"/>
      <c r="AG135" s="2085"/>
      <c r="AH135" s="2085"/>
      <c r="AI135" s="2085"/>
      <c r="AJ135" s="2085"/>
      <c r="AK135" s="2085"/>
      <c r="AL135" s="2085"/>
      <c r="AM135" s="2085"/>
      <c r="AN135" s="2085"/>
      <c r="AO135" s="2085"/>
      <c r="AP135" s="2085"/>
      <c r="AQ135" s="2085"/>
      <c r="AR135" s="2085"/>
      <c r="AS135" s="2085"/>
      <c r="AT135" s="2085"/>
      <c r="AU135" s="2085"/>
      <c r="AV135" s="2085"/>
      <c r="AW135" s="2085"/>
      <c r="AX135" s="2085"/>
      <c r="AY135" s="2085"/>
      <c r="AZ135" s="2085"/>
      <c r="BA135" s="2085"/>
      <c r="BB135" s="2085"/>
      <c r="BC135" s="2085"/>
      <c r="BD135" s="2086"/>
      <c r="BE135" s="1196"/>
    </row>
    <row r="136" spans="1:57" ht="15.75" customHeight="1">
      <c r="A136" s="1192"/>
      <c r="B136" s="2121" t="s">
        <v>2347</v>
      </c>
      <c r="C136" s="2122"/>
      <c r="D136" s="2122"/>
      <c r="E136" s="2122"/>
      <c r="F136" s="2122"/>
      <c r="G136" s="2122"/>
      <c r="H136" s="2122"/>
      <c r="I136" s="2095">
        <v>0</v>
      </c>
      <c r="J136" s="2095"/>
      <c r="K136" s="2095"/>
      <c r="L136" s="2095"/>
      <c r="M136" s="2095"/>
      <c r="N136" s="2095"/>
      <c r="O136" s="2095"/>
      <c r="P136" s="2095">
        <v>0</v>
      </c>
      <c r="Q136" s="2095"/>
      <c r="R136" s="2095"/>
      <c r="S136" s="2095"/>
      <c r="T136" s="2095"/>
      <c r="U136" s="2096"/>
      <c r="V136" s="1192"/>
      <c r="W136" s="1192"/>
      <c r="X136" s="2084"/>
      <c r="Y136" s="2085"/>
      <c r="Z136" s="2085"/>
      <c r="AA136" s="2085"/>
      <c r="AB136" s="2085"/>
      <c r="AC136" s="2085"/>
      <c r="AD136" s="2085"/>
      <c r="AE136" s="2085"/>
      <c r="AF136" s="2085"/>
      <c r="AG136" s="2085"/>
      <c r="AH136" s="2085"/>
      <c r="AI136" s="2085"/>
      <c r="AJ136" s="2085"/>
      <c r="AK136" s="2085"/>
      <c r="AL136" s="2085"/>
      <c r="AM136" s="2085"/>
      <c r="AN136" s="2085"/>
      <c r="AO136" s="2085"/>
      <c r="AP136" s="2085"/>
      <c r="AQ136" s="2085"/>
      <c r="AR136" s="2085"/>
      <c r="AS136" s="2085"/>
      <c r="AT136" s="2085"/>
      <c r="AU136" s="2085"/>
      <c r="AV136" s="2085"/>
      <c r="AW136" s="2085"/>
      <c r="AX136" s="2085"/>
      <c r="AY136" s="2085"/>
      <c r="AZ136" s="2085"/>
      <c r="BA136" s="2085"/>
      <c r="BB136" s="2085"/>
      <c r="BC136" s="2085"/>
      <c r="BD136" s="2086"/>
      <c r="BE136" s="1196"/>
    </row>
    <row r="137" spans="1:57" ht="15.75" customHeight="1" thickBot="1">
      <c r="A137" s="1192"/>
      <c r="B137" s="2123" t="s">
        <v>2346</v>
      </c>
      <c r="C137" s="2124"/>
      <c r="D137" s="2124"/>
      <c r="E137" s="2124"/>
      <c r="F137" s="2124"/>
      <c r="G137" s="2124"/>
      <c r="H137" s="2124"/>
      <c r="I137" s="2110">
        <v>0</v>
      </c>
      <c r="J137" s="2110"/>
      <c r="K137" s="2110"/>
      <c r="L137" s="2110"/>
      <c r="M137" s="2110"/>
      <c r="N137" s="2110"/>
      <c r="O137" s="2110"/>
      <c r="P137" s="2110">
        <v>0</v>
      </c>
      <c r="Q137" s="2110"/>
      <c r="R137" s="2110"/>
      <c r="S137" s="2110"/>
      <c r="T137" s="2110"/>
      <c r="U137" s="2111"/>
      <c r="V137" s="1192"/>
      <c r="W137" s="1192"/>
      <c r="X137" s="2087"/>
      <c r="Y137" s="2088"/>
      <c r="Z137" s="2088"/>
      <c r="AA137" s="2088"/>
      <c r="AB137" s="2088"/>
      <c r="AC137" s="2088"/>
      <c r="AD137" s="2088"/>
      <c r="AE137" s="2088"/>
      <c r="AF137" s="2088"/>
      <c r="AG137" s="2088"/>
      <c r="AH137" s="2088"/>
      <c r="AI137" s="2088"/>
      <c r="AJ137" s="2088"/>
      <c r="AK137" s="2088"/>
      <c r="AL137" s="2088"/>
      <c r="AM137" s="2088"/>
      <c r="AN137" s="2088"/>
      <c r="AO137" s="2088"/>
      <c r="AP137" s="2088"/>
      <c r="AQ137" s="2088"/>
      <c r="AR137" s="2088"/>
      <c r="AS137" s="2088"/>
      <c r="AT137" s="2088"/>
      <c r="AU137" s="2088"/>
      <c r="AV137" s="2088"/>
      <c r="AW137" s="2088"/>
      <c r="AX137" s="2088"/>
      <c r="AY137" s="2088"/>
      <c r="AZ137" s="2088"/>
      <c r="BA137" s="2088"/>
      <c r="BB137" s="2088"/>
      <c r="BC137" s="2088"/>
      <c r="BD137" s="2089"/>
      <c r="BE137" s="1196"/>
    </row>
    <row r="138" spans="1:57" ht="15.75" customHeight="1" thickBot="1">
      <c r="A138" s="1192"/>
      <c r="B138" s="1192"/>
      <c r="C138" s="1192"/>
      <c r="D138" s="1192"/>
      <c r="E138" s="1192"/>
      <c r="F138" s="1192"/>
      <c r="G138" s="1192"/>
      <c r="H138" s="1192"/>
      <c r="I138" s="1192"/>
      <c r="J138" s="1192"/>
      <c r="K138" s="1192"/>
      <c r="L138" s="1192"/>
      <c r="M138" s="1192"/>
      <c r="N138" s="1192"/>
      <c r="O138" s="1192"/>
      <c r="P138" s="1192"/>
      <c r="Q138" s="1229"/>
      <c r="R138" s="1192"/>
      <c r="S138" s="1192"/>
      <c r="T138" s="1192"/>
      <c r="U138" s="1192"/>
      <c r="V138" s="1192"/>
      <c r="W138" s="1192"/>
      <c r="X138" s="1192"/>
      <c r="Y138" s="1192"/>
      <c r="Z138" s="1192"/>
      <c r="AA138" s="1192"/>
      <c r="AB138" s="1192"/>
      <c r="AC138" s="1192"/>
      <c r="AD138" s="1192"/>
      <c r="AE138" s="1192"/>
      <c r="AF138" s="1192"/>
      <c r="AG138" s="1192"/>
      <c r="AH138" s="1192"/>
      <c r="AI138" s="1192"/>
      <c r="AJ138" s="1192"/>
      <c r="AK138" s="1192"/>
      <c r="AL138" s="1192"/>
      <c r="AM138" s="1192"/>
      <c r="AN138" s="1192"/>
      <c r="AO138" s="1192"/>
      <c r="AP138" s="1192"/>
      <c r="AQ138" s="1192"/>
      <c r="AR138" s="1192"/>
      <c r="AS138" s="1192"/>
      <c r="AT138" s="1192"/>
      <c r="AU138" s="1192"/>
      <c r="AV138" s="1192"/>
      <c r="AW138" s="1192"/>
      <c r="AX138" s="1192"/>
      <c r="AY138" s="1192"/>
      <c r="AZ138" s="1192"/>
      <c r="BA138" s="1192"/>
      <c r="BB138" s="1192"/>
      <c r="BC138" s="1192"/>
      <c r="BD138" s="1192"/>
      <c r="BE138" s="1196"/>
    </row>
    <row r="139" spans="1:57" ht="15.75" customHeight="1">
      <c r="A139" s="1192"/>
      <c r="B139" s="2161" t="s">
        <v>2360</v>
      </c>
      <c r="C139" s="2162"/>
      <c r="D139" s="2162"/>
      <c r="E139" s="2162"/>
      <c r="F139" s="2162"/>
      <c r="G139" s="2162"/>
      <c r="H139" s="2162"/>
      <c r="I139" s="2162"/>
      <c r="J139" s="2162"/>
      <c r="K139" s="2162"/>
      <c r="L139" s="2162"/>
      <c r="M139" s="2162"/>
      <c r="N139" s="2162"/>
      <c r="O139" s="2162"/>
      <c r="P139" s="2162"/>
      <c r="Q139" s="2162"/>
      <c r="R139" s="2162"/>
      <c r="S139" s="2162"/>
      <c r="T139" s="2162"/>
      <c r="U139" s="2162"/>
      <c r="V139" s="2162"/>
      <c r="W139" s="2162"/>
      <c r="X139" s="2162"/>
      <c r="Y139" s="2162"/>
      <c r="Z139" s="2162"/>
      <c r="AA139" s="2162"/>
      <c r="AB139" s="2162"/>
      <c r="AC139" s="2162"/>
      <c r="AD139" s="2162"/>
      <c r="AE139" s="2162"/>
      <c r="AF139" s="2162"/>
      <c r="AG139" s="2162"/>
      <c r="AH139" s="2043" t="s">
        <v>544</v>
      </c>
      <c r="AI139" s="2043"/>
      <c r="AJ139" s="2043"/>
      <c r="AK139" s="2043"/>
      <c r="AL139" s="2043"/>
      <c r="AM139" s="2043"/>
      <c r="AN139" s="2043"/>
      <c r="AO139" s="2043"/>
      <c r="AP139" s="2043"/>
      <c r="AQ139" s="2043"/>
      <c r="AR139" s="2043"/>
      <c r="AS139" s="2043"/>
      <c r="AT139" s="2043"/>
      <c r="AU139" s="2043"/>
      <c r="AV139" s="2043"/>
      <c r="AW139" s="2043"/>
      <c r="AX139" s="2044"/>
      <c r="AY139" s="1192"/>
      <c r="AZ139" s="1192"/>
      <c r="BA139" s="1192"/>
      <c r="BB139" s="1192"/>
      <c r="BC139" s="1192"/>
      <c r="BD139" s="1192"/>
      <c r="BE139" s="1196"/>
    </row>
    <row r="140" spans="1:57" ht="15.75" customHeight="1" thickBot="1">
      <c r="A140" s="1192"/>
      <c r="B140" s="2148" t="s">
        <v>2359</v>
      </c>
      <c r="C140" s="2149"/>
      <c r="D140" s="2149"/>
      <c r="E140" s="2149"/>
      <c r="F140" s="2149"/>
      <c r="G140" s="2149"/>
      <c r="H140" s="2149"/>
      <c r="I140" s="2149"/>
      <c r="J140" s="2149"/>
      <c r="K140" s="2149"/>
      <c r="L140" s="2149"/>
      <c r="M140" s="2149"/>
      <c r="N140" s="2149"/>
      <c r="O140" s="2149"/>
      <c r="P140" s="2149"/>
      <c r="Q140" s="2149"/>
      <c r="R140" s="2149"/>
      <c r="S140" s="2149"/>
      <c r="T140" s="2149"/>
      <c r="U140" s="2149"/>
      <c r="V140" s="2149"/>
      <c r="W140" s="2149"/>
      <c r="X140" s="2149"/>
      <c r="Y140" s="2149"/>
      <c r="Z140" s="2149"/>
      <c r="AA140" s="2149"/>
      <c r="AB140" s="2149"/>
      <c r="AC140" s="2149"/>
      <c r="AD140" s="2149"/>
      <c r="AE140" s="2149"/>
      <c r="AF140" s="2149"/>
      <c r="AG140" s="2150"/>
      <c r="AH140" s="2112"/>
      <c r="AI140" s="2113"/>
      <c r="AJ140" s="2113"/>
      <c r="AK140" s="2113"/>
      <c r="AL140" s="2113"/>
      <c r="AM140" s="2113"/>
      <c r="AN140" s="2113"/>
      <c r="AO140" s="2113"/>
      <c r="AP140" s="2113"/>
      <c r="AQ140" s="2113"/>
      <c r="AR140" s="2113"/>
      <c r="AS140" s="2113"/>
      <c r="AT140" s="2113"/>
      <c r="AU140" s="2113"/>
      <c r="AV140" s="2113"/>
      <c r="AW140" s="2113"/>
      <c r="AX140" s="2114"/>
      <c r="AY140" s="1192"/>
      <c r="AZ140" s="1192"/>
      <c r="BA140" s="1192"/>
      <c r="BB140" s="1192"/>
      <c r="BC140" s="1192"/>
      <c r="BD140" s="1192"/>
      <c r="BE140" s="1196"/>
    </row>
    <row r="141" spans="1:57" ht="15.75" customHeight="1">
      <c r="A141" s="1192"/>
      <c r="B141" s="2148" t="s">
        <v>2358</v>
      </c>
      <c r="C141" s="2149"/>
      <c r="D141" s="2149"/>
      <c r="E141" s="2149"/>
      <c r="F141" s="2149"/>
      <c r="G141" s="2149"/>
      <c r="H141" s="2149"/>
      <c r="I141" s="2149"/>
      <c r="J141" s="2149"/>
      <c r="K141" s="2149"/>
      <c r="L141" s="2149"/>
      <c r="M141" s="2149"/>
      <c r="N141" s="2149"/>
      <c r="O141" s="2149"/>
      <c r="P141" s="2149"/>
      <c r="Q141" s="2149"/>
      <c r="R141" s="2149"/>
      <c r="S141" s="2149"/>
      <c r="T141" s="2149"/>
      <c r="U141" s="2149"/>
      <c r="V141" s="2149"/>
      <c r="W141" s="2149"/>
      <c r="X141" s="2149"/>
      <c r="Y141" s="2149"/>
      <c r="Z141" s="2149"/>
      <c r="AA141" s="2149"/>
      <c r="AB141" s="2149"/>
      <c r="AC141" s="2149"/>
      <c r="AD141" s="2149"/>
      <c r="AE141" s="2149"/>
      <c r="AF141" s="2149"/>
      <c r="AG141" s="2150"/>
      <c r="AH141" s="2043" t="s">
        <v>544</v>
      </c>
      <c r="AI141" s="2043"/>
      <c r="AJ141" s="2043"/>
      <c r="AK141" s="2043"/>
      <c r="AL141" s="2043"/>
      <c r="AM141" s="2043"/>
      <c r="AN141" s="2043"/>
      <c r="AO141" s="2043"/>
      <c r="AP141" s="2043"/>
      <c r="AQ141" s="2043"/>
      <c r="AR141" s="2043"/>
      <c r="AS141" s="2043"/>
      <c r="AT141" s="2043"/>
      <c r="AU141" s="2043"/>
      <c r="AV141" s="2043"/>
      <c r="AW141" s="2043"/>
      <c r="AX141" s="2044"/>
      <c r="AY141" s="1192"/>
      <c r="AZ141" s="1192"/>
      <c r="BA141" s="1192"/>
      <c r="BB141" s="1192"/>
      <c r="BC141" s="1192"/>
      <c r="BD141" s="1192"/>
      <c r="BE141" s="1196"/>
    </row>
    <row r="142" spans="1:57" ht="15.75" customHeight="1">
      <c r="A142" s="1192"/>
      <c r="B142" s="2151" t="s">
        <v>2357</v>
      </c>
      <c r="C142" s="2152"/>
      <c r="D142" s="2152"/>
      <c r="E142" s="2152"/>
      <c r="F142" s="2152"/>
      <c r="G142" s="2152"/>
      <c r="H142" s="2152"/>
      <c r="I142" s="2152"/>
      <c r="J142" s="2152"/>
      <c r="K142" s="2152"/>
      <c r="L142" s="2152"/>
      <c r="M142" s="2152"/>
      <c r="N142" s="2152"/>
      <c r="O142" s="2152"/>
      <c r="P142" s="2152"/>
      <c r="Q142" s="2152"/>
      <c r="R142" s="2153" t="s">
        <v>2356</v>
      </c>
      <c r="S142" s="2153"/>
      <c r="T142" s="2153"/>
      <c r="U142" s="2153"/>
      <c r="V142" s="2153"/>
      <c r="W142" s="2153"/>
      <c r="X142" s="2153"/>
      <c r="Y142" s="2153"/>
      <c r="Z142" s="2153"/>
      <c r="AA142" s="2153"/>
      <c r="AB142" s="2153"/>
      <c r="AC142" s="2153"/>
      <c r="AD142" s="2153"/>
      <c r="AE142" s="2153"/>
      <c r="AF142" s="2153"/>
      <c r="AG142" s="2153"/>
      <c r="AH142" s="2153"/>
      <c r="AI142" s="2153"/>
      <c r="AJ142" s="2153"/>
      <c r="AK142" s="2153"/>
      <c r="AL142" s="2153"/>
      <c r="AM142" s="2153"/>
      <c r="AN142" s="2153"/>
      <c r="AO142" s="2153"/>
      <c r="AP142" s="2153"/>
      <c r="AQ142" s="2153"/>
      <c r="AR142" s="2153"/>
      <c r="AS142" s="2153"/>
      <c r="AT142" s="2153"/>
      <c r="AU142" s="2153"/>
      <c r="AV142" s="2153"/>
      <c r="AW142" s="2153"/>
      <c r="AX142" s="2154"/>
      <c r="AY142" s="1192"/>
      <c r="AZ142" s="1192"/>
      <c r="BA142" s="1192"/>
      <c r="BB142" s="1192"/>
      <c r="BC142" s="1192" t="s">
        <v>249</v>
      </c>
      <c r="BD142" s="1192"/>
      <c r="BE142" s="1196"/>
    </row>
    <row r="143" spans="1:57" ht="15.75" customHeight="1">
      <c r="A143" s="1192"/>
      <c r="B143" s="2155" t="s">
        <v>2355</v>
      </c>
      <c r="C143" s="2156"/>
      <c r="D143" s="2156"/>
      <c r="E143" s="2156"/>
      <c r="F143" s="2156"/>
      <c r="G143" s="2156"/>
      <c r="H143" s="2156"/>
      <c r="I143" s="2156"/>
      <c r="J143" s="2156"/>
      <c r="K143" s="2156"/>
      <c r="L143" s="2156"/>
      <c r="M143" s="2156"/>
      <c r="N143" s="2156"/>
      <c r="O143" s="2156"/>
      <c r="P143" s="2156"/>
      <c r="Q143" s="2156"/>
      <c r="R143" s="2156"/>
      <c r="S143" s="2156"/>
      <c r="T143" s="2156"/>
      <c r="U143" s="2156"/>
      <c r="V143" s="2156"/>
      <c r="W143" s="2156"/>
      <c r="X143" s="2156"/>
      <c r="Y143" s="2156"/>
      <c r="Z143" s="2156"/>
      <c r="AA143" s="2156"/>
      <c r="AB143" s="2156"/>
      <c r="AC143" s="2156"/>
      <c r="AD143" s="2156"/>
      <c r="AE143" s="2156"/>
      <c r="AF143" s="2156"/>
      <c r="AG143" s="2156"/>
      <c r="AH143" s="2156"/>
      <c r="AI143" s="2156"/>
      <c r="AJ143" s="2156"/>
      <c r="AK143" s="2156"/>
      <c r="AL143" s="2156"/>
      <c r="AM143" s="2156"/>
      <c r="AN143" s="2156"/>
      <c r="AO143" s="2156"/>
      <c r="AP143" s="2156"/>
      <c r="AQ143" s="2156"/>
      <c r="AR143" s="2156"/>
      <c r="AS143" s="2156"/>
      <c r="AT143" s="2156"/>
      <c r="AU143" s="2156"/>
      <c r="AV143" s="2156"/>
      <c r="AW143" s="2156"/>
      <c r="AX143" s="2157"/>
      <c r="AY143" s="1192"/>
      <c r="AZ143" s="1192"/>
      <c r="BA143" s="1192"/>
      <c r="BB143" s="1192"/>
      <c r="BC143" s="1192"/>
      <c r="BD143" s="1192"/>
      <c r="BE143" s="1196"/>
    </row>
    <row r="144" spans="1:57" ht="15.75" customHeight="1">
      <c r="A144" s="1192"/>
      <c r="B144" s="2155"/>
      <c r="C144" s="2156"/>
      <c r="D144" s="2156"/>
      <c r="E144" s="2156"/>
      <c r="F144" s="2156"/>
      <c r="G144" s="2156"/>
      <c r="H144" s="2156"/>
      <c r="I144" s="2156"/>
      <c r="J144" s="2156"/>
      <c r="K144" s="2156"/>
      <c r="L144" s="2156"/>
      <c r="M144" s="2156"/>
      <c r="N144" s="2156"/>
      <c r="O144" s="2156"/>
      <c r="P144" s="2156"/>
      <c r="Q144" s="2156"/>
      <c r="R144" s="2156"/>
      <c r="S144" s="2156"/>
      <c r="T144" s="2156"/>
      <c r="U144" s="2156"/>
      <c r="V144" s="2156"/>
      <c r="W144" s="2156"/>
      <c r="X144" s="2156"/>
      <c r="Y144" s="2156"/>
      <c r="Z144" s="2156"/>
      <c r="AA144" s="2156"/>
      <c r="AB144" s="2156"/>
      <c r="AC144" s="2156"/>
      <c r="AD144" s="2156"/>
      <c r="AE144" s="2156"/>
      <c r="AF144" s="2156"/>
      <c r="AG144" s="2156"/>
      <c r="AH144" s="2156"/>
      <c r="AI144" s="2156"/>
      <c r="AJ144" s="2156"/>
      <c r="AK144" s="2156"/>
      <c r="AL144" s="2156"/>
      <c r="AM144" s="2156"/>
      <c r="AN144" s="2156"/>
      <c r="AO144" s="2156"/>
      <c r="AP144" s="2156"/>
      <c r="AQ144" s="2156"/>
      <c r="AR144" s="2156"/>
      <c r="AS144" s="2156"/>
      <c r="AT144" s="2156"/>
      <c r="AU144" s="2156"/>
      <c r="AV144" s="2156"/>
      <c r="AW144" s="2156"/>
      <c r="AX144" s="2157"/>
      <c r="AY144" s="1192"/>
      <c r="AZ144" s="1192"/>
      <c r="BA144" s="1192"/>
      <c r="BB144" s="1192"/>
      <c r="BC144" s="1192"/>
      <c r="BD144" s="1192"/>
      <c r="BE144" s="1196"/>
    </row>
    <row r="145" spans="1:57" ht="15.75" customHeight="1">
      <c r="A145" s="1192"/>
      <c r="B145" s="2155"/>
      <c r="C145" s="2156"/>
      <c r="D145" s="2156"/>
      <c r="E145" s="2156"/>
      <c r="F145" s="2156"/>
      <c r="G145" s="2156"/>
      <c r="H145" s="2156"/>
      <c r="I145" s="2156"/>
      <c r="J145" s="2156"/>
      <c r="K145" s="2156"/>
      <c r="L145" s="2156"/>
      <c r="M145" s="2156"/>
      <c r="N145" s="2156"/>
      <c r="O145" s="2156"/>
      <c r="P145" s="2156"/>
      <c r="Q145" s="2156"/>
      <c r="R145" s="2156"/>
      <c r="S145" s="2156"/>
      <c r="T145" s="2156"/>
      <c r="U145" s="2156"/>
      <c r="V145" s="2156"/>
      <c r="W145" s="2156"/>
      <c r="X145" s="2156"/>
      <c r="Y145" s="2156"/>
      <c r="Z145" s="2156"/>
      <c r="AA145" s="2156"/>
      <c r="AB145" s="2156"/>
      <c r="AC145" s="2156"/>
      <c r="AD145" s="2156"/>
      <c r="AE145" s="2156"/>
      <c r="AF145" s="2156"/>
      <c r="AG145" s="2156"/>
      <c r="AH145" s="2156"/>
      <c r="AI145" s="2156"/>
      <c r="AJ145" s="2156"/>
      <c r="AK145" s="2156"/>
      <c r="AL145" s="2156"/>
      <c r="AM145" s="2156"/>
      <c r="AN145" s="2156"/>
      <c r="AO145" s="2156"/>
      <c r="AP145" s="2156"/>
      <c r="AQ145" s="2156"/>
      <c r="AR145" s="2156"/>
      <c r="AS145" s="2156"/>
      <c r="AT145" s="2156"/>
      <c r="AU145" s="2156"/>
      <c r="AV145" s="2156"/>
      <c r="AW145" s="2156"/>
      <c r="AX145" s="2157"/>
      <c r="AY145" s="1192"/>
      <c r="AZ145" s="1192"/>
      <c r="BA145" s="1192"/>
      <c r="BB145" s="1192"/>
      <c r="BC145" s="1192"/>
      <c r="BD145" s="1192"/>
      <c r="BE145" s="1196"/>
    </row>
    <row r="146" spans="1:57" ht="15.75" customHeight="1">
      <c r="A146" s="1192"/>
      <c r="B146" s="2155"/>
      <c r="C146" s="2156"/>
      <c r="D146" s="2156"/>
      <c r="E146" s="2156"/>
      <c r="F146" s="2156"/>
      <c r="G146" s="2156"/>
      <c r="H146" s="2156"/>
      <c r="I146" s="2156"/>
      <c r="J146" s="2156"/>
      <c r="K146" s="2156"/>
      <c r="L146" s="2156"/>
      <c r="M146" s="2156"/>
      <c r="N146" s="2156"/>
      <c r="O146" s="2156"/>
      <c r="P146" s="2156"/>
      <c r="Q146" s="2156"/>
      <c r="R146" s="2156"/>
      <c r="S146" s="2156"/>
      <c r="T146" s="2156"/>
      <c r="U146" s="2156"/>
      <c r="V146" s="2156"/>
      <c r="W146" s="2156"/>
      <c r="X146" s="2156"/>
      <c r="Y146" s="2156"/>
      <c r="Z146" s="2156"/>
      <c r="AA146" s="2156"/>
      <c r="AB146" s="2156"/>
      <c r="AC146" s="2156"/>
      <c r="AD146" s="2156"/>
      <c r="AE146" s="2156"/>
      <c r="AF146" s="2156"/>
      <c r="AG146" s="2156"/>
      <c r="AH146" s="2156"/>
      <c r="AI146" s="2156"/>
      <c r="AJ146" s="2156"/>
      <c r="AK146" s="2156"/>
      <c r="AL146" s="2156"/>
      <c r="AM146" s="2156"/>
      <c r="AN146" s="2156"/>
      <c r="AO146" s="2156"/>
      <c r="AP146" s="2156"/>
      <c r="AQ146" s="2156"/>
      <c r="AR146" s="2156"/>
      <c r="AS146" s="2156"/>
      <c r="AT146" s="2156"/>
      <c r="AU146" s="2156"/>
      <c r="AV146" s="2156"/>
      <c r="AW146" s="2156"/>
      <c r="AX146" s="2157"/>
      <c r="AY146" s="1192"/>
      <c r="AZ146" s="1192"/>
      <c r="BA146" s="1192"/>
      <c r="BB146" s="1192"/>
      <c r="BC146" s="1192"/>
      <c r="BD146" s="1192"/>
      <c r="BE146" s="1196"/>
    </row>
    <row r="147" spans="1:57" ht="15.75" customHeight="1">
      <c r="A147" s="1192"/>
      <c r="B147" s="2155"/>
      <c r="C147" s="2156"/>
      <c r="D147" s="2156"/>
      <c r="E147" s="2156"/>
      <c r="F147" s="2156"/>
      <c r="G147" s="2156"/>
      <c r="H147" s="2156"/>
      <c r="I147" s="2156"/>
      <c r="J147" s="2156"/>
      <c r="K147" s="2156"/>
      <c r="L147" s="2156"/>
      <c r="M147" s="2156"/>
      <c r="N147" s="2156"/>
      <c r="O147" s="2156"/>
      <c r="P147" s="2156"/>
      <c r="Q147" s="2156"/>
      <c r="R147" s="2156"/>
      <c r="S147" s="2156"/>
      <c r="T147" s="2156"/>
      <c r="U147" s="2156"/>
      <c r="V147" s="2156"/>
      <c r="W147" s="2156"/>
      <c r="X147" s="2156"/>
      <c r="Y147" s="2156"/>
      <c r="Z147" s="2156"/>
      <c r="AA147" s="2156"/>
      <c r="AB147" s="2156"/>
      <c r="AC147" s="2156"/>
      <c r="AD147" s="2156"/>
      <c r="AE147" s="2156"/>
      <c r="AF147" s="2156"/>
      <c r="AG147" s="2156"/>
      <c r="AH147" s="2156"/>
      <c r="AI147" s="2156"/>
      <c r="AJ147" s="2156"/>
      <c r="AK147" s="2156"/>
      <c r="AL147" s="2156"/>
      <c r="AM147" s="2156"/>
      <c r="AN147" s="2156"/>
      <c r="AO147" s="2156"/>
      <c r="AP147" s="2156"/>
      <c r="AQ147" s="2156"/>
      <c r="AR147" s="2156"/>
      <c r="AS147" s="2156"/>
      <c r="AT147" s="2156"/>
      <c r="AU147" s="2156"/>
      <c r="AV147" s="2156"/>
      <c r="AW147" s="2156"/>
      <c r="AX147" s="2157"/>
      <c r="AY147" s="1192"/>
      <c r="AZ147" s="1192"/>
      <c r="BA147" s="1192"/>
      <c r="BB147" s="1192"/>
      <c r="BC147" s="1192"/>
      <c r="BD147" s="1192"/>
      <c r="BE147" s="1196"/>
    </row>
    <row r="148" spans="1:57" ht="15.75" customHeight="1">
      <c r="A148" s="1192"/>
      <c r="B148" s="2155"/>
      <c r="C148" s="2156"/>
      <c r="D148" s="2156"/>
      <c r="E148" s="2156"/>
      <c r="F148" s="2156"/>
      <c r="G148" s="2156"/>
      <c r="H148" s="2156"/>
      <c r="I148" s="2156"/>
      <c r="J148" s="2156"/>
      <c r="K148" s="2156"/>
      <c r="L148" s="2156"/>
      <c r="M148" s="2156"/>
      <c r="N148" s="2156"/>
      <c r="O148" s="2156"/>
      <c r="P148" s="2156"/>
      <c r="Q148" s="2156"/>
      <c r="R148" s="2156"/>
      <c r="S148" s="2156"/>
      <c r="T148" s="2156"/>
      <c r="U148" s="2156"/>
      <c r="V148" s="2156"/>
      <c r="W148" s="2156"/>
      <c r="X148" s="2156"/>
      <c r="Y148" s="2156"/>
      <c r="Z148" s="2156"/>
      <c r="AA148" s="2156"/>
      <c r="AB148" s="2156"/>
      <c r="AC148" s="2156"/>
      <c r="AD148" s="2156"/>
      <c r="AE148" s="2156"/>
      <c r="AF148" s="2156"/>
      <c r="AG148" s="2156"/>
      <c r="AH148" s="2156"/>
      <c r="AI148" s="2156"/>
      <c r="AJ148" s="2156"/>
      <c r="AK148" s="2156"/>
      <c r="AL148" s="2156"/>
      <c r="AM148" s="2156"/>
      <c r="AN148" s="2156"/>
      <c r="AO148" s="2156"/>
      <c r="AP148" s="2156"/>
      <c r="AQ148" s="2156"/>
      <c r="AR148" s="2156"/>
      <c r="AS148" s="2156"/>
      <c r="AT148" s="2156"/>
      <c r="AU148" s="2156"/>
      <c r="AV148" s="2156"/>
      <c r="AW148" s="2156"/>
      <c r="AX148" s="2157"/>
      <c r="AY148" s="1192"/>
      <c r="AZ148" s="1192"/>
      <c r="BA148" s="1192"/>
      <c r="BB148" s="1192"/>
      <c r="BC148" s="1192"/>
      <c r="BD148" s="1192"/>
      <c r="BE148" s="1196"/>
    </row>
    <row r="149" spans="1:57" ht="15.75" customHeight="1">
      <c r="A149" s="1192"/>
      <c r="B149" s="2155"/>
      <c r="C149" s="2156"/>
      <c r="D149" s="2156"/>
      <c r="E149" s="2156"/>
      <c r="F149" s="2156"/>
      <c r="G149" s="2156"/>
      <c r="H149" s="2156"/>
      <c r="I149" s="2156"/>
      <c r="J149" s="2156"/>
      <c r="K149" s="2156"/>
      <c r="L149" s="2156"/>
      <c r="M149" s="2156"/>
      <c r="N149" s="2156"/>
      <c r="O149" s="2156"/>
      <c r="P149" s="2156"/>
      <c r="Q149" s="2156"/>
      <c r="R149" s="2156"/>
      <c r="S149" s="2156"/>
      <c r="T149" s="2156"/>
      <c r="U149" s="2156"/>
      <c r="V149" s="2156"/>
      <c r="W149" s="2156"/>
      <c r="X149" s="2156"/>
      <c r="Y149" s="2156"/>
      <c r="Z149" s="2156"/>
      <c r="AA149" s="2156"/>
      <c r="AB149" s="2156"/>
      <c r="AC149" s="2156"/>
      <c r="AD149" s="2156"/>
      <c r="AE149" s="2156"/>
      <c r="AF149" s="2156"/>
      <c r="AG149" s="2156"/>
      <c r="AH149" s="2156"/>
      <c r="AI149" s="2156"/>
      <c r="AJ149" s="2156"/>
      <c r="AK149" s="2156"/>
      <c r="AL149" s="2156"/>
      <c r="AM149" s="2156"/>
      <c r="AN149" s="2156"/>
      <c r="AO149" s="2156"/>
      <c r="AP149" s="2156"/>
      <c r="AQ149" s="2156"/>
      <c r="AR149" s="2156"/>
      <c r="AS149" s="2156"/>
      <c r="AT149" s="2156"/>
      <c r="AU149" s="2156"/>
      <c r="AV149" s="2156"/>
      <c r="AW149" s="2156"/>
      <c r="AX149" s="2157"/>
      <c r="AY149" s="1192"/>
      <c r="AZ149" s="1192"/>
      <c r="BA149" s="1192"/>
      <c r="BB149" s="1192"/>
      <c r="BC149" s="1192"/>
      <c r="BD149" s="1192"/>
      <c r="BE149" s="1196"/>
    </row>
    <row r="150" spans="1:57" ht="15.75" customHeight="1">
      <c r="A150" s="1192"/>
      <c r="B150" s="2155"/>
      <c r="C150" s="2156"/>
      <c r="D150" s="2156"/>
      <c r="E150" s="2156"/>
      <c r="F150" s="2156"/>
      <c r="G150" s="2156"/>
      <c r="H150" s="2156"/>
      <c r="I150" s="2156"/>
      <c r="J150" s="2156"/>
      <c r="K150" s="2156"/>
      <c r="L150" s="2156"/>
      <c r="M150" s="2156"/>
      <c r="N150" s="2156"/>
      <c r="O150" s="2156"/>
      <c r="P150" s="2156"/>
      <c r="Q150" s="2156"/>
      <c r="R150" s="2156"/>
      <c r="S150" s="2156"/>
      <c r="T150" s="2156"/>
      <c r="U150" s="2156"/>
      <c r="V150" s="2156"/>
      <c r="W150" s="2156"/>
      <c r="X150" s="2156"/>
      <c r="Y150" s="2156"/>
      <c r="Z150" s="2156"/>
      <c r="AA150" s="2156"/>
      <c r="AB150" s="2156"/>
      <c r="AC150" s="2156"/>
      <c r="AD150" s="2156"/>
      <c r="AE150" s="2156"/>
      <c r="AF150" s="2156"/>
      <c r="AG150" s="2156"/>
      <c r="AH150" s="2156"/>
      <c r="AI150" s="2156"/>
      <c r="AJ150" s="2156"/>
      <c r="AK150" s="2156"/>
      <c r="AL150" s="2156"/>
      <c r="AM150" s="2156"/>
      <c r="AN150" s="2156"/>
      <c r="AO150" s="2156"/>
      <c r="AP150" s="2156"/>
      <c r="AQ150" s="2156"/>
      <c r="AR150" s="2156"/>
      <c r="AS150" s="2156"/>
      <c r="AT150" s="2156"/>
      <c r="AU150" s="2156"/>
      <c r="AV150" s="2156"/>
      <c r="AW150" s="2156"/>
      <c r="AX150" s="2157"/>
      <c r="AY150" s="1192"/>
      <c r="AZ150" s="1192"/>
      <c r="BA150" s="1192"/>
      <c r="BB150" s="1192"/>
      <c r="BC150" s="1192"/>
      <c r="BD150" s="1192"/>
      <c r="BE150" s="1196"/>
    </row>
    <row r="151" spans="1:57" ht="15.75" customHeight="1">
      <c r="A151" s="1192"/>
      <c r="B151" s="2155"/>
      <c r="C151" s="2156"/>
      <c r="D151" s="2156"/>
      <c r="E151" s="2156"/>
      <c r="F151" s="2156"/>
      <c r="G151" s="2156"/>
      <c r="H151" s="2156"/>
      <c r="I151" s="2156"/>
      <c r="J151" s="2156"/>
      <c r="K151" s="2156"/>
      <c r="L151" s="2156"/>
      <c r="M151" s="2156"/>
      <c r="N151" s="2156"/>
      <c r="O151" s="2156"/>
      <c r="P151" s="2156"/>
      <c r="Q151" s="2156"/>
      <c r="R151" s="2156"/>
      <c r="S151" s="2156"/>
      <c r="T151" s="2156"/>
      <c r="U151" s="2156"/>
      <c r="V151" s="2156"/>
      <c r="W151" s="2156"/>
      <c r="X151" s="2156"/>
      <c r="Y151" s="2156"/>
      <c r="Z151" s="2156"/>
      <c r="AA151" s="2156"/>
      <c r="AB151" s="2156"/>
      <c r="AC151" s="2156"/>
      <c r="AD151" s="2156"/>
      <c r="AE151" s="2156"/>
      <c r="AF151" s="2156"/>
      <c r="AG151" s="2156"/>
      <c r="AH151" s="2156"/>
      <c r="AI151" s="2156"/>
      <c r="AJ151" s="2156"/>
      <c r="AK151" s="2156"/>
      <c r="AL151" s="2156"/>
      <c r="AM151" s="2156"/>
      <c r="AN151" s="2156"/>
      <c r="AO151" s="2156"/>
      <c r="AP151" s="2156"/>
      <c r="AQ151" s="2156"/>
      <c r="AR151" s="2156"/>
      <c r="AS151" s="2156"/>
      <c r="AT151" s="2156"/>
      <c r="AU151" s="2156"/>
      <c r="AV151" s="2156"/>
      <c r="AW151" s="2156"/>
      <c r="AX151" s="2157"/>
      <c r="AY151" s="1192"/>
      <c r="AZ151" s="1192"/>
      <c r="BA151" s="1192"/>
      <c r="BB151" s="1192"/>
      <c r="BC151" s="1192"/>
      <c r="BD151" s="1192"/>
      <c r="BE151" s="1196"/>
    </row>
    <row r="152" spans="1:57" ht="15.75" customHeight="1" thickBot="1">
      <c r="A152" s="1192"/>
      <c r="B152" s="2158"/>
      <c r="C152" s="2159"/>
      <c r="D152" s="2159"/>
      <c r="E152" s="2159"/>
      <c r="F152" s="2159"/>
      <c r="G152" s="2159"/>
      <c r="H152" s="2159"/>
      <c r="I152" s="2159"/>
      <c r="J152" s="2159"/>
      <c r="K152" s="2159"/>
      <c r="L152" s="2159"/>
      <c r="M152" s="2159"/>
      <c r="N152" s="2159"/>
      <c r="O152" s="2159"/>
      <c r="P152" s="2159"/>
      <c r="Q152" s="2159"/>
      <c r="R152" s="2159"/>
      <c r="S152" s="2159"/>
      <c r="T152" s="2159"/>
      <c r="U152" s="2159"/>
      <c r="V152" s="2159"/>
      <c r="W152" s="2159"/>
      <c r="X152" s="2159"/>
      <c r="Y152" s="2159"/>
      <c r="Z152" s="2159"/>
      <c r="AA152" s="2159"/>
      <c r="AB152" s="2159"/>
      <c r="AC152" s="2159"/>
      <c r="AD152" s="2159"/>
      <c r="AE152" s="2159"/>
      <c r="AF152" s="2159"/>
      <c r="AG152" s="2159"/>
      <c r="AH152" s="2159"/>
      <c r="AI152" s="2159"/>
      <c r="AJ152" s="2159"/>
      <c r="AK152" s="2159"/>
      <c r="AL152" s="2159"/>
      <c r="AM152" s="2159"/>
      <c r="AN152" s="2159"/>
      <c r="AO152" s="2159"/>
      <c r="AP152" s="2159"/>
      <c r="AQ152" s="2159"/>
      <c r="AR152" s="2159"/>
      <c r="AS152" s="2159"/>
      <c r="AT152" s="2159"/>
      <c r="AU152" s="2159"/>
      <c r="AV152" s="2159"/>
      <c r="AW152" s="2159"/>
      <c r="AX152" s="2160"/>
      <c r="AY152" s="1192"/>
      <c r="AZ152" s="1192"/>
      <c r="BA152" s="1192"/>
      <c r="BB152" s="1192"/>
      <c r="BC152" s="1192"/>
      <c r="BD152" s="1192"/>
      <c r="BE152" s="1196"/>
    </row>
    <row r="153" spans="1:57" ht="15.75" customHeight="1" thickBot="1">
      <c r="A153" s="1192"/>
      <c r="B153" s="1192"/>
      <c r="C153" s="1192"/>
      <c r="D153" s="1192"/>
      <c r="E153" s="1192"/>
      <c r="F153" s="1192"/>
      <c r="G153" s="1192"/>
      <c r="H153" s="1192"/>
      <c r="I153" s="1192"/>
      <c r="J153" s="1192"/>
      <c r="K153" s="1192"/>
      <c r="L153" s="1192"/>
      <c r="M153" s="1192"/>
      <c r="N153" s="1192"/>
      <c r="O153" s="1192"/>
      <c r="P153" s="1192"/>
      <c r="Q153" s="1192"/>
      <c r="R153" s="1192"/>
      <c r="S153" s="1192"/>
      <c r="T153" s="1192"/>
      <c r="U153" s="1192"/>
      <c r="V153" s="1192"/>
      <c r="W153" s="1192"/>
      <c r="X153" s="1192"/>
      <c r="Y153" s="1192"/>
      <c r="Z153" s="1192"/>
      <c r="AA153" s="1192"/>
      <c r="AB153" s="1192"/>
      <c r="AC153" s="1192"/>
      <c r="AD153" s="1192"/>
      <c r="AE153" s="1192"/>
      <c r="AF153" s="1192"/>
      <c r="AG153" s="1192"/>
      <c r="AH153" s="1192"/>
      <c r="AI153" s="1192"/>
      <c r="AJ153" s="1192"/>
      <c r="AK153" s="1192"/>
      <c r="AL153" s="1192"/>
      <c r="AM153" s="1192"/>
      <c r="AN153" s="1192"/>
      <c r="AO153" s="1192"/>
      <c r="AP153" s="1192"/>
      <c r="AQ153" s="1192"/>
      <c r="AR153" s="1192"/>
      <c r="AS153" s="1192"/>
      <c r="AT153" s="1192"/>
      <c r="AU153" s="1192"/>
      <c r="AV153" s="1192"/>
      <c r="AW153" s="1192"/>
      <c r="AX153" s="1192"/>
      <c r="AY153" s="1192"/>
      <c r="AZ153" s="1192"/>
      <c r="BA153" s="1192"/>
      <c r="BB153" s="1192"/>
      <c r="BC153" s="1192"/>
      <c r="BD153" s="1192"/>
      <c r="BE153" s="1196"/>
    </row>
    <row r="154" spans="1:57" ht="15.75" customHeight="1" thickBot="1">
      <c r="A154" s="1192"/>
      <c r="B154" s="1211" t="s">
        <v>2354</v>
      </c>
      <c r="C154" s="1212"/>
      <c r="D154" s="1212"/>
      <c r="E154" s="1212"/>
      <c r="F154" s="1212"/>
      <c r="G154" s="1212"/>
      <c r="H154" s="1212"/>
      <c r="I154" s="1212"/>
      <c r="J154" s="1212"/>
      <c r="K154" s="1212"/>
      <c r="L154" s="1212"/>
      <c r="M154" s="1213"/>
      <c r="N154" s="1197"/>
      <c r="O154" s="1197"/>
      <c r="P154" s="1192"/>
      <c r="Q154" s="1192"/>
      <c r="R154" s="1192"/>
      <c r="S154" s="1192"/>
      <c r="T154" s="1192"/>
      <c r="U154" s="1192" t="s">
        <v>249</v>
      </c>
      <c r="V154" s="1192"/>
      <c r="W154" s="1192"/>
      <c r="X154" s="1211" t="s">
        <v>2353</v>
      </c>
      <c r="Y154" s="1212"/>
      <c r="Z154" s="1212"/>
      <c r="AA154" s="1212"/>
      <c r="AB154" s="1212"/>
      <c r="AC154" s="1212"/>
      <c r="AD154" s="1212"/>
      <c r="AE154" s="1212"/>
      <c r="AF154" s="1212"/>
      <c r="AG154" s="1212"/>
      <c r="AH154" s="1212"/>
      <c r="AI154" s="1212"/>
      <c r="AJ154" s="1212"/>
      <c r="AK154" s="1206"/>
      <c r="AL154" s="1206"/>
      <c r="AM154" s="1207"/>
      <c r="AN154" s="1192"/>
      <c r="AO154" s="1192"/>
      <c r="AP154" s="1192"/>
      <c r="AQ154" s="1192"/>
      <c r="AR154" s="1192"/>
      <c r="AS154" s="1192"/>
      <c r="AT154" s="1192"/>
      <c r="AU154" s="1192"/>
      <c r="AV154" s="1192"/>
      <c r="AW154" s="1192"/>
      <c r="AX154" s="1192"/>
      <c r="AY154" s="1192"/>
      <c r="AZ154" s="1192"/>
      <c r="BA154" s="1192"/>
      <c r="BB154" s="1192"/>
      <c r="BC154" s="1192"/>
      <c r="BD154" s="1192"/>
      <c r="BE154" s="1196"/>
    </row>
    <row r="155" spans="1:57" ht="15.75" customHeight="1" thickBot="1">
      <c r="A155" s="1192"/>
      <c r="B155" s="1192"/>
      <c r="C155" s="1192"/>
      <c r="D155" s="1192"/>
      <c r="E155" s="1192"/>
      <c r="F155" s="1192"/>
      <c r="G155" s="1192"/>
      <c r="H155" s="1192"/>
      <c r="I155" s="1192"/>
      <c r="J155" s="1192"/>
      <c r="K155" s="1192"/>
      <c r="L155" s="1192"/>
      <c r="M155" s="1192"/>
      <c r="N155" s="1192"/>
      <c r="O155" s="1192"/>
      <c r="P155" s="1197"/>
      <c r="Q155" s="1192"/>
      <c r="R155" s="1192"/>
      <c r="S155" s="1192"/>
      <c r="T155" s="1192"/>
      <c r="U155" s="1192"/>
      <c r="V155" s="1192"/>
      <c r="W155" s="1192"/>
      <c r="X155" s="1192"/>
      <c r="Y155" s="1192"/>
      <c r="Z155" s="1192"/>
      <c r="AA155" s="1192"/>
      <c r="AB155" s="1192"/>
      <c r="AC155" s="1192"/>
      <c r="AD155" s="1192"/>
      <c r="AE155" s="1192"/>
      <c r="AF155" s="1192"/>
      <c r="AG155" s="1192"/>
      <c r="AH155" s="1192"/>
      <c r="AI155" s="1192"/>
      <c r="AJ155" s="1192"/>
      <c r="AK155" s="1192"/>
      <c r="AL155" s="1192"/>
      <c r="AM155" s="1192"/>
      <c r="AN155" s="1192"/>
      <c r="AO155" s="1192"/>
      <c r="AP155" s="1192"/>
      <c r="AQ155" s="1192"/>
      <c r="AR155" s="1192"/>
      <c r="AS155" s="1192"/>
      <c r="AT155" s="1192"/>
      <c r="AU155" s="1192"/>
      <c r="AV155" s="1192"/>
      <c r="AW155" s="1192"/>
      <c r="AX155" s="1192"/>
      <c r="AY155" s="1192"/>
      <c r="AZ155" s="1192"/>
      <c r="BA155" s="1192"/>
      <c r="BB155" s="1192"/>
      <c r="BC155" s="1192"/>
      <c r="BD155" s="1192"/>
      <c r="BE155" s="1196"/>
    </row>
    <row r="156" spans="1:57" ht="15.75" customHeight="1">
      <c r="A156" s="1192"/>
      <c r="B156" s="2015" t="s">
        <v>2352</v>
      </c>
      <c r="C156" s="2016"/>
      <c r="D156" s="2016"/>
      <c r="E156" s="2016"/>
      <c r="F156" s="2016"/>
      <c r="G156" s="2016"/>
      <c r="H156" s="2016"/>
      <c r="I156" s="2016"/>
      <c r="J156" s="2016"/>
      <c r="K156" s="2016"/>
      <c r="L156" s="2016"/>
      <c r="M156" s="2016"/>
      <c r="N156" s="2016"/>
      <c r="O156" s="2016"/>
      <c r="P156" s="2016"/>
      <c r="Q156" s="2016"/>
      <c r="R156" s="2016"/>
      <c r="S156" s="2016"/>
      <c r="T156" s="2016"/>
      <c r="U156" s="2017"/>
      <c r="V156" s="1192"/>
      <c r="W156" s="1194"/>
      <c r="X156" s="2015" t="s">
        <v>2351</v>
      </c>
      <c r="Y156" s="2016"/>
      <c r="Z156" s="2016"/>
      <c r="AA156" s="2016"/>
      <c r="AB156" s="2016"/>
      <c r="AC156" s="2016"/>
      <c r="AD156" s="2016"/>
      <c r="AE156" s="2016"/>
      <c r="AF156" s="2016"/>
      <c r="AG156" s="2016"/>
      <c r="AH156" s="2016"/>
      <c r="AI156" s="2016"/>
      <c r="AJ156" s="2016"/>
      <c r="AK156" s="2016"/>
      <c r="AL156" s="2016"/>
      <c r="AM156" s="2016"/>
      <c r="AN156" s="2016"/>
      <c r="AO156" s="2016"/>
      <c r="AP156" s="2016"/>
      <c r="AQ156" s="2017"/>
      <c r="AR156" s="1192"/>
      <c r="AS156" s="1192"/>
      <c r="AT156" s="1192"/>
      <c r="AU156" s="1192"/>
      <c r="AV156" s="1192"/>
      <c r="AW156" s="1192"/>
      <c r="AX156" s="1192"/>
      <c r="AY156" s="1192"/>
      <c r="AZ156" s="1192"/>
      <c r="BA156" s="1192"/>
      <c r="BB156" s="1192"/>
      <c r="BC156" s="1192"/>
      <c r="BD156" s="1192"/>
      <c r="BE156" s="1196"/>
    </row>
    <row r="157" spans="1:57" ht="15.75" customHeight="1">
      <c r="A157" s="1192"/>
      <c r="B157" s="2163"/>
      <c r="C157" s="2164"/>
      <c r="D157" s="2164"/>
      <c r="E157" s="2164"/>
      <c r="F157" s="2164"/>
      <c r="G157" s="2164"/>
      <c r="H157" s="2164"/>
      <c r="I157" s="2165" t="s">
        <v>2349</v>
      </c>
      <c r="J157" s="2165"/>
      <c r="K157" s="2165"/>
      <c r="L157" s="2165"/>
      <c r="M157" s="2165"/>
      <c r="N157" s="2165"/>
      <c r="O157" s="2165"/>
      <c r="P157" s="2165" t="s">
        <v>2350</v>
      </c>
      <c r="Q157" s="2165"/>
      <c r="R157" s="2165"/>
      <c r="S157" s="2165"/>
      <c r="T157" s="2165"/>
      <c r="U157" s="2166"/>
      <c r="V157" s="1192"/>
      <c r="W157" s="1192"/>
      <c r="X157" s="2163"/>
      <c r="Y157" s="2164"/>
      <c r="Z157" s="2164"/>
      <c r="AA157" s="2164"/>
      <c r="AB157" s="2164"/>
      <c r="AC157" s="2164"/>
      <c r="AD157" s="2164"/>
      <c r="AE157" s="2165" t="s">
        <v>2349</v>
      </c>
      <c r="AF157" s="2165"/>
      <c r="AG157" s="2165"/>
      <c r="AH157" s="2165"/>
      <c r="AI157" s="2165"/>
      <c r="AJ157" s="2165"/>
      <c r="AK157" s="2165"/>
      <c r="AL157" s="2165" t="s">
        <v>2348</v>
      </c>
      <c r="AM157" s="2165"/>
      <c r="AN157" s="2165"/>
      <c r="AO157" s="2165"/>
      <c r="AP157" s="2165"/>
      <c r="AQ157" s="2166"/>
      <c r="AR157" s="1192"/>
      <c r="AS157" s="1192"/>
      <c r="AT157" s="1192"/>
      <c r="AU157" s="1192"/>
      <c r="AV157" s="1192"/>
      <c r="AW157" s="1192"/>
      <c r="AX157" s="1192"/>
      <c r="AY157" s="1192"/>
      <c r="AZ157" s="1192"/>
      <c r="BA157" s="1192"/>
      <c r="BB157" s="1192"/>
      <c r="BC157" s="1192"/>
      <c r="BD157" s="1192"/>
      <c r="BE157" s="1196"/>
    </row>
    <row r="158" spans="1:57" ht="15.75" customHeight="1">
      <c r="A158" s="1192"/>
      <c r="B158" s="2163"/>
      <c r="C158" s="2164"/>
      <c r="D158" s="2164"/>
      <c r="E158" s="2164"/>
      <c r="F158" s="2164"/>
      <c r="G158" s="2164"/>
      <c r="H158" s="2164"/>
      <c r="I158" s="2165"/>
      <c r="J158" s="2165"/>
      <c r="K158" s="2165"/>
      <c r="L158" s="2165"/>
      <c r="M158" s="2165"/>
      <c r="N158" s="2165"/>
      <c r="O158" s="2165"/>
      <c r="P158" s="2165"/>
      <c r="Q158" s="2165"/>
      <c r="R158" s="2165"/>
      <c r="S158" s="2165"/>
      <c r="T158" s="2165"/>
      <c r="U158" s="2166"/>
      <c r="V158" s="1192"/>
      <c r="W158" s="1192"/>
      <c r="X158" s="2163"/>
      <c r="Y158" s="2164"/>
      <c r="Z158" s="2164"/>
      <c r="AA158" s="2164"/>
      <c r="AB158" s="2164"/>
      <c r="AC158" s="2164"/>
      <c r="AD158" s="2164"/>
      <c r="AE158" s="2165"/>
      <c r="AF158" s="2165"/>
      <c r="AG158" s="2165"/>
      <c r="AH158" s="2165"/>
      <c r="AI158" s="2165"/>
      <c r="AJ158" s="2165"/>
      <c r="AK158" s="2165"/>
      <c r="AL158" s="2165"/>
      <c r="AM158" s="2165"/>
      <c r="AN158" s="2165"/>
      <c r="AO158" s="2165"/>
      <c r="AP158" s="2165"/>
      <c r="AQ158" s="2166"/>
      <c r="AR158" s="1192"/>
      <c r="AS158" s="1192"/>
      <c r="AT158" s="1192"/>
      <c r="AU158" s="1192"/>
      <c r="AV158" s="1192"/>
      <c r="AW158" s="1192"/>
      <c r="AX158" s="1192"/>
      <c r="AY158" s="1192"/>
      <c r="AZ158" s="1192"/>
      <c r="BA158" s="1192"/>
      <c r="BB158" s="1192"/>
      <c r="BC158" s="1192"/>
      <c r="BD158" s="1192"/>
      <c r="BE158" s="1196"/>
    </row>
    <row r="159" spans="1:57" ht="15.75" customHeight="1" thickBot="1">
      <c r="A159" s="1192"/>
      <c r="B159" s="2121" t="s">
        <v>2347</v>
      </c>
      <c r="C159" s="2122"/>
      <c r="D159" s="2122"/>
      <c r="E159" s="2122"/>
      <c r="F159" s="2122"/>
      <c r="G159" s="2122"/>
      <c r="H159" s="2122"/>
      <c r="I159" s="2095">
        <v>0</v>
      </c>
      <c r="J159" s="2095"/>
      <c r="K159" s="2095"/>
      <c r="L159" s="2095"/>
      <c r="M159" s="2095"/>
      <c r="N159" s="2095"/>
      <c r="O159" s="2095"/>
      <c r="P159" s="2095">
        <v>0</v>
      </c>
      <c r="Q159" s="2095"/>
      <c r="R159" s="2095"/>
      <c r="S159" s="2095"/>
      <c r="T159" s="2095"/>
      <c r="U159" s="2096"/>
      <c r="V159" s="1192"/>
      <c r="W159" s="1192"/>
      <c r="X159" s="2123" t="s">
        <v>2347</v>
      </c>
      <c r="Y159" s="2124"/>
      <c r="Z159" s="2124"/>
      <c r="AA159" s="2124"/>
      <c r="AB159" s="2124"/>
      <c r="AC159" s="2124"/>
      <c r="AD159" s="2124"/>
      <c r="AE159" s="2110">
        <v>0</v>
      </c>
      <c r="AF159" s="2110"/>
      <c r="AG159" s="2110"/>
      <c r="AH159" s="2110"/>
      <c r="AI159" s="2110"/>
      <c r="AJ159" s="2110"/>
      <c r="AK159" s="2110"/>
      <c r="AL159" s="2110">
        <v>0</v>
      </c>
      <c r="AM159" s="2110"/>
      <c r="AN159" s="2110"/>
      <c r="AO159" s="2110"/>
      <c r="AP159" s="2110"/>
      <c r="AQ159" s="2111"/>
      <c r="AR159" s="1192"/>
      <c r="AS159" s="1192"/>
      <c r="AT159" s="1192"/>
      <c r="AU159" s="1192"/>
      <c r="AV159" s="1192"/>
      <c r="AW159" s="1192"/>
      <c r="AX159" s="1192"/>
      <c r="AY159" s="1192"/>
      <c r="AZ159" s="1192"/>
      <c r="BA159" s="1192"/>
      <c r="BB159" s="1192"/>
      <c r="BC159" s="1192"/>
      <c r="BD159" s="1192"/>
      <c r="BE159" s="1196"/>
    </row>
    <row r="160" spans="1:57" ht="15.75" customHeight="1" thickBot="1">
      <c r="A160" s="1192"/>
      <c r="B160" s="2123" t="s">
        <v>2346</v>
      </c>
      <c r="C160" s="2124"/>
      <c r="D160" s="2124"/>
      <c r="E160" s="2124"/>
      <c r="F160" s="2124"/>
      <c r="G160" s="2124"/>
      <c r="H160" s="2124"/>
      <c r="I160" s="2110">
        <v>0</v>
      </c>
      <c r="J160" s="2110"/>
      <c r="K160" s="2110"/>
      <c r="L160" s="2110"/>
      <c r="M160" s="2110"/>
      <c r="N160" s="2110"/>
      <c r="O160" s="2110"/>
      <c r="P160" s="2110">
        <v>0</v>
      </c>
      <c r="Q160" s="2110"/>
      <c r="R160" s="2110"/>
      <c r="S160" s="2110"/>
      <c r="T160" s="2110"/>
      <c r="U160" s="2111"/>
      <c r="V160" s="1192"/>
      <c r="W160" s="1192"/>
      <c r="X160" s="1192"/>
      <c r="Y160" s="1192"/>
      <c r="Z160" s="1192"/>
      <c r="AA160" s="1192"/>
      <c r="AB160" s="1192"/>
      <c r="AC160" s="1192"/>
      <c r="AD160" s="1192"/>
      <c r="AE160" s="1192"/>
      <c r="AF160" s="1192"/>
      <c r="AG160" s="1192"/>
      <c r="AH160" s="1192"/>
      <c r="AI160" s="1192"/>
      <c r="AJ160" s="1192"/>
      <c r="AK160" s="1192"/>
      <c r="AL160" s="1192"/>
      <c r="AM160" s="1192"/>
      <c r="AN160" s="1192"/>
      <c r="AO160" s="1192"/>
      <c r="AP160" s="1192"/>
      <c r="AQ160" s="1192"/>
      <c r="AR160" s="1192"/>
      <c r="AS160" s="1192"/>
      <c r="AT160" s="1192"/>
      <c r="AU160" s="1192"/>
      <c r="AV160" s="1192"/>
      <c r="AW160" s="1192"/>
      <c r="AX160" s="1192"/>
      <c r="AY160" s="1192"/>
      <c r="AZ160" s="1192"/>
      <c r="BA160" s="1192"/>
      <c r="BB160" s="1192"/>
      <c r="BC160" s="1192"/>
      <c r="BD160" s="1192"/>
      <c r="BE160" s="1196"/>
    </row>
    <row r="161" spans="1:57" ht="15.75" customHeight="1" thickBot="1">
      <c r="A161" s="1192"/>
      <c r="B161" s="1192"/>
      <c r="C161" s="1192"/>
      <c r="D161" s="1192"/>
      <c r="E161" s="1192"/>
      <c r="F161" s="1192"/>
      <c r="G161" s="1192"/>
      <c r="H161" s="1192"/>
      <c r="I161" s="1192"/>
      <c r="J161" s="1192"/>
      <c r="K161" s="1192"/>
      <c r="L161" s="1192"/>
      <c r="M161" s="1192"/>
      <c r="N161" s="1192"/>
      <c r="O161" s="1192"/>
      <c r="P161" s="1192"/>
      <c r="Q161" s="1192"/>
      <c r="R161" s="1192"/>
      <c r="S161" s="1192"/>
      <c r="T161" s="1192"/>
      <c r="U161" s="1192"/>
      <c r="V161" s="1192"/>
      <c r="W161" s="1192"/>
      <c r="X161" s="1192"/>
      <c r="Y161" s="1192"/>
      <c r="Z161" s="1192"/>
      <c r="AA161" s="1192"/>
      <c r="AB161" s="1192"/>
      <c r="AC161" s="1192"/>
      <c r="AD161" s="1192"/>
      <c r="AE161" s="1192"/>
      <c r="AF161" s="1192"/>
      <c r="AG161" s="1192"/>
      <c r="AH161" s="1192"/>
      <c r="AI161" s="1192"/>
      <c r="AJ161" s="1192"/>
      <c r="AK161" s="1192"/>
      <c r="AL161" s="1192"/>
      <c r="AM161" s="1192"/>
      <c r="AN161" s="1192"/>
      <c r="AO161" s="1192"/>
      <c r="AP161" s="1192"/>
      <c r="AQ161" s="1192"/>
      <c r="AR161" s="1192"/>
      <c r="AS161" s="1192"/>
      <c r="AT161" s="1192"/>
      <c r="AU161" s="1192"/>
      <c r="AV161" s="1192"/>
      <c r="AW161" s="1192"/>
      <c r="AX161" s="1192"/>
      <c r="AY161" s="1192"/>
      <c r="AZ161" s="1192"/>
      <c r="BA161" s="1192"/>
      <c r="BB161" s="1192"/>
      <c r="BC161" s="1192"/>
      <c r="BD161" s="1192"/>
      <c r="BE161" s="1196"/>
    </row>
    <row r="162" spans="1:57" ht="15.75" customHeight="1">
      <c r="A162" s="1192"/>
      <c r="B162" s="1192"/>
      <c r="C162" s="2015" t="s">
        <v>2345</v>
      </c>
      <c r="D162" s="2016"/>
      <c r="E162" s="2016"/>
      <c r="F162" s="2016"/>
      <c r="G162" s="2016"/>
      <c r="H162" s="2016"/>
      <c r="I162" s="2016"/>
      <c r="J162" s="2016"/>
      <c r="K162" s="2016"/>
      <c r="L162" s="2016"/>
      <c r="M162" s="2016"/>
      <c r="N162" s="2016"/>
      <c r="O162" s="2016"/>
      <c r="P162" s="2016"/>
      <c r="Q162" s="2016"/>
      <c r="R162" s="2016"/>
      <c r="S162" s="2016"/>
      <c r="T162" s="2016"/>
      <c r="U162" s="2016"/>
      <c r="V162" s="2016"/>
      <c r="W162" s="2016"/>
      <c r="X162" s="2016"/>
      <c r="Y162" s="2016"/>
      <c r="Z162" s="2016"/>
      <c r="AA162" s="2016"/>
      <c r="AB162" s="2016"/>
      <c r="AC162" s="2016"/>
      <c r="AD162" s="2016"/>
      <c r="AE162" s="2016"/>
      <c r="AF162" s="2016"/>
      <c r="AG162" s="2017"/>
      <c r="AH162" s="1192"/>
      <c r="AI162" s="1192"/>
      <c r="AJ162" s="1192"/>
      <c r="AK162" s="1192"/>
      <c r="AL162" s="1192"/>
      <c r="AM162" s="1192"/>
      <c r="AN162" s="1192"/>
      <c r="AO162" s="1192"/>
      <c r="AP162" s="1192"/>
      <c r="AQ162" s="1192"/>
      <c r="AR162" s="1192"/>
      <c r="AS162" s="1192"/>
      <c r="AT162" s="1192"/>
      <c r="AU162" s="1192"/>
      <c r="AV162" s="1192"/>
      <c r="AW162" s="1192"/>
      <c r="AX162" s="1192"/>
      <c r="AY162" s="1192"/>
      <c r="AZ162" s="1192"/>
      <c r="BA162" s="1192"/>
      <c r="BB162" s="1192"/>
      <c r="BC162" s="1192"/>
      <c r="BD162" s="1192"/>
      <c r="BE162" s="1196"/>
    </row>
    <row r="163" spans="1:57" ht="15.75" customHeight="1">
      <c r="A163" s="1192"/>
      <c r="B163" s="1192"/>
      <c r="C163" s="2163" t="s">
        <v>2330</v>
      </c>
      <c r="D163" s="2164"/>
      <c r="E163" s="2164"/>
      <c r="F163" s="2164"/>
      <c r="G163" s="2164"/>
      <c r="H163" s="2164"/>
      <c r="I163" s="2164"/>
      <c r="J163" s="2164"/>
      <c r="K163" s="2164"/>
      <c r="L163" s="2164"/>
      <c r="M163" s="2164"/>
      <c r="N163" s="2164"/>
      <c r="O163" s="2164"/>
      <c r="P163" s="2164"/>
      <c r="Q163" s="2164" t="s">
        <v>2344</v>
      </c>
      <c r="R163" s="2164"/>
      <c r="S163" s="2164"/>
      <c r="T163" s="2106" t="s">
        <v>2343</v>
      </c>
      <c r="U163" s="2106"/>
      <c r="V163" s="2106"/>
      <c r="W163" s="2106"/>
      <c r="X163" s="2106"/>
      <c r="Y163" s="2106"/>
      <c r="Z163" s="2106"/>
      <c r="AA163" s="2106"/>
      <c r="AB163" s="2164" t="s">
        <v>2342</v>
      </c>
      <c r="AC163" s="2164"/>
      <c r="AD163" s="2164"/>
      <c r="AE163" s="2164"/>
      <c r="AF163" s="2164"/>
      <c r="AG163" s="2172"/>
      <c r="AH163" s="1192"/>
      <c r="AI163" s="1192"/>
      <c r="AJ163" s="1192"/>
      <c r="AK163" s="1192"/>
      <c r="AL163" s="1192"/>
      <c r="AM163" s="1192"/>
      <c r="AN163" s="1192"/>
      <c r="AO163" s="1192"/>
      <c r="AP163" s="1192"/>
      <c r="AQ163" s="1192"/>
      <c r="AR163" s="1192"/>
      <c r="AS163" s="1192"/>
      <c r="AT163" s="1192"/>
      <c r="AU163" s="1192"/>
      <c r="AV163" s="1192"/>
      <c r="AW163" s="1192"/>
      <c r="AX163" s="1192"/>
      <c r="AY163" s="1192"/>
      <c r="AZ163" s="1192"/>
      <c r="BA163" s="1192"/>
      <c r="BB163" s="1192"/>
      <c r="BC163" s="1192"/>
      <c r="BD163" s="1192"/>
      <c r="BE163" s="1196"/>
    </row>
    <row r="164" spans="1:57" ht="15.75" customHeight="1">
      <c r="A164" s="1192"/>
      <c r="B164" s="1192"/>
      <c r="C164" s="2167" t="s">
        <v>2341</v>
      </c>
      <c r="D164" s="2168"/>
      <c r="E164" s="2168"/>
      <c r="F164" s="2168"/>
      <c r="G164" s="2168"/>
      <c r="H164" s="2168"/>
      <c r="I164" s="2168"/>
      <c r="J164" s="2168"/>
      <c r="K164" s="2168"/>
      <c r="L164" s="2168"/>
      <c r="M164" s="2168"/>
      <c r="N164" s="2168"/>
      <c r="O164" s="2168"/>
      <c r="P164" s="2168"/>
      <c r="Q164" s="2169">
        <v>55</v>
      </c>
      <c r="R164" s="2169"/>
      <c r="S164" s="2169"/>
      <c r="T164" s="2170"/>
      <c r="U164" s="2170"/>
      <c r="V164" s="2170"/>
      <c r="W164" s="2170"/>
      <c r="X164" s="2170"/>
      <c r="Y164" s="2170"/>
      <c r="Z164" s="2170"/>
      <c r="AA164" s="2170"/>
      <c r="AB164" s="1230"/>
      <c r="AC164" s="1230"/>
      <c r="AD164" s="1230"/>
      <c r="AE164" s="1230"/>
      <c r="AF164" s="1230"/>
      <c r="AG164" s="1231"/>
      <c r="AH164" s="1192"/>
      <c r="AI164" s="1192"/>
      <c r="AJ164" s="1192"/>
      <c r="AK164" s="1192"/>
      <c r="AL164" s="1192"/>
      <c r="AM164" s="1192"/>
      <c r="AN164" s="1192"/>
      <c r="AO164" s="1192"/>
      <c r="AP164" s="1192" t="s">
        <v>249</v>
      </c>
      <c r="AQ164" s="1192"/>
      <c r="AR164" s="1192"/>
      <c r="AS164" s="1192"/>
      <c r="AT164" s="1192"/>
      <c r="AU164" s="1192"/>
      <c r="AV164" s="1192"/>
      <c r="AW164" s="1192"/>
      <c r="AX164" s="1192"/>
      <c r="AY164" s="1192"/>
      <c r="AZ164" s="1192"/>
      <c r="BA164" s="1192"/>
      <c r="BB164" s="1192"/>
      <c r="BC164" s="1192"/>
      <c r="BD164" s="1192"/>
      <c r="BE164" s="1196"/>
    </row>
    <row r="165" spans="1:57" ht="15.75" customHeight="1">
      <c r="A165" s="1192"/>
      <c r="B165" s="1192"/>
      <c r="C165" s="2167" t="s">
        <v>2340</v>
      </c>
      <c r="D165" s="2168"/>
      <c r="E165" s="2168"/>
      <c r="F165" s="2168"/>
      <c r="G165" s="2168"/>
      <c r="H165" s="2168"/>
      <c r="I165" s="2168"/>
      <c r="J165" s="2168"/>
      <c r="K165" s="2168"/>
      <c r="L165" s="2168"/>
      <c r="M165" s="2168"/>
      <c r="N165" s="2168"/>
      <c r="O165" s="2168"/>
      <c r="P165" s="2168"/>
      <c r="Q165" s="2169">
        <v>55</v>
      </c>
      <c r="R165" s="2169"/>
      <c r="S165" s="2169"/>
      <c r="T165" s="2171"/>
      <c r="U165" s="2171"/>
      <c r="V165" s="2171"/>
      <c r="W165" s="2171"/>
      <c r="X165" s="2171"/>
      <c r="Y165" s="2171"/>
      <c r="Z165" s="2171"/>
      <c r="AA165" s="2171"/>
      <c r="AB165" s="1230"/>
      <c r="AC165" s="1230"/>
      <c r="AD165" s="1230"/>
      <c r="AE165" s="1230"/>
      <c r="AF165" s="1230"/>
      <c r="AG165" s="1231"/>
      <c r="AH165" s="1192"/>
      <c r="AI165" s="1192"/>
      <c r="AJ165" s="1192"/>
      <c r="AK165" s="1192"/>
      <c r="AL165" s="1192"/>
      <c r="AM165" s="1192"/>
      <c r="AN165" s="1192"/>
      <c r="AO165" s="1192"/>
      <c r="AP165" s="1192"/>
      <c r="AQ165" s="1192"/>
      <c r="AR165" s="1192"/>
      <c r="AS165" s="1192"/>
      <c r="AT165" s="1192"/>
      <c r="AU165" s="1192"/>
      <c r="AV165" s="1192"/>
      <c r="AW165" s="1192"/>
      <c r="AX165" s="1192"/>
      <c r="AY165" s="1192"/>
      <c r="AZ165" s="1192"/>
      <c r="BA165" s="1192"/>
      <c r="BB165" s="1192"/>
      <c r="BC165" s="1192"/>
      <c r="BD165" s="1192"/>
      <c r="BE165" s="1196"/>
    </row>
    <row r="166" spans="1:57" ht="15.75" customHeight="1">
      <c r="A166" s="1192"/>
      <c r="B166" s="1192"/>
      <c r="C166" s="2167" t="s">
        <v>2339</v>
      </c>
      <c r="D166" s="2168"/>
      <c r="E166" s="2168"/>
      <c r="F166" s="2168"/>
      <c r="G166" s="2168"/>
      <c r="H166" s="2168"/>
      <c r="I166" s="2168"/>
      <c r="J166" s="2168"/>
      <c r="K166" s="2168"/>
      <c r="L166" s="2168"/>
      <c r="M166" s="2168"/>
      <c r="N166" s="2168"/>
      <c r="O166" s="2168"/>
      <c r="P166" s="2168"/>
      <c r="Q166" s="2169">
        <v>55</v>
      </c>
      <c r="R166" s="2169"/>
      <c r="S166" s="2169"/>
      <c r="T166" s="2170"/>
      <c r="U166" s="2170"/>
      <c r="V166" s="2170"/>
      <c r="W166" s="2170"/>
      <c r="X166" s="2170"/>
      <c r="Y166" s="2170"/>
      <c r="Z166" s="2170"/>
      <c r="AA166" s="2170"/>
      <c r="AB166" s="1230"/>
      <c r="AC166" s="1230"/>
      <c r="AD166" s="1230"/>
      <c r="AE166" s="1230"/>
      <c r="AF166" s="1230"/>
      <c r="AG166" s="1231"/>
      <c r="AH166" s="1192"/>
      <c r="AI166" s="1192"/>
      <c r="AJ166" s="1192"/>
      <c r="AK166" s="1192"/>
      <c r="AL166" s="1192"/>
      <c r="AM166" s="1192"/>
      <c r="AN166" s="1192"/>
      <c r="AO166" s="1192"/>
      <c r="AP166" s="1192"/>
      <c r="AQ166" s="1192"/>
      <c r="AR166" s="1192"/>
      <c r="AS166" s="1192"/>
      <c r="AT166" s="1192"/>
      <c r="AU166" s="1192"/>
      <c r="AV166" s="1192"/>
      <c r="AW166" s="1192"/>
      <c r="AX166" s="1192"/>
      <c r="AY166" s="1192"/>
      <c r="AZ166" s="1192"/>
      <c r="BA166" s="1192"/>
      <c r="BB166" s="1192"/>
      <c r="BC166" s="1192"/>
      <c r="BD166" s="1192"/>
      <c r="BE166" s="1196"/>
    </row>
    <row r="167" spans="1:57" ht="15.75" customHeight="1">
      <c r="A167" s="1192"/>
      <c r="B167" s="1192"/>
      <c r="C167" s="2167" t="s">
        <v>2338</v>
      </c>
      <c r="D167" s="2168"/>
      <c r="E167" s="2168"/>
      <c r="F167" s="2168"/>
      <c r="G167" s="2168"/>
      <c r="H167" s="2168"/>
      <c r="I167" s="2168"/>
      <c r="J167" s="2168"/>
      <c r="K167" s="2168"/>
      <c r="L167" s="2168"/>
      <c r="M167" s="2168"/>
      <c r="N167" s="2168"/>
      <c r="O167" s="2168"/>
      <c r="P167" s="2168"/>
      <c r="Q167" s="2169">
        <v>55</v>
      </c>
      <c r="R167" s="2169"/>
      <c r="S167" s="2169"/>
      <c r="T167" s="2170"/>
      <c r="U167" s="2170"/>
      <c r="V167" s="2170"/>
      <c r="W167" s="2170"/>
      <c r="X167" s="2170"/>
      <c r="Y167" s="2170"/>
      <c r="Z167" s="2170"/>
      <c r="AA167" s="2170"/>
      <c r="AB167" s="2173">
        <v>0</v>
      </c>
      <c r="AC167" s="2173"/>
      <c r="AD167" s="2173"/>
      <c r="AE167" s="2173"/>
      <c r="AF167" s="2173"/>
      <c r="AG167" s="2174"/>
      <c r="AH167" s="1192"/>
      <c r="AI167" s="1192"/>
      <c r="AJ167" s="1192"/>
      <c r="AK167" s="1192"/>
      <c r="AL167" s="1192"/>
      <c r="AM167" s="1192"/>
      <c r="AN167" s="1192"/>
      <c r="AO167" s="1192"/>
      <c r="AP167" s="1192"/>
      <c r="AQ167" s="1192"/>
      <c r="AR167" s="1192"/>
      <c r="AS167" s="1192"/>
      <c r="AT167" s="1192"/>
      <c r="AU167" s="1192"/>
      <c r="AV167" s="1192"/>
      <c r="AW167" s="1192"/>
      <c r="AX167" s="1192"/>
      <c r="AY167" s="1192"/>
      <c r="AZ167" s="1192"/>
      <c r="BA167" s="1192"/>
      <c r="BB167" s="1192"/>
      <c r="BC167" s="1192"/>
      <c r="BD167" s="1192"/>
      <c r="BE167" s="1196"/>
    </row>
    <row r="168" spans="1:57" ht="15.75" customHeight="1">
      <c r="A168" s="1192"/>
      <c r="B168" s="1192"/>
      <c r="C168" s="2167" t="s">
        <v>169</v>
      </c>
      <c r="D168" s="2168"/>
      <c r="E168" s="2168"/>
      <c r="F168" s="2175" t="s">
        <v>2319</v>
      </c>
      <c r="G168" s="2175"/>
      <c r="H168" s="2175"/>
      <c r="I168" s="2175"/>
      <c r="J168" s="2175"/>
      <c r="K168" s="2175"/>
      <c r="L168" s="2175"/>
      <c r="M168" s="2175"/>
      <c r="N168" s="2175"/>
      <c r="O168" s="2175"/>
      <c r="P168" s="2175"/>
      <c r="Q168" s="2169">
        <v>55</v>
      </c>
      <c r="R168" s="2169"/>
      <c r="S168" s="2169"/>
      <c r="T168" s="2171"/>
      <c r="U168" s="2171"/>
      <c r="V168" s="2171"/>
      <c r="W168" s="2171"/>
      <c r="X168" s="2171"/>
      <c r="Y168" s="2171"/>
      <c r="Z168" s="2171"/>
      <c r="AA168" s="2171"/>
      <c r="AB168" s="2173">
        <v>0</v>
      </c>
      <c r="AC168" s="2173"/>
      <c r="AD168" s="2173"/>
      <c r="AE168" s="2173"/>
      <c r="AF168" s="2173"/>
      <c r="AG168" s="2174"/>
      <c r="AH168" s="1192"/>
      <c r="AI168" s="1192"/>
      <c r="AJ168" s="1192"/>
      <c r="AK168" s="1192"/>
      <c r="AL168" s="1192"/>
      <c r="AM168" s="1192"/>
      <c r="AN168" s="1192"/>
      <c r="AO168" s="1192"/>
      <c r="AP168" s="1192"/>
      <c r="AQ168" s="1192"/>
      <c r="AR168" s="1192"/>
      <c r="AS168" s="1192"/>
      <c r="AT168" s="1192"/>
      <c r="AU168" s="1192"/>
      <c r="AV168" s="1192"/>
      <c r="AW168" s="1192"/>
      <c r="AX168" s="1192"/>
      <c r="AY168" s="1192"/>
      <c r="AZ168" s="1192"/>
      <c r="BA168" s="1192"/>
      <c r="BB168" s="1192"/>
      <c r="BC168" s="1192"/>
      <c r="BD168" s="1192"/>
      <c r="BE168" s="1196"/>
    </row>
    <row r="169" spans="1:57" ht="15.75" customHeight="1">
      <c r="A169" s="1192"/>
      <c r="B169" s="1192"/>
      <c r="C169" s="2167" t="s">
        <v>169</v>
      </c>
      <c r="D169" s="2168"/>
      <c r="E169" s="2168"/>
      <c r="F169" s="2175" t="s">
        <v>2319</v>
      </c>
      <c r="G169" s="2175"/>
      <c r="H169" s="2175"/>
      <c r="I169" s="2175"/>
      <c r="J169" s="2175"/>
      <c r="K169" s="2175"/>
      <c r="L169" s="2175"/>
      <c r="M169" s="2175"/>
      <c r="N169" s="2175"/>
      <c r="O169" s="2175"/>
      <c r="P169" s="2175"/>
      <c r="Q169" s="2169">
        <v>55</v>
      </c>
      <c r="R169" s="2169"/>
      <c r="S169" s="2169"/>
      <c r="T169" s="2171"/>
      <c r="U169" s="2171"/>
      <c r="V169" s="2171"/>
      <c r="W169" s="2171"/>
      <c r="X169" s="2171"/>
      <c r="Y169" s="2171"/>
      <c r="Z169" s="2171"/>
      <c r="AA169" s="2171"/>
      <c r="AB169" s="2173">
        <v>0</v>
      </c>
      <c r="AC169" s="2173"/>
      <c r="AD169" s="2173"/>
      <c r="AE169" s="2173"/>
      <c r="AF169" s="2173"/>
      <c r="AG169" s="2174"/>
      <c r="AH169" s="1192"/>
      <c r="AI169" s="1192"/>
      <c r="AJ169" s="1192"/>
      <c r="AK169" s="1192" t="s">
        <v>249</v>
      </c>
      <c r="AL169" s="1192"/>
      <c r="AM169" s="1192"/>
      <c r="AN169" s="1192"/>
      <c r="AO169" s="1192"/>
      <c r="AP169" s="1192"/>
      <c r="AQ169" s="1192"/>
      <c r="AR169" s="1192"/>
      <c r="AS169" s="1192"/>
      <c r="AT169" s="1192"/>
      <c r="AU169" s="1192"/>
      <c r="AV169" s="1192"/>
      <c r="AW169" s="1192"/>
      <c r="AX169" s="1192"/>
      <c r="AY169" s="1192"/>
      <c r="AZ169" s="1192"/>
      <c r="BA169" s="1192"/>
      <c r="BB169" s="1192"/>
      <c r="BC169" s="1192"/>
      <c r="BD169" s="1192"/>
      <c r="BE169" s="1196"/>
    </row>
    <row r="170" spans="1:57" ht="15.75" customHeight="1" thickBot="1">
      <c r="A170" s="1192"/>
      <c r="B170" s="1192"/>
      <c r="C170" s="2176" t="s">
        <v>169</v>
      </c>
      <c r="D170" s="2177"/>
      <c r="E170" s="2177"/>
      <c r="F170" s="2178" t="s">
        <v>2319</v>
      </c>
      <c r="G170" s="2178"/>
      <c r="H170" s="2178"/>
      <c r="I170" s="2178"/>
      <c r="J170" s="2178"/>
      <c r="K170" s="2178"/>
      <c r="L170" s="2178"/>
      <c r="M170" s="2178"/>
      <c r="N170" s="2178"/>
      <c r="O170" s="2178"/>
      <c r="P170" s="2178"/>
      <c r="Q170" s="2179">
        <v>55</v>
      </c>
      <c r="R170" s="2179"/>
      <c r="S170" s="2179"/>
      <c r="T170" s="2180"/>
      <c r="U170" s="2180"/>
      <c r="V170" s="2180"/>
      <c r="W170" s="2180"/>
      <c r="X170" s="2180"/>
      <c r="Y170" s="2180"/>
      <c r="Z170" s="2180"/>
      <c r="AA170" s="2180"/>
      <c r="AB170" s="2181">
        <v>0</v>
      </c>
      <c r="AC170" s="2181"/>
      <c r="AD170" s="2181"/>
      <c r="AE170" s="2181"/>
      <c r="AF170" s="2181"/>
      <c r="AG170" s="2182"/>
      <c r="AH170" s="1192"/>
      <c r="AI170" s="1192"/>
      <c r="AJ170" s="1192"/>
      <c r="AK170" s="1192"/>
      <c r="AL170" s="1192"/>
      <c r="AM170" s="1192"/>
      <c r="AN170" s="1192"/>
      <c r="AO170" s="1192"/>
      <c r="AP170" s="1192"/>
      <c r="AQ170" s="1192"/>
      <c r="AR170" s="1192"/>
      <c r="AS170" s="1192"/>
      <c r="AT170" s="1192"/>
      <c r="AU170" s="1192"/>
      <c r="AV170" s="1192"/>
      <c r="AW170" s="1192"/>
      <c r="AX170" s="1192"/>
      <c r="AY170" s="1192"/>
      <c r="AZ170" s="1192"/>
      <c r="BA170" s="1192"/>
      <c r="BB170" s="1192"/>
      <c r="BC170" s="1192"/>
      <c r="BD170" s="1192"/>
      <c r="BE170" s="1196"/>
    </row>
    <row r="171" spans="1:57" ht="15.75" customHeight="1" thickBot="1">
      <c r="A171" s="1192"/>
      <c r="B171" s="1192"/>
      <c r="C171" s="1192"/>
      <c r="D171" s="1192"/>
      <c r="E171" s="1192"/>
      <c r="F171" s="1192"/>
      <c r="G171" s="1192"/>
      <c r="H171" s="1192"/>
      <c r="I171" s="1192"/>
      <c r="J171" s="1192"/>
      <c r="K171" s="1192"/>
      <c r="L171" s="1192"/>
      <c r="M171" s="1192"/>
      <c r="N171" s="1192"/>
      <c r="O171" s="1192"/>
      <c r="P171" s="1192"/>
      <c r="Q171" s="1192"/>
      <c r="R171" s="1192"/>
      <c r="S171" s="1192"/>
      <c r="T171" s="1192"/>
      <c r="U171" s="1192"/>
      <c r="V171" s="1192"/>
      <c r="W171" s="1192"/>
      <c r="X171" s="1192"/>
      <c r="Y171" s="1192"/>
      <c r="Z171" s="1192"/>
      <c r="AA171" s="1192"/>
      <c r="AB171" s="1192"/>
      <c r="AC171" s="1192"/>
      <c r="AD171" s="1192"/>
      <c r="AE171" s="1192"/>
      <c r="AF171" s="1192"/>
      <c r="AG171" s="1192"/>
      <c r="AH171" s="1192"/>
      <c r="AI171" s="1192"/>
      <c r="AJ171" s="1192"/>
      <c r="AK171" s="1192"/>
      <c r="AL171" s="1192"/>
      <c r="AM171" s="1192"/>
      <c r="AN171" s="1192"/>
      <c r="AO171" s="1192"/>
      <c r="AP171" s="1192"/>
      <c r="AQ171" s="1192"/>
      <c r="AR171" s="1192"/>
      <c r="AS171" s="1192"/>
      <c r="AT171" s="1192"/>
      <c r="AU171" s="1192"/>
      <c r="AV171" s="1192"/>
      <c r="AW171" s="1192"/>
      <c r="AX171" s="1192"/>
      <c r="AY171" s="1192"/>
      <c r="AZ171" s="1192"/>
      <c r="BA171" s="1192"/>
      <c r="BB171" s="1192"/>
      <c r="BC171" s="1192"/>
      <c r="BD171" s="1192"/>
      <c r="BE171" s="1196"/>
    </row>
    <row r="172" spans="1:57" ht="15.75" customHeight="1">
      <c r="A172" s="1192"/>
      <c r="B172" s="1192"/>
      <c r="C172" s="2064" t="s">
        <v>2337</v>
      </c>
      <c r="D172" s="2065"/>
      <c r="E172" s="2065"/>
      <c r="F172" s="2065"/>
      <c r="G172" s="2065"/>
      <c r="H172" s="2065"/>
      <c r="I172" s="2065"/>
      <c r="J172" s="2065"/>
      <c r="K172" s="2065"/>
      <c r="L172" s="2065"/>
      <c r="M172" s="2065"/>
      <c r="N172" s="2115"/>
      <c r="O172" s="1192"/>
      <c r="P172" s="2183" t="s">
        <v>2336</v>
      </c>
      <c r="Q172" s="2184"/>
      <c r="R172" s="2184"/>
      <c r="S172" s="2184"/>
      <c r="T172" s="2184"/>
      <c r="U172" s="2184"/>
      <c r="V172" s="2184"/>
      <c r="W172" s="2184"/>
      <c r="X172" s="2184"/>
      <c r="Y172" s="2184"/>
      <c r="Z172" s="2184"/>
      <c r="AA172" s="2184"/>
      <c r="AB172" s="2184"/>
      <c r="AC172" s="2184"/>
      <c r="AD172" s="2184"/>
      <c r="AE172" s="2184"/>
      <c r="AF172" s="2184"/>
      <c r="AG172" s="2184"/>
      <c r="AH172" s="2184"/>
      <c r="AI172" s="2184"/>
      <c r="AJ172" s="2184"/>
      <c r="AK172" s="2184"/>
      <c r="AL172" s="2184"/>
      <c r="AM172" s="2184"/>
      <c r="AN172" s="2184"/>
      <c r="AO172" s="2185"/>
      <c r="AP172" s="1192"/>
      <c r="AQ172" s="1192"/>
      <c r="AR172" s="1192"/>
      <c r="AS172" s="1192"/>
      <c r="AT172" s="1192"/>
      <c r="AU172" s="1192"/>
      <c r="AV172" s="1192"/>
      <c r="AW172" s="1192"/>
      <c r="AX172" s="1192"/>
      <c r="AY172" s="1192"/>
      <c r="AZ172" s="1192"/>
      <c r="BA172" s="1192"/>
      <c r="BB172" s="1192"/>
      <c r="BC172" s="1192"/>
      <c r="BD172" s="1192"/>
      <c r="BE172" s="1196"/>
    </row>
    <row r="173" spans="1:57" ht="15.75" customHeight="1">
      <c r="A173" s="1192"/>
      <c r="B173" s="1192"/>
      <c r="C173" s="2163" t="s">
        <v>2335</v>
      </c>
      <c r="D173" s="2164"/>
      <c r="E173" s="2164"/>
      <c r="F173" s="2164"/>
      <c r="G173" s="2164"/>
      <c r="H173" s="2164"/>
      <c r="I173" s="2164" t="s">
        <v>2334</v>
      </c>
      <c r="J173" s="2164"/>
      <c r="K173" s="2164"/>
      <c r="L173" s="2164"/>
      <c r="M173" s="2164"/>
      <c r="N173" s="2172"/>
      <c r="O173" s="1192"/>
      <c r="P173" s="2084" t="s">
        <v>2333</v>
      </c>
      <c r="Q173" s="2085"/>
      <c r="R173" s="2085"/>
      <c r="S173" s="2085"/>
      <c r="T173" s="2085"/>
      <c r="U173" s="2085"/>
      <c r="V173" s="2085"/>
      <c r="W173" s="2085"/>
      <c r="X173" s="2085"/>
      <c r="Y173" s="2085"/>
      <c r="Z173" s="2085"/>
      <c r="AA173" s="2085"/>
      <c r="AB173" s="2085"/>
      <c r="AC173" s="2085"/>
      <c r="AD173" s="2085"/>
      <c r="AE173" s="2085"/>
      <c r="AF173" s="2085"/>
      <c r="AG173" s="2085"/>
      <c r="AH173" s="2085"/>
      <c r="AI173" s="2085"/>
      <c r="AJ173" s="2085"/>
      <c r="AK173" s="2085"/>
      <c r="AL173" s="2085"/>
      <c r="AM173" s="2085"/>
      <c r="AN173" s="2085"/>
      <c r="AO173" s="2086"/>
      <c r="AP173" s="1192"/>
      <c r="AQ173" s="1192"/>
      <c r="AR173" s="1192"/>
      <c r="AS173" s="1192"/>
      <c r="AT173" s="1192"/>
      <c r="AU173" s="1192"/>
      <c r="AV173" s="1192"/>
      <c r="AW173" s="1192"/>
      <c r="AX173" s="1192"/>
      <c r="AY173" s="1192"/>
      <c r="AZ173" s="1192"/>
      <c r="BA173" s="1192"/>
      <c r="BB173" s="1192"/>
      <c r="BC173" s="1192"/>
      <c r="BD173" s="1192"/>
      <c r="BE173" s="1196"/>
    </row>
    <row r="174" spans="1:57" ht="15.75" customHeight="1">
      <c r="A174" s="1192"/>
      <c r="B174" s="1192"/>
      <c r="C174" s="2090"/>
      <c r="D174" s="2022"/>
      <c r="E174" s="2022"/>
      <c r="F174" s="2022"/>
      <c r="G174" s="2022"/>
      <c r="H174" s="2022"/>
      <c r="I174" s="2170"/>
      <c r="J174" s="2170"/>
      <c r="K174" s="2170"/>
      <c r="L174" s="2170"/>
      <c r="M174" s="2170"/>
      <c r="N174" s="2186"/>
      <c r="O174" s="1192"/>
      <c r="P174" s="2084"/>
      <c r="Q174" s="2085"/>
      <c r="R174" s="2085"/>
      <c r="S174" s="2085"/>
      <c r="T174" s="2085"/>
      <c r="U174" s="2085"/>
      <c r="V174" s="2085"/>
      <c r="W174" s="2085"/>
      <c r="X174" s="2085"/>
      <c r="Y174" s="2085"/>
      <c r="Z174" s="2085"/>
      <c r="AA174" s="2085"/>
      <c r="AB174" s="2085"/>
      <c r="AC174" s="2085"/>
      <c r="AD174" s="2085"/>
      <c r="AE174" s="2085"/>
      <c r="AF174" s="2085"/>
      <c r="AG174" s="2085"/>
      <c r="AH174" s="2085"/>
      <c r="AI174" s="2085"/>
      <c r="AJ174" s="2085"/>
      <c r="AK174" s="2085"/>
      <c r="AL174" s="2085"/>
      <c r="AM174" s="2085"/>
      <c r="AN174" s="2085"/>
      <c r="AO174" s="2086"/>
      <c r="AP174" s="1192"/>
      <c r="AQ174" s="1192"/>
      <c r="AR174" s="1192"/>
      <c r="AS174" s="1192"/>
      <c r="AT174" s="1192"/>
      <c r="AU174" s="1192"/>
      <c r="AV174" s="1192"/>
      <c r="AW174" s="1192"/>
      <c r="AX174" s="1192"/>
      <c r="AY174" s="1192"/>
      <c r="AZ174" s="1192"/>
      <c r="BA174" s="1192"/>
      <c r="BB174" s="1192"/>
      <c r="BC174" s="1192"/>
      <c r="BD174" s="1192"/>
      <c r="BE174" s="1196"/>
    </row>
    <row r="175" spans="1:57" ht="15.75" customHeight="1">
      <c r="A175" s="1192"/>
      <c r="B175" s="1192"/>
      <c r="C175" s="2090"/>
      <c r="D175" s="2022"/>
      <c r="E175" s="2022"/>
      <c r="F175" s="2022"/>
      <c r="G175" s="2022"/>
      <c r="H175" s="2022"/>
      <c r="I175" s="2170"/>
      <c r="J175" s="2170"/>
      <c r="K175" s="2170"/>
      <c r="L175" s="2170"/>
      <c r="M175" s="2170"/>
      <c r="N175" s="2186"/>
      <c r="O175" s="1192"/>
      <c r="P175" s="2084"/>
      <c r="Q175" s="2085"/>
      <c r="R175" s="2085"/>
      <c r="S175" s="2085"/>
      <c r="T175" s="2085"/>
      <c r="U175" s="2085"/>
      <c r="V175" s="2085"/>
      <c r="W175" s="2085"/>
      <c r="X175" s="2085"/>
      <c r="Y175" s="2085"/>
      <c r="Z175" s="2085"/>
      <c r="AA175" s="2085"/>
      <c r="AB175" s="2085"/>
      <c r="AC175" s="2085"/>
      <c r="AD175" s="2085"/>
      <c r="AE175" s="2085"/>
      <c r="AF175" s="2085"/>
      <c r="AG175" s="2085"/>
      <c r="AH175" s="2085"/>
      <c r="AI175" s="2085"/>
      <c r="AJ175" s="2085"/>
      <c r="AK175" s="2085"/>
      <c r="AL175" s="2085"/>
      <c r="AM175" s="2085"/>
      <c r="AN175" s="2085"/>
      <c r="AO175" s="2086"/>
      <c r="AP175" s="1192"/>
      <c r="AQ175" s="1192"/>
      <c r="AR175" s="1192"/>
      <c r="AS175" s="1192"/>
      <c r="AT175" s="1192"/>
      <c r="AU175" s="1192"/>
      <c r="AV175" s="1192"/>
      <c r="AW175" s="1192"/>
      <c r="AX175" s="1192"/>
      <c r="AY175" s="1192"/>
      <c r="AZ175" s="1192"/>
      <c r="BA175" s="1192"/>
      <c r="BB175" s="1192"/>
      <c r="BC175" s="1192"/>
      <c r="BD175" s="1192"/>
      <c r="BE175" s="1196"/>
    </row>
    <row r="176" spans="1:57" ht="15.75" customHeight="1">
      <c r="A176" s="1192"/>
      <c r="B176" s="1192"/>
      <c r="C176" s="2090"/>
      <c r="D176" s="2022"/>
      <c r="E176" s="2022"/>
      <c r="F176" s="2022"/>
      <c r="G176" s="2022"/>
      <c r="H176" s="2022"/>
      <c r="I176" s="2170"/>
      <c r="J176" s="2170"/>
      <c r="K176" s="2170"/>
      <c r="L176" s="2170"/>
      <c r="M176" s="2170"/>
      <c r="N176" s="2186"/>
      <c r="O176" s="1192"/>
      <c r="P176" s="2084"/>
      <c r="Q176" s="2085"/>
      <c r="R176" s="2085"/>
      <c r="S176" s="2085"/>
      <c r="T176" s="2085"/>
      <c r="U176" s="2085"/>
      <c r="V176" s="2085"/>
      <c r="W176" s="2085"/>
      <c r="X176" s="2085"/>
      <c r="Y176" s="2085"/>
      <c r="Z176" s="2085"/>
      <c r="AA176" s="2085"/>
      <c r="AB176" s="2085"/>
      <c r="AC176" s="2085"/>
      <c r="AD176" s="2085"/>
      <c r="AE176" s="2085"/>
      <c r="AF176" s="2085"/>
      <c r="AG176" s="2085"/>
      <c r="AH176" s="2085"/>
      <c r="AI176" s="2085"/>
      <c r="AJ176" s="2085"/>
      <c r="AK176" s="2085"/>
      <c r="AL176" s="2085"/>
      <c r="AM176" s="2085"/>
      <c r="AN176" s="2085"/>
      <c r="AO176" s="2086"/>
      <c r="AP176" s="1192"/>
      <c r="AQ176" s="1192"/>
      <c r="AR176" s="1192"/>
      <c r="AS176" s="1192"/>
      <c r="AT176" s="1192"/>
      <c r="AU176" s="1192"/>
      <c r="AV176" s="1192"/>
      <c r="AW176" s="1192"/>
      <c r="AX176" s="1192"/>
      <c r="AY176" s="1192"/>
      <c r="AZ176" s="1192"/>
      <c r="BA176" s="1192"/>
      <c r="BB176" s="1192"/>
      <c r="BC176" s="1192"/>
      <c r="BD176" s="1192"/>
      <c r="BE176" s="1196"/>
    </row>
    <row r="177" spans="1:57" ht="15.75" customHeight="1">
      <c r="A177" s="1192"/>
      <c r="B177" s="1192"/>
      <c r="C177" s="2090"/>
      <c r="D177" s="2022"/>
      <c r="E177" s="2022"/>
      <c r="F177" s="2022"/>
      <c r="G177" s="2022"/>
      <c r="H177" s="2022"/>
      <c r="I177" s="2170"/>
      <c r="J177" s="2170"/>
      <c r="K177" s="2170"/>
      <c r="L177" s="2170"/>
      <c r="M177" s="2170"/>
      <c r="N177" s="2186"/>
      <c r="O177" s="1192"/>
      <c r="P177" s="2084"/>
      <c r="Q177" s="2085"/>
      <c r="R177" s="2085"/>
      <c r="S177" s="2085"/>
      <c r="T177" s="2085"/>
      <c r="U177" s="2085"/>
      <c r="V177" s="2085"/>
      <c r="W177" s="2085"/>
      <c r="X177" s="2085"/>
      <c r="Y177" s="2085"/>
      <c r="Z177" s="2085"/>
      <c r="AA177" s="2085"/>
      <c r="AB177" s="2085"/>
      <c r="AC177" s="2085"/>
      <c r="AD177" s="2085"/>
      <c r="AE177" s="2085"/>
      <c r="AF177" s="2085"/>
      <c r="AG177" s="2085"/>
      <c r="AH177" s="2085"/>
      <c r="AI177" s="2085"/>
      <c r="AJ177" s="2085"/>
      <c r="AK177" s="2085"/>
      <c r="AL177" s="2085"/>
      <c r="AM177" s="2085"/>
      <c r="AN177" s="2085"/>
      <c r="AO177" s="2086"/>
      <c r="AP177" s="1192"/>
      <c r="AQ177" s="1192"/>
      <c r="AR177" s="1192"/>
      <c r="AS177" s="1192"/>
      <c r="AT177" s="1192"/>
      <c r="AU177" s="1192"/>
      <c r="AV177" s="1192"/>
      <c r="AW177" s="1192"/>
      <c r="AX177" s="1192"/>
      <c r="AY177" s="1192"/>
      <c r="AZ177" s="1192"/>
      <c r="BA177" s="1192"/>
      <c r="BB177" s="1192"/>
      <c r="BC177" s="1192"/>
      <c r="BD177" s="1192"/>
      <c r="BE177" s="1196"/>
    </row>
    <row r="178" spans="1:57" ht="15.75" customHeight="1">
      <c r="A178" s="1192"/>
      <c r="B178" s="1192"/>
      <c r="C178" s="2090"/>
      <c r="D178" s="2022"/>
      <c r="E178" s="2022"/>
      <c r="F178" s="2022"/>
      <c r="G178" s="2022"/>
      <c r="H178" s="2022"/>
      <c r="I178" s="2170"/>
      <c r="J178" s="2170"/>
      <c r="K178" s="2170"/>
      <c r="L178" s="2170"/>
      <c r="M178" s="2170"/>
      <c r="N178" s="2186"/>
      <c r="O178" s="1192"/>
      <c r="P178" s="2084"/>
      <c r="Q178" s="2085"/>
      <c r="R178" s="2085"/>
      <c r="S178" s="2085"/>
      <c r="T178" s="2085"/>
      <c r="U178" s="2085"/>
      <c r="V178" s="2085"/>
      <c r="W178" s="2085"/>
      <c r="X178" s="2085"/>
      <c r="Y178" s="2085"/>
      <c r="Z178" s="2085"/>
      <c r="AA178" s="2085"/>
      <c r="AB178" s="2085"/>
      <c r="AC178" s="2085"/>
      <c r="AD178" s="2085"/>
      <c r="AE178" s="2085"/>
      <c r="AF178" s="2085"/>
      <c r="AG178" s="2085"/>
      <c r="AH178" s="2085"/>
      <c r="AI178" s="2085"/>
      <c r="AJ178" s="2085"/>
      <c r="AK178" s="2085"/>
      <c r="AL178" s="2085"/>
      <c r="AM178" s="2085"/>
      <c r="AN178" s="2085"/>
      <c r="AO178" s="2086"/>
      <c r="AP178" s="1192"/>
      <c r="AQ178" s="1192"/>
      <c r="AR178" s="1192"/>
      <c r="AS178" s="1192"/>
      <c r="AT178" s="1192"/>
      <c r="AU178" s="1192"/>
      <c r="AV178" s="1192"/>
      <c r="AW178" s="1192"/>
      <c r="AX178" s="1192"/>
      <c r="AY178" s="1192"/>
      <c r="AZ178" s="1192"/>
      <c r="BA178" s="1192"/>
      <c r="BB178" s="1192"/>
      <c r="BC178" s="1192"/>
      <c r="BD178" s="1192"/>
      <c r="BE178" s="1196"/>
    </row>
    <row r="179" spans="1:57" ht="15.75" customHeight="1">
      <c r="A179" s="1192"/>
      <c r="B179" s="1192"/>
      <c r="C179" s="2090"/>
      <c r="D179" s="2022"/>
      <c r="E179" s="2022"/>
      <c r="F179" s="2022"/>
      <c r="G179" s="2022"/>
      <c r="H179" s="2022"/>
      <c r="I179" s="2170"/>
      <c r="J179" s="2170"/>
      <c r="K179" s="2170"/>
      <c r="L179" s="2170"/>
      <c r="M179" s="2170"/>
      <c r="N179" s="2186"/>
      <c r="O179" s="1192"/>
      <c r="P179" s="2084"/>
      <c r="Q179" s="2085"/>
      <c r="R179" s="2085"/>
      <c r="S179" s="2085"/>
      <c r="T179" s="2085"/>
      <c r="U179" s="2085"/>
      <c r="V179" s="2085"/>
      <c r="W179" s="2085"/>
      <c r="X179" s="2085"/>
      <c r="Y179" s="2085"/>
      <c r="Z179" s="2085"/>
      <c r="AA179" s="2085"/>
      <c r="AB179" s="2085"/>
      <c r="AC179" s="2085"/>
      <c r="AD179" s="2085"/>
      <c r="AE179" s="2085"/>
      <c r="AF179" s="2085"/>
      <c r="AG179" s="2085"/>
      <c r="AH179" s="2085"/>
      <c r="AI179" s="2085"/>
      <c r="AJ179" s="2085"/>
      <c r="AK179" s="2085"/>
      <c r="AL179" s="2085"/>
      <c r="AM179" s="2085"/>
      <c r="AN179" s="2085"/>
      <c r="AO179" s="2086"/>
      <c r="AP179" s="1192"/>
      <c r="AQ179" s="1192"/>
      <c r="AR179" s="1192"/>
      <c r="AS179" s="1192"/>
      <c r="AT179" s="1192"/>
      <c r="AU179" s="1192"/>
      <c r="AV179" s="1192"/>
      <c r="AW179" s="1192"/>
      <c r="AX179" s="1192"/>
      <c r="AY179" s="1192"/>
      <c r="AZ179" s="1192"/>
      <c r="BA179" s="1192"/>
      <c r="BB179" s="1192"/>
      <c r="BC179" s="1192"/>
      <c r="BD179" s="1192"/>
      <c r="BE179" s="1196"/>
    </row>
    <row r="180" spans="1:57" ht="15.75" customHeight="1" thickBot="1">
      <c r="A180" s="1192"/>
      <c r="B180" s="1192"/>
      <c r="C180" s="2187"/>
      <c r="D180" s="2188"/>
      <c r="E180" s="2188"/>
      <c r="F180" s="2188"/>
      <c r="G180" s="2188"/>
      <c r="H180" s="2188"/>
      <c r="I180" s="2189"/>
      <c r="J180" s="2189"/>
      <c r="K180" s="2189"/>
      <c r="L180" s="2189"/>
      <c r="M180" s="2189"/>
      <c r="N180" s="2190"/>
      <c r="O180" s="1192"/>
      <c r="P180" s="2087"/>
      <c r="Q180" s="2088"/>
      <c r="R180" s="2088"/>
      <c r="S180" s="2088"/>
      <c r="T180" s="2088"/>
      <c r="U180" s="2088"/>
      <c r="V180" s="2088"/>
      <c r="W180" s="2088"/>
      <c r="X180" s="2088"/>
      <c r="Y180" s="2088"/>
      <c r="Z180" s="2088"/>
      <c r="AA180" s="2088"/>
      <c r="AB180" s="2088"/>
      <c r="AC180" s="2088"/>
      <c r="AD180" s="2088"/>
      <c r="AE180" s="2088"/>
      <c r="AF180" s="2088"/>
      <c r="AG180" s="2088"/>
      <c r="AH180" s="2088"/>
      <c r="AI180" s="2088"/>
      <c r="AJ180" s="2088"/>
      <c r="AK180" s="2088"/>
      <c r="AL180" s="2088"/>
      <c r="AM180" s="2088"/>
      <c r="AN180" s="2088"/>
      <c r="AO180" s="2089"/>
      <c r="AP180" s="1192"/>
      <c r="AQ180" s="1192"/>
      <c r="AR180" s="1192"/>
      <c r="AS180" s="1192"/>
      <c r="AT180" s="1192"/>
      <c r="AU180" s="1192"/>
      <c r="AV180" s="1192"/>
      <c r="AW180" s="1192"/>
      <c r="AX180" s="1192"/>
      <c r="AY180" s="1192"/>
      <c r="AZ180" s="1192"/>
      <c r="BA180" s="1192"/>
      <c r="BB180" s="1192"/>
      <c r="BC180" s="1192"/>
      <c r="BD180" s="1192"/>
      <c r="BE180" s="1196"/>
    </row>
    <row r="181" spans="1:57" ht="15.75" customHeight="1" thickBot="1">
      <c r="A181" s="1192"/>
      <c r="B181" s="1192"/>
      <c r="C181" s="1192"/>
      <c r="D181" s="1192"/>
      <c r="E181" s="1192"/>
      <c r="F181" s="1192"/>
      <c r="G181" s="1192"/>
      <c r="H181" s="1192"/>
      <c r="I181" s="1192"/>
      <c r="J181" s="1192"/>
      <c r="K181" s="1192"/>
      <c r="L181" s="1192"/>
      <c r="M181" s="1192"/>
      <c r="N181" s="1192"/>
      <c r="O181" s="1192"/>
      <c r="P181" s="1192"/>
      <c r="Q181" s="1192"/>
      <c r="R181" s="1192"/>
      <c r="S181" s="1192"/>
      <c r="T181" s="1192"/>
      <c r="U181" s="1192"/>
      <c r="V181" s="1192"/>
      <c r="W181" s="1192"/>
      <c r="X181" s="1192"/>
      <c r="Y181" s="1192"/>
      <c r="Z181" s="1192"/>
      <c r="AA181" s="1192"/>
      <c r="AB181" s="1192"/>
      <c r="AC181" s="1192"/>
      <c r="AD181" s="1192"/>
      <c r="AE181" s="1192"/>
      <c r="AF181" s="1192"/>
      <c r="AG181" s="1192"/>
      <c r="AH181" s="1192"/>
      <c r="AI181" s="1192"/>
      <c r="AJ181" s="1192"/>
      <c r="AK181" s="1192"/>
      <c r="AL181" s="1192"/>
      <c r="AM181" s="1192"/>
      <c r="AN181" s="1192"/>
      <c r="AO181" s="1192"/>
      <c r="AP181" s="1192"/>
      <c r="AQ181" s="1192"/>
      <c r="AR181" s="1192"/>
      <c r="AS181" s="1192"/>
      <c r="AT181" s="1192"/>
      <c r="AU181" s="1192"/>
      <c r="AV181" s="1192"/>
      <c r="AW181" s="1192"/>
      <c r="AX181" s="1192"/>
      <c r="AY181" s="1192"/>
      <c r="AZ181" s="1192"/>
      <c r="BA181" s="1192"/>
      <c r="BB181" s="1192"/>
      <c r="BC181" s="1192"/>
      <c r="BD181" s="1192"/>
      <c r="BE181" s="1196"/>
    </row>
    <row r="182" spans="1:57" ht="15.75" customHeight="1">
      <c r="A182" s="1192"/>
      <c r="B182" s="1192"/>
      <c r="C182" s="2194" t="s">
        <v>2332</v>
      </c>
      <c r="D182" s="2195"/>
      <c r="E182" s="2195"/>
      <c r="F182" s="2195"/>
      <c r="G182" s="2195"/>
      <c r="H182" s="2195"/>
      <c r="I182" s="2195"/>
      <c r="J182" s="2195"/>
      <c r="K182" s="2195"/>
      <c r="L182" s="2195"/>
      <c r="M182" s="2195"/>
      <c r="N182" s="2195"/>
      <c r="O182" s="2195"/>
      <c r="P182" s="2195"/>
      <c r="Q182" s="2195"/>
      <c r="R182" s="2195"/>
      <c r="S182" s="2195"/>
      <c r="T182" s="2195"/>
      <c r="U182" s="2195"/>
      <c r="V182" s="2195"/>
      <c r="W182" s="2195"/>
      <c r="X182" s="2195"/>
      <c r="Y182" s="2195"/>
      <c r="Z182" s="2195"/>
      <c r="AA182" s="2195"/>
      <c r="AB182" s="2195"/>
      <c r="AC182" s="2195"/>
      <c r="AD182" s="2195"/>
      <c r="AE182" s="2196"/>
      <c r="AF182" s="1192"/>
      <c r="AG182" s="1192"/>
      <c r="AH182" s="2204"/>
      <c r="AI182" s="2204"/>
      <c r="AJ182" s="2204"/>
      <c r="AK182" s="2204"/>
      <c r="AL182" s="2204"/>
      <c r="AM182" s="2204"/>
      <c r="AN182" s="2204"/>
      <c r="AO182" s="2204"/>
      <c r="AP182" s="2204"/>
      <c r="AQ182" s="2204"/>
      <c r="AR182" s="2204"/>
      <c r="AS182" s="2204"/>
      <c r="AT182" s="2204"/>
      <c r="AU182" s="2204"/>
      <c r="AV182" s="2204"/>
      <c r="AW182" s="2204"/>
      <c r="AX182" s="2204"/>
      <c r="AY182" s="2204"/>
      <c r="AZ182" s="2204"/>
      <c r="BA182" s="2204"/>
      <c r="BB182" s="2204"/>
      <c r="BC182" s="2204"/>
      <c r="BD182" s="2204"/>
      <c r="BE182" s="2204"/>
    </row>
    <row r="183" spans="1:57" ht="15.75" customHeight="1" thickBot="1">
      <c r="A183" s="1192"/>
      <c r="B183" s="1192"/>
      <c r="C183" s="2197"/>
      <c r="D183" s="2198"/>
      <c r="E183" s="2198"/>
      <c r="F183" s="2198"/>
      <c r="G183" s="2198"/>
      <c r="H183" s="2198"/>
      <c r="I183" s="2198"/>
      <c r="J183" s="2198"/>
      <c r="K183" s="2198"/>
      <c r="L183" s="2198"/>
      <c r="M183" s="2198"/>
      <c r="N183" s="2198"/>
      <c r="O183" s="2198"/>
      <c r="P183" s="2198"/>
      <c r="Q183" s="2198"/>
      <c r="R183" s="2198"/>
      <c r="S183" s="2198"/>
      <c r="T183" s="2198"/>
      <c r="U183" s="2198"/>
      <c r="V183" s="2198"/>
      <c r="W183" s="2198"/>
      <c r="X183" s="2198"/>
      <c r="Y183" s="2198"/>
      <c r="Z183" s="2198"/>
      <c r="AA183" s="2198"/>
      <c r="AB183" s="2198"/>
      <c r="AC183" s="2198"/>
      <c r="AD183" s="2198"/>
      <c r="AE183" s="2199"/>
      <c r="AF183" s="1192"/>
      <c r="AG183" s="1192"/>
      <c r="AH183" s="2204"/>
      <c r="AI183" s="2204"/>
      <c r="AJ183" s="2204"/>
      <c r="AK183" s="2204"/>
      <c r="AL183" s="2204"/>
      <c r="AM183" s="2204"/>
      <c r="AN183" s="2204"/>
      <c r="AO183" s="2204"/>
      <c r="AP183" s="2204"/>
      <c r="AQ183" s="2204"/>
      <c r="AR183" s="2204"/>
      <c r="AS183" s="2204"/>
      <c r="AT183" s="2204"/>
      <c r="AU183" s="2204"/>
      <c r="AV183" s="2204"/>
      <c r="AW183" s="2204"/>
      <c r="AX183" s="2204"/>
      <c r="AY183" s="2204"/>
      <c r="AZ183" s="2204"/>
      <c r="BA183" s="2204"/>
      <c r="BB183" s="2204"/>
      <c r="BC183" s="2204"/>
      <c r="BD183" s="2204"/>
      <c r="BE183" s="2204"/>
    </row>
    <row r="184" spans="1:57" ht="15.75" customHeight="1">
      <c r="A184" s="1192"/>
      <c r="B184" s="1192"/>
      <c r="C184" s="2064" t="s">
        <v>2330</v>
      </c>
      <c r="D184" s="2065"/>
      <c r="E184" s="2065"/>
      <c r="F184" s="2065"/>
      <c r="G184" s="2065"/>
      <c r="H184" s="2065"/>
      <c r="I184" s="2065"/>
      <c r="J184" s="2065"/>
      <c r="K184" s="2065"/>
      <c r="L184" s="2065"/>
      <c r="M184" s="2065"/>
      <c r="N184" s="2065" t="s">
        <v>2331</v>
      </c>
      <c r="O184" s="2065"/>
      <c r="P184" s="2065"/>
      <c r="Q184" s="2065"/>
      <c r="R184" s="2065"/>
      <c r="S184" s="2065"/>
      <c r="T184" s="2065"/>
      <c r="U184" s="2016" t="s">
        <v>2330</v>
      </c>
      <c r="V184" s="2016"/>
      <c r="W184" s="2016"/>
      <c r="X184" s="2016"/>
      <c r="Y184" s="2016"/>
      <c r="Z184" s="2016"/>
      <c r="AA184" s="2016"/>
      <c r="AB184" s="2016"/>
      <c r="AC184" s="2016"/>
      <c r="AD184" s="2016"/>
      <c r="AE184" s="2017"/>
      <c r="AF184" s="1192"/>
      <c r="AG184" s="1192"/>
      <c r="AH184" s="2204"/>
      <c r="AI184" s="2204"/>
      <c r="AJ184" s="2204"/>
      <c r="AK184" s="2204"/>
      <c r="AL184" s="2204"/>
      <c r="AM184" s="2204"/>
      <c r="AN184" s="2204"/>
      <c r="AO184" s="2204"/>
      <c r="AP184" s="2204"/>
      <c r="AQ184" s="2204"/>
      <c r="AR184" s="2204"/>
      <c r="AS184" s="2204"/>
      <c r="AT184" s="2204"/>
      <c r="AU184" s="2204"/>
      <c r="AV184" s="2204"/>
      <c r="AW184" s="2204"/>
      <c r="AX184" s="2204"/>
      <c r="AY184" s="2204"/>
      <c r="AZ184" s="2204"/>
      <c r="BA184" s="2204"/>
      <c r="BB184" s="2204"/>
      <c r="BC184" s="2204"/>
      <c r="BD184" s="2204"/>
      <c r="BE184" s="2204"/>
    </row>
    <row r="185" spans="1:57" ht="15.75" customHeight="1">
      <c r="A185" s="1192"/>
      <c r="B185" s="1192"/>
      <c r="C185" s="2191" t="s">
        <v>2329</v>
      </c>
      <c r="D185" s="2192"/>
      <c r="E185" s="2192"/>
      <c r="F185" s="2192"/>
      <c r="G185" s="2192"/>
      <c r="H185" s="2192"/>
      <c r="I185" s="2192"/>
      <c r="J185" s="2192"/>
      <c r="K185" s="2192"/>
      <c r="L185" s="2192"/>
      <c r="M185" s="2192"/>
      <c r="N185" s="2193">
        <f>'Sources and Uses Budget'!B105</f>
        <v>35051792</v>
      </c>
      <c r="O185" s="2193"/>
      <c r="P185" s="2193"/>
      <c r="Q185" s="2193"/>
      <c r="R185" s="2193"/>
      <c r="S185" s="2193"/>
      <c r="T185" s="2193"/>
      <c r="U185" s="2205"/>
      <c r="V185" s="2205"/>
      <c r="W185" s="2205"/>
      <c r="X185" s="2205"/>
      <c r="Y185" s="2205"/>
      <c r="Z185" s="2205"/>
      <c r="AA185" s="2205"/>
      <c r="AB185" s="2205"/>
      <c r="AC185" s="2205"/>
      <c r="AD185" s="2205"/>
      <c r="AE185" s="2206"/>
      <c r="AF185" s="1192"/>
      <c r="AG185" s="1192"/>
      <c r="AH185" s="2204"/>
      <c r="AI185" s="2204"/>
      <c r="AJ185" s="2204"/>
      <c r="AK185" s="2204"/>
      <c r="AL185" s="2204"/>
      <c r="AM185" s="2204"/>
      <c r="AN185" s="2204"/>
      <c r="AO185" s="2204"/>
      <c r="AP185" s="2204"/>
      <c r="AQ185" s="2204"/>
      <c r="AR185" s="2204"/>
      <c r="AS185" s="2204"/>
      <c r="AT185" s="2204"/>
      <c r="AU185" s="2204"/>
      <c r="AV185" s="2204"/>
      <c r="AW185" s="2204"/>
      <c r="AX185" s="2204"/>
      <c r="AY185" s="2204"/>
      <c r="AZ185" s="2204"/>
      <c r="BA185" s="2204"/>
      <c r="BB185" s="2204"/>
      <c r="BC185" s="2204"/>
      <c r="BD185" s="2204"/>
      <c r="BE185" s="2204"/>
    </row>
    <row r="186" spans="1:57" ht="15.75" customHeight="1">
      <c r="A186" s="1192"/>
      <c r="B186" s="1192"/>
      <c r="C186" s="2191" t="s">
        <v>2328</v>
      </c>
      <c r="D186" s="2192"/>
      <c r="E186" s="2192"/>
      <c r="F186" s="2192"/>
      <c r="G186" s="2192"/>
      <c r="H186" s="2192"/>
      <c r="I186" s="2192"/>
      <c r="J186" s="2192"/>
      <c r="K186" s="2192"/>
      <c r="L186" s="2192"/>
      <c r="M186" s="2192"/>
      <c r="N186" s="2193">
        <f>N185/J29</f>
        <v>574619.5409836066</v>
      </c>
      <c r="O186" s="2193"/>
      <c r="P186" s="2193"/>
      <c r="Q186" s="2193"/>
      <c r="R186" s="2193"/>
      <c r="S186" s="2193"/>
      <c r="T186" s="2193"/>
      <c r="U186" s="1232"/>
      <c r="V186" s="1232"/>
      <c r="W186" s="1232"/>
      <c r="X186" s="1232"/>
      <c r="Y186" s="1232"/>
      <c r="Z186" s="1232"/>
      <c r="AA186" s="1232"/>
      <c r="AB186" s="1232"/>
      <c r="AC186" s="1232"/>
      <c r="AD186" s="1232"/>
      <c r="AE186" s="1233"/>
      <c r="AF186" s="1192"/>
      <c r="AG186" s="1192"/>
      <c r="AH186" s="2204"/>
      <c r="AI186" s="2204"/>
      <c r="AJ186" s="2204"/>
      <c r="AK186" s="2204"/>
      <c r="AL186" s="2204"/>
      <c r="AM186" s="2204"/>
      <c r="AN186" s="2204"/>
      <c r="AO186" s="2204"/>
      <c r="AP186" s="2204"/>
      <c r="AQ186" s="2204"/>
      <c r="AR186" s="2204"/>
      <c r="AS186" s="2204"/>
      <c r="AT186" s="2204"/>
      <c r="AU186" s="2204"/>
      <c r="AV186" s="2204"/>
      <c r="AW186" s="2204"/>
      <c r="AX186" s="2204"/>
      <c r="AY186" s="2204"/>
      <c r="AZ186" s="2204"/>
      <c r="BA186" s="2204"/>
      <c r="BB186" s="2204"/>
      <c r="BC186" s="2204"/>
      <c r="BD186" s="2204"/>
      <c r="BE186" s="2204"/>
    </row>
    <row r="187" spans="1:57" ht="15.75" customHeight="1">
      <c r="A187" s="1192"/>
      <c r="B187" s="1192"/>
      <c r="C187" s="2207" t="s">
        <v>2327</v>
      </c>
      <c r="D187" s="2208"/>
      <c r="E187" s="2208"/>
      <c r="F187" s="2208"/>
      <c r="G187" s="2208"/>
      <c r="H187" s="2208"/>
      <c r="I187" s="2208"/>
      <c r="J187" s="2208"/>
      <c r="K187" s="2208"/>
      <c r="L187" s="2208"/>
      <c r="M187" s="2208"/>
      <c r="N187" s="2058">
        <v>0</v>
      </c>
      <c r="O187" s="2058"/>
      <c r="P187" s="2058"/>
      <c r="Q187" s="2058"/>
      <c r="R187" s="2058"/>
      <c r="S187" s="2058"/>
      <c r="T187" s="2058"/>
      <c r="U187" s="2034"/>
      <c r="V187" s="2034"/>
      <c r="W187" s="2034"/>
      <c r="X187" s="2034"/>
      <c r="Y187" s="2034"/>
      <c r="Z187" s="2034"/>
      <c r="AA187" s="2034"/>
      <c r="AB187" s="2034"/>
      <c r="AC187" s="2034"/>
      <c r="AD187" s="2034"/>
      <c r="AE187" s="2035"/>
      <c r="AF187" s="1192"/>
      <c r="AG187" s="1192"/>
      <c r="AH187" s="2204"/>
      <c r="AI187" s="2204"/>
      <c r="AJ187" s="2204"/>
      <c r="AK187" s="2204"/>
      <c r="AL187" s="2204"/>
      <c r="AM187" s="2204"/>
      <c r="AN187" s="2204"/>
      <c r="AO187" s="2204"/>
      <c r="AP187" s="2204"/>
      <c r="AQ187" s="2204"/>
      <c r="AR187" s="2204"/>
      <c r="AS187" s="2204"/>
      <c r="AT187" s="2204"/>
      <c r="AU187" s="2204"/>
      <c r="AV187" s="2204"/>
      <c r="AW187" s="2204"/>
      <c r="AX187" s="2204"/>
      <c r="AY187" s="2204"/>
      <c r="AZ187" s="2204"/>
      <c r="BA187" s="2204"/>
      <c r="BB187" s="2204"/>
      <c r="BC187" s="2204"/>
      <c r="BD187" s="2204"/>
      <c r="BE187" s="2204"/>
    </row>
    <row r="188" spans="1:57" ht="15.75" customHeight="1" thickBot="1">
      <c r="A188" s="1192"/>
      <c r="B188" s="1192"/>
      <c r="C188" s="2191" t="s">
        <v>2326</v>
      </c>
      <c r="D188" s="2192"/>
      <c r="E188" s="2192"/>
      <c r="F188" s="2192"/>
      <c r="G188" s="2192"/>
      <c r="H188" s="2192"/>
      <c r="I188" s="2192"/>
      <c r="J188" s="2192"/>
      <c r="K188" s="2192"/>
      <c r="L188" s="2192"/>
      <c r="M188" s="2192"/>
      <c r="N188" s="2209">
        <f>SUM('Sources and Uses Budget'!B85:B86)</f>
        <v>100000</v>
      </c>
      <c r="O188" s="2209"/>
      <c r="P188" s="2209"/>
      <c r="Q188" s="2209"/>
      <c r="R188" s="2209"/>
      <c r="S188" s="2209"/>
      <c r="T188" s="2209"/>
      <c r="U188" s="2034"/>
      <c r="V188" s="2034"/>
      <c r="W188" s="2034"/>
      <c r="X188" s="2034"/>
      <c r="Y188" s="2034"/>
      <c r="Z188" s="2034"/>
      <c r="AA188" s="2034"/>
      <c r="AB188" s="2034"/>
      <c r="AC188" s="2034"/>
      <c r="AD188" s="2034"/>
      <c r="AE188" s="2035"/>
      <c r="AF188" s="1192"/>
      <c r="AG188" s="1192"/>
      <c r="AH188" s="2204"/>
      <c r="AI188" s="2204"/>
      <c r="AJ188" s="2204"/>
      <c r="AK188" s="2204"/>
      <c r="AL188" s="2204"/>
      <c r="AM188" s="2204"/>
      <c r="AN188" s="2204"/>
      <c r="AO188" s="2204"/>
      <c r="AP188" s="2204"/>
      <c r="AQ188" s="2204"/>
      <c r="AR188" s="2204"/>
      <c r="AS188" s="2204"/>
      <c r="AT188" s="2204"/>
      <c r="AU188" s="2204"/>
      <c r="AV188" s="2204"/>
      <c r="AW188" s="2204"/>
      <c r="AX188" s="2204"/>
      <c r="AY188" s="2204"/>
      <c r="AZ188" s="2204"/>
      <c r="BA188" s="2204"/>
      <c r="BB188" s="2204"/>
      <c r="BC188" s="2204"/>
      <c r="BD188" s="2204"/>
      <c r="BE188" s="2204"/>
    </row>
    <row r="189" spans="1:57" ht="15.75" customHeight="1" thickBot="1">
      <c r="A189" s="1192"/>
      <c r="B189" s="1192"/>
      <c r="C189" s="2191" t="s">
        <v>2325</v>
      </c>
      <c r="D189" s="2192"/>
      <c r="E189" s="2192"/>
      <c r="F189" s="2192"/>
      <c r="G189" s="2192"/>
      <c r="H189" s="2192"/>
      <c r="I189" s="2192"/>
      <c r="J189" s="2192"/>
      <c r="K189" s="2192"/>
      <c r="L189" s="2192"/>
      <c r="M189" s="2192"/>
      <c r="N189" s="2209">
        <f>'Sources and Uses Budget'!B8</f>
        <v>4600000</v>
      </c>
      <c r="O189" s="2209"/>
      <c r="P189" s="2209"/>
      <c r="Q189" s="2209"/>
      <c r="R189" s="2209"/>
      <c r="S189" s="2209"/>
      <c r="T189" s="2209"/>
      <c r="U189" s="2034"/>
      <c r="V189" s="2034"/>
      <c r="W189" s="2034"/>
      <c r="X189" s="2034"/>
      <c r="Y189" s="2034"/>
      <c r="Z189" s="2034"/>
      <c r="AA189" s="2034"/>
      <c r="AB189" s="2034"/>
      <c r="AC189" s="2034"/>
      <c r="AD189" s="2034"/>
      <c r="AE189" s="2035"/>
      <c r="AF189" s="1192"/>
      <c r="AG189" s="1192"/>
      <c r="AH189" s="2213" t="s">
        <v>2323</v>
      </c>
      <c r="AI189" s="2214"/>
      <c r="AJ189" s="2214"/>
      <c r="AK189" s="2214"/>
      <c r="AL189" s="2214"/>
      <c r="AM189" s="2214"/>
      <c r="AN189" s="2214"/>
      <c r="AO189" s="2214"/>
      <c r="AP189" s="2214"/>
      <c r="AQ189" s="2214"/>
      <c r="AR189" s="2214"/>
      <c r="AS189" s="2214"/>
      <c r="AT189" s="2214"/>
      <c r="AU189" s="2214"/>
      <c r="AV189" s="2214"/>
      <c r="AW189" s="2214"/>
      <c r="AX189" s="2214"/>
      <c r="AY189" s="2214"/>
      <c r="AZ189" s="2214"/>
      <c r="BA189" s="2214"/>
      <c r="BB189" s="2214"/>
      <c r="BC189" s="2214"/>
      <c r="BD189" s="2214"/>
      <c r="BE189" s="2215"/>
    </row>
    <row r="190" spans="1:57" ht="15.75" customHeight="1">
      <c r="A190" s="1192"/>
      <c r="B190" s="1192"/>
      <c r="C190" s="2191" t="s">
        <v>2324</v>
      </c>
      <c r="D190" s="2192"/>
      <c r="E190" s="2192"/>
      <c r="F190" s="2192"/>
      <c r="G190" s="2192"/>
      <c r="H190" s="2192"/>
      <c r="I190" s="2192"/>
      <c r="J190" s="2192"/>
      <c r="K190" s="2192"/>
      <c r="L190" s="2192"/>
      <c r="M190" s="2192"/>
      <c r="N190" s="2200">
        <v>0</v>
      </c>
      <c r="O190" s="2200"/>
      <c r="P190" s="2200"/>
      <c r="Q190" s="2200"/>
      <c r="R190" s="2200"/>
      <c r="S190" s="2200"/>
      <c r="T190" s="2200"/>
      <c r="U190" s="2034"/>
      <c r="V190" s="2034"/>
      <c r="W190" s="2034"/>
      <c r="X190" s="2034"/>
      <c r="Y190" s="2034"/>
      <c r="Z190" s="2034"/>
      <c r="AA190" s="2034"/>
      <c r="AB190" s="2034"/>
      <c r="AC190" s="2034"/>
      <c r="AD190" s="2034"/>
      <c r="AE190" s="2035"/>
      <c r="AF190" s="1192"/>
      <c r="AG190" s="1192"/>
      <c r="AH190" s="2216" t="s">
        <v>2323</v>
      </c>
      <c r="AI190" s="2217"/>
      <c r="AJ190" s="2217"/>
      <c r="AK190" s="2217"/>
      <c r="AL190" s="2217"/>
      <c r="AM190" s="2217"/>
      <c r="AN190" s="2217"/>
      <c r="AO190" s="2217"/>
      <c r="AP190" s="2217"/>
      <c r="AQ190" s="2217"/>
      <c r="AR190" s="2217"/>
      <c r="AS190" s="2217"/>
      <c r="AT190" s="2217"/>
      <c r="AU190" s="2218">
        <v>0</v>
      </c>
      <c r="AV190" s="2218"/>
      <c r="AW190" s="2218"/>
      <c r="AX190" s="2218"/>
      <c r="AY190" s="2218"/>
      <c r="AZ190" s="2218"/>
      <c r="BA190" s="2218"/>
      <c r="BB190" s="2218"/>
      <c r="BC190" s="2219"/>
      <c r="BD190" s="2220"/>
      <c r="BE190" s="2221"/>
    </row>
    <row r="191" spans="1:57" ht="15.75" customHeight="1">
      <c r="A191" s="1192"/>
      <c r="B191" s="1192"/>
      <c r="C191" s="2191" t="s">
        <v>2322</v>
      </c>
      <c r="D191" s="2192"/>
      <c r="E191" s="2192"/>
      <c r="F191" s="2192"/>
      <c r="G191" s="2192"/>
      <c r="H191" s="2192"/>
      <c r="I191" s="2192"/>
      <c r="J191" s="2192"/>
      <c r="K191" s="2192"/>
      <c r="L191" s="2192"/>
      <c r="M191" s="2192"/>
      <c r="N191" s="2200">
        <v>0</v>
      </c>
      <c r="O191" s="2200"/>
      <c r="P191" s="2200"/>
      <c r="Q191" s="2200"/>
      <c r="R191" s="2200"/>
      <c r="S191" s="2200"/>
      <c r="T191" s="2200"/>
      <c r="U191" s="2034"/>
      <c r="V191" s="2034"/>
      <c r="W191" s="2034"/>
      <c r="X191" s="2034"/>
      <c r="Y191" s="2034"/>
      <c r="Z191" s="2034"/>
      <c r="AA191" s="2034"/>
      <c r="AB191" s="2034"/>
      <c r="AC191" s="2034"/>
      <c r="AD191" s="2034"/>
      <c r="AE191" s="2035"/>
      <c r="AF191" s="1192"/>
      <c r="AG191" s="1192"/>
      <c r="AH191" s="2201" t="s">
        <v>2321</v>
      </c>
      <c r="AI191" s="2202"/>
      <c r="AJ191" s="2202"/>
      <c r="AK191" s="2202"/>
      <c r="AL191" s="2202"/>
      <c r="AM191" s="2202"/>
      <c r="AN191" s="2202"/>
      <c r="AO191" s="2202"/>
      <c r="AP191" s="2202"/>
      <c r="AQ191" s="2202"/>
      <c r="AR191" s="2202"/>
      <c r="AS191" s="2202"/>
      <c r="AT191" s="2202"/>
      <c r="AU191" s="2203"/>
      <c r="AV191" s="2203"/>
      <c r="AW191" s="2203"/>
      <c r="AX191" s="2203"/>
      <c r="AY191" s="2203"/>
      <c r="AZ191" s="2203"/>
      <c r="BA191" s="2203"/>
      <c r="BB191" s="2203"/>
      <c r="BC191" s="2210"/>
      <c r="BD191" s="2211"/>
      <c r="BE191" s="2212"/>
    </row>
    <row r="192" spans="1:57" ht="15.75" customHeight="1">
      <c r="A192" s="1192"/>
      <c r="B192" s="1192"/>
      <c r="C192" s="2226" t="s">
        <v>299</v>
      </c>
      <c r="D192" s="2169"/>
      <c r="E192" s="2222" t="s">
        <v>2319</v>
      </c>
      <c r="F192" s="2222"/>
      <c r="G192" s="2222"/>
      <c r="H192" s="2222"/>
      <c r="I192" s="2222"/>
      <c r="J192" s="2222"/>
      <c r="K192" s="2222"/>
      <c r="L192" s="2222"/>
      <c r="M192" s="2222"/>
      <c r="N192" s="2200">
        <v>0</v>
      </c>
      <c r="O192" s="2200"/>
      <c r="P192" s="2200"/>
      <c r="Q192" s="2200"/>
      <c r="R192" s="2200"/>
      <c r="S192" s="2200"/>
      <c r="T192" s="2200"/>
      <c r="U192" s="2034"/>
      <c r="V192" s="2034"/>
      <c r="W192" s="2034"/>
      <c r="X192" s="2034"/>
      <c r="Y192" s="2034"/>
      <c r="Z192" s="2034"/>
      <c r="AA192" s="2034"/>
      <c r="AB192" s="2034"/>
      <c r="AC192" s="2034"/>
      <c r="AD192" s="2034"/>
      <c r="AE192" s="2035"/>
      <c r="AF192" s="1192"/>
      <c r="AG192" s="1192"/>
      <c r="AH192" s="2227" t="s">
        <v>2320</v>
      </c>
      <c r="AI192" s="2228"/>
      <c r="AJ192" s="2228"/>
      <c r="AK192" s="2228"/>
      <c r="AL192" s="2228"/>
      <c r="AM192" s="2228"/>
      <c r="AN192" s="2228"/>
      <c r="AO192" s="2228"/>
      <c r="AP192" s="2228"/>
      <c r="AQ192" s="2228"/>
      <c r="AR192" s="2228"/>
      <c r="AS192" s="2228"/>
      <c r="AT192" s="2228"/>
      <c r="AU192" s="2229">
        <f>SUM(AU190:BB191)</f>
        <v>0</v>
      </c>
      <c r="AV192" s="2229"/>
      <c r="AW192" s="2229"/>
      <c r="AX192" s="2229"/>
      <c r="AY192" s="2229"/>
      <c r="AZ192" s="2229"/>
      <c r="BA192" s="2229"/>
      <c r="BB192" s="2229"/>
      <c r="BC192" s="2210"/>
      <c r="BD192" s="2211"/>
      <c r="BE192" s="2212"/>
    </row>
    <row r="193" spans="1:57" ht="15.75" customHeight="1" thickBot="1">
      <c r="A193" s="1192"/>
      <c r="B193" s="1192"/>
      <c r="C193" s="2090" t="s">
        <v>299</v>
      </c>
      <c r="D193" s="2022"/>
      <c r="E193" s="2222" t="s">
        <v>2319</v>
      </c>
      <c r="F193" s="2222"/>
      <c r="G193" s="2222"/>
      <c r="H193" s="2222"/>
      <c r="I193" s="2222"/>
      <c r="J193" s="2222"/>
      <c r="K193" s="2222"/>
      <c r="L193" s="2222"/>
      <c r="M193" s="2222"/>
      <c r="N193" s="2200">
        <v>0</v>
      </c>
      <c r="O193" s="2200"/>
      <c r="P193" s="2200"/>
      <c r="Q193" s="2200"/>
      <c r="R193" s="2200"/>
      <c r="S193" s="2200"/>
      <c r="T193" s="2200"/>
      <c r="U193" s="2034"/>
      <c r="V193" s="2034"/>
      <c r="W193" s="2034"/>
      <c r="X193" s="2034"/>
      <c r="Y193" s="2034"/>
      <c r="Z193" s="2034"/>
      <c r="AA193" s="2034"/>
      <c r="AB193" s="2034"/>
      <c r="AC193" s="2034"/>
      <c r="AD193" s="2034"/>
      <c r="AE193" s="2035"/>
      <c r="AF193" s="1192"/>
      <c r="AG193" s="1192"/>
      <c r="AH193" s="1234"/>
      <c r="AI193" s="1235"/>
      <c r="AJ193" s="1235"/>
      <c r="AK193" s="1235"/>
      <c r="AL193" s="1235"/>
      <c r="AM193" s="1235"/>
      <c r="AN193" s="1235"/>
      <c r="AO193" s="1235"/>
      <c r="AP193" s="1235"/>
      <c r="AQ193" s="1235"/>
      <c r="AR193" s="1235"/>
      <c r="AS193" s="1235"/>
      <c r="AT193" s="1235"/>
      <c r="AU193" s="1235"/>
      <c r="AV193" s="1235"/>
      <c r="AW193" s="1235"/>
      <c r="AX193" s="1235"/>
      <c r="AY193" s="1235"/>
      <c r="AZ193" s="1235"/>
      <c r="BA193" s="1235"/>
      <c r="BB193" s="1235"/>
      <c r="BC193" s="2223"/>
      <c r="BD193" s="2224"/>
      <c r="BE193" s="2225"/>
    </row>
    <row r="194" spans="1:57" ht="15.75" customHeight="1" thickBot="1">
      <c r="A194" s="1192"/>
      <c r="B194" s="1192"/>
      <c r="C194" s="2247" t="s">
        <v>299</v>
      </c>
      <c r="D194" s="2248"/>
      <c r="E194" s="2249" t="s">
        <v>2319</v>
      </c>
      <c r="F194" s="2249"/>
      <c r="G194" s="2249"/>
      <c r="H194" s="2249"/>
      <c r="I194" s="2249"/>
      <c r="J194" s="2249"/>
      <c r="K194" s="2249"/>
      <c r="L194" s="2249"/>
      <c r="M194" s="2250"/>
      <c r="N194" s="2251">
        <v>0</v>
      </c>
      <c r="O194" s="2251"/>
      <c r="P194" s="2251"/>
      <c r="Q194" s="2251"/>
      <c r="R194" s="2251"/>
      <c r="S194" s="2251"/>
      <c r="T194" s="2252"/>
      <c r="U194" s="2253"/>
      <c r="V194" s="2254"/>
      <c r="W194" s="2254"/>
      <c r="X194" s="2254"/>
      <c r="Y194" s="2254"/>
      <c r="Z194" s="2254"/>
      <c r="AA194" s="2254"/>
      <c r="AB194" s="2254"/>
      <c r="AC194" s="2254"/>
      <c r="AD194" s="2254"/>
      <c r="AE194" s="2255"/>
      <c r="AF194" s="1192"/>
      <c r="AG194" s="1192"/>
      <c r="AH194" s="2256" t="s">
        <v>2318</v>
      </c>
      <c r="AI194" s="2257"/>
      <c r="AJ194" s="2257"/>
      <c r="AK194" s="2257"/>
      <c r="AL194" s="2257"/>
      <c r="AM194" s="2257"/>
      <c r="AN194" s="2257"/>
      <c r="AO194" s="2257"/>
      <c r="AP194" s="2257"/>
      <c r="AQ194" s="2257"/>
      <c r="AR194" s="2257"/>
      <c r="AS194" s="2257"/>
      <c r="AT194" s="2257"/>
      <c r="AU194" s="2258"/>
      <c r="AV194" s="2258"/>
      <c r="AW194" s="2258"/>
      <c r="AX194" s="2258"/>
      <c r="AY194" s="2258"/>
      <c r="AZ194" s="2258"/>
      <c r="BA194" s="2258"/>
      <c r="BB194" s="2258"/>
      <c r="BC194" s="1173"/>
      <c r="BD194" s="1173"/>
      <c r="BE194" s="1236"/>
    </row>
    <row r="195" spans="1:57" ht="15.75" customHeight="1">
      <c r="A195" s="1192"/>
      <c r="B195" s="1192"/>
      <c r="C195" s="2230" t="s">
        <v>2317</v>
      </c>
      <c r="D195" s="2231"/>
      <c r="E195" s="2231"/>
      <c r="F195" s="2231"/>
      <c r="G195" s="2231"/>
      <c r="H195" s="2231"/>
      <c r="I195" s="2231"/>
      <c r="J195" s="2231"/>
      <c r="K195" s="2231"/>
      <c r="L195" s="2231"/>
      <c r="M195" s="2231"/>
      <c r="N195" s="2232">
        <f>SUM(N187:T194)</f>
        <v>4700000</v>
      </c>
      <c r="O195" s="2232"/>
      <c r="P195" s="2232"/>
      <c r="Q195" s="2232"/>
      <c r="R195" s="2232"/>
      <c r="S195" s="2232"/>
      <c r="T195" s="2233"/>
      <c r="U195" s="1192"/>
      <c r="V195" s="1192"/>
      <c r="W195" s="1192"/>
      <c r="X195" s="1192"/>
      <c r="Y195" s="1192"/>
      <c r="Z195" s="1192"/>
      <c r="AA195" s="1192"/>
      <c r="AB195" s="1192"/>
      <c r="AC195" s="1192"/>
      <c r="AD195" s="1192"/>
      <c r="AE195" s="1192"/>
      <c r="AF195" s="1192"/>
      <c r="AG195" s="1192"/>
      <c r="AH195" s="2234" t="s">
        <v>2316</v>
      </c>
      <c r="AI195" s="2235"/>
      <c r="AJ195" s="2235"/>
      <c r="AK195" s="2235"/>
      <c r="AL195" s="2235"/>
      <c r="AM195" s="2235"/>
      <c r="AN195" s="2235"/>
      <c r="AO195" s="2235"/>
      <c r="AP195" s="2235"/>
      <c r="AQ195" s="2235"/>
      <c r="AR195" s="2235"/>
      <c r="AS195" s="2235"/>
      <c r="AT195" s="2235"/>
      <c r="AU195" s="2235"/>
      <c r="AV195" s="2235"/>
      <c r="AW195" s="2235"/>
      <c r="AX195" s="2235"/>
      <c r="AY195" s="2235"/>
      <c r="AZ195" s="2235"/>
      <c r="BA195" s="2235"/>
      <c r="BB195" s="2235"/>
      <c r="BC195" s="2235"/>
      <c r="BD195" s="2235"/>
      <c r="BE195" s="2236"/>
    </row>
    <row r="196" spans="1:57" ht="15.75" customHeight="1" thickBot="1">
      <c r="A196" s="1192"/>
      <c r="B196" s="1192"/>
      <c r="C196" s="2240" t="s">
        <v>2315</v>
      </c>
      <c r="D196" s="2241"/>
      <c r="E196" s="2241"/>
      <c r="F196" s="2241"/>
      <c r="G196" s="2241"/>
      <c r="H196" s="2241"/>
      <c r="I196" s="2241"/>
      <c r="J196" s="2241"/>
      <c r="K196" s="2241"/>
      <c r="L196" s="2241"/>
      <c r="M196" s="2241"/>
      <c r="N196" s="2242">
        <f>(N185-N195)/J29</f>
        <v>497570.36065573769</v>
      </c>
      <c r="O196" s="2243"/>
      <c r="P196" s="2243"/>
      <c r="Q196" s="2243"/>
      <c r="R196" s="2243"/>
      <c r="S196" s="2243"/>
      <c r="T196" s="2244"/>
      <c r="U196" s="1197"/>
      <c r="V196" s="1192"/>
      <c r="W196" s="1192"/>
      <c r="X196" s="1192"/>
      <c r="Y196" s="1192"/>
      <c r="Z196" s="1192"/>
      <c r="AA196" s="1192"/>
      <c r="AB196" s="1192"/>
      <c r="AC196" s="1192"/>
      <c r="AD196" s="1192"/>
      <c r="AE196" s="1192"/>
      <c r="AF196" s="1192"/>
      <c r="AG196" s="1192"/>
      <c r="AH196" s="2237"/>
      <c r="AI196" s="2238"/>
      <c r="AJ196" s="2238"/>
      <c r="AK196" s="2238"/>
      <c r="AL196" s="2238"/>
      <c r="AM196" s="2238"/>
      <c r="AN196" s="2238"/>
      <c r="AO196" s="2238"/>
      <c r="AP196" s="2238"/>
      <c r="AQ196" s="2238"/>
      <c r="AR196" s="2238"/>
      <c r="AS196" s="2238"/>
      <c r="AT196" s="2238"/>
      <c r="AU196" s="2238"/>
      <c r="AV196" s="2238"/>
      <c r="AW196" s="2238"/>
      <c r="AX196" s="2238"/>
      <c r="AY196" s="2238"/>
      <c r="AZ196" s="2238"/>
      <c r="BA196" s="2238"/>
      <c r="BB196" s="2238"/>
      <c r="BC196" s="2238"/>
      <c r="BD196" s="2238"/>
      <c r="BE196" s="2239"/>
    </row>
    <row r="197" spans="1:57" ht="15.75" customHeight="1">
      <c r="A197" s="1192"/>
      <c r="B197" s="1192"/>
      <c r="C197" s="1192"/>
      <c r="D197" s="1192"/>
      <c r="E197" s="1192"/>
      <c r="F197" s="1192"/>
      <c r="G197" s="1192"/>
      <c r="H197" s="1192"/>
      <c r="I197" s="1192"/>
      <c r="J197" s="1192"/>
      <c r="K197" s="1192"/>
      <c r="L197" s="1192"/>
      <c r="M197" s="1192"/>
      <c r="N197" s="1192"/>
      <c r="O197" s="1192"/>
      <c r="P197" s="1192"/>
      <c r="Q197" s="1192"/>
      <c r="R197" s="1192"/>
      <c r="S197" s="1192"/>
      <c r="T197" s="1192"/>
      <c r="U197" s="1192"/>
      <c r="V197" s="1192"/>
      <c r="W197" s="1192"/>
      <c r="X197" s="1192"/>
      <c r="Y197" s="1192"/>
      <c r="Z197" s="1192"/>
      <c r="AA197" s="1192"/>
      <c r="AB197" s="1192"/>
      <c r="AC197" s="1192"/>
      <c r="AD197" s="1192"/>
      <c r="AE197" s="1192"/>
      <c r="AF197" s="1192"/>
      <c r="AG197" s="1192"/>
      <c r="AH197" s="2245"/>
      <c r="AI197" s="2245"/>
      <c r="AJ197" s="2245"/>
      <c r="AK197" s="2245"/>
      <c r="AL197" s="2245"/>
      <c r="AM197" s="2245"/>
      <c r="AN197" s="2245"/>
      <c r="AO197" s="2245"/>
      <c r="AP197" s="2245"/>
      <c r="AQ197" s="2245"/>
      <c r="AR197" s="2245"/>
      <c r="AS197" s="2246"/>
      <c r="AT197" s="2246"/>
      <c r="AU197" s="2246"/>
      <c r="AV197" s="2246"/>
      <c r="AW197" s="2246"/>
      <c r="AX197" s="2246"/>
      <c r="AY197" s="2246"/>
      <c r="AZ197" s="2246"/>
      <c r="BA197" s="2246"/>
      <c r="BB197" s="2246"/>
      <c r="BC197" s="2246"/>
      <c r="BD197" s="2246"/>
      <c r="BE197" s="1196"/>
    </row>
    <row r="198" spans="1:57" ht="15.75" customHeight="1" thickBot="1">
      <c r="A198" s="1192"/>
      <c r="B198" s="1192"/>
      <c r="C198" s="1192"/>
      <c r="D198" s="1192"/>
      <c r="E198" s="1192"/>
      <c r="F198" s="1192"/>
      <c r="G198" s="1192"/>
      <c r="H198" s="1192"/>
      <c r="I198" s="1192"/>
      <c r="J198" s="1192"/>
      <c r="K198" s="1192"/>
      <c r="L198" s="1192"/>
      <c r="M198" s="1192"/>
      <c r="N198" s="1192"/>
      <c r="O198" s="1192"/>
      <c r="P198" s="1192"/>
      <c r="Q198" s="1192"/>
      <c r="R198" s="1192"/>
      <c r="S198" s="1192"/>
      <c r="T198" s="1192"/>
      <c r="U198" s="1192"/>
      <c r="V198" s="1192"/>
      <c r="W198" s="1192"/>
      <c r="X198" s="1192"/>
      <c r="Y198" s="1192"/>
      <c r="Z198" s="1192"/>
      <c r="AA198" s="1192"/>
      <c r="AB198" s="1192"/>
      <c r="AC198" s="1192"/>
      <c r="AD198" s="1192"/>
      <c r="AE198" s="1192"/>
      <c r="AF198" s="1192"/>
      <c r="AG198" s="1192"/>
      <c r="AH198" s="1192"/>
      <c r="AI198" s="1192"/>
      <c r="AJ198" s="1192"/>
      <c r="AK198" s="1192"/>
      <c r="AL198" s="1192"/>
      <c r="AM198" s="1192"/>
      <c r="AN198" s="1192"/>
      <c r="AO198" s="1192"/>
      <c r="AP198" s="1192"/>
      <c r="AQ198" s="1192"/>
      <c r="AR198" s="1192"/>
      <c r="AS198" s="1192"/>
      <c r="AT198" s="1192"/>
      <c r="AU198" s="1192"/>
      <c r="AV198" s="1192"/>
      <c r="AW198" s="1192"/>
      <c r="AX198" s="1192"/>
      <c r="AY198" s="1192"/>
      <c r="AZ198" s="1192"/>
      <c r="BA198" s="1192"/>
      <c r="BB198" s="1192"/>
      <c r="BC198" s="1192"/>
      <c r="BD198" s="1192"/>
      <c r="BE198" s="1196"/>
    </row>
    <row r="199" spans="1:57" ht="15.75" customHeight="1" thickBot="1">
      <c r="A199" s="1192"/>
      <c r="B199" s="1192"/>
      <c r="C199" s="2264" t="s">
        <v>2314</v>
      </c>
      <c r="D199" s="2265"/>
      <c r="E199" s="2265"/>
      <c r="F199" s="2265"/>
      <c r="G199" s="2265"/>
      <c r="H199" s="2265"/>
      <c r="I199" s="2265"/>
      <c r="J199" s="2265"/>
      <c r="K199" s="2265"/>
      <c r="L199" s="2265"/>
      <c r="M199" s="2265"/>
      <c r="N199" s="2265"/>
      <c r="O199" s="2265"/>
      <c r="P199" s="2265"/>
      <c r="Q199" s="2265"/>
      <c r="R199" s="2265"/>
      <c r="S199" s="2265"/>
      <c r="T199" s="2265"/>
      <c r="U199" s="2265"/>
      <c r="V199" s="2265"/>
      <c r="W199" s="2265"/>
      <c r="X199" s="2265"/>
      <c r="Y199" s="2265"/>
      <c r="Z199" s="2265"/>
      <c r="AA199" s="2265"/>
      <c r="AB199" s="2265"/>
      <c r="AC199" s="2265"/>
      <c r="AD199" s="2265"/>
      <c r="AE199" s="2266"/>
      <c r="AF199" s="1192"/>
      <c r="AG199" s="1192"/>
      <c r="AH199" s="1192"/>
      <c r="AI199" s="1192"/>
      <c r="AJ199" s="1192"/>
      <c r="AK199" s="1192"/>
      <c r="AL199" s="1192"/>
      <c r="AM199" s="1192"/>
      <c r="AN199" s="1192"/>
      <c r="AO199" s="1192"/>
      <c r="AP199" s="1192"/>
      <c r="AQ199" s="1192"/>
      <c r="AR199" s="1192"/>
      <c r="AS199" s="1192"/>
      <c r="AT199" s="1192"/>
      <c r="AU199" s="1192"/>
      <c r="AV199" s="1192"/>
      <c r="AW199" s="1192"/>
      <c r="AX199" s="1192"/>
      <c r="AY199" s="1192"/>
      <c r="AZ199" s="1192"/>
      <c r="BA199" s="1192"/>
      <c r="BB199" s="1192"/>
      <c r="BC199" s="1192"/>
      <c r="BD199" s="1192"/>
      <c r="BE199" s="1196"/>
    </row>
    <row r="200" spans="1:57" ht="15.75" customHeight="1">
      <c r="A200" s="1192"/>
      <c r="B200" s="1192"/>
      <c r="C200" s="2267" t="s">
        <v>2313</v>
      </c>
      <c r="D200" s="2267"/>
      <c r="E200" s="2267"/>
      <c r="F200" s="2267"/>
      <c r="G200" s="2267"/>
      <c r="H200" s="2267"/>
      <c r="I200" s="2267"/>
      <c r="J200" s="2267"/>
      <c r="K200" s="2267"/>
      <c r="L200" s="2267"/>
      <c r="M200" s="2267"/>
      <c r="N200" s="2267"/>
      <c r="O200" s="2268" t="s">
        <v>2312</v>
      </c>
      <c r="P200" s="2268"/>
      <c r="Q200" s="2268"/>
      <c r="R200" s="2268"/>
      <c r="S200" s="2268"/>
      <c r="T200" s="2268"/>
      <c r="U200" s="2268"/>
      <c r="V200" s="2268"/>
      <c r="W200" s="2268"/>
      <c r="X200" s="2268" t="s">
        <v>2311</v>
      </c>
      <c r="Y200" s="2268"/>
      <c r="Z200" s="2268"/>
      <c r="AA200" s="2268"/>
      <c r="AB200" s="2268"/>
      <c r="AC200" s="2268"/>
      <c r="AD200" s="2268"/>
      <c r="AE200" s="2268"/>
      <c r="AF200" s="1192"/>
      <c r="AG200" s="1192"/>
      <c r="AH200" s="1192"/>
      <c r="AI200" s="1192"/>
      <c r="AJ200" s="1192"/>
      <c r="AK200" s="1192"/>
      <c r="AL200" s="1192"/>
      <c r="AM200" s="1192"/>
      <c r="AN200" s="1192"/>
      <c r="AO200" s="1192"/>
      <c r="AP200" s="1192"/>
      <c r="AQ200" s="1192"/>
      <c r="AR200" s="1192"/>
      <c r="AS200" s="1192"/>
      <c r="AT200" s="1192"/>
      <c r="AU200" s="1192"/>
      <c r="AV200" s="1192"/>
      <c r="AW200" s="1192"/>
      <c r="AX200" s="1192"/>
      <c r="AY200" s="1192"/>
      <c r="AZ200" s="1192"/>
      <c r="BA200" s="1192"/>
      <c r="BB200" s="1192"/>
      <c r="BC200" s="1192"/>
      <c r="BD200" s="1192"/>
      <c r="BE200" s="1196"/>
    </row>
    <row r="201" spans="1:57" ht="15.75" customHeight="1">
      <c r="A201" s="1192"/>
      <c r="B201" s="1192"/>
      <c r="C201" s="2259" t="s">
        <v>2310</v>
      </c>
      <c r="D201" s="2259"/>
      <c r="E201" s="2259"/>
      <c r="F201" s="2259"/>
      <c r="G201" s="2259"/>
      <c r="H201" s="2259"/>
      <c r="I201" s="2259"/>
      <c r="J201" s="2259"/>
      <c r="K201" s="2259"/>
      <c r="L201" s="2259"/>
      <c r="M201" s="2259"/>
      <c r="N201" s="2259"/>
      <c r="O201" s="2260" t="s">
        <v>2309</v>
      </c>
      <c r="P201" s="2260"/>
      <c r="Q201" s="2260"/>
      <c r="R201" s="2260"/>
      <c r="S201" s="2260"/>
      <c r="T201" s="2260"/>
      <c r="U201" s="2260"/>
      <c r="V201" s="2260"/>
      <c r="W201" s="2260"/>
      <c r="X201" s="2261">
        <v>0.03</v>
      </c>
      <c r="Y201" s="2261"/>
      <c r="Z201" s="2261"/>
      <c r="AA201" s="2261"/>
      <c r="AB201" s="2261"/>
      <c r="AC201" s="2261"/>
      <c r="AD201" s="2261"/>
      <c r="AE201" s="2261"/>
      <c r="AF201" s="1192"/>
      <c r="AG201" s="1192"/>
      <c r="AH201" s="1192"/>
      <c r="AI201" s="1192"/>
      <c r="AJ201" s="1192"/>
      <c r="AK201" s="1192"/>
      <c r="AL201" s="1192"/>
      <c r="AM201" s="1192"/>
      <c r="AN201" s="1192"/>
      <c r="AO201" s="1192"/>
      <c r="AP201" s="1192"/>
      <c r="AQ201" s="1192"/>
      <c r="AR201" s="1192"/>
      <c r="AS201" s="1192"/>
      <c r="AT201" s="1192"/>
      <c r="AU201" s="1192"/>
      <c r="AV201" s="1192"/>
      <c r="AW201" s="1192"/>
      <c r="AX201" s="1192"/>
      <c r="AY201" s="1192"/>
      <c r="AZ201" s="1192"/>
      <c r="BA201" s="1192"/>
      <c r="BB201" s="1192"/>
      <c r="BC201" s="1192"/>
      <c r="BD201" s="1192"/>
      <c r="BE201" s="1196"/>
    </row>
    <row r="202" spans="1:57" ht="15.75" customHeight="1">
      <c r="A202" s="1192"/>
      <c r="B202" s="1192"/>
      <c r="C202" s="2259" t="s">
        <v>853</v>
      </c>
      <c r="D202" s="2259"/>
      <c r="E202" s="2259"/>
      <c r="F202" s="2259"/>
      <c r="G202" s="2259"/>
      <c r="H202" s="2259"/>
      <c r="I202" s="2259"/>
      <c r="J202" s="2259"/>
      <c r="K202" s="2259"/>
      <c r="L202" s="2259"/>
      <c r="M202" s="2259"/>
      <c r="N202" s="2259"/>
      <c r="O202" s="2260" t="s">
        <v>2309</v>
      </c>
      <c r="P202" s="2260"/>
      <c r="Q202" s="2260"/>
      <c r="R202" s="2260"/>
      <c r="S202" s="2260"/>
      <c r="T202" s="2260"/>
      <c r="U202" s="2260"/>
      <c r="V202" s="2260"/>
      <c r="W202" s="2260"/>
      <c r="X202" s="2261">
        <v>0.03</v>
      </c>
      <c r="Y202" s="2261"/>
      <c r="Z202" s="2261"/>
      <c r="AA202" s="2261"/>
      <c r="AB202" s="2261"/>
      <c r="AC202" s="2261"/>
      <c r="AD202" s="2261"/>
      <c r="AE202" s="2261"/>
      <c r="AF202" s="1192"/>
      <c r="AG202" s="1192"/>
      <c r="AH202" s="1192"/>
      <c r="AI202" s="1192"/>
      <c r="AJ202" s="1192"/>
      <c r="AK202" s="1192"/>
      <c r="AL202" s="1192"/>
      <c r="AM202" s="1192"/>
      <c r="AN202" s="1192"/>
      <c r="AO202" s="1192"/>
      <c r="AP202" s="1192"/>
      <c r="AQ202" s="1192"/>
      <c r="AR202" s="1192"/>
      <c r="AS202" s="1192"/>
      <c r="AT202" s="1192"/>
      <c r="AU202" s="1192"/>
      <c r="AV202" s="1192"/>
      <c r="AW202" s="1192"/>
      <c r="AX202" s="1192"/>
      <c r="AY202" s="1192"/>
      <c r="AZ202" s="1192"/>
      <c r="BA202" s="1192"/>
      <c r="BB202" s="1192"/>
      <c r="BC202" s="1192"/>
      <c r="BD202" s="1192"/>
      <c r="BE202" s="1196"/>
    </row>
    <row r="203" spans="1:57" ht="15.75" customHeight="1">
      <c r="A203" s="1192"/>
      <c r="B203" s="1192"/>
      <c r="C203" s="2259" t="s">
        <v>2308</v>
      </c>
      <c r="D203" s="2259"/>
      <c r="E203" s="2259"/>
      <c r="F203" s="2259"/>
      <c r="G203" s="2259"/>
      <c r="H203" s="2259"/>
      <c r="I203" s="2259"/>
      <c r="J203" s="2259"/>
      <c r="K203" s="2259"/>
      <c r="L203" s="2259"/>
      <c r="M203" s="2259"/>
      <c r="N203" s="2259"/>
      <c r="O203" s="2262">
        <f>SUM(O201:W202)</f>
        <v>0</v>
      </c>
      <c r="P203" s="2263"/>
      <c r="Q203" s="2263"/>
      <c r="R203" s="2263"/>
      <c r="S203" s="2263"/>
      <c r="T203" s="2263"/>
      <c r="U203" s="2263"/>
      <c r="V203" s="2263"/>
      <c r="W203" s="2263"/>
      <c r="X203" s="2263" t="s">
        <v>2307</v>
      </c>
      <c r="Y203" s="2263"/>
      <c r="Z203" s="2263"/>
      <c r="AA203" s="2263"/>
      <c r="AB203" s="2263"/>
      <c r="AC203" s="2263"/>
      <c r="AD203" s="2263"/>
      <c r="AE203" s="2263"/>
      <c r="AF203" s="1192"/>
      <c r="AG203" s="1192"/>
      <c r="AH203" s="1192"/>
      <c r="AI203" s="1192"/>
      <c r="AJ203" s="1192"/>
      <c r="AK203" s="1192"/>
      <c r="AL203" s="1192"/>
      <c r="AM203" s="1192"/>
      <c r="AN203" s="1192"/>
      <c r="AO203" s="1192"/>
      <c r="AP203" s="1192"/>
      <c r="AQ203" s="1192"/>
      <c r="AR203" s="1192"/>
      <c r="AS203" s="1192"/>
      <c r="AT203" s="1192"/>
      <c r="AU203" s="1192"/>
      <c r="AV203" s="1192"/>
      <c r="AW203" s="1192"/>
      <c r="AX203" s="1192"/>
      <c r="AY203" s="1192"/>
      <c r="AZ203" s="1192"/>
      <c r="BA203" s="1192"/>
      <c r="BB203" s="1192"/>
      <c r="BC203" s="1192"/>
      <c r="BD203" s="1192"/>
      <c r="BE203" s="1196"/>
    </row>
    <row r="204" spans="1:57" ht="15.75" customHeight="1">
      <c r="A204" s="1192"/>
      <c r="B204" s="1192"/>
      <c r="C204" s="2269" t="s">
        <v>2306</v>
      </c>
      <c r="D204" s="2269"/>
      <c r="E204" s="2269"/>
      <c r="F204" s="2269"/>
      <c r="G204" s="2269"/>
      <c r="H204" s="2269"/>
      <c r="I204" s="2269"/>
      <c r="J204" s="2269"/>
      <c r="K204" s="2269"/>
      <c r="L204" s="2269"/>
      <c r="M204" s="2269"/>
      <c r="N204" s="2269"/>
      <c r="O204" s="2269"/>
      <c r="P204" s="2269"/>
      <c r="Q204" s="2269"/>
      <c r="R204" s="2269"/>
      <c r="S204" s="2269"/>
      <c r="T204" s="2269"/>
      <c r="U204" s="2269"/>
      <c r="V204" s="2269"/>
      <c r="W204" s="2269"/>
      <c r="X204" s="2269"/>
      <c r="Y204" s="2269"/>
      <c r="Z204" s="2269"/>
      <c r="AA204" s="2269"/>
      <c r="AB204" s="2269"/>
      <c r="AC204" s="2269"/>
      <c r="AD204" s="2269"/>
      <c r="AE204" s="2269"/>
      <c r="AF204" s="1192"/>
      <c r="AG204" s="1192"/>
      <c r="AH204" s="1192"/>
      <c r="AI204" s="1192"/>
      <c r="AJ204" s="1192"/>
      <c r="AK204" s="1192"/>
      <c r="AL204" s="1192"/>
      <c r="AM204" s="1192"/>
      <c r="AN204" s="1192"/>
      <c r="AO204" s="1192"/>
      <c r="AP204" s="1192"/>
      <c r="AQ204" s="1192"/>
      <c r="AR204" s="1192"/>
      <c r="AS204" s="1192"/>
      <c r="AT204" s="1192"/>
      <c r="AU204" s="1192"/>
      <c r="AV204" s="1192"/>
      <c r="AW204" s="1192"/>
      <c r="AX204" s="1192"/>
      <c r="AY204" s="1192"/>
      <c r="AZ204" s="1192"/>
      <c r="BA204" s="1192"/>
      <c r="BB204" s="1192"/>
      <c r="BC204" s="1192"/>
      <c r="BD204" s="1192"/>
      <c r="BE204" s="1196"/>
    </row>
    <row r="205" spans="1:57" ht="15.75" customHeight="1" thickBot="1">
      <c r="A205" s="1192"/>
      <c r="B205" s="1192"/>
      <c r="C205" s="1192"/>
      <c r="D205" s="1192"/>
      <c r="E205" s="1192"/>
      <c r="F205" s="1192"/>
      <c r="G205" s="1192"/>
      <c r="H205" s="1192"/>
      <c r="I205" s="1192"/>
      <c r="J205" s="1192"/>
      <c r="K205" s="1192"/>
      <c r="L205" s="1192"/>
      <c r="M205" s="1192"/>
      <c r="N205" s="1192"/>
      <c r="O205" s="1192"/>
      <c r="P205" s="1192"/>
      <c r="Q205" s="1192"/>
      <c r="R205" s="1192"/>
      <c r="S205" s="1192"/>
      <c r="T205" s="1192"/>
      <c r="U205" s="1192"/>
      <c r="V205" s="1192"/>
      <c r="W205" s="1192"/>
      <c r="X205" s="1192"/>
      <c r="Y205" s="1192"/>
      <c r="Z205" s="1192"/>
      <c r="AA205" s="1192"/>
      <c r="AB205" s="1192"/>
      <c r="AC205" s="1192"/>
      <c r="AD205" s="1192"/>
      <c r="AE205" s="1192"/>
      <c r="AF205" s="1192"/>
      <c r="AG205" s="1192"/>
      <c r="AH205" s="1192"/>
      <c r="AI205" s="1192"/>
      <c r="AJ205" s="1192"/>
      <c r="AK205" s="1192"/>
      <c r="AL205" s="1192"/>
      <c r="AM205" s="1192"/>
      <c r="AN205" s="1192"/>
      <c r="AO205" s="1192"/>
      <c r="AP205" s="1192"/>
      <c r="AQ205" s="1192"/>
      <c r="AR205" s="1192"/>
      <c r="AS205" s="1192"/>
      <c r="AT205" s="1192"/>
      <c r="AU205" s="1192"/>
      <c r="AV205" s="1192"/>
      <c r="AW205" s="1192"/>
      <c r="AX205" s="1192"/>
      <c r="AY205" s="1192"/>
      <c r="AZ205" s="1192"/>
      <c r="BA205" s="1192"/>
      <c r="BB205" s="1192"/>
      <c r="BC205" s="1192"/>
      <c r="BD205" s="1192"/>
      <c r="BE205" s="1196"/>
    </row>
    <row r="206" spans="1:57" ht="15.75" customHeight="1" thickBot="1">
      <c r="A206" s="1192"/>
      <c r="B206" s="1192"/>
      <c r="C206" s="2270" t="s">
        <v>2305</v>
      </c>
      <c r="D206" s="2271"/>
      <c r="E206" s="2271"/>
      <c r="F206" s="2271"/>
      <c r="G206" s="2271"/>
      <c r="H206" s="2271"/>
      <c r="I206" s="2271"/>
      <c r="J206" s="2271"/>
      <c r="K206" s="2271"/>
      <c r="L206" s="2271"/>
      <c r="M206" s="2271"/>
      <c r="N206" s="2271"/>
      <c r="O206" s="2271"/>
      <c r="P206" s="2271"/>
      <c r="Q206" s="2271"/>
      <c r="R206" s="2271"/>
      <c r="S206" s="2271"/>
      <c r="T206" s="2271"/>
      <c r="U206" s="2271"/>
      <c r="V206" s="2271"/>
      <c r="W206" s="2271"/>
      <c r="X206" s="2271"/>
      <c r="Y206" s="2271"/>
      <c r="Z206" s="2271"/>
      <c r="AA206" s="2271"/>
      <c r="AB206" s="2271"/>
      <c r="AC206" s="2271"/>
      <c r="AD206" s="2271"/>
      <c r="AE206" s="2271"/>
      <c r="AF206" s="2271"/>
      <c r="AG206" s="2271"/>
      <c r="AH206" s="2271"/>
      <c r="AI206" s="2271"/>
      <c r="AJ206" s="2271"/>
      <c r="AK206" s="2272"/>
      <c r="AL206" s="1192"/>
      <c r="AM206" s="1192"/>
      <c r="AN206" s="1192"/>
      <c r="AO206" s="1192"/>
      <c r="AP206" s="1192"/>
      <c r="AQ206" s="1192"/>
      <c r="AR206" s="1192"/>
      <c r="AS206" s="1192"/>
      <c r="AT206" s="1192"/>
      <c r="AU206" s="1192"/>
      <c r="AV206" s="1192"/>
      <c r="AW206" s="1192"/>
      <c r="AX206" s="1192"/>
      <c r="AY206" s="1192"/>
      <c r="AZ206" s="1192"/>
      <c r="BA206" s="1192"/>
      <c r="BB206" s="1192"/>
      <c r="BC206" s="1192"/>
      <c r="BD206" s="1192"/>
      <c r="BE206" s="1196"/>
    </row>
    <row r="207" spans="1:57" ht="15.75" customHeight="1">
      <c r="A207" s="1192"/>
      <c r="B207" s="1192"/>
      <c r="C207" s="2273" t="s">
        <v>2304</v>
      </c>
      <c r="D207" s="2274"/>
      <c r="E207" s="2274"/>
      <c r="F207" s="2275"/>
      <c r="G207" s="2279" t="s">
        <v>2303</v>
      </c>
      <c r="H207" s="2274"/>
      <c r="I207" s="2274"/>
      <c r="J207" s="2274"/>
      <c r="K207" s="2274"/>
      <c r="L207" s="2274"/>
      <c r="M207" s="2274"/>
      <c r="N207" s="2274"/>
      <c r="O207" s="2275"/>
      <c r="P207" s="2281" t="s">
        <v>2302</v>
      </c>
      <c r="Q207" s="2282"/>
      <c r="R207" s="2282"/>
      <c r="S207" s="2282"/>
      <c r="T207" s="2283"/>
      <c r="U207" s="2287" t="s">
        <v>2301</v>
      </c>
      <c r="V207" s="2288"/>
      <c r="W207" s="2288"/>
      <c r="X207" s="2289"/>
      <c r="Y207" s="2287" t="s">
        <v>2300</v>
      </c>
      <c r="Z207" s="2288"/>
      <c r="AA207" s="2288"/>
      <c r="AB207" s="2289"/>
      <c r="AC207" s="2287" t="s">
        <v>2299</v>
      </c>
      <c r="AD207" s="2288"/>
      <c r="AE207" s="2288"/>
      <c r="AF207" s="2289"/>
      <c r="AG207" s="2279" t="s">
        <v>2298</v>
      </c>
      <c r="AH207" s="2274"/>
      <c r="AI207" s="2274"/>
      <c r="AJ207" s="2274"/>
      <c r="AK207" s="2293"/>
      <c r="AL207" s="1192"/>
      <c r="AM207" s="1192"/>
      <c r="AN207" s="1192"/>
      <c r="AO207" s="1192"/>
      <c r="AP207" s="1192"/>
      <c r="AQ207" s="1192"/>
      <c r="AR207" s="1192"/>
      <c r="AS207" s="1192"/>
      <c r="AT207" s="1192"/>
      <c r="AU207" s="1192"/>
      <c r="AV207" s="1192"/>
      <c r="AW207" s="1192"/>
      <c r="AX207" s="1192"/>
      <c r="AY207" s="1192"/>
      <c r="AZ207" s="1192"/>
      <c r="BA207" s="1192"/>
      <c r="BB207" s="1192"/>
      <c r="BC207" s="1192"/>
      <c r="BD207" s="1192"/>
      <c r="BE207" s="1196"/>
    </row>
    <row r="208" spans="1:57" ht="15.75" customHeight="1">
      <c r="A208" s="1192"/>
      <c r="B208" s="1192"/>
      <c r="C208" s="2276"/>
      <c r="D208" s="2277"/>
      <c r="E208" s="2277"/>
      <c r="F208" s="2278"/>
      <c r="G208" s="2280"/>
      <c r="H208" s="2277"/>
      <c r="I208" s="2277"/>
      <c r="J208" s="2277"/>
      <c r="K208" s="2277"/>
      <c r="L208" s="2277"/>
      <c r="M208" s="2277"/>
      <c r="N208" s="2277"/>
      <c r="O208" s="2278"/>
      <c r="P208" s="2284"/>
      <c r="Q208" s="2285"/>
      <c r="R208" s="2285"/>
      <c r="S208" s="2285"/>
      <c r="T208" s="2286"/>
      <c r="U208" s="2290"/>
      <c r="V208" s="2291"/>
      <c r="W208" s="2291"/>
      <c r="X208" s="2292"/>
      <c r="Y208" s="2290"/>
      <c r="Z208" s="2291"/>
      <c r="AA208" s="2291"/>
      <c r="AB208" s="2292"/>
      <c r="AC208" s="2290"/>
      <c r="AD208" s="2291"/>
      <c r="AE208" s="2291"/>
      <c r="AF208" s="2292"/>
      <c r="AG208" s="2280"/>
      <c r="AH208" s="2277"/>
      <c r="AI208" s="2277"/>
      <c r="AJ208" s="2277"/>
      <c r="AK208" s="2294"/>
      <c r="AL208" s="1192"/>
      <c r="AM208" s="1192"/>
      <c r="AN208" s="1192"/>
      <c r="AO208" s="1192"/>
      <c r="AP208" s="1192"/>
      <c r="AQ208" s="1192"/>
      <c r="AR208" s="1192"/>
      <c r="AS208" s="1192"/>
      <c r="AT208" s="1192"/>
      <c r="AU208" s="1192"/>
      <c r="AV208" s="1192"/>
      <c r="AW208" s="1192"/>
      <c r="AX208" s="1192"/>
      <c r="AY208" s="1192"/>
      <c r="AZ208" s="1192"/>
      <c r="BA208" s="1192"/>
      <c r="BB208" s="1192"/>
      <c r="BC208" s="1192"/>
      <c r="BD208" s="1192"/>
      <c r="BE208" s="1196"/>
    </row>
    <row r="209" spans="1:57" ht="15.75" customHeight="1">
      <c r="A209" s="1192"/>
      <c r="B209" s="1192"/>
      <c r="C209" s="2298">
        <v>1</v>
      </c>
      <c r="D209" s="2299"/>
      <c r="E209" s="2299"/>
      <c r="F209" s="2299"/>
      <c r="G209" s="2300" t="s">
        <v>1884</v>
      </c>
      <c r="H209" s="2300"/>
      <c r="I209" s="2300"/>
      <c r="J209" s="2300"/>
      <c r="K209" s="2300"/>
      <c r="L209" s="2300"/>
      <c r="M209" s="2300"/>
      <c r="N209" s="2300"/>
      <c r="O209" s="2300"/>
      <c r="P209" s="2301"/>
      <c r="Q209" s="2304"/>
      <c r="R209" s="2304"/>
      <c r="S209" s="2304"/>
      <c r="T209" s="2304"/>
      <c r="U209" s="2302" t="s">
        <v>1884</v>
      </c>
      <c r="V209" s="2302"/>
      <c r="W209" s="2302"/>
      <c r="X209" s="2302"/>
      <c r="Y209" s="2302" t="s">
        <v>1884</v>
      </c>
      <c r="Z209" s="2302"/>
      <c r="AA209" s="2302"/>
      <c r="AB209" s="2302"/>
      <c r="AC209" s="2303" t="s">
        <v>1884</v>
      </c>
      <c r="AD209" s="2303"/>
      <c r="AE209" s="2303"/>
      <c r="AF209" s="2303"/>
      <c r="AG209" s="2295"/>
      <c r="AH209" s="2296"/>
      <c r="AI209" s="2296"/>
      <c r="AJ209" s="2296"/>
      <c r="AK209" s="2297"/>
      <c r="AL209" s="1192"/>
      <c r="AM209" s="1192"/>
      <c r="AN209" s="1192"/>
      <c r="AO209" s="1192"/>
      <c r="AP209" s="1192"/>
      <c r="AQ209" s="1192"/>
      <c r="AR209" s="1192"/>
      <c r="AS209" s="1192"/>
      <c r="AT209" s="1192"/>
      <c r="AU209" s="1192"/>
      <c r="AV209" s="1192"/>
      <c r="AW209" s="1192"/>
      <c r="AX209" s="1192"/>
      <c r="AY209" s="1192"/>
      <c r="AZ209" s="1192"/>
      <c r="BA209" s="1192"/>
      <c r="BB209" s="1192"/>
      <c r="BC209" s="1192"/>
      <c r="BD209" s="1192"/>
      <c r="BE209" s="1196"/>
    </row>
    <row r="210" spans="1:57" ht="15.75" customHeight="1">
      <c r="A210" s="1192"/>
      <c r="B210" s="1192"/>
      <c r="C210" s="2298">
        <v>2</v>
      </c>
      <c r="D210" s="2299"/>
      <c r="E210" s="2299"/>
      <c r="F210" s="2299"/>
      <c r="G210" s="2300" t="s">
        <v>1884</v>
      </c>
      <c r="H210" s="2300"/>
      <c r="I210" s="2300"/>
      <c r="J210" s="2300"/>
      <c r="K210" s="2300"/>
      <c r="L210" s="2300"/>
      <c r="M210" s="2300"/>
      <c r="N210" s="2300"/>
      <c r="O210" s="2300"/>
      <c r="P210" s="2301"/>
      <c r="Q210" s="2301"/>
      <c r="R210" s="2301"/>
      <c r="S210" s="2301"/>
      <c r="T210" s="2301"/>
      <c r="U210" s="2302" t="s">
        <v>1884</v>
      </c>
      <c r="V210" s="2302"/>
      <c r="W210" s="2302"/>
      <c r="X210" s="2302"/>
      <c r="Y210" s="2302" t="s">
        <v>1884</v>
      </c>
      <c r="Z210" s="2302"/>
      <c r="AA210" s="2302"/>
      <c r="AB210" s="2302"/>
      <c r="AC210" s="2303" t="s">
        <v>1884</v>
      </c>
      <c r="AD210" s="2303"/>
      <c r="AE210" s="2303"/>
      <c r="AF210" s="2303"/>
      <c r="AG210" s="2295"/>
      <c r="AH210" s="2296"/>
      <c r="AI210" s="2296"/>
      <c r="AJ210" s="2296"/>
      <c r="AK210" s="2297"/>
      <c r="AL210" s="1192"/>
      <c r="AM210" s="1192"/>
      <c r="AN210" s="1192"/>
      <c r="AO210" s="1192"/>
      <c r="AP210" s="1192"/>
      <c r="AQ210" s="1192"/>
      <c r="AR210" s="1192"/>
      <c r="AS210" s="1192"/>
      <c r="AT210" s="1192"/>
      <c r="AU210" s="1192"/>
      <c r="AV210" s="1192"/>
      <c r="AW210" s="1192"/>
      <c r="AX210" s="1192"/>
      <c r="AY210" s="1192"/>
      <c r="AZ210" s="1192"/>
      <c r="BA210" s="1192"/>
      <c r="BB210" s="1192"/>
      <c r="BC210" s="1192"/>
      <c r="BD210" s="1192"/>
      <c r="BE210" s="1196"/>
    </row>
    <row r="211" spans="1:57" ht="15.75" customHeight="1">
      <c r="A211" s="1192"/>
      <c r="B211" s="1192"/>
      <c r="C211" s="2298">
        <v>3</v>
      </c>
      <c r="D211" s="2299"/>
      <c r="E211" s="2299"/>
      <c r="F211" s="2299"/>
      <c r="G211" s="2300" t="s">
        <v>1884</v>
      </c>
      <c r="H211" s="2300"/>
      <c r="I211" s="2300"/>
      <c r="J211" s="2300"/>
      <c r="K211" s="2300"/>
      <c r="L211" s="2300"/>
      <c r="M211" s="2300"/>
      <c r="N211" s="2300"/>
      <c r="O211" s="2300"/>
      <c r="P211" s="2301"/>
      <c r="Q211" s="2301"/>
      <c r="R211" s="2301"/>
      <c r="S211" s="2301"/>
      <c r="T211" s="2301"/>
      <c r="U211" s="2302" t="s">
        <v>1884</v>
      </c>
      <c r="V211" s="2302"/>
      <c r="W211" s="2302"/>
      <c r="X211" s="2302"/>
      <c r="Y211" s="2302" t="s">
        <v>1884</v>
      </c>
      <c r="Z211" s="2302"/>
      <c r="AA211" s="2302"/>
      <c r="AB211" s="2302"/>
      <c r="AC211" s="2303" t="s">
        <v>1884</v>
      </c>
      <c r="AD211" s="2303"/>
      <c r="AE211" s="2303"/>
      <c r="AF211" s="2303"/>
      <c r="AG211" s="2295"/>
      <c r="AH211" s="2296"/>
      <c r="AI211" s="2296"/>
      <c r="AJ211" s="2296"/>
      <c r="AK211" s="2297"/>
      <c r="AL211" s="1192"/>
      <c r="AM211" s="1192"/>
      <c r="AN211" s="1192"/>
      <c r="AO211" s="1192"/>
      <c r="AP211" s="1192"/>
      <c r="AQ211" s="1192"/>
      <c r="AR211" s="1192"/>
      <c r="AS211" s="1192"/>
      <c r="AT211" s="1192"/>
      <c r="AU211" s="1192"/>
      <c r="AV211" s="1192"/>
      <c r="AW211" s="1192"/>
      <c r="AX211" s="1192"/>
      <c r="AY211" s="1192"/>
      <c r="AZ211" s="1192"/>
      <c r="BA211" s="1192"/>
      <c r="BB211" s="1192"/>
      <c r="BC211" s="1192"/>
      <c r="BD211" s="1192"/>
      <c r="BE211" s="1196"/>
    </row>
    <row r="212" spans="1:57" ht="15.75" customHeight="1">
      <c r="A212" s="1192"/>
      <c r="B212" s="1192"/>
      <c r="C212" s="2298">
        <v>4</v>
      </c>
      <c r="D212" s="2299"/>
      <c r="E212" s="2299"/>
      <c r="F212" s="2299"/>
      <c r="G212" s="2300" t="s">
        <v>1884</v>
      </c>
      <c r="H212" s="2300"/>
      <c r="I212" s="2300"/>
      <c r="J212" s="2300"/>
      <c r="K212" s="2300"/>
      <c r="L212" s="2300"/>
      <c r="M212" s="2300"/>
      <c r="N212" s="2300"/>
      <c r="O212" s="2300"/>
      <c r="P212" s="2301"/>
      <c r="Q212" s="2301"/>
      <c r="R212" s="2301"/>
      <c r="S212" s="2301"/>
      <c r="T212" s="2301"/>
      <c r="U212" s="2302" t="s">
        <v>1884</v>
      </c>
      <c r="V212" s="2302"/>
      <c r="W212" s="2302"/>
      <c r="X212" s="2302"/>
      <c r="Y212" s="2302" t="s">
        <v>1884</v>
      </c>
      <c r="Z212" s="2302"/>
      <c r="AA212" s="2302"/>
      <c r="AB212" s="2302"/>
      <c r="AC212" s="2303" t="s">
        <v>1884</v>
      </c>
      <c r="AD212" s="2303"/>
      <c r="AE212" s="2303"/>
      <c r="AF212" s="2303"/>
      <c r="AG212" s="2295"/>
      <c r="AH212" s="2296"/>
      <c r="AI212" s="2296"/>
      <c r="AJ212" s="2296"/>
      <c r="AK212" s="2297"/>
      <c r="AL212" s="1192"/>
      <c r="AM212" s="1192"/>
      <c r="AN212" s="1192"/>
      <c r="AO212" s="1192"/>
      <c r="AP212" s="1192"/>
      <c r="AQ212" s="1192"/>
      <c r="AR212" s="1192"/>
      <c r="AS212" s="1192"/>
      <c r="AT212" s="1192"/>
      <c r="AU212" s="1192"/>
      <c r="AV212" s="1192"/>
      <c r="AW212" s="1192"/>
      <c r="AX212" s="1192"/>
      <c r="AY212" s="1192"/>
      <c r="AZ212" s="1192"/>
      <c r="BA212" s="1192"/>
      <c r="BB212" s="1192"/>
      <c r="BC212" s="1192"/>
      <c r="BD212" s="1192"/>
      <c r="BE212" s="1196"/>
    </row>
    <row r="213" spans="1:57" ht="15.75" customHeight="1">
      <c r="A213" s="1192"/>
      <c r="B213" s="1192"/>
      <c r="C213" s="2298">
        <v>5</v>
      </c>
      <c r="D213" s="2299"/>
      <c r="E213" s="2299"/>
      <c r="F213" s="2299"/>
      <c r="G213" s="2300" t="s">
        <v>1884</v>
      </c>
      <c r="H213" s="2300"/>
      <c r="I213" s="2300"/>
      <c r="J213" s="2300"/>
      <c r="K213" s="2300"/>
      <c r="L213" s="2300"/>
      <c r="M213" s="2300"/>
      <c r="N213" s="2300"/>
      <c r="O213" s="2300"/>
      <c r="P213" s="2301"/>
      <c r="Q213" s="2301"/>
      <c r="R213" s="2301"/>
      <c r="S213" s="2301"/>
      <c r="T213" s="2301"/>
      <c r="U213" s="2302" t="s">
        <v>1884</v>
      </c>
      <c r="V213" s="2302"/>
      <c r="W213" s="2302"/>
      <c r="X213" s="2302"/>
      <c r="Y213" s="2302" t="s">
        <v>1884</v>
      </c>
      <c r="Z213" s="2302"/>
      <c r="AA213" s="2302"/>
      <c r="AB213" s="2302"/>
      <c r="AC213" s="2303" t="s">
        <v>1884</v>
      </c>
      <c r="AD213" s="2303"/>
      <c r="AE213" s="2303"/>
      <c r="AF213" s="2303"/>
      <c r="AG213" s="2295"/>
      <c r="AH213" s="2296"/>
      <c r="AI213" s="2296"/>
      <c r="AJ213" s="2296"/>
      <c r="AK213" s="2297"/>
      <c r="AL213" s="1192"/>
      <c r="AM213" s="1192"/>
      <c r="AN213" s="1192"/>
      <c r="AO213" s="1192"/>
      <c r="AP213" s="1192"/>
      <c r="AQ213" s="1192"/>
      <c r="AR213" s="1192"/>
      <c r="AS213" s="1192"/>
      <c r="AT213" s="1192"/>
      <c r="AU213" s="1192"/>
      <c r="AV213" s="1192"/>
      <c r="AW213" s="1192"/>
      <c r="AX213" s="1192"/>
      <c r="AY213" s="1192"/>
      <c r="AZ213" s="1192"/>
      <c r="BA213" s="1192"/>
      <c r="BB213" s="1192"/>
      <c r="BC213" s="1192"/>
      <c r="BD213" s="1192"/>
      <c r="BE213" s="1196"/>
    </row>
    <row r="214" spans="1:57" ht="15.75" customHeight="1">
      <c r="A214" s="1192"/>
      <c r="B214" s="1192"/>
      <c r="C214" s="2298">
        <v>6</v>
      </c>
      <c r="D214" s="2299"/>
      <c r="E214" s="2299"/>
      <c r="F214" s="2299"/>
      <c r="G214" s="2300" t="s">
        <v>1884</v>
      </c>
      <c r="H214" s="2300"/>
      <c r="I214" s="2300"/>
      <c r="J214" s="2300"/>
      <c r="K214" s="2300"/>
      <c r="L214" s="2300"/>
      <c r="M214" s="2300"/>
      <c r="N214" s="2300"/>
      <c r="O214" s="2300"/>
      <c r="P214" s="2301"/>
      <c r="Q214" s="2301"/>
      <c r="R214" s="2301"/>
      <c r="S214" s="2301"/>
      <c r="T214" s="2301"/>
      <c r="U214" s="2302"/>
      <c r="V214" s="2302"/>
      <c r="W214" s="2302"/>
      <c r="X214" s="2302"/>
      <c r="Y214" s="2302"/>
      <c r="Z214" s="2302"/>
      <c r="AA214" s="2302"/>
      <c r="AB214" s="2302"/>
      <c r="AC214" s="2303" t="s">
        <v>1884</v>
      </c>
      <c r="AD214" s="2303"/>
      <c r="AE214" s="2303"/>
      <c r="AF214" s="2303"/>
      <c r="AG214" s="2295"/>
      <c r="AH214" s="2296"/>
      <c r="AI214" s="2296"/>
      <c r="AJ214" s="2296"/>
      <c r="AK214" s="2297"/>
      <c r="AL214" s="1192"/>
      <c r="AM214" s="1192"/>
      <c r="AN214" s="1192"/>
      <c r="AO214" s="1192"/>
      <c r="AP214" s="1192"/>
      <c r="AQ214" s="1192"/>
      <c r="AR214" s="1192"/>
      <c r="AS214" s="1192"/>
      <c r="AT214" s="1192"/>
      <c r="AU214" s="1192"/>
      <c r="AV214" s="1192"/>
      <c r="AW214" s="1192"/>
      <c r="AX214" s="1192"/>
      <c r="AY214" s="1192"/>
      <c r="AZ214" s="1192"/>
      <c r="BA214" s="1192"/>
      <c r="BB214" s="1192"/>
      <c r="BC214" s="1192"/>
      <c r="BD214" s="1192"/>
      <c r="BE214" s="1196"/>
    </row>
    <row r="215" spans="1:57" ht="15.75" customHeight="1">
      <c r="A215" s="1192"/>
      <c r="B215" s="1192"/>
      <c r="C215" s="2298">
        <v>7</v>
      </c>
      <c r="D215" s="2299"/>
      <c r="E215" s="2299"/>
      <c r="F215" s="2299"/>
      <c r="G215" s="2300"/>
      <c r="H215" s="2300"/>
      <c r="I215" s="2300"/>
      <c r="J215" s="2300"/>
      <c r="K215" s="2300"/>
      <c r="L215" s="2300"/>
      <c r="M215" s="2300"/>
      <c r="N215" s="2300"/>
      <c r="O215" s="2300"/>
      <c r="P215" s="2301"/>
      <c r="Q215" s="2301"/>
      <c r="R215" s="2301"/>
      <c r="S215" s="2301"/>
      <c r="T215" s="2301"/>
      <c r="U215" s="2302"/>
      <c r="V215" s="2302"/>
      <c r="W215" s="2302"/>
      <c r="X215" s="2302"/>
      <c r="Y215" s="2302"/>
      <c r="Z215" s="2302"/>
      <c r="AA215" s="2302"/>
      <c r="AB215" s="2302"/>
      <c r="AC215" s="2303" t="s">
        <v>1884</v>
      </c>
      <c r="AD215" s="2303"/>
      <c r="AE215" s="2303"/>
      <c r="AF215" s="2303"/>
      <c r="AG215" s="2295"/>
      <c r="AH215" s="2296"/>
      <c r="AI215" s="2296"/>
      <c r="AJ215" s="2296"/>
      <c r="AK215" s="2297"/>
      <c r="AL215" s="1192"/>
      <c r="AM215" s="1192"/>
      <c r="AN215" s="1192"/>
      <c r="AO215" s="1192"/>
      <c r="AP215" s="1192"/>
      <c r="AQ215" s="1192"/>
      <c r="AR215" s="1192"/>
      <c r="AS215" s="1192"/>
      <c r="AT215" s="1192"/>
      <c r="AU215" s="1192"/>
      <c r="AV215" s="1192"/>
      <c r="AW215" s="1192"/>
      <c r="AX215" s="1192"/>
      <c r="AY215" s="1192"/>
      <c r="AZ215" s="1192"/>
      <c r="BA215" s="1192"/>
      <c r="BB215" s="1192"/>
      <c r="BC215" s="1192"/>
      <c r="BD215" s="1192"/>
      <c r="BE215" s="1196"/>
    </row>
    <row r="216" spans="1:57" ht="15.75" customHeight="1">
      <c r="A216" s="1192"/>
      <c r="B216" s="1192"/>
      <c r="C216" s="2317" t="s">
        <v>2297</v>
      </c>
      <c r="D216" s="2318"/>
      <c r="E216" s="2318"/>
      <c r="F216" s="2318"/>
      <c r="G216" s="2318"/>
      <c r="H216" s="2318"/>
      <c r="I216" s="2318"/>
      <c r="J216" s="2318"/>
      <c r="K216" s="2318"/>
      <c r="L216" s="2318"/>
      <c r="M216" s="2318"/>
      <c r="N216" s="2318"/>
      <c r="O216" s="2318"/>
      <c r="P216" s="2319"/>
      <c r="Q216" s="2319"/>
      <c r="R216" s="2319"/>
      <c r="S216" s="2319"/>
      <c r="T216" s="2319"/>
      <c r="U216" s="2320">
        <v>0</v>
      </c>
      <c r="V216" s="2320"/>
      <c r="W216" s="2320"/>
      <c r="X216" s="2320"/>
      <c r="Y216" s="2320">
        <v>0</v>
      </c>
      <c r="Z216" s="2320"/>
      <c r="AA216" s="2320"/>
      <c r="AB216" s="2320"/>
      <c r="AC216" s="2321">
        <v>0</v>
      </c>
      <c r="AD216" s="2321"/>
      <c r="AE216" s="2321"/>
      <c r="AF216" s="2321"/>
      <c r="AG216" s="2322"/>
      <c r="AH216" s="2323"/>
      <c r="AI216" s="2323"/>
      <c r="AJ216" s="2323"/>
      <c r="AK216" s="2324"/>
      <c r="AL216" s="1192"/>
      <c r="AM216" s="1192"/>
      <c r="AN216" s="1192"/>
      <c r="AO216" s="1192"/>
      <c r="AP216" s="1192"/>
      <c r="AQ216" s="1192"/>
      <c r="AR216" s="1192"/>
      <c r="AS216" s="1192"/>
      <c r="AT216" s="1192"/>
      <c r="AU216" s="1192"/>
      <c r="AV216" s="1192"/>
      <c r="AW216" s="1192"/>
      <c r="AX216" s="1192"/>
      <c r="AY216" s="1192"/>
      <c r="AZ216" s="1192"/>
      <c r="BA216" s="1192"/>
      <c r="BB216" s="1192"/>
      <c r="BC216" s="1192"/>
      <c r="BD216" s="1192"/>
      <c r="BE216" s="1196"/>
    </row>
    <row r="217" spans="1:57" ht="15.75" customHeight="1">
      <c r="A217" s="1192"/>
      <c r="B217" s="1192"/>
      <c r="C217" s="1192" t="s">
        <v>2296</v>
      </c>
      <c r="D217" s="1192"/>
      <c r="E217" s="1192"/>
      <c r="F217" s="1192"/>
      <c r="G217" s="1192"/>
      <c r="H217" s="1192"/>
      <c r="I217" s="1192"/>
      <c r="J217" s="1192"/>
      <c r="K217" s="1192"/>
      <c r="L217" s="1192"/>
      <c r="M217" s="1192"/>
      <c r="N217" s="1192"/>
      <c r="O217" s="1192"/>
      <c r="P217" s="1192"/>
      <c r="Q217" s="1192"/>
      <c r="R217" s="1192"/>
      <c r="S217" s="1192"/>
      <c r="T217" s="1192"/>
      <c r="U217" s="1192"/>
      <c r="V217" s="1192"/>
      <c r="W217" s="1192"/>
      <c r="X217" s="1192"/>
      <c r="Y217" s="1192"/>
      <c r="Z217" s="1192"/>
      <c r="AA217" s="1192"/>
      <c r="AB217" s="1192"/>
      <c r="AC217" s="1192"/>
      <c r="AD217" s="1192"/>
      <c r="AE217" s="1192"/>
      <c r="AF217" s="1192"/>
      <c r="AG217" s="1192"/>
      <c r="AH217" s="1192"/>
      <c r="AI217" s="1192"/>
      <c r="AJ217" s="1192"/>
      <c r="AK217" s="1192"/>
      <c r="AL217" s="1192"/>
      <c r="AM217" s="1192"/>
      <c r="AN217" s="1192"/>
      <c r="AO217" s="1192"/>
      <c r="AP217" s="1192"/>
      <c r="AQ217" s="1192"/>
      <c r="AR217" s="1192"/>
      <c r="AS217" s="1192"/>
      <c r="AT217" s="1192"/>
      <c r="AU217" s="1192"/>
      <c r="AV217" s="1192"/>
      <c r="AW217" s="1192"/>
      <c r="AX217" s="1192"/>
      <c r="AY217" s="1192"/>
      <c r="AZ217" s="1192"/>
      <c r="BA217" s="1192"/>
      <c r="BB217" s="1192"/>
      <c r="BC217" s="1192"/>
      <c r="BD217" s="1192"/>
      <c r="BE217" s="1196"/>
    </row>
    <row r="218" spans="1:57" ht="15.75" customHeight="1">
      <c r="A218" s="1192"/>
      <c r="B218" s="1192"/>
      <c r="C218" s="1192"/>
      <c r="D218" s="1192"/>
      <c r="E218" s="1192"/>
      <c r="F218" s="1192"/>
      <c r="G218" s="1192"/>
      <c r="H218" s="1192"/>
      <c r="I218" s="1192"/>
      <c r="J218" s="1192"/>
      <c r="K218" s="1192"/>
      <c r="L218" s="1192"/>
      <c r="M218" s="1192"/>
      <c r="N218" s="1192"/>
      <c r="O218" s="1192"/>
      <c r="P218" s="1192"/>
      <c r="Q218" s="1192"/>
      <c r="R218" s="1192"/>
      <c r="S218" s="1192"/>
      <c r="T218" s="1192"/>
      <c r="U218" s="1192"/>
      <c r="V218" s="1192"/>
      <c r="W218" s="1192"/>
      <c r="X218" s="1192"/>
      <c r="Y218" s="1192"/>
      <c r="Z218" s="1192"/>
      <c r="AA218" s="1192"/>
      <c r="AB218" s="1192"/>
      <c r="AC218" s="1192"/>
      <c r="AD218" s="1192"/>
      <c r="AE218" s="1192"/>
      <c r="AF218" s="1192"/>
      <c r="AG218" s="1192"/>
      <c r="AH218" s="1192"/>
      <c r="AI218" s="1192"/>
      <c r="AJ218" s="1192"/>
      <c r="AK218" s="1192"/>
      <c r="AL218" s="1192"/>
      <c r="AM218" s="1192"/>
      <c r="AN218" s="1192"/>
      <c r="AO218" s="1192"/>
      <c r="AP218" s="1192"/>
      <c r="AQ218" s="1192"/>
      <c r="AR218" s="1192"/>
      <c r="AS218" s="1192"/>
      <c r="AT218" s="1192"/>
      <c r="AU218" s="1192"/>
      <c r="AV218" s="1192"/>
      <c r="AW218" s="1192"/>
      <c r="AX218" s="1192"/>
      <c r="AY218" s="1192"/>
      <c r="AZ218" s="1192"/>
      <c r="BA218" s="1192"/>
      <c r="BB218" s="1192"/>
      <c r="BC218" s="1192"/>
      <c r="BD218" s="1192"/>
      <c r="BE218" s="1196"/>
    </row>
    <row r="219" spans="1:57" ht="15.75" customHeight="1">
      <c r="A219" s="1192"/>
      <c r="B219" s="1192"/>
      <c r="C219" s="1192"/>
      <c r="D219" s="1192"/>
      <c r="E219" s="1192"/>
      <c r="F219" s="1192"/>
      <c r="G219" s="1192"/>
      <c r="H219" s="1192"/>
      <c r="I219" s="1192"/>
      <c r="J219" s="1192"/>
      <c r="K219" s="1192"/>
      <c r="L219" s="1192"/>
      <c r="M219" s="1192"/>
      <c r="N219" s="1192"/>
      <c r="O219" s="1192"/>
      <c r="P219" s="1192"/>
      <c r="Q219" s="1192"/>
      <c r="R219" s="1192"/>
      <c r="S219" s="1192"/>
      <c r="T219" s="1192"/>
      <c r="U219" s="1192"/>
      <c r="V219" s="1192"/>
      <c r="W219" s="1192"/>
      <c r="X219" s="1192"/>
      <c r="Y219" s="1192"/>
      <c r="Z219" s="1192"/>
      <c r="AA219" s="1192"/>
      <c r="AB219" s="1192"/>
      <c r="AC219" s="1192"/>
      <c r="AD219" s="1192"/>
      <c r="AE219" s="1192"/>
      <c r="AF219" s="1192"/>
      <c r="AG219" s="1192"/>
      <c r="AH219" s="1192"/>
      <c r="AI219" s="1192"/>
      <c r="AJ219" s="1192"/>
      <c r="AK219" s="1192"/>
      <c r="AL219" s="1192"/>
      <c r="AM219" s="1192"/>
      <c r="AN219" s="1192"/>
      <c r="AO219" s="1192"/>
      <c r="AP219" s="1192"/>
      <c r="AQ219" s="1192"/>
      <c r="AR219" s="1192"/>
      <c r="AS219" s="1192"/>
      <c r="AT219" s="1192"/>
      <c r="AU219" s="1192"/>
      <c r="AV219" s="1192"/>
      <c r="AW219" s="1192"/>
      <c r="AX219" s="1192"/>
      <c r="AY219" s="1192"/>
      <c r="AZ219" s="1192"/>
      <c r="BA219" s="1192"/>
      <c r="BB219" s="1192"/>
      <c r="BC219" s="1192"/>
      <c r="BD219" s="1192"/>
      <c r="BE219" s="1196"/>
    </row>
    <row r="220" spans="1:57" ht="15.75" customHeight="1" thickBot="1">
      <c r="A220" s="1192"/>
      <c r="B220" s="1192"/>
      <c r="C220" s="1192"/>
      <c r="D220" s="1192"/>
      <c r="E220" s="1192"/>
      <c r="F220" s="1192"/>
      <c r="G220" s="1192"/>
      <c r="H220" s="1192"/>
      <c r="I220" s="1192"/>
      <c r="J220" s="1192"/>
      <c r="K220" s="1192"/>
      <c r="L220" s="1192"/>
      <c r="M220" s="1192"/>
      <c r="N220" s="1192"/>
      <c r="O220" s="1192"/>
      <c r="P220" s="1192"/>
      <c r="Q220" s="1192"/>
      <c r="R220" s="1192"/>
      <c r="S220" s="1192"/>
      <c r="T220" s="1192"/>
      <c r="U220" s="1192"/>
      <c r="V220" s="1192"/>
      <c r="W220" s="1192"/>
      <c r="X220" s="1192"/>
      <c r="Y220" s="1192"/>
      <c r="Z220" s="1192"/>
      <c r="AA220" s="1192"/>
      <c r="AB220" s="1192"/>
      <c r="AC220" s="1192"/>
      <c r="AD220" s="1192"/>
      <c r="AE220" s="1192"/>
      <c r="AF220" s="1192"/>
      <c r="AG220" s="1192"/>
      <c r="AH220" s="1192"/>
      <c r="AI220" s="1192"/>
      <c r="AJ220" s="1192"/>
      <c r="AK220" s="1192"/>
      <c r="AL220" s="1192"/>
      <c r="AM220" s="1192"/>
      <c r="AN220" s="1192"/>
      <c r="AO220" s="1192"/>
      <c r="AP220" s="1192"/>
      <c r="AQ220" s="1192"/>
      <c r="AR220" s="1192"/>
      <c r="AS220" s="1192"/>
      <c r="AT220" s="1192"/>
      <c r="AU220" s="1192"/>
      <c r="AV220" s="1192"/>
      <c r="AW220" s="1192"/>
      <c r="AX220" s="1192"/>
      <c r="AY220" s="1192"/>
      <c r="AZ220" s="1192"/>
      <c r="BA220" s="1192"/>
      <c r="BB220" s="1192"/>
      <c r="BC220" s="1192"/>
      <c r="BD220" s="1192"/>
      <c r="BE220" s="1196"/>
    </row>
    <row r="221" spans="1:57" ht="15.75" customHeight="1">
      <c r="A221" s="1192"/>
      <c r="B221" s="2305" t="s">
        <v>2295</v>
      </c>
      <c r="C221" s="2306"/>
      <c r="D221" s="2306"/>
      <c r="E221" s="2306"/>
      <c r="F221" s="2306"/>
      <c r="G221" s="2306"/>
      <c r="H221" s="2306"/>
      <c r="I221" s="2306"/>
      <c r="J221" s="2306"/>
      <c r="K221" s="2306"/>
      <c r="L221" s="2306"/>
      <c r="M221" s="2306"/>
      <c r="N221" s="2306"/>
      <c r="O221" s="2306"/>
      <c r="P221" s="2306"/>
      <c r="Q221" s="2306"/>
      <c r="R221" s="2306"/>
      <c r="S221" s="2306"/>
      <c r="T221" s="2306"/>
      <c r="U221" s="2306"/>
      <c r="V221" s="2306"/>
      <c r="W221" s="2306"/>
      <c r="X221" s="2306"/>
      <c r="Y221" s="2306"/>
      <c r="Z221" s="2306"/>
      <c r="AA221" s="2306"/>
      <c r="AB221" s="2306"/>
      <c r="AC221" s="2306"/>
      <c r="AD221" s="2306"/>
      <c r="AE221" s="2306"/>
      <c r="AF221" s="2306"/>
      <c r="AG221" s="2306"/>
      <c r="AH221" s="2306"/>
      <c r="AI221" s="2306"/>
      <c r="AJ221" s="2306"/>
      <c r="AK221" s="2306"/>
      <c r="AL221" s="2306"/>
      <c r="AM221" s="2306"/>
      <c r="AN221" s="2306"/>
      <c r="AO221" s="2306"/>
      <c r="AP221" s="2306"/>
      <c r="AQ221" s="2306"/>
      <c r="AR221" s="2306"/>
      <c r="AS221" s="2306"/>
      <c r="AT221" s="2306"/>
      <c r="AU221" s="2306"/>
      <c r="AV221" s="2306"/>
      <c r="AW221" s="2306"/>
      <c r="AX221" s="2306"/>
      <c r="AY221" s="2306"/>
      <c r="AZ221" s="2306"/>
      <c r="BA221" s="2306"/>
      <c r="BB221" s="2306"/>
      <c r="BC221" s="2306"/>
      <c r="BD221" s="2307"/>
      <c r="BE221" s="1196"/>
    </row>
    <row r="222" spans="1:57" ht="15.75" customHeight="1">
      <c r="A222" s="1192"/>
      <c r="B222" s="2308"/>
      <c r="C222" s="2309"/>
      <c r="D222" s="2309"/>
      <c r="E222" s="2309"/>
      <c r="F222" s="2309"/>
      <c r="G222" s="2309"/>
      <c r="H222" s="2309"/>
      <c r="I222" s="2309"/>
      <c r="J222" s="2309"/>
      <c r="K222" s="2309"/>
      <c r="L222" s="2309"/>
      <c r="M222" s="2309"/>
      <c r="N222" s="2309"/>
      <c r="O222" s="2309"/>
      <c r="P222" s="2309"/>
      <c r="Q222" s="2309"/>
      <c r="R222" s="2309"/>
      <c r="S222" s="2309"/>
      <c r="T222" s="2309"/>
      <c r="U222" s="2309"/>
      <c r="V222" s="2309"/>
      <c r="W222" s="2309"/>
      <c r="X222" s="2309"/>
      <c r="Y222" s="2309"/>
      <c r="Z222" s="2309"/>
      <c r="AA222" s="2309"/>
      <c r="AB222" s="2309"/>
      <c r="AC222" s="2309"/>
      <c r="AD222" s="2309"/>
      <c r="AE222" s="2309"/>
      <c r="AF222" s="2309"/>
      <c r="AG222" s="2309"/>
      <c r="AH222" s="2309"/>
      <c r="AI222" s="2309"/>
      <c r="AJ222" s="2309"/>
      <c r="AK222" s="2309"/>
      <c r="AL222" s="2309"/>
      <c r="AM222" s="2309"/>
      <c r="AN222" s="2309"/>
      <c r="AO222" s="2309"/>
      <c r="AP222" s="2309"/>
      <c r="AQ222" s="2309"/>
      <c r="AR222" s="2309"/>
      <c r="AS222" s="2309"/>
      <c r="AT222" s="2309"/>
      <c r="AU222" s="2309"/>
      <c r="AV222" s="2309"/>
      <c r="AW222" s="2309"/>
      <c r="AX222" s="2309"/>
      <c r="AY222" s="2309"/>
      <c r="AZ222" s="2309"/>
      <c r="BA222" s="2309"/>
      <c r="BB222" s="2309"/>
      <c r="BC222" s="2309"/>
      <c r="BD222" s="2310"/>
      <c r="BE222" s="1196"/>
    </row>
    <row r="223" spans="1:57" ht="15.75" customHeight="1">
      <c r="A223" s="1192"/>
      <c r="B223" s="2311" t="s">
        <v>2294</v>
      </c>
      <c r="C223" s="2312"/>
      <c r="D223" s="2312"/>
      <c r="E223" s="2312"/>
      <c r="F223" s="2312"/>
      <c r="G223" s="2312"/>
      <c r="H223" s="2312"/>
      <c r="I223" s="2312"/>
      <c r="J223" s="2312"/>
      <c r="K223" s="2312"/>
      <c r="L223" s="2312"/>
      <c r="M223" s="2312"/>
      <c r="N223" s="2312"/>
      <c r="O223" s="2312"/>
      <c r="P223" s="2312"/>
      <c r="Q223" s="2312"/>
      <c r="R223" s="2312"/>
      <c r="S223" s="2312"/>
      <c r="T223" s="2312"/>
      <c r="U223" s="2312"/>
      <c r="V223" s="2312"/>
      <c r="W223" s="2312"/>
      <c r="X223" s="2312"/>
      <c r="Y223" s="2312"/>
      <c r="Z223" s="2312"/>
      <c r="AA223" s="2312"/>
      <c r="AB223" s="2312"/>
      <c r="AC223" s="2312"/>
      <c r="AD223" s="2312"/>
      <c r="AE223" s="2312"/>
      <c r="AF223" s="2312"/>
      <c r="AG223" s="2312"/>
      <c r="AH223" s="2312"/>
      <c r="AI223" s="2312"/>
      <c r="AJ223" s="2312"/>
      <c r="AK223" s="2312"/>
      <c r="AL223" s="2312"/>
      <c r="AM223" s="2312"/>
      <c r="AN223" s="2312"/>
      <c r="AO223" s="2312"/>
      <c r="AP223" s="2312"/>
      <c r="AQ223" s="2312"/>
      <c r="AR223" s="2312"/>
      <c r="AS223" s="2312"/>
      <c r="AT223" s="2312"/>
      <c r="AU223" s="2312"/>
      <c r="AV223" s="2312"/>
      <c r="AW223" s="2312"/>
      <c r="AX223" s="2312"/>
      <c r="AY223" s="2312"/>
      <c r="AZ223" s="2312"/>
      <c r="BA223" s="2312"/>
      <c r="BB223" s="2312"/>
      <c r="BC223" s="2312"/>
      <c r="BD223" s="2313"/>
      <c r="BE223" s="1196"/>
    </row>
    <row r="224" spans="1:57" ht="15.75" customHeight="1">
      <c r="A224" s="1192"/>
      <c r="B224" s="2311" t="s">
        <v>2293</v>
      </c>
      <c r="C224" s="2312"/>
      <c r="D224" s="2312"/>
      <c r="E224" s="2312"/>
      <c r="F224" s="2312"/>
      <c r="G224" s="2312"/>
      <c r="H224" s="2312"/>
      <c r="I224" s="2312"/>
      <c r="J224" s="2312"/>
      <c r="K224" s="2312"/>
      <c r="L224" s="2312"/>
      <c r="M224" s="2312"/>
      <c r="N224" s="2312"/>
      <c r="O224" s="2312"/>
      <c r="P224" s="2312"/>
      <c r="Q224" s="2312"/>
      <c r="R224" s="2312"/>
      <c r="S224" s="2312"/>
      <c r="T224" s="2312"/>
      <c r="U224" s="2312"/>
      <c r="V224" s="2312"/>
      <c r="W224" s="2312"/>
      <c r="X224" s="2312"/>
      <c r="Y224" s="2312"/>
      <c r="Z224" s="2312"/>
      <c r="AA224" s="2312"/>
      <c r="AB224" s="2312"/>
      <c r="AC224" s="2312"/>
      <c r="AD224" s="2312"/>
      <c r="AE224" s="2312"/>
      <c r="AF224" s="2312"/>
      <c r="AG224" s="2312"/>
      <c r="AH224" s="2312"/>
      <c r="AI224" s="2312"/>
      <c r="AJ224" s="2312"/>
      <c r="AK224" s="2312"/>
      <c r="AL224" s="2312"/>
      <c r="AM224" s="2312"/>
      <c r="AN224" s="2312"/>
      <c r="AO224" s="2312"/>
      <c r="AP224" s="2312"/>
      <c r="AQ224" s="2312"/>
      <c r="AR224" s="2312"/>
      <c r="AS224" s="2312"/>
      <c r="AT224" s="2312"/>
      <c r="AU224" s="2312"/>
      <c r="AV224" s="2312"/>
      <c r="AW224" s="2312"/>
      <c r="AX224" s="2312"/>
      <c r="AY224" s="2312"/>
      <c r="AZ224" s="2312"/>
      <c r="BA224" s="2312"/>
      <c r="BB224" s="2312"/>
      <c r="BC224" s="2312"/>
      <c r="BD224" s="2313"/>
      <c r="BE224" s="1196"/>
    </row>
    <row r="225" spans="1:57" ht="15.75" customHeight="1">
      <c r="A225" s="1192"/>
      <c r="B225" s="1191"/>
      <c r="C225" s="1192"/>
      <c r="D225" s="1192"/>
      <c r="E225" s="1192"/>
      <c r="F225" s="1192"/>
      <c r="G225" s="1192"/>
      <c r="H225" s="1192"/>
      <c r="I225" s="1192"/>
      <c r="J225" s="1192"/>
      <c r="K225" s="1192"/>
      <c r="L225" s="1192"/>
      <c r="M225" s="1192"/>
      <c r="N225" s="1192"/>
      <c r="O225" s="1192"/>
      <c r="P225" s="1192"/>
      <c r="Q225" s="1192"/>
      <c r="R225" s="1192"/>
      <c r="S225" s="1192"/>
      <c r="T225" s="1192"/>
      <c r="U225" s="1192"/>
      <c r="V225" s="1192"/>
      <c r="W225" s="1192"/>
      <c r="X225" s="1192"/>
      <c r="Y225" s="1192"/>
      <c r="Z225" s="1192"/>
      <c r="AA225" s="1192"/>
      <c r="AB225" s="1192"/>
      <c r="AC225" s="1192"/>
      <c r="AD225" s="1192"/>
      <c r="AE225" s="1192"/>
      <c r="AF225" s="1192"/>
      <c r="AG225" s="1192"/>
      <c r="AH225" s="1192"/>
      <c r="AI225" s="1192"/>
      <c r="AJ225" s="1192"/>
      <c r="AK225" s="1192"/>
      <c r="AL225" s="1192"/>
      <c r="AM225" s="1192"/>
      <c r="AN225" s="1192"/>
      <c r="AO225" s="1192"/>
      <c r="AP225" s="1192"/>
      <c r="AQ225" s="1192"/>
      <c r="AR225" s="1192"/>
      <c r="AS225" s="1192"/>
      <c r="AT225" s="1192"/>
      <c r="AU225" s="1192"/>
      <c r="AV225" s="1192"/>
      <c r="AW225" s="1192"/>
      <c r="AX225" s="1192"/>
      <c r="AY225" s="1192"/>
      <c r="AZ225" s="1192"/>
      <c r="BA225" s="1192"/>
      <c r="BB225" s="1192"/>
      <c r="BC225" s="1192"/>
      <c r="BD225" s="1196"/>
      <c r="BE225" s="1196"/>
    </row>
    <row r="226" spans="1:57" ht="15.75" customHeight="1">
      <c r="A226" s="1192"/>
      <c r="B226" s="2314" t="s">
        <v>2292</v>
      </c>
      <c r="C226" s="2204"/>
      <c r="D226" s="2204"/>
      <c r="E226" s="2204"/>
      <c r="F226" s="2204"/>
      <c r="G226" s="2204"/>
      <c r="H226" s="2204"/>
      <c r="I226" s="2204"/>
      <c r="J226" s="2204"/>
      <c r="K226" s="2204"/>
      <c r="L226" s="2204"/>
      <c r="M226" s="2204"/>
      <c r="N226" s="2204"/>
      <c r="O226" s="2204"/>
      <c r="P226" s="2204"/>
      <c r="Q226" s="2204"/>
      <c r="R226" s="2204"/>
      <c r="S226" s="2204"/>
      <c r="T226" s="2204"/>
      <c r="U226" s="2204"/>
      <c r="V226" s="2204"/>
      <c r="W226" s="2204"/>
      <c r="X226" s="2204"/>
      <c r="Y226" s="2204"/>
      <c r="Z226" s="2204"/>
      <c r="AA226" s="2204"/>
      <c r="AB226" s="2204"/>
      <c r="AC226" s="2204"/>
      <c r="AD226" s="2204"/>
      <c r="AE226" s="2204"/>
      <c r="AF226" s="2204"/>
      <c r="AG226" s="2204"/>
      <c r="AH226" s="2204"/>
      <c r="AI226" s="2204"/>
      <c r="AJ226" s="2204"/>
      <c r="AK226" s="2204"/>
      <c r="AL226" s="2204"/>
      <c r="AM226" s="2204"/>
      <c r="AN226" s="2204"/>
      <c r="AO226" s="2204"/>
      <c r="AP226" s="2204"/>
      <c r="AQ226" s="2204"/>
      <c r="AR226" s="2204"/>
      <c r="AS226" s="2204"/>
      <c r="AT226" s="2204"/>
      <c r="AU226" s="2204"/>
      <c r="AV226" s="2204"/>
      <c r="AW226" s="2204"/>
      <c r="AX226" s="2204"/>
      <c r="AY226" s="2204"/>
      <c r="AZ226" s="2204"/>
      <c r="BA226" s="2204"/>
      <c r="BB226" s="2204"/>
      <c r="BC226" s="2204"/>
      <c r="BD226" s="2315"/>
      <c r="BE226" s="1196"/>
    </row>
    <row r="227" spans="1:57" ht="15.75" customHeight="1">
      <c r="A227" s="1192"/>
      <c r="B227" s="1237"/>
      <c r="C227" s="1192"/>
      <c r="D227" s="1192"/>
      <c r="E227" s="1192"/>
      <c r="F227" s="1192"/>
      <c r="G227" s="1192"/>
      <c r="H227" s="1192"/>
      <c r="I227" s="1192"/>
      <c r="J227" s="1192"/>
      <c r="K227" s="1192"/>
      <c r="L227" s="1192"/>
      <c r="M227" s="1192"/>
      <c r="N227" s="1192"/>
      <c r="O227" s="1192"/>
      <c r="P227" s="1192"/>
      <c r="Q227" s="1192"/>
      <c r="R227" s="1192"/>
      <c r="S227" s="1192"/>
      <c r="T227" s="1192"/>
      <c r="U227" s="1192"/>
      <c r="V227" s="1192"/>
      <c r="W227" s="1192"/>
      <c r="X227" s="1192"/>
      <c r="Y227" s="1192"/>
      <c r="Z227" s="1192"/>
      <c r="AA227" s="1192"/>
      <c r="AB227" s="1192"/>
      <c r="AC227" s="1192"/>
      <c r="AD227" s="1192"/>
      <c r="AE227" s="1192"/>
      <c r="AF227" s="1192"/>
      <c r="AG227" s="1192"/>
      <c r="AH227" s="1192"/>
      <c r="AI227" s="1192"/>
      <c r="AJ227" s="1192"/>
      <c r="AK227" s="1192"/>
      <c r="AL227" s="1192"/>
      <c r="AM227" s="1192"/>
      <c r="AN227" s="1192"/>
      <c r="AO227" s="1192"/>
      <c r="AP227" s="1192"/>
      <c r="AQ227" s="1192"/>
      <c r="AR227" s="1192"/>
      <c r="AS227" s="1192"/>
      <c r="AT227" s="1192"/>
      <c r="AU227" s="1192"/>
      <c r="AV227" s="1192"/>
      <c r="AW227" s="1192"/>
      <c r="AX227" s="1192"/>
      <c r="AY227" s="1192"/>
      <c r="AZ227" s="1192"/>
      <c r="BA227" s="1192"/>
      <c r="BB227" s="1192"/>
      <c r="BC227" s="1192"/>
      <c r="BD227" s="1196"/>
      <c r="BE227" s="1196"/>
    </row>
    <row r="228" spans="1:57" ht="15.75" customHeight="1">
      <c r="A228" s="1192"/>
      <c r="B228" s="1238"/>
      <c r="C228" s="1192"/>
      <c r="D228" s="1192"/>
      <c r="E228" s="1192"/>
      <c r="F228" s="1192"/>
      <c r="G228" s="1192"/>
      <c r="H228" s="1194" t="s">
        <v>2291</v>
      </c>
      <c r="I228" s="1192"/>
      <c r="J228" s="1192"/>
      <c r="K228" s="1192"/>
      <c r="L228" s="1192"/>
      <c r="M228" s="1192"/>
      <c r="N228" s="1192"/>
      <c r="O228" s="1192"/>
      <c r="P228" s="1192"/>
      <c r="Q228" s="1192"/>
      <c r="R228" s="1192"/>
      <c r="S228" s="1192"/>
      <c r="T228" s="1192"/>
      <c r="U228" s="1192"/>
      <c r="V228" s="1192"/>
      <c r="W228" s="1192"/>
      <c r="X228" s="1192"/>
      <c r="Y228" s="1192"/>
      <c r="Z228" s="1192"/>
      <c r="AA228" s="1192"/>
      <c r="AB228" s="1192"/>
      <c r="AC228" s="1192"/>
      <c r="AD228" s="1192"/>
      <c r="AE228" s="1192"/>
      <c r="AF228" s="1192"/>
      <c r="AG228" s="1192"/>
      <c r="AH228" s="1192"/>
      <c r="AI228" s="1192"/>
      <c r="AJ228" s="1192"/>
      <c r="AK228" s="1192"/>
      <c r="AL228" s="1192"/>
      <c r="AM228" s="1192"/>
      <c r="AN228" s="1192"/>
      <c r="AO228" s="1192"/>
      <c r="AP228" s="1192"/>
      <c r="AQ228" s="1192"/>
      <c r="AR228" s="1192"/>
      <c r="AS228" s="1192"/>
      <c r="AT228" s="1192"/>
      <c r="AU228" s="1192"/>
      <c r="AV228" s="1192"/>
      <c r="AW228" s="1192"/>
      <c r="AX228" s="1192"/>
      <c r="AY228" s="1192"/>
      <c r="AZ228" s="1192"/>
      <c r="BA228" s="1192"/>
      <c r="BB228" s="1192"/>
      <c r="BC228" s="1192"/>
      <c r="BD228" s="1196"/>
      <c r="BE228" s="1196"/>
    </row>
    <row r="229" spans="1:57" ht="15.75" customHeight="1">
      <c r="A229" s="1192"/>
      <c r="B229" s="1238"/>
      <c r="C229" s="1192"/>
      <c r="D229" s="1192"/>
      <c r="E229" s="1192"/>
      <c r="F229" s="1192"/>
      <c r="G229" s="1192"/>
      <c r="H229" s="1192"/>
      <c r="I229" s="1192"/>
      <c r="J229" s="1192"/>
      <c r="K229" s="1192"/>
      <c r="L229" s="1192"/>
      <c r="M229" s="1192"/>
      <c r="N229" s="1192"/>
      <c r="O229" s="1192"/>
      <c r="P229" s="1192"/>
      <c r="Q229" s="1192"/>
      <c r="R229" s="1192"/>
      <c r="S229" s="1192"/>
      <c r="T229" s="1192"/>
      <c r="U229" s="1192"/>
      <c r="V229" s="1192"/>
      <c r="W229" s="1192"/>
      <c r="X229" s="1192"/>
      <c r="Y229" s="1192"/>
      <c r="Z229" s="1192"/>
      <c r="AA229" s="1192"/>
      <c r="AB229" s="1192"/>
      <c r="AC229" s="1192"/>
      <c r="AD229" s="1192"/>
      <c r="AE229" s="1192"/>
      <c r="AF229" s="1192"/>
      <c r="AG229" s="1192"/>
      <c r="AH229" s="1192"/>
      <c r="AI229" s="1192"/>
      <c r="AJ229" s="1192"/>
      <c r="AK229" s="1192"/>
      <c r="AL229" s="1192"/>
      <c r="AM229" s="1192"/>
      <c r="AN229" s="1192"/>
      <c r="AO229" s="1192"/>
      <c r="AP229" s="1192"/>
      <c r="AQ229" s="1192"/>
      <c r="AR229" s="1192"/>
      <c r="AS229" s="1192"/>
      <c r="AT229" s="1192"/>
      <c r="AU229" s="1192"/>
      <c r="AV229" s="1192"/>
      <c r="AW229" s="1192"/>
      <c r="AX229" s="1192"/>
      <c r="AY229" s="1192"/>
      <c r="AZ229" s="1192"/>
      <c r="BA229" s="1192"/>
      <c r="BB229" s="1192"/>
      <c r="BC229" s="1192"/>
      <c r="BD229" s="1196"/>
      <c r="BE229" s="1196"/>
    </row>
    <row r="230" spans="1:57" ht="15.75" customHeight="1">
      <c r="A230" s="1192"/>
      <c r="B230" s="1238"/>
      <c r="C230" s="1192"/>
      <c r="D230" s="1192"/>
      <c r="E230" s="1192"/>
      <c r="F230" s="1192"/>
      <c r="G230" s="1192"/>
      <c r="H230" s="2316" t="s">
        <v>2290</v>
      </c>
      <c r="I230" s="2316"/>
      <c r="J230" s="2316"/>
      <c r="K230" s="2316"/>
      <c r="L230" s="2316"/>
      <c r="M230" s="2316"/>
      <c r="N230" s="2316"/>
      <c r="O230" s="2316"/>
      <c r="P230" s="2316"/>
      <c r="Q230" s="2316"/>
      <c r="R230" s="2316"/>
      <c r="S230" s="2316"/>
      <c r="T230" s="2316"/>
      <c r="U230" s="2316"/>
      <c r="V230" s="2316"/>
      <c r="W230" s="2316"/>
      <c r="X230" s="2316"/>
      <c r="Y230" s="2316"/>
      <c r="Z230" s="2316"/>
      <c r="AA230" s="2316"/>
      <c r="AB230" s="2316"/>
      <c r="AC230" s="2316"/>
      <c r="AD230" s="2316"/>
      <c r="AE230" s="2316"/>
      <c r="AF230" s="2316"/>
      <c r="AG230" s="2316"/>
      <c r="AH230" s="2316"/>
      <c r="AI230" s="2316"/>
      <c r="AJ230" s="2316"/>
      <c r="AK230" s="2316"/>
      <c r="AL230" s="2316"/>
      <c r="AM230" s="2316"/>
      <c r="AN230" s="2316"/>
      <c r="AO230" s="2316"/>
      <c r="AP230" s="2316"/>
      <c r="AQ230" s="2316"/>
      <c r="AR230" s="2316"/>
      <c r="AS230" s="2316"/>
      <c r="AT230" s="2316"/>
      <c r="AU230" s="2316"/>
      <c r="AV230" s="2316"/>
      <c r="AW230" s="2316"/>
      <c r="AX230" s="2316"/>
      <c r="AY230" s="2316"/>
      <c r="AZ230" s="1192"/>
      <c r="BA230" s="1192"/>
      <c r="BB230" s="1192"/>
      <c r="BC230" s="1192"/>
      <c r="BD230" s="1196"/>
      <c r="BE230" s="1196"/>
    </row>
    <row r="231" spans="1:57" ht="15.75" customHeight="1">
      <c r="A231" s="1192"/>
      <c r="B231" s="1238"/>
      <c r="C231" s="1192"/>
      <c r="D231" s="1192"/>
      <c r="E231" s="1192"/>
      <c r="F231" s="1192"/>
      <c r="G231" s="1192"/>
      <c r="H231" s="1192"/>
      <c r="I231" s="1192"/>
      <c r="J231" s="1192"/>
      <c r="K231" s="1192"/>
      <c r="L231" s="1192"/>
      <c r="M231" s="1192"/>
      <c r="N231" s="1192"/>
      <c r="O231" s="1192"/>
      <c r="P231" s="1192"/>
      <c r="Q231" s="1192"/>
      <c r="R231" s="1192"/>
      <c r="S231" s="1192"/>
      <c r="T231" s="1192"/>
      <c r="U231" s="1192"/>
      <c r="V231" s="1192"/>
      <c r="W231" s="1192"/>
      <c r="X231" s="1192"/>
      <c r="Y231" s="1192"/>
      <c r="Z231" s="1192"/>
      <c r="AA231" s="1192"/>
      <c r="AB231" s="1192"/>
      <c r="AC231" s="1192"/>
      <c r="AD231" s="1192"/>
      <c r="AE231" s="1192"/>
      <c r="AF231" s="1192"/>
      <c r="AG231" s="1192"/>
      <c r="AH231" s="1192"/>
      <c r="AI231" s="1192"/>
      <c r="AJ231" s="1192"/>
      <c r="AK231" s="1192"/>
      <c r="AL231" s="1192"/>
      <c r="AM231" s="1192"/>
      <c r="AN231" s="1192"/>
      <c r="AO231" s="1192"/>
      <c r="AP231" s="1192"/>
      <c r="AQ231" s="1192"/>
      <c r="AR231" s="1192"/>
      <c r="AS231" s="1192"/>
      <c r="AT231" s="1192"/>
      <c r="AU231" s="1192"/>
      <c r="AV231" s="1192"/>
      <c r="AW231" s="1192"/>
      <c r="AX231" s="1192"/>
      <c r="AY231" s="1192"/>
      <c r="AZ231" s="1192"/>
      <c r="BA231" s="1192"/>
      <c r="BB231" s="1192"/>
      <c r="BC231" s="1192"/>
      <c r="BD231" s="1196"/>
      <c r="BE231" s="1196"/>
    </row>
    <row r="232" spans="1:57" ht="15.75" customHeight="1">
      <c r="A232" s="1192"/>
      <c r="B232" s="1238"/>
      <c r="C232" s="1192"/>
      <c r="D232" s="1192"/>
      <c r="E232" s="1192"/>
      <c r="F232" s="1192"/>
      <c r="G232" s="1192"/>
      <c r="H232" s="2334" t="s">
        <v>2289</v>
      </c>
      <c r="I232" s="2334"/>
      <c r="J232" s="2334"/>
      <c r="K232" s="2334"/>
      <c r="L232" s="2334"/>
      <c r="M232" s="2334"/>
      <c r="N232" s="2334"/>
      <c r="O232" s="2334"/>
      <c r="P232" s="2334"/>
      <c r="Q232" s="2334"/>
      <c r="R232" s="2334"/>
      <c r="S232" s="2334"/>
      <c r="T232" s="2334"/>
      <c r="U232" s="2334"/>
      <c r="V232" s="2334"/>
      <c r="W232" s="2334"/>
      <c r="X232" s="2334"/>
      <c r="Y232" s="2334"/>
      <c r="Z232" s="2334"/>
      <c r="AA232" s="2334"/>
      <c r="AB232" s="2334"/>
      <c r="AC232" s="2334"/>
      <c r="AD232" s="2334"/>
      <c r="AE232" s="2334"/>
      <c r="AF232" s="2334"/>
      <c r="AG232" s="2334"/>
      <c r="AH232" s="2334"/>
      <c r="AI232" s="2334"/>
      <c r="AJ232" s="2334"/>
      <c r="AK232" s="2334"/>
      <c r="AL232" s="2334"/>
      <c r="AM232" s="2334"/>
      <c r="AN232" s="2334"/>
      <c r="AO232" s="2334"/>
      <c r="AP232" s="2334"/>
      <c r="AQ232" s="2334"/>
      <c r="AR232" s="2334"/>
      <c r="AS232" s="2334"/>
      <c r="AT232" s="2334"/>
      <c r="AU232" s="2334"/>
      <c r="AV232" s="2334"/>
      <c r="AW232" s="2334"/>
      <c r="AX232" s="2334"/>
      <c r="AY232" s="2334"/>
      <c r="AZ232" s="2334"/>
      <c r="BA232" s="1192"/>
      <c r="BB232" s="1192"/>
      <c r="BC232" s="1192"/>
      <c r="BD232" s="1196"/>
      <c r="BE232" s="1196"/>
    </row>
    <row r="233" spans="1:57" ht="15.75" customHeight="1">
      <c r="A233" s="1192"/>
      <c r="B233" s="1191"/>
      <c r="C233" s="1192"/>
      <c r="D233" s="1192"/>
      <c r="E233" s="1192"/>
      <c r="F233" s="1192"/>
      <c r="G233" s="1192"/>
      <c r="H233" s="2334"/>
      <c r="I233" s="2334"/>
      <c r="J233" s="2334"/>
      <c r="K233" s="2334"/>
      <c r="L233" s="2334"/>
      <c r="M233" s="2334"/>
      <c r="N233" s="2334"/>
      <c r="O233" s="2334"/>
      <c r="P233" s="2334"/>
      <c r="Q233" s="2334"/>
      <c r="R233" s="2334"/>
      <c r="S233" s="2334"/>
      <c r="T233" s="2334"/>
      <c r="U233" s="2334"/>
      <c r="V233" s="2334"/>
      <c r="W233" s="2334"/>
      <c r="X233" s="2334"/>
      <c r="Y233" s="2334"/>
      <c r="Z233" s="2334"/>
      <c r="AA233" s="2334"/>
      <c r="AB233" s="2334"/>
      <c r="AC233" s="2334"/>
      <c r="AD233" s="2334"/>
      <c r="AE233" s="2334"/>
      <c r="AF233" s="2334"/>
      <c r="AG233" s="2334"/>
      <c r="AH233" s="2334"/>
      <c r="AI233" s="2334"/>
      <c r="AJ233" s="2334"/>
      <c r="AK233" s="2334"/>
      <c r="AL233" s="2334"/>
      <c r="AM233" s="2334"/>
      <c r="AN233" s="2334"/>
      <c r="AO233" s="2334"/>
      <c r="AP233" s="2334"/>
      <c r="AQ233" s="2334"/>
      <c r="AR233" s="2334"/>
      <c r="AS233" s="2334"/>
      <c r="AT233" s="2334"/>
      <c r="AU233" s="2334"/>
      <c r="AV233" s="2334"/>
      <c r="AW233" s="2334"/>
      <c r="AX233" s="2334"/>
      <c r="AY233" s="2334"/>
      <c r="AZ233" s="2334"/>
      <c r="BA233" s="1192"/>
      <c r="BB233" s="1192"/>
      <c r="BC233" s="1192"/>
      <c r="BD233" s="1196"/>
      <c r="BE233" s="1196"/>
    </row>
    <row r="234" spans="1:57" ht="15.75" customHeight="1">
      <c r="A234" s="1192"/>
      <c r="B234" s="1191"/>
      <c r="C234" s="1192"/>
      <c r="D234" s="1192"/>
      <c r="E234" s="1192"/>
      <c r="F234" s="1192"/>
      <c r="G234" s="1192"/>
      <c r="H234" s="2334"/>
      <c r="I234" s="2334"/>
      <c r="J234" s="2334"/>
      <c r="K234" s="2334"/>
      <c r="L234" s="2334"/>
      <c r="M234" s="2334"/>
      <c r="N234" s="2334"/>
      <c r="O234" s="2334"/>
      <c r="P234" s="2334"/>
      <c r="Q234" s="2334"/>
      <c r="R234" s="2334"/>
      <c r="S234" s="2334"/>
      <c r="T234" s="2334"/>
      <c r="U234" s="2334"/>
      <c r="V234" s="2334"/>
      <c r="W234" s="2334"/>
      <c r="X234" s="2334"/>
      <c r="Y234" s="2334"/>
      <c r="Z234" s="2334"/>
      <c r="AA234" s="2334"/>
      <c r="AB234" s="2334"/>
      <c r="AC234" s="2334"/>
      <c r="AD234" s="2334"/>
      <c r="AE234" s="2334"/>
      <c r="AF234" s="2334"/>
      <c r="AG234" s="2334"/>
      <c r="AH234" s="2334"/>
      <c r="AI234" s="2334"/>
      <c r="AJ234" s="2334"/>
      <c r="AK234" s="2334"/>
      <c r="AL234" s="2334"/>
      <c r="AM234" s="2334"/>
      <c r="AN234" s="2334"/>
      <c r="AO234" s="2334"/>
      <c r="AP234" s="2334"/>
      <c r="AQ234" s="2334"/>
      <c r="AR234" s="2334"/>
      <c r="AS234" s="2334"/>
      <c r="AT234" s="2334"/>
      <c r="AU234" s="2334"/>
      <c r="AV234" s="2334"/>
      <c r="AW234" s="2334"/>
      <c r="AX234" s="2334"/>
      <c r="AY234" s="2334"/>
      <c r="AZ234" s="2334"/>
      <c r="BA234" s="1192"/>
      <c r="BB234" s="1192"/>
      <c r="BC234" s="1192"/>
      <c r="BD234" s="1196"/>
      <c r="BE234" s="1196"/>
    </row>
    <row r="235" spans="1:57" ht="15.75" customHeight="1">
      <c r="A235" s="1192"/>
      <c r="B235" s="1191"/>
      <c r="C235" s="1192"/>
      <c r="D235" s="1192"/>
      <c r="E235" s="1192"/>
      <c r="F235" s="1192"/>
      <c r="G235" s="1192"/>
      <c r="H235" s="2334"/>
      <c r="I235" s="2334"/>
      <c r="J235" s="2334"/>
      <c r="K235" s="2334"/>
      <c r="L235" s="2334"/>
      <c r="M235" s="2334"/>
      <c r="N235" s="2334"/>
      <c r="O235" s="2334"/>
      <c r="P235" s="2334"/>
      <c r="Q235" s="2334"/>
      <c r="R235" s="2334"/>
      <c r="S235" s="2334"/>
      <c r="T235" s="2334"/>
      <c r="U235" s="2334"/>
      <c r="V235" s="2334"/>
      <c r="W235" s="2334"/>
      <c r="X235" s="2334"/>
      <c r="Y235" s="2334"/>
      <c r="Z235" s="2334"/>
      <c r="AA235" s="2334"/>
      <c r="AB235" s="2334"/>
      <c r="AC235" s="2334"/>
      <c r="AD235" s="2334"/>
      <c r="AE235" s="2334"/>
      <c r="AF235" s="2334"/>
      <c r="AG235" s="2334"/>
      <c r="AH235" s="2334"/>
      <c r="AI235" s="2334"/>
      <c r="AJ235" s="2334"/>
      <c r="AK235" s="2334"/>
      <c r="AL235" s="2334"/>
      <c r="AM235" s="2334"/>
      <c r="AN235" s="2334"/>
      <c r="AO235" s="2334"/>
      <c r="AP235" s="2334"/>
      <c r="AQ235" s="2334"/>
      <c r="AR235" s="2334"/>
      <c r="AS235" s="2334"/>
      <c r="AT235" s="2334"/>
      <c r="AU235" s="2334"/>
      <c r="AV235" s="2334"/>
      <c r="AW235" s="2334"/>
      <c r="AX235" s="2334"/>
      <c r="AY235" s="2334"/>
      <c r="AZ235" s="2334"/>
      <c r="BA235" s="1192"/>
      <c r="BB235" s="1192"/>
      <c r="BC235" s="1192"/>
      <c r="BD235" s="1196"/>
      <c r="BE235" s="1196"/>
    </row>
    <row r="236" spans="1:57" ht="15.75" customHeight="1">
      <c r="A236" s="1192"/>
      <c r="B236" s="1191"/>
      <c r="C236" s="1192"/>
      <c r="D236" s="1192"/>
      <c r="E236" s="1192"/>
      <c r="F236" s="1192"/>
      <c r="G236" s="1192"/>
      <c r="H236" s="1192"/>
      <c r="I236" s="1192"/>
      <c r="J236" s="1192"/>
      <c r="K236" s="1192"/>
      <c r="L236" s="1192"/>
      <c r="M236" s="1192"/>
      <c r="N236" s="1192"/>
      <c r="O236" s="1192"/>
      <c r="P236" s="1192"/>
      <c r="Q236" s="1192"/>
      <c r="R236" s="1192"/>
      <c r="S236" s="1192"/>
      <c r="T236" s="1192"/>
      <c r="U236" s="1192"/>
      <c r="V236" s="1192"/>
      <c r="W236" s="1192"/>
      <c r="X236" s="1192"/>
      <c r="Y236" s="1192"/>
      <c r="Z236" s="1192"/>
      <c r="AA236" s="1192"/>
      <c r="AB236" s="1192"/>
      <c r="AC236" s="1192"/>
      <c r="AD236" s="1192"/>
      <c r="AE236" s="1192"/>
      <c r="AF236" s="1192"/>
      <c r="AG236" s="1192"/>
      <c r="AH236" s="1192"/>
      <c r="AI236" s="1192"/>
      <c r="AJ236" s="1192"/>
      <c r="AK236" s="1192"/>
      <c r="AL236" s="1192"/>
      <c r="AM236" s="1192"/>
      <c r="AN236" s="1192"/>
      <c r="AO236" s="1192"/>
      <c r="AP236" s="1192"/>
      <c r="AQ236" s="1192"/>
      <c r="AR236" s="1192"/>
      <c r="AS236" s="1192"/>
      <c r="AT236" s="1192"/>
      <c r="AU236" s="1192"/>
      <c r="AV236" s="1192"/>
      <c r="AW236" s="1192"/>
      <c r="AX236" s="1192"/>
      <c r="AY236" s="1192"/>
      <c r="AZ236" s="1192"/>
      <c r="BA236" s="1192"/>
      <c r="BB236" s="1192"/>
      <c r="BC236" s="1192"/>
      <c r="BD236" s="1196"/>
      <c r="BE236" s="1196"/>
    </row>
    <row r="237" spans="1:57" ht="15.75" customHeight="1" thickBot="1">
      <c r="A237" s="1192"/>
      <c r="B237" s="1239"/>
      <c r="C237" s="1240"/>
      <c r="D237" s="1240"/>
      <c r="E237" s="1240"/>
      <c r="F237" s="1240"/>
      <c r="G237" s="1240"/>
      <c r="H237" s="2335" t="s">
        <v>2288</v>
      </c>
      <c r="I237" s="2335"/>
      <c r="J237" s="2335"/>
      <c r="K237" s="2335"/>
      <c r="L237" s="2335"/>
      <c r="M237" s="2335"/>
      <c r="N237" s="2335"/>
      <c r="O237" s="2335"/>
      <c r="P237" s="2335"/>
      <c r="Q237" s="2335"/>
      <c r="R237" s="2335"/>
      <c r="S237" s="2335"/>
      <c r="T237" s="2335"/>
      <c r="U237" s="2335"/>
      <c r="V237" s="2335"/>
      <c r="W237" s="2335"/>
      <c r="X237" s="2335"/>
      <c r="Y237" s="2335"/>
      <c r="Z237" s="2335"/>
      <c r="AA237" s="2335"/>
      <c r="AB237" s="2335"/>
      <c r="AC237" s="2335"/>
      <c r="AD237" s="2335"/>
      <c r="AE237" s="2335"/>
      <c r="AF237" s="2335"/>
      <c r="AG237" s="2335"/>
      <c r="AH237" s="2335"/>
      <c r="AI237" s="2335"/>
      <c r="AJ237" s="2335"/>
      <c r="AK237" s="2335"/>
      <c r="AL237" s="2335"/>
      <c r="AM237" s="2335"/>
      <c r="AN237" s="2335"/>
      <c r="AO237" s="2335"/>
      <c r="AP237" s="2335"/>
      <c r="AQ237" s="2335"/>
      <c r="AR237" s="2335"/>
      <c r="AS237" s="2335"/>
      <c r="AT237" s="2335"/>
      <c r="AU237" s="2335"/>
      <c r="AV237" s="2335"/>
      <c r="AW237" s="1240"/>
      <c r="AX237" s="1240"/>
      <c r="AY237" s="1240"/>
      <c r="AZ237" s="1240"/>
      <c r="BA237" s="1240"/>
      <c r="BB237" s="1240"/>
      <c r="BC237" s="1240"/>
      <c r="BD237" s="1241"/>
      <c r="BE237" s="1196"/>
    </row>
    <row r="238" spans="1:57" ht="15.75" customHeight="1" thickBot="1">
      <c r="A238" s="1192"/>
      <c r="B238" s="1242"/>
      <c r="C238" s="1243"/>
      <c r="D238" s="1243"/>
      <c r="E238" s="1243"/>
      <c r="F238" s="1243"/>
      <c r="G238" s="1243"/>
      <c r="H238" s="1243"/>
      <c r="I238" s="1243"/>
      <c r="J238" s="1243"/>
      <c r="K238" s="1243"/>
      <c r="L238" s="1243"/>
      <c r="M238" s="1243"/>
      <c r="N238" s="1243"/>
      <c r="O238" s="1243"/>
      <c r="P238" s="1243"/>
      <c r="Q238" s="1243"/>
      <c r="R238" s="1243"/>
      <c r="S238" s="1243"/>
      <c r="T238" s="1243"/>
      <c r="U238" s="1243"/>
      <c r="V238" s="1243"/>
      <c r="W238" s="1243"/>
      <c r="X238" s="1243"/>
      <c r="Y238" s="1243"/>
      <c r="Z238" s="1243"/>
      <c r="AA238" s="1243"/>
      <c r="AB238" s="1243"/>
      <c r="AC238" s="1243"/>
      <c r="AD238" s="1243"/>
      <c r="AE238" s="1243"/>
      <c r="AF238" s="1243"/>
      <c r="AG238" s="1243"/>
      <c r="AH238" s="1243"/>
      <c r="AI238" s="1243"/>
      <c r="AJ238" s="1243"/>
      <c r="AK238" s="1243"/>
      <c r="AL238" s="1243"/>
      <c r="AM238" s="1243"/>
      <c r="AN238" s="1243"/>
      <c r="AO238" s="1243"/>
      <c r="AP238" s="1243"/>
      <c r="AQ238" s="1243"/>
      <c r="AR238" s="1243"/>
      <c r="AS238" s="1243"/>
      <c r="AT238" s="1243"/>
      <c r="AU238" s="1243"/>
      <c r="AV238" s="1243"/>
      <c r="AW238" s="1243"/>
      <c r="AX238" s="1243"/>
      <c r="AY238" s="1243"/>
      <c r="AZ238" s="1243"/>
      <c r="BA238" s="1243"/>
      <c r="BB238" s="1243"/>
      <c r="BC238" s="1243"/>
      <c r="BD238" s="1244"/>
      <c r="BE238" s="1196"/>
    </row>
    <row r="239" spans="1:57" ht="30" customHeight="1" thickBot="1">
      <c r="A239" s="1192"/>
      <c r="B239" s="1242"/>
      <c r="C239" s="1243"/>
      <c r="D239" s="1243"/>
      <c r="E239" s="1243"/>
      <c r="F239" s="1243"/>
      <c r="G239" s="1243"/>
      <c r="H239" s="2325" t="s">
        <v>2287</v>
      </c>
      <c r="I239" s="2325"/>
      <c r="J239" s="2325"/>
      <c r="K239" s="2325"/>
      <c r="L239" s="1243"/>
      <c r="M239" s="1243"/>
      <c r="N239" s="1243"/>
      <c r="O239" s="1243"/>
      <c r="P239" s="1243"/>
      <c r="Q239" s="1243"/>
      <c r="R239" s="1243"/>
      <c r="S239" s="2336"/>
      <c r="T239" s="2337"/>
      <c r="U239" s="2337"/>
      <c r="V239" s="2337"/>
      <c r="W239" s="2337"/>
      <c r="X239" s="2337"/>
      <c r="Y239" s="2337"/>
      <c r="Z239" s="2337"/>
      <c r="AA239" s="2337"/>
      <c r="AB239" s="2337"/>
      <c r="AC239" s="2337"/>
      <c r="AD239" s="2337"/>
      <c r="AE239" s="2337"/>
      <c r="AF239" s="2337"/>
      <c r="AG239" s="2337"/>
      <c r="AH239" s="2337"/>
      <c r="AI239" s="2337"/>
      <c r="AJ239" s="2338"/>
      <c r="AK239" s="1243"/>
      <c r="AL239" s="1243"/>
      <c r="AM239" s="1243"/>
      <c r="AN239" s="1243"/>
      <c r="AO239" s="1243"/>
      <c r="AP239" s="1243"/>
      <c r="AQ239" s="1243"/>
      <c r="AR239" s="1243"/>
      <c r="AS239" s="1243"/>
      <c r="AT239" s="1243"/>
      <c r="AU239" s="1243"/>
      <c r="AV239" s="1243"/>
      <c r="AW239" s="1243"/>
      <c r="AX239" s="1243"/>
      <c r="AY239" s="1243"/>
      <c r="AZ239" s="1243"/>
      <c r="BA239" s="1243"/>
      <c r="BB239" s="1243"/>
      <c r="BC239" s="1243"/>
      <c r="BD239" s="1244"/>
      <c r="BE239" s="1196"/>
    </row>
    <row r="240" spans="1:57" ht="15.75" customHeight="1" thickBot="1">
      <c r="A240" s="1192"/>
      <c r="B240" s="1242"/>
      <c r="C240" s="1243"/>
      <c r="D240" s="1243"/>
      <c r="E240" s="1243"/>
      <c r="F240" s="1243"/>
      <c r="G240" s="1243"/>
      <c r="H240" s="1245"/>
      <c r="I240" s="1245"/>
      <c r="J240" s="1245"/>
      <c r="K240" s="1245"/>
      <c r="L240" s="1243"/>
      <c r="M240" s="1243"/>
      <c r="N240" s="1243"/>
      <c r="O240" s="1243"/>
      <c r="P240" s="1243"/>
      <c r="Q240" s="1243"/>
      <c r="R240" s="1243"/>
      <c r="S240" s="1243"/>
      <c r="T240" s="1243"/>
      <c r="U240" s="1243"/>
      <c r="V240" s="1243"/>
      <c r="W240" s="1243"/>
      <c r="X240" s="1243"/>
      <c r="Y240" s="1243"/>
      <c r="Z240" s="1243"/>
      <c r="AA240" s="1243"/>
      <c r="AB240" s="1243"/>
      <c r="AC240" s="1243"/>
      <c r="AD240" s="1243"/>
      <c r="AE240" s="1243"/>
      <c r="AF240" s="1243"/>
      <c r="AG240" s="1243"/>
      <c r="AH240" s="1243"/>
      <c r="AI240" s="1243"/>
      <c r="AJ240" s="1243"/>
      <c r="AK240" s="1243"/>
      <c r="AL240" s="1243"/>
      <c r="AM240" s="1243"/>
      <c r="AN240" s="1243"/>
      <c r="AO240" s="1243"/>
      <c r="AP240" s="1243"/>
      <c r="AQ240" s="1243"/>
      <c r="AR240" s="1243"/>
      <c r="AS240" s="1243"/>
      <c r="AT240" s="1243"/>
      <c r="AU240" s="1243"/>
      <c r="AV240" s="1243"/>
      <c r="AW240" s="1243"/>
      <c r="AX240" s="1243"/>
      <c r="AY240" s="1243"/>
      <c r="AZ240" s="1243"/>
      <c r="BA240" s="1243"/>
      <c r="BB240" s="1243"/>
      <c r="BC240" s="1243"/>
      <c r="BD240" s="1244"/>
      <c r="BE240" s="1196"/>
    </row>
    <row r="241" spans="1:57" ht="15.75" customHeight="1" thickBot="1">
      <c r="A241" s="1192"/>
      <c r="B241" s="1242"/>
      <c r="C241" s="1243"/>
      <c r="D241" s="1243"/>
      <c r="E241" s="1243"/>
      <c r="F241" s="1243"/>
      <c r="G241" s="1243"/>
      <c r="H241" s="2325" t="s">
        <v>2286</v>
      </c>
      <c r="I241" s="2325"/>
      <c r="J241" s="2325"/>
      <c r="K241" s="1245"/>
      <c r="L241" s="1243"/>
      <c r="M241" s="1243"/>
      <c r="N241" s="1243"/>
      <c r="O241" s="1243"/>
      <c r="P241" s="1243"/>
      <c r="Q241" s="1243"/>
      <c r="R241" s="1243"/>
      <c r="S241" s="2326"/>
      <c r="T241" s="2327"/>
      <c r="U241" s="2327"/>
      <c r="V241" s="2327"/>
      <c r="W241" s="2327"/>
      <c r="X241" s="2327"/>
      <c r="Y241" s="2327"/>
      <c r="Z241" s="2327"/>
      <c r="AA241" s="2327"/>
      <c r="AB241" s="2327"/>
      <c r="AC241" s="2327"/>
      <c r="AD241" s="2327"/>
      <c r="AE241" s="2327"/>
      <c r="AF241" s="2327"/>
      <c r="AG241" s="2327"/>
      <c r="AH241" s="2327"/>
      <c r="AI241" s="2327"/>
      <c r="AJ241" s="2328"/>
      <c r="AK241" s="1243"/>
      <c r="AL241" s="1243"/>
      <c r="AM241" s="1243"/>
      <c r="AN241" s="1243"/>
      <c r="AO241" s="1243"/>
      <c r="AP241" s="1243"/>
      <c r="AQ241" s="1243"/>
      <c r="AR241" s="1243"/>
      <c r="AS241" s="1243"/>
      <c r="AT241" s="1243"/>
      <c r="AU241" s="1243"/>
      <c r="AV241" s="1243"/>
      <c r="AW241" s="1243"/>
      <c r="AX241" s="1243"/>
      <c r="AY241" s="1243"/>
      <c r="AZ241" s="1243"/>
      <c r="BA241" s="1243"/>
      <c r="BB241" s="1243"/>
      <c r="BC241" s="1243"/>
      <c r="BD241" s="1244"/>
      <c r="BE241" s="1196"/>
    </row>
    <row r="242" spans="1:57" ht="15.75" customHeight="1" thickBot="1">
      <c r="A242" s="1192"/>
      <c r="B242" s="1242"/>
      <c r="C242" s="1243"/>
      <c r="D242" s="1243"/>
      <c r="E242" s="1243"/>
      <c r="F242" s="1243"/>
      <c r="G242" s="1243"/>
      <c r="H242" s="1245"/>
      <c r="I242" s="1245"/>
      <c r="J242" s="1245"/>
      <c r="K242" s="1245"/>
      <c r="L242" s="1243"/>
      <c r="M242" s="1243"/>
      <c r="N242" s="1243"/>
      <c r="O242" s="1243"/>
      <c r="P242" s="1243"/>
      <c r="Q242" s="1243"/>
      <c r="R242" s="1243"/>
      <c r="S242" s="1243"/>
      <c r="T242" s="1243"/>
      <c r="U242" s="1243"/>
      <c r="V242" s="1243"/>
      <c r="W242" s="1243"/>
      <c r="X242" s="1243"/>
      <c r="Y242" s="1243"/>
      <c r="Z242" s="1243"/>
      <c r="AA242" s="1243"/>
      <c r="AB242" s="1243"/>
      <c r="AC242" s="1243"/>
      <c r="AD242" s="1243"/>
      <c r="AE242" s="1243"/>
      <c r="AF242" s="1243"/>
      <c r="AG242" s="1243"/>
      <c r="AH242" s="1243"/>
      <c r="AI242" s="1243"/>
      <c r="AJ242" s="1243"/>
      <c r="AK242" s="1243"/>
      <c r="AL242" s="1243"/>
      <c r="AM242" s="1243"/>
      <c r="AN242" s="1243"/>
      <c r="AO242" s="1243"/>
      <c r="AP242" s="1243"/>
      <c r="AQ242" s="1243"/>
      <c r="AR242" s="1243"/>
      <c r="AS242" s="1243"/>
      <c r="AT242" s="1243"/>
      <c r="AU242" s="1243"/>
      <c r="AV242" s="1243"/>
      <c r="AW242" s="1243"/>
      <c r="AX242" s="1243"/>
      <c r="AY242" s="1243"/>
      <c r="AZ242" s="1243"/>
      <c r="BA242" s="1243"/>
      <c r="BB242" s="1243"/>
      <c r="BC242" s="1243"/>
      <c r="BD242" s="1244"/>
      <c r="BE242" s="1196"/>
    </row>
    <row r="243" spans="1:57" ht="15.75" customHeight="1" thickBot="1">
      <c r="A243" s="1192"/>
      <c r="B243" s="1242"/>
      <c r="C243" s="1243"/>
      <c r="D243" s="1243"/>
      <c r="E243" s="1243"/>
      <c r="F243" s="1243"/>
      <c r="G243" s="1243"/>
      <c r="H243" s="2325" t="s">
        <v>440</v>
      </c>
      <c r="I243" s="2325"/>
      <c r="J243" s="1245"/>
      <c r="K243" s="1245"/>
      <c r="L243" s="1243"/>
      <c r="M243" s="1243"/>
      <c r="N243" s="1243"/>
      <c r="O243" s="1243"/>
      <c r="P243" s="1243"/>
      <c r="Q243" s="1243"/>
      <c r="R243" s="1243"/>
      <c r="S243" s="2326"/>
      <c r="T243" s="2327"/>
      <c r="U243" s="2327"/>
      <c r="V243" s="2327"/>
      <c r="W243" s="2327"/>
      <c r="X243" s="2327"/>
      <c r="Y243" s="2327"/>
      <c r="Z243" s="2327"/>
      <c r="AA243" s="2327"/>
      <c r="AB243" s="2327"/>
      <c r="AC243" s="2327"/>
      <c r="AD243" s="2327"/>
      <c r="AE243" s="2327"/>
      <c r="AF243" s="2327"/>
      <c r="AG243" s="2327"/>
      <c r="AH243" s="2327"/>
      <c r="AI243" s="2327"/>
      <c r="AJ243" s="2328"/>
      <c r="AK243" s="1243"/>
      <c r="AL243" s="1243"/>
      <c r="AM243" s="1243"/>
      <c r="AN243" s="1243"/>
      <c r="AO243" s="1243"/>
      <c r="AP243" s="1243"/>
      <c r="AQ243" s="1243"/>
      <c r="AR243" s="1243"/>
      <c r="AS243" s="1243"/>
      <c r="AT243" s="1243"/>
      <c r="AU243" s="1243"/>
      <c r="AV243" s="1243"/>
      <c r="AW243" s="1243"/>
      <c r="AX243" s="1243"/>
      <c r="AY243" s="1243"/>
      <c r="AZ243" s="1243"/>
      <c r="BA243" s="1243"/>
      <c r="BB243" s="1243"/>
      <c r="BC243" s="1243"/>
      <c r="BD243" s="1244"/>
      <c r="BE243" s="1196"/>
    </row>
    <row r="244" spans="1:57" ht="15.75" customHeight="1" thickBot="1">
      <c r="A244" s="1192"/>
      <c r="B244" s="1242"/>
      <c r="C244" s="1243"/>
      <c r="D244" s="1243"/>
      <c r="E244" s="1243"/>
      <c r="F244" s="1243"/>
      <c r="G244" s="1243"/>
      <c r="H244" s="1243"/>
      <c r="I244" s="1243"/>
      <c r="J244" s="1243"/>
      <c r="K244" s="1243"/>
      <c r="L244" s="1243"/>
      <c r="M244" s="1243"/>
      <c r="N244" s="1243"/>
      <c r="O244" s="1243"/>
      <c r="P244" s="1243"/>
      <c r="Q244" s="1243"/>
      <c r="R244" s="1243"/>
      <c r="S244" s="1243"/>
      <c r="T244" s="1243"/>
      <c r="U244" s="1243"/>
      <c r="V244" s="1243"/>
      <c r="W244" s="1243"/>
      <c r="X244" s="1243"/>
      <c r="Y244" s="1243"/>
      <c r="Z244" s="1243"/>
      <c r="AA244" s="1243"/>
      <c r="AB244" s="1243"/>
      <c r="AC244" s="1243"/>
      <c r="AD244" s="1243"/>
      <c r="AE244" s="1243"/>
      <c r="AF244" s="1243"/>
      <c r="AG244" s="1243"/>
      <c r="AH244" s="1243"/>
      <c r="AI244" s="1243"/>
      <c r="AJ244" s="1243"/>
      <c r="AK244" s="1243"/>
      <c r="AL244" s="1243"/>
      <c r="AM244" s="1243"/>
      <c r="AN244" s="1243"/>
      <c r="AO244" s="1243"/>
      <c r="AP244" s="1243"/>
      <c r="AQ244" s="1243"/>
      <c r="AR244" s="1243"/>
      <c r="AS244" s="1243"/>
      <c r="AT244" s="1243"/>
      <c r="AU244" s="1243"/>
      <c r="AV244" s="1243"/>
      <c r="AW244" s="1243"/>
      <c r="AX244" s="1243"/>
      <c r="AY244" s="1243"/>
      <c r="AZ244" s="1243"/>
      <c r="BA244" s="1243"/>
      <c r="BB244" s="1243"/>
      <c r="BC244" s="1243"/>
      <c r="BD244" s="1244"/>
      <c r="BE244" s="1196"/>
    </row>
    <row r="245" spans="1:57" ht="15.75" customHeight="1" thickBot="1">
      <c r="A245" s="1192"/>
      <c r="B245" s="1242"/>
      <c r="C245" s="1243"/>
      <c r="D245" s="1243"/>
      <c r="E245" s="1243"/>
      <c r="F245" s="1243"/>
      <c r="G245" s="1243"/>
      <c r="H245" s="2329" t="s">
        <v>2285</v>
      </c>
      <c r="I245" s="2329"/>
      <c r="J245" s="2329"/>
      <c r="K245" s="2329"/>
      <c r="L245" s="2329"/>
      <c r="M245" s="2329"/>
      <c r="N245" s="2329"/>
      <c r="O245" s="2329"/>
      <c r="P245" s="1243"/>
      <c r="Q245" s="1243"/>
      <c r="R245" s="1243"/>
      <c r="S245" s="2326"/>
      <c r="T245" s="2327"/>
      <c r="U245" s="2327"/>
      <c r="V245" s="2327"/>
      <c r="W245" s="2327"/>
      <c r="X245" s="2327"/>
      <c r="Y245" s="2327"/>
      <c r="Z245" s="2327"/>
      <c r="AA245" s="2327"/>
      <c r="AB245" s="2327"/>
      <c r="AC245" s="2327"/>
      <c r="AD245" s="2327"/>
      <c r="AE245" s="2327"/>
      <c r="AF245" s="2327"/>
      <c r="AG245" s="2327"/>
      <c r="AH245" s="2327"/>
      <c r="AI245" s="2327"/>
      <c r="AJ245" s="2328"/>
      <c r="AK245" s="1243"/>
      <c r="AL245" s="1243"/>
      <c r="AM245" s="1243"/>
      <c r="AN245" s="1243"/>
      <c r="AO245" s="1243"/>
      <c r="AP245" s="1243"/>
      <c r="AQ245" s="1243"/>
      <c r="AR245" s="1243"/>
      <c r="AS245" s="1243"/>
      <c r="AT245" s="1243"/>
      <c r="AU245" s="1243"/>
      <c r="AV245" s="1243"/>
      <c r="AW245" s="1243"/>
      <c r="AX245" s="1243"/>
      <c r="AY245" s="1243"/>
      <c r="AZ245" s="1243"/>
      <c r="BA245" s="1243"/>
      <c r="BB245" s="1243"/>
      <c r="BC245" s="1243"/>
      <c r="BD245" s="1244"/>
      <c r="BE245" s="1196"/>
    </row>
    <row r="246" spans="1:57" ht="15.75" customHeight="1" thickBot="1">
      <c r="A246" s="1192"/>
      <c r="B246" s="1242"/>
      <c r="C246" s="1243"/>
      <c r="D246" s="1243"/>
      <c r="E246" s="1243"/>
      <c r="F246" s="1243"/>
      <c r="G246" s="1243"/>
      <c r="H246" s="1243"/>
      <c r="I246" s="1243"/>
      <c r="J246" s="1243"/>
      <c r="K246" s="1243"/>
      <c r="L246" s="1243"/>
      <c r="M246" s="1243"/>
      <c r="N246" s="1243"/>
      <c r="O246" s="1243"/>
      <c r="P246" s="1243"/>
      <c r="Q246" s="1243"/>
      <c r="R246" s="1243"/>
      <c r="S246" s="1243"/>
      <c r="T246" s="1243"/>
      <c r="U246" s="1243"/>
      <c r="V246" s="1243"/>
      <c r="W246" s="1243"/>
      <c r="X246" s="1243"/>
      <c r="Y246" s="1243"/>
      <c r="Z246" s="1243"/>
      <c r="AA246" s="1243"/>
      <c r="AB246" s="1243"/>
      <c r="AC246" s="1243"/>
      <c r="AD246" s="1243"/>
      <c r="AE246" s="1243"/>
      <c r="AF246" s="1243"/>
      <c r="AG246" s="1243"/>
      <c r="AH246" s="1243"/>
      <c r="AI246" s="1243"/>
      <c r="AJ246" s="1243"/>
      <c r="AK246" s="1243"/>
      <c r="AL246" s="1243"/>
      <c r="AM246" s="1243"/>
      <c r="AN246" s="1243"/>
      <c r="AO246" s="1243"/>
      <c r="AP246" s="1243"/>
      <c r="AQ246" s="1243"/>
      <c r="AR246" s="1243"/>
      <c r="AS246" s="1243"/>
      <c r="AT246" s="1243"/>
      <c r="AU246" s="1243"/>
      <c r="AV246" s="1243"/>
      <c r="AW246" s="1243"/>
      <c r="AX246" s="1243"/>
      <c r="AY246" s="1243"/>
      <c r="AZ246" s="1243"/>
      <c r="BA246" s="1243"/>
      <c r="BB246" s="1243"/>
      <c r="BC246" s="1243"/>
      <c r="BD246" s="1244"/>
      <c r="BE246" s="1196"/>
    </row>
    <row r="247" spans="1:57" ht="15.75" customHeight="1" thickBot="1">
      <c r="A247" s="1192"/>
      <c r="B247" s="1242"/>
      <c r="C247" s="1243"/>
      <c r="D247" s="1243"/>
      <c r="E247" s="1243"/>
      <c r="F247" s="1243"/>
      <c r="G247" s="1243"/>
      <c r="H247" s="2330" t="s">
        <v>2284</v>
      </c>
      <c r="I247" s="2330"/>
      <c r="J247" s="1243"/>
      <c r="K247" s="1243"/>
      <c r="L247" s="1243"/>
      <c r="M247" s="1243"/>
      <c r="N247" s="1243"/>
      <c r="O247" s="1243"/>
      <c r="P247" s="1243"/>
      <c r="Q247" s="1243"/>
      <c r="R247" s="1243"/>
      <c r="S247" s="2331"/>
      <c r="T247" s="2332"/>
      <c r="U247" s="2332"/>
      <c r="V247" s="2332"/>
      <c r="W247" s="2332"/>
      <c r="X247" s="2332"/>
      <c r="Y247" s="2332"/>
      <c r="Z247" s="2332"/>
      <c r="AA247" s="2332"/>
      <c r="AB247" s="2332"/>
      <c r="AC247" s="2332"/>
      <c r="AD247" s="2332"/>
      <c r="AE247" s="2332"/>
      <c r="AF247" s="2332"/>
      <c r="AG247" s="2332"/>
      <c r="AH247" s="2332"/>
      <c r="AI247" s="2332"/>
      <c r="AJ247" s="2333"/>
      <c r="AK247" s="1243"/>
      <c r="AL247" s="1243"/>
      <c r="AM247" s="1243"/>
      <c r="AN247" s="1243"/>
      <c r="AO247" s="1243"/>
      <c r="AP247" s="1243"/>
      <c r="AQ247" s="1243"/>
      <c r="AR247" s="1243"/>
      <c r="AS247" s="1243"/>
      <c r="AT247" s="1243"/>
      <c r="AU247" s="1243"/>
      <c r="AV247" s="1243"/>
      <c r="AW247" s="1243"/>
      <c r="AX247" s="1243"/>
      <c r="AY247" s="1243"/>
      <c r="AZ247" s="1243"/>
      <c r="BA247" s="1243"/>
      <c r="BB247" s="1243"/>
      <c r="BC247" s="1243"/>
      <c r="BD247" s="1244"/>
      <c r="BE247" s="1196"/>
    </row>
    <row r="248" spans="1:57" ht="15.75" customHeight="1" thickBot="1">
      <c r="A248" s="1192"/>
      <c r="B248" s="1246"/>
      <c r="C248" s="1247"/>
      <c r="D248" s="1247"/>
      <c r="E248" s="1247"/>
      <c r="F248" s="1247"/>
      <c r="G248" s="1247"/>
      <c r="H248" s="1247"/>
      <c r="I248" s="1247"/>
      <c r="J248" s="1247"/>
      <c r="K248" s="1247"/>
      <c r="L248" s="1247"/>
      <c r="M248" s="1247"/>
      <c r="N248" s="1247"/>
      <c r="O248" s="1247"/>
      <c r="P248" s="1247"/>
      <c r="Q248" s="1247"/>
      <c r="R248" s="1247"/>
      <c r="S248" s="1247"/>
      <c r="T248" s="1247"/>
      <c r="U248" s="1247"/>
      <c r="V248" s="1247"/>
      <c r="W248" s="1247"/>
      <c r="X248" s="1247"/>
      <c r="Y248" s="1247"/>
      <c r="Z248" s="1247"/>
      <c r="AA248" s="1247"/>
      <c r="AB248" s="1247"/>
      <c r="AC248" s="1247"/>
      <c r="AD248" s="1247"/>
      <c r="AE248" s="1247"/>
      <c r="AF248" s="1247"/>
      <c r="AG248" s="1247"/>
      <c r="AH248" s="1247"/>
      <c r="AI248" s="1247"/>
      <c r="AJ248" s="1247"/>
      <c r="AK248" s="1247"/>
      <c r="AL248" s="1247"/>
      <c r="AM248" s="1247"/>
      <c r="AN248" s="1247"/>
      <c r="AO248" s="1247"/>
      <c r="AP248" s="1247"/>
      <c r="AQ248" s="1247"/>
      <c r="AR248" s="1247"/>
      <c r="AS248" s="1247"/>
      <c r="AT248" s="1247"/>
      <c r="AU248" s="1247"/>
      <c r="AV248" s="1247"/>
      <c r="AW248" s="1247"/>
      <c r="AX248" s="1247"/>
      <c r="AY248" s="1247"/>
      <c r="AZ248" s="1247"/>
      <c r="BA248" s="1247"/>
      <c r="BB248" s="1247"/>
      <c r="BC248" s="1247"/>
      <c r="BD248" s="1248"/>
      <c r="BE248" s="1196"/>
    </row>
    <row r="249" spans="1:57" ht="15.75" customHeight="1" thickBot="1">
      <c r="A249" s="1240"/>
      <c r="B249" s="1240"/>
      <c r="C249" s="1240"/>
      <c r="D249" s="1240"/>
      <c r="E249" s="1240"/>
      <c r="F249" s="1240"/>
      <c r="G249" s="1240"/>
      <c r="H249" s="1240"/>
      <c r="I249" s="1240"/>
      <c r="J249" s="1240"/>
      <c r="K249" s="1240"/>
      <c r="L249" s="1240"/>
      <c r="M249" s="1240"/>
      <c r="N249" s="1240"/>
      <c r="O249" s="1240"/>
      <c r="P249" s="1240"/>
      <c r="Q249" s="1240"/>
      <c r="R249" s="1240"/>
      <c r="S249" s="1240"/>
      <c r="T249" s="1240"/>
      <c r="U249" s="1240"/>
      <c r="V249" s="1240"/>
      <c r="W249" s="1240"/>
      <c r="X249" s="1240"/>
      <c r="Y249" s="1240"/>
      <c r="Z249" s="1240"/>
      <c r="AA249" s="1240"/>
      <c r="AB249" s="1240"/>
      <c r="AC249" s="1240"/>
      <c r="AD249" s="1240"/>
      <c r="AE249" s="1240"/>
      <c r="AF249" s="1240"/>
      <c r="AG249" s="1240"/>
      <c r="AH249" s="1240"/>
      <c r="AI249" s="1240"/>
      <c r="AJ249" s="1240"/>
      <c r="AK249" s="1240"/>
      <c r="AL249" s="1240"/>
      <c r="AM249" s="1240"/>
      <c r="AN249" s="1240"/>
      <c r="AO249" s="1240"/>
      <c r="AP249" s="1240"/>
      <c r="AQ249" s="1240"/>
      <c r="AR249" s="1240"/>
      <c r="AS249" s="1240"/>
      <c r="AT249" s="1240"/>
      <c r="AU249" s="1240"/>
      <c r="AV249" s="1240"/>
      <c r="AW249" s="1240"/>
      <c r="AX249" s="1240"/>
      <c r="AY249" s="1240"/>
      <c r="AZ249" s="1240"/>
      <c r="BA249" s="1240"/>
      <c r="BB249" s="1240"/>
      <c r="BC249" s="1240"/>
      <c r="BD249" s="1240"/>
      <c r="BE249" s="1241"/>
    </row>
    <row r="252" spans="1:57" ht="15.75" customHeight="1">
      <c r="D252" s="1190"/>
    </row>
    <row r="253" spans="1:57" ht="15.75" customHeight="1">
      <c r="D253" s="1249"/>
    </row>
    <row r="254" spans="1:57" ht="15.75" customHeight="1">
      <c r="D254" s="1190"/>
    </row>
    <row r="255" spans="1:57" ht="15.75" customHeight="1">
      <c r="D255" s="1190"/>
    </row>
    <row r="256" spans="1:57" ht="15.75" customHeight="1">
      <c r="R256" s="1189" t="s">
        <v>249</v>
      </c>
    </row>
  </sheetData>
  <sheetProtection algorithmName="SHA-512" hashValue="0Tx11GszI03ULlEnJOfNa3lG7hWSJyqc2z35uV0yoBHOOyh1m/Av+mwKUrR7kf1+3vhZNzmv8uXP36ttbYbsXg==" saltValue="d2Bnj30a7Tg70053c5jfTw==" spinCount="100000" sheet="1" objects="1" scenarios="1"/>
  <mergeCells count="701">
    <mergeCell ref="H243:I243"/>
    <mergeCell ref="S243:AJ243"/>
    <mergeCell ref="H245:O245"/>
    <mergeCell ref="S245:AJ245"/>
    <mergeCell ref="H247:I247"/>
    <mergeCell ref="S247:AJ247"/>
    <mergeCell ref="H232:AZ235"/>
    <mergeCell ref="H237:AV237"/>
    <mergeCell ref="H239:K239"/>
    <mergeCell ref="S239:AJ239"/>
    <mergeCell ref="H241:J241"/>
    <mergeCell ref="S241:AJ241"/>
    <mergeCell ref="B221:BD221"/>
    <mergeCell ref="B222:BD222"/>
    <mergeCell ref="B223:BD223"/>
    <mergeCell ref="B224:BD224"/>
    <mergeCell ref="B226:BD226"/>
    <mergeCell ref="H230:AY230"/>
    <mergeCell ref="AG215:AK215"/>
    <mergeCell ref="C216:O216"/>
    <mergeCell ref="P216:T216"/>
    <mergeCell ref="U216:X216"/>
    <mergeCell ref="Y216:AB216"/>
    <mergeCell ref="AC216:AF216"/>
    <mergeCell ref="AG216:AK216"/>
    <mergeCell ref="C215:F215"/>
    <mergeCell ref="G215:O215"/>
    <mergeCell ref="P215:T215"/>
    <mergeCell ref="U215:X215"/>
    <mergeCell ref="Y215:AB215"/>
    <mergeCell ref="AC215:AF215"/>
    <mergeCell ref="AG213:AK213"/>
    <mergeCell ref="C214:F214"/>
    <mergeCell ref="G214:O214"/>
    <mergeCell ref="P214:T214"/>
    <mergeCell ref="U214:X214"/>
    <mergeCell ref="Y214:AB214"/>
    <mergeCell ref="AC214:AF214"/>
    <mergeCell ref="AG214:AK214"/>
    <mergeCell ref="C213:F213"/>
    <mergeCell ref="G213:O213"/>
    <mergeCell ref="P213:T213"/>
    <mergeCell ref="U213:X213"/>
    <mergeCell ref="Y213:AB213"/>
    <mergeCell ref="AC213:AF213"/>
    <mergeCell ref="AG211:AK211"/>
    <mergeCell ref="C212:F212"/>
    <mergeCell ref="G212:O212"/>
    <mergeCell ref="P212:T212"/>
    <mergeCell ref="U212:X212"/>
    <mergeCell ref="Y212:AB212"/>
    <mergeCell ref="AC212:AF212"/>
    <mergeCell ref="AG212:AK212"/>
    <mergeCell ref="C211:F211"/>
    <mergeCell ref="G211:O211"/>
    <mergeCell ref="P211:T211"/>
    <mergeCell ref="U211:X211"/>
    <mergeCell ref="Y211:AB211"/>
    <mergeCell ref="AC211:AF211"/>
    <mergeCell ref="AG209:AK209"/>
    <mergeCell ref="C210:F210"/>
    <mergeCell ref="G210:O210"/>
    <mergeCell ref="P210:T210"/>
    <mergeCell ref="U210:X210"/>
    <mergeCell ref="Y210:AB210"/>
    <mergeCell ref="AC210:AF210"/>
    <mergeCell ref="AG210:AK210"/>
    <mergeCell ref="C209:F209"/>
    <mergeCell ref="G209:O209"/>
    <mergeCell ref="P209:T209"/>
    <mergeCell ref="U209:X209"/>
    <mergeCell ref="Y209:AB209"/>
    <mergeCell ref="AC209:AF209"/>
    <mergeCell ref="C204:AE204"/>
    <mergeCell ref="C206:AK206"/>
    <mergeCell ref="C207:F208"/>
    <mergeCell ref="G207:O208"/>
    <mergeCell ref="P207:T208"/>
    <mergeCell ref="U207:X208"/>
    <mergeCell ref="Y207:AB208"/>
    <mergeCell ref="AC207:AF208"/>
    <mergeCell ref="AG207:AK208"/>
    <mergeCell ref="C202:N202"/>
    <mergeCell ref="O202:W202"/>
    <mergeCell ref="X202:AE202"/>
    <mergeCell ref="C203:N203"/>
    <mergeCell ref="O203:W203"/>
    <mergeCell ref="X203:AE203"/>
    <mergeCell ref="C199:AE199"/>
    <mergeCell ref="C200:N200"/>
    <mergeCell ref="O200:W200"/>
    <mergeCell ref="X200:AE200"/>
    <mergeCell ref="C201:N201"/>
    <mergeCell ref="O201:W201"/>
    <mergeCell ref="X201:AE201"/>
    <mergeCell ref="C195:M195"/>
    <mergeCell ref="N195:T195"/>
    <mergeCell ref="AH195:BE196"/>
    <mergeCell ref="C196:M196"/>
    <mergeCell ref="N196:T196"/>
    <mergeCell ref="AH197:AR197"/>
    <mergeCell ref="AS197:AX197"/>
    <mergeCell ref="AY197:BD197"/>
    <mergeCell ref="C194:D194"/>
    <mergeCell ref="E194:M194"/>
    <mergeCell ref="N194:T194"/>
    <mergeCell ref="U194:AE194"/>
    <mergeCell ref="AH194:AT194"/>
    <mergeCell ref="AU194:BB194"/>
    <mergeCell ref="C193:D193"/>
    <mergeCell ref="E193:M193"/>
    <mergeCell ref="N193:T193"/>
    <mergeCell ref="U193:AE193"/>
    <mergeCell ref="BC193:BE193"/>
    <mergeCell ref="C192:D192"/>
    <mergeCell ref="E192:M192"/>
    <mergeCell ref="N192:T192"/>
    <mergeCell ref="U192:AE192"/>
    <mergeCell ref="AH192:AT192"/>
    <mergeCell ref="AU192:BB192"/>
    <mergeCell ref="U189:AE189"/>
    <mergeCell ref="AH189:BE189"/>
    <mergeCell ref="C190:M190"/>
    <mergeCell ref="N190:T190"/>
    <mergeCell ref="U190:AE190"/>
    <mergeCell ref="AH190:AT190"/>
    <mergeCell ref="AU190:BB190"/>
    <mergeCell ref="BC190:BE190"/>
    <mergeCell ref="BC192:BE192"/>
    <mergeCell ref="C186:M186"/>
    <mergeCell ref="N186:T186"/>
    <mergeCell ref="C182:AE183"/>
    <mergeCell ref="C191:M191"/>
    <mergeCell ref="N191:T191"/>
    <mergeCell ref="U191:AE191"/>
    <mergeCell ref="AH191:AT191"/>
    <mergeCell ref="AU191:BB191"/>
    <mergeCell ref="AH182:BE188"/>
    <mergeCell ref="C184:M184"/>
    <mergeCell ref="N184:T184"/>
    <mergeCell ref="U184:AE184"/>
    <mergeCell ref="C185:M185"/>
    <mergeCell ref="N185:T185"/>
    <mergeCell ref="U185:AE185"/>
    <mergeCell ref="C187:M187"/>
    <mergeCell ref="N187:T187"/>
    <mergeCell ref="U187:AE187"/>
    <mergeCell ref="C188:M188"/>
    <mergeCell ref="N188:T188"/>
    <mergeCell ref="U188:AE188"/>
    <mergeCell ref="BC191:BE191"/>
    <mergeCell ref="C189:M189"/>
    <mergeCell ref="N189:T189"/>
    <mergeCell ref="C172:N172"/>
    <mergeCell ref="P172:AO172"/>
    <mergeCell ref="C173:H173"/>
    <mergeCell ref="I173:N173"/>
    <mergeCell ref="P173:AO180"/>
    <mergeCell ref="C174:H174"/>
    <mergeCell ref="I174:N174"/>
    <mergeCell ref="C175:H175"/>
    <mergeCell ref="I175:N175"/>
    <mergeCell ref="C176:H176"/>
    <mergeCell ref="I176:N176"/>
    <mergeCell ref="C177:H177"/>
    <mergeCell ref="I177:N177"/>
    <mergeCell ref="C178:H178"/>
    <mergeCell ref="I178:N178"/>
    <mergeCell ref="C179:H179"/>
    <mergeCell ref="I179:N179"/>
    <mergeCell ref="C180:H180"/>
    <mergeCell ref="I180:N180"/>
    <mergeCell ref="C169:E169"/>
    <mergeCell ref="F169:P169"/>
    <mergeCell ref="Q169:S169"/>
    <mergeCell ref="T169:AA169"/>
    <mergeCell ref="AB169:AG169"/>
    <mergeCell ref="C170:E170"/>
    <mergeCell ref="F170:P170"/>
    <mergeCell ref="Q170:S170"/>
    <mergeCell ref="T170:AA170"/>
    <mergeCell ref="AB170:AG170"/>
    <mergeCell ref="AB167:AG167"/>
    <mergeCell ref="C168:E168"/>
    <mergeCell ref="F168:P168"/>
    <mergeCell ref="Q168:S168"/>
    <mergeCell ref="T168:AA168"/>
    <mergeCell ref="AB168:AG168"/>
    <mergeCell ref="C166:P166"/>
    <mergeCell ref="Q166:S166"/>
    <mergeCell ref="T166:AA166"/>
    <mergeCell ref="C167:P167"/>
    <mergeCell ref="Q167:S167"/>
    <mergeCell ref="T167:AA167"/>
    <mergeCell ref="C164:P164"/>
    <mergeCell ref="Q164:S164"/>
    <mergeCell ref="T164:AA164"/>
    <mergeCell ref="C165:P165"/>
    <mergeCell ref="Q165:S165"/>
    <mergeCell ref="T165:AA165"/>
    <mergeCell ref="B160:H160"/>
    <mergeCell ref="I160:O160"/>
    <mergeCell ref="P160:U160"/>
    <mergeCell ref="C162:AG162"/>
    <mergeCell ref="C163:P163"/>
    <mergeCell ref="Q163:S163"/>
    <mergeCell ref="T163:AA163"/>
    <mergeCell ref="AB163:AG163"/>
    <mergeCell ref="B159:H159"/>
    <mergeCell ref="I159:O159"/>
    <mergeCell ref="P159:U159"/>
    <mergeCell ref="X159:AD159"/>
    <mergeCell ref="AE159:AK159"/>
    <mergeCell ref="AL159:AQ159"/>
    <mergeCell ref="B157:H158"/>
    <mergeCell ref="I157:O158"/>
    <mergeCell ref="P157:U158"/>
    <mergeCell ref="X157:AD158"/>
    <mergeCell ref="AE157:AK158"/>
    <mergeCell ref="AL157:AQ158"/>
    <mergeCell ref="B141:AG141"/>
    <mergeCell ref="AH141:AX141"/>
    <mergeCell ref="B142:Q142"/>
    <mergeCell ref="R142:AX142"/>
    <mergeCell ref="B143:AX152"/>
    <mergeCell ref="B156:U156"/>
    <mergeCell ref="X156:AQ156"/>
    <mergeCell ref="B137:H137"/>
    <mergeCell ref="I137:O137"/>
    <mergeCell ref="P137:U137"/>
    <mergeCell ref="B139:AG139"/>
    <mergeCell ref="AH139:AX139"/>
    <mergeCell ref="B140:AG140"/>
    <mergeCell ref="AH140:AX140"/>
    <mergeCell ref="X127:BD137"/>
    <mergeCell ref="B133:U133"/>
    <mergeCell ref="B134:H135"/>
    <mergeCell ref="I134:O135"/>
    <mergeCell ref="P134:U135"/>
    <mergeCell ref="B136:H136"/>
    <mergeCell ref="I136:O136"/>
    <mergeCell ref="P136:U136"/>
    <mergeCell ref="B127:H127"/>
    <mergeCell ref="I127:N127"/>
    <mergeCell ref="O127:U127"/>
    <mergeCell ref="B128:H128"/>
    <mergeCell ref="I128:N128"/>
    <mergeCell ref="O128:U128"/>
    <mergeCell ref="B129:H129"/>
    <mergeCell ref="I129:N129"/>
    <mergeCell ref="O129:U129"/>
    <mergeCell ref="B117:T120"/>
    <mergeCell ref="U117:X120"/>
    <mergeCell ref="B121:T122"/>
    <mergeCell ref="U121:X122"/>
    <mergeCell ref="X125:BD126"/>
    <mergeCell ref="B126:U126"/>
    <mergeCell ref="B112:H112"/>
    <mergeCell ref="I112:N112"/>
    <mergeCell ref="O112:U112"/>
    <mergeCell ref="V112:AA112"/>
    <mergeCell ref="AB112:AH112"/>
    <mergeCell ref="F115:R115"/>
    <mergeCell ref="B110:H110"/>
    <mergeCell ref="I110:N110"/>
    <mergeCell ref="O110:U110"/>
    <mergeCell ref="V110:AA110"/>
    <mergeCell ref="AB110:AH110"/>
    <mergeCell ref="B111:H111"/>
    <mergeCell ref="I111:N111"/>
    <mergeCell ref="O111:U111"/>
    <mergeCell ref="V111:AA111"/>
    <mergeCell ref="AB111:AH111"/>
    <mergeCell ref="F104:R104"/>
    <mergeCell ref="O105:R105"/>
    <mergeCell ref="B107:AH107"/>
    <mergeCell ref="B108:H109"/>
    <mergeCell ref="I108:N109"/>
    <mergeCell ref="O108:U109"/>
    <mergeCell ref="V108:AA109"/>
    <mergeCell ref="AB108:AH109"/>
    <mergeCell ref="AJ100:BB101"/>
    <mergeCell ref="B101:H101"/>
    <mergeCell ref="I101:N101"/>
    <mergeCell ref="O101:U101"/>
    <mergeCell ref="V101:AA101"/>
    <mergeCell ref="AB101:AH101"/>
    <mergeCell ref="V99:AA99"/>
    <mergeCell ref="AB99:AH99"/>
    <mergeCell ref="B100:H100"/>
    <mergeCell ref="I100:N100"/>
    <mergeCell ref="O100:U100"/>
    <mergeCell ref="V100:AA100"/>
    <mergeCell ref="AB100:AH100"/>
    <mergeCell ref="AJ96:AX99"/>
    <mergeCell ref="AY96:BB99"/>
    <mergeCell ref="B97:H98"/>
    <mergeCell ref="I97:N98"/>
    <mergeCell ref="O97:U98"/>
    <mergeCell ref="V97:AA98"/>
    <mergeCell ref="AB97:AH98"/>
    <mergeCell ref="B99:H99"/>
    <mergeCell ref="I99:N99"/>
    <mergeCell ref="O99:U99"/>
    <mergeCell ref="F92:T92"/>
    <mergeCell ref="B93:Q93"/>
    <mergeCell ref="R93:T93"/>
    <mergeCell ref="B94:Q94"/>
    <mergeCell ref="R94:T94"/>
    <mergeCell ref="B96:AH96"/>
    <mergeCell ref="AJ87:BB88"/>
    <mergeCell ref="B88:H88"/>
    <mergeCell ref="I88:N88"/>
    <mergeCell ref="O88:U88"/>
    <mergeCell ref="V88:AA88"/>
    <mergeCell ref="AB88:AH88"/>
    <mergeCell ref="V86:AA86"/>
    <mergeCell ref="AB86:AH86"/>
    <mergeCell ref="B87:H87"/>
    <mergeCell ref="I87:N87"/>
    <mergeCell ref="O87:U87"/>
    <mergeCell ref="V87:AA87"/>
    <mergeCell ref="AB87:AH87"/>
    <mergeCell ref="AJ83:AX86"/>
    <mergeCell ref="AY83:BB86"/>
    <mergeCell ref="B84:H85"/>
    <mergeCell ref="I84:N85"/>
    <mergeCell ref="O84:U85"/>
    <mergeCell ref="V84:AA85"/>
    <mergeCell ref="AB84:AH85"/>
    <mergeCell ref="B86:H86"/>
    <mergeCell ref="I86:N86"/>
    <mergeCell ref="O86:U86"/>
    <mergeCell ref="F79:T79"/>
    <mergeCell ref="B80:Q80"/>
    <mergeCell ref="R80:T80"/>
    <mergeCell ref="B81:Q81"/>
    <mergeCell ref="R81:T81"/>
    <mergeCell ref="B83:AH83"/>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O47"/>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3:P13"/>
    <mergeCell ref="Q13:T13"/>
    <mergeCell ref="AA13:AN13"/>
    <mergeCell ref="AO13:AS13"/>
    <mergeCell ref="AA14:AN14"/>
    <mergeCell ref="AO14:AS14"/>
    <mergeCell ref="AF9:AO9"/>
    <mergeCell ref="AP9:AU9"/>
    <mergeCell ref="N10:T10"/>
    <mergeCell ref="AF10:AO10"/>
    <mergeCell ref="AP10:AU10"/>
    <mergeCell ref="N11:T11"/>
    <mergeCell ref="AF11:AO11"/>
    <mergeCell ref="AP11:AU1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s>
  <dataValidations count="6">
    <dataValidation type="list" allowBlank="1" showInputMessage="1" showErrorMessage="1" sqref="F104 F79 F92" xr:uid="{1FCB458F-1225-43AF-8FF1-2B902753D698}">
      <formula1>$BQ$96:$BQ$98</formula1>
    </dataValidation>
    <dataValidation type="list" allowBlank="1" showInputMessage="1" showErrorMessage="1" sqref="AP8:AU8" xr:uid="{824BC104-7AD7-4EDE-A931-906012CA9D6C}">
      <formula1>$BM$9:$BM$13</formula1>
    </dataValidation>
    <dataValidation type="list" allowBlank="1" showInputMessage="1" showErrorMessage="1" sqref="BM68:BM70" xr:uid="{AA69C59B-EBB5-4938-AFBE-6CF369304820}">
      <formula1>$BM$68:$BM$70</formula1>
    </dataValidation>
    <dataValidation type="list" allowBlank="1" showInputMessage="1" showErrorMessage="1" sqref="AV68:BC69 AY96:BB99 U117:X120 AY83:BB86 AH139:AX139 AH141:AX141" xr:uid="{BA8D614D-1177-459E-8523-7B747D245324}">
      <formula1>$BM$69:$BM$71</formula1>
    </dataValidation>
    <dataValidation type="list" allowBlank="1" showInputMessage="1" showErrorMessage="1" sqref="Q13:T13" xr:uid="{1E70C12F-0BE7-4AFE-927D-E210EC278E7A}">
      <formula1>$BM$69:$BM$70</formula1>
    </dataValidation>
    <dataValidation type="list" showDropDown="1" showInputMessage="1" showErrorMessage="1" sqref="F115:R115" xr:uid="{11A1EE09-923A-44E2-8738-714A1724F8E8}">
      <formula1>$BQ$96:$BQ$98</formula1>
    </dataValidation>
  </dataValidations>
  <pageMargins left="0.7" right="0.7" top="0.75" bottom="0.75" header="0.3" footer="0.3"/>
  <pageSetup paperSize="5" scale="46"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workbookViewId="0">
      <selection activeCell="AK54" sqref="AK54"/>
    </sheetView>
  </sheetViews>
  <sheetFormatPr defaultColWidth="0" defaultRowHeight="13" customHeight="1"/>
  <cols>
    <col min="1" max="1" width="1.54296875" style="403" customWidth="1"/>
    <col min="2" max="2" width="0.81640625" style="403" customWidth="1"/>
    <col min="3" max="18" width="2.54296875" style="403" customWidth="1"/>
    <col min="19" max="19" width="6.26953125" style="403" customWidth="1"/>
    <col min="20" max="39" width="2.7265625" style="403" customWidth="1"/>
    <col min="40" max="40" width="1.54296875" style="403" customWidth="1"/>
    <col min="41" max="256" width="2.54296875" style="403" hidden="1"/>
    <col min="257" max="257" width="1.54296875" style="403" hidden="1" customWidth="1"/>
    <col min="258" max="258" width="0.81640625" style="403" hidden="1" customWidth="1"/>
    <col min="259" max="274" width="2.54296875" style="403" hidden="1" customWidth="1"/>
    <col min="275" max="275" width="4" style="403" hidden="1" customWidth="1"/>
    <col min="276" max="279" width="2.54296875" style="403" hidden="1" customWidth="1"/>
    <col min="280" max="280" width="2.453125" style="403" hidden="1" customWidth="1"/>
    <col min="281" max="284" width="2.54296875" style="403" hidden="1" customWidth="1"/>
    <col min="285" max="285" width="2.453125" style="403" hidden="1" customWidth="1"/>
    <col min="286" max="289" width="2.54296875" style="403" hidden="1" customWidth="1"/>
    <col min="290" max="295" width="2.453125" style="403" hidden="1" customWidth="1"/>
    <col min="296" max="296" width="1.54296875" style="403" hidden="1" customWidth="1"/>
    <col min="297" max="512" width="2.54296875" style="403" hidden="1"/>
    <col min="513" max="513" width="1.54296875" style="403" hidden="1" customWidth="1"/>
    <col min="514" max="514" width="0.81640625" style="403" hidden="1" customWidth="1"/>
    <col min="515" max="530" width="2.54296875" style="403" hidden="1" customWidth="1"/>
    <col min="531" max="531" width="4" style="403" hidden="1" customWidth="1"/>
    <col min="532" max="535" width="2.54296875" style="403" hidden="1" customWidth="1"/>
    <col min="536" max="536" width="2.453125" style="403" hidden="1" customWidth="1"/>
    <col min="537" max="540" width="2.54296875" style="403" hidden="1" customWidth="1"/>
    <col min="541" max="541" width="2.453125" style="403" hidden="1" customWidth="1"/>
    <col min="542" max="545" width="2.54296875" style="403" hidden="1" customWidth="1"/>
    <col min="546" max="551" width="2.453125" style="403" hidden="1" customWidth="1"/>
    <col min="552" max="552" width="1.54296875" style="403" hidden="1" customWidth="1"/>
    <col min="553" max="768" width="2.54296875" style="403" hidden="1"/>
    <col min="769" max="769" width="1.54296875" style="403" hidden="1" customWidth="1"/>
    <col min="770" max="770" width="0.81640625" style="403" hidden="1" customWidth="1"/>
    <col min="771" max="786" width="2.54296875" style="403" hidden="1" customWidth="1"/>
    <col min="787" max="787" width="4" style="403" hidden="1" customWidth="1"/>
    <col min="788" max="791" width="2.54296875" style="403" hidden="1" customWidth="1"/>
    <col min="792" max="792" width="2.453125" style="403" hidden="1" customWidth="1"/>
    <col min="793" max="796" width="2.54296875" style="403" hidden="1" customWidth="1"/>
    <col min="797" max="797" width="2.453125" style="403" hidden="1" customWidth="1"/>
    <col min="798" max="801" width="2.54296875" style="403" hidden="1" customWidth="1"/>
    <col min="802" max="807" width="2.453125" style="403" hidden="1" customWidth="1"/>
    <col min="808" max="808" width="1.54296875" style="403" hidden="1" customWidth="1"/>
    <col min="809" max="1024" width="2.54296875" style="403" hidden="1"/>
    <col min="1025" max="1025" width="1.54296875" style="403" hidden="1" customWidth="1"/>
    <col min="1026" max="1026" width="0.81640625" style="403" hidden="1" customWidth="1"/>
    <col min="1027" max="1042" width="2.54296875" style="403" hidden="1" customWidth="1"/>
    <col min="1043" max="1043" width="4" style="403" hidden="1" customWidth="1"/>
    <col min="1044" max="1047" width="2.54296875" style="403" hidden="1" customWidth="1"/>
    <col min="1048" max="1048" width="2.453125" style="403" hidden="1" customWidth="1"/>
    <col min="1049" max="1052" width="2.54296875" style="403" hidden="1" customWidth="1"/>
    <col min="1053" max="1053" width="2.453125" style="403" hidden="1" customWidth="1"/>
    <col min="1054" max="1057" width="2.54296875" style="403" hidden="1" customWidth="1"/>
    <col min="1058" max="1063" width="2.453125" style="403" hidden="1" customWidth="1"/>
    <col min="1064" max="1064" width="1.54296875" style="403" hidden="1" customWidth="1"/>
    <col min="1065" max="1280" width="2.54296875" style="403" hidden="1"/>
    <col min="1281" max="1281" width="1.54296875" style="403" hidden="1" customWidth="1"/>
    <col min="1282" max="1282" width="0.81640625" style="403" hidden="1" customWidth="1"/>
    <col min="1283" max="1298" width="2.54296875" style="403" hidden="1" customWidth="1"/>
    <col min="1299" max="1299" width="4" style="403" hidden="1" customWidth="1"/>
    <col min="1300" max="1303" width="2.54296875" style="403" hidden="1" customWidth="1"/>
    <col min="1304" max="1304" width="2.453125" style="403" hidden="1" customWidth="1"/>
    <col min="1305" max="1308" width="2.54296875" style="403" hidden="1" customWidth="1"/>
    <col min="1309" max="1309" width="2.453125" style="403" hidden="1" customWidth="1"/>
    <col min="1310" max="1313" width="2.54296875" style="403" hidden="1" customWidth="1"/>
    <col min="1314" max="1319" width="2.453125" style="403" hidden="1" customWidth="1"/>
    <col min="1320" max="1320" width="1.54296875" style="403" hidden="1" customWidth="1"/>
    <col min="1321" max="1536" width="2.54296875" style="403" hidden="1"/>
    <col min="1537" max="1537" width="1.54296875" style="403" hidden="1" customWidth="1"/>
    <col min="1538" max="1538" width="0.81640625" style="403" hidden="1" customWidth="1"/>
    <col min="1539" max="1554" width="2.54296875" style="403" hidden="1" customWidth="1"/>
    <col min="1555" max="1555" width="4" style="403" hidden="1" customWidth="1"/>
    <col min="1556" max="1559" width="2.54296875" style="403" hidden="1" customWidth="1"/>
    <col min="1560" max="1560" width="2.453125" style="403" hidden="1" customWidth="1"/>
    <col min="1561" max="1564" width="2.54296875" style="403" hidden="1" customWidth="1"/>
    <col min="1565" max="1565" width="2.453125" style="403" hidden="1" customWidth="1"/>
    <col min="1566" max="1569" width="2.54296875" style="403" hidden="1" customWidth="1"/>
    <col min="1570" max="1575" width="2.453125" style="403" hidden="1" customWidth="1"/>
    <col min="1576" max="1576" width="1.54296875" style="403" hidden="1" customWidth="1"/>
    <col min="1577" max="1792" width="2.54296875" style="403" hidden="1"/>
    <col min="1793" max="1793" width="1.54296875" style="403" hidden="1" customWidth="1"/>
    <col min="1794" max="1794" width="0.81640625" style="403" hidden="1" customWidth="1"/>
    <col min="1795" max="1810" width="2.54296875" style="403" hidden="1" customWidth="1"/>
    <col min="1811" max="1811" width="4" style="403" hidden="1" customWidth="1"/>
    <col min="1812" max="1815" width="2.54296875" style="403" hidden="1" customWidth="1"/>
    <col min="1816" max="1816" width="2.453125" style="403" hidden="1" customWidth="1"/>
    <col min="1817" max="1820" width="2.54296875" style="403" hidden="1" customWidth="1"/>
    <col min="1821" max="1821" width="2.453125" style="403" hidden="1" customWidth="1"/>
    <col min="1822" max="1825" width="2.54296875" style="403" hidden="1" customWidth="1"/>
    <col min="1826" max="1831" width="2.453125" style="403" hidden="1" customWidth="1"/>
    <col min="1832" max="1832" width="1.54296875" style="403" hidden="1" customWidth="1"/>
    <col min="1833" max="2048" width="2.54296875" style="403" hidden="1"/>
    <col min="2049" max="2049" width="1.54296875" style="403" hidden="1" customWidth="1"/>
    <col min="2050" max="2050" width="0.81640625" style="403" hidden="1" customWidth="1"/>
    <col min="2051" max="2066" width="2.54296875" style="403" hidden="1" customWidth="1"/>
    <col min="2067" max="2067" width="4" style="403" hidden="1" customWidth="1"/>
    <col min="2068" max="2071" width="2.54296875" style="403" hidden="1" customWidth="1"/>
    <col min="2072" max="2072" width="2.453125" style="403" hidden="1" customWidth="1"/>
    <col min="2073" max="2076" width="2.54296875" style="403" hidden="1" customWidth="1"/>
    <col min="2077" max="2077" width="2.453125" style="403" hidden="1" customWidth="1"/>
    <col min="2078" max="2081" width="2.54296875" style="403" hidden="1" customWidth="1"/>
    <col min="2082" max="2087" width="2.453125" style="403" hidden="1" customWidth="1"/>
    <col min="2088" max="2088" width="1.54296875" style="403" hidden="1" customWidth="1"/>
    <col min="2089" max="2304" width="2.54296875" style="403" hidden="1"/>
    <col min="2305" max="2305" width="1.54296875" style="403" hidden="1" customWidth="1"/>
    <col min="2306" max="2306" width="0.81640625" style="403" hidden="1" customWidth="1"/>
    <col min="2307" max="2322" width="2.54296875" style="403" hidden="1" customWidth="1"/>
    <col min="2323" max="2323" width="4" style="403" hidden="1" customWidth="1"/>
    <col min="2324" max="2327" width="2.54296875" style="403" hidden="1" customWidth="1"/>
    <col min="2328" max="2328" width="2.453125" style="403" hidden="1" customWidth="1"/>
    <col min="2329" max="2332" width="2.54296875" style="403" hidden="1" customWidth="1"/>
    <col min="2333" max="2333" width="2.453125" style="403" hidden="1" customWidth="1"/>
    <col min="2334" max="2337" width="2.54296875" style="403" hidden="1" customWidth="1"/>
    <col min="2338" max="2343" width="2.453125" style="403" hidden="1" customWidth="1"/>
    <col min="2344" max="2344" width="1.54296875" style="403" hidden="1" customWidth="1"/>
    <col min="2345" max="2560" width="2.54296875" style="403" hidden="1"/>
    <col min="2561" max="2561" width="1.54296875" style="403" hidden="1" customWidth="1"/>
    <col min="2562" max="2562" width="0.81640625" style="403" hidden="1" customWidth="1"/>
    <col min="2563" max="2578" width="2.54296875" style="403" hidden="1" customWidth="1"/>
    <col min="2579" max="2579" width="4" style="403" hidden="1" customWidth="1"/>
    <col min="2580" max="2583" width="2.54296875" style="403" hidden="1" customWidth="1"/>
    <col min="2584" max="2584" width="2.453125" style="403" hidden="1" customWidth="1"/>
    <col min="2585" max="2588" width="2.54296875" style="403" hidden="1" customWidth="1"/>
    <col min="2589" max="2589" width="2.453125" style="403" hidden="1" customWidth="1"/>
    <col min="2590" max="2593" width="2.54296875" style="403" hidden="1" customWidth="1"/>
    <col min="2594" max="2599" width="2.453125" style="403" hidden="1" customWidth="1"/>
    <col min="2600" max="2600" width="1.54296875" style="403" hidden="1" customWidth="1"/>
    <col min="2601" max="2816" width="2.54296875" style="403" hidden="1"/>
    <col min="2817" max="2817" width="1.54296875" style="403" hidden="1" customWidth="1"/>
    <col min="2818" max="2818" width="0.81640625" style="403" hidden="1" customWidth="1"/>
    <col min="2819" max="2834" width="2.54296875" style="403" hidden="1" customWidth="1"/>
    <col min="2835" max="2835" width="4" style="403" hidden="1" customWidth="1"/>
    <col min="2836" max="2839" width="2.54296875" style="403" hidden="1" customWidth="1"/>
    <col min="2840" max="2840" width="2.453125" style="403" hidden="1" customWidth="1"/>
    <col min="2841" max="2844" width="2.54296875" style="403" hidden="1" customWidth="1"/>
    <col min="2845" max="2845" width="2.453125" style="403" hidden="1" customWidth="1"/>
    <col min="2846" max="2849" width="2.54296875" style="403" hidden="1" customWidth="1"/>
    <col min="2850" max="2855" width="2.453125" style="403" hidden="1" customWidth="1"/>
    <col min="2856" max="2856" width="1.54296875" style="403" hidden="1" customWidth="1"/>
    <col min="2857" max="3072" width="2.54296875" style="403" hidden="1"/>
    <col min="3073" max="3073" width="1.54296875" style="403" hidden="1" customWidth="1"/>
    <col min="3074" max="3074" width="0.81640625" style="403" hidden="1" customWidth="1"/>
    <col min="3075" max="3090" width="2.54296875" style="403" hidden="1" customWidth="1"/>
    <col min="3091" max="3091" width="4" style="403" hidden="1" customWidth="1"/>
    <col min="3092" max="3095" width="2.54296875" style="403" hidden="1" customWidth="1"/>
    <col min="3096" max="3096" width="2.453125" style="403" hidden="1" customWidth="1"/>
    <col min="3097" max="3100" width="2.54296875" style="403" hidden="1" customWidth="1"/>
    <col min="3101" max="3101" width="2.453125" style="403" hidden="1" customWidth="1"/>
    <col min="3102" max="3105" width="2.54296875" style="403" hidden="1" customWidth="1"/>
    <col min="3106" max="3111" width="2.453125" style="403" hidden="1" customWidth="1"/>
    <col min="3112" max="3112" width="1.54296875" style="403" hidden="1" customWidth="1"/>
    <col min="3113" max="3328" width="2.54296875" style="403" hidden="1"/>
    <col min="3329" max="3329" width="1.54296875" style="403" hidden="1" customWidth="1"/>
    <col min="3330" max="3330" width="0.81640625" style="403" hidden="1" customWidth="1"/>
    <col min="3331" max="3346" width="2.54296875" style="403" hidden="1" customWidth="1"/>
    <col min="3347" max="3347" width="4" style="403" hidden="1" customWidth="1"/>
    <col min="3348" max="3351" width="2.54296875" style="403" hidden="1" customWidth="1"/>
    <col min="3352" max="3352" width="2.453125" style="403" hidden="1" customWidth="1"/>
    <col min="3353" max="3356" width="2.54296875" style="403" hidden="1" customWidth="1"/>
    <col min="3357" max="3357" width="2.453125" style="403" hidden="1" customWidth="1"/>
    <col min="3358" max="3361" width="2.54296875" style="403" hidden="1" customWidth="1"/>
    <col min="3362" max="3367" width="2.453125" style="403" hidden="1" customWidth="1"/>
    <col min="3368" max="3368" width="1.54296875" style="403" hidden="1" customWidth="1"/>
    <col min="3369" max="3584" width="2.54296875" style="403" hidden="1"/>
    <col min="3585" max="3585" width="1.54296875" style="403" hidden="1" customWidth="1"/>
    <col min="3586" max="3586" width="0.81640625" style="403" hidden="1" customWidth="1"/>
    <col min="3587" max="3602" width="2.54296875" style="403" hidden="1" customWidth="1"/>
    <col min="3603" max="3603" width="4" style="403" hidden="1" customWidth="1"/>
    <col min="3604" max="3607" width="2.54296875" style="403" hidden="1" customWidth="1"/>
    <col min="3608" max="3608" width="2.453125" style="403" hidden="1" customWidth="1"/>
    <col min="3609" max="3612" width="2.54296875" style="403" hidden="1" customWidth="1"/>
    <col min="3613" max="3613" width="2.453125" style="403" hidden="1" customWidth="1"/>
    <col min="3614" max="3617" width="2.54296875" style="403" hidden="1" customWidth="1"/>
    <col min="3618" max="3623" width="2.453125" style="403" hidden="1" customWidth="1"/>
    <col min="3624" max="3624" width="1.54296875" style="403" hidden="1" customWidth="1"/>
    <col min="3625" max="3840" width="2.54296875" style="403" hidden="1"/>
    <col min="3841" max="3841" width="1.54296875" style="403" hidden="1" customWidth="1"/>
    <col min="3842" max="3842" width="0.81640625" style="403" hidden="1" customWidth="1"/>
    <col min="3843" max="3858" width="2.54296875" style="403" hidden="1" customWidth="1"/>
    <col min="3859" max="3859" width="4" style="403" hidden="1" customWidth="1"/>
    <col min="3860" max="3863" width="2.54296875" style="403" hidden="1" customWidth="1"/>
    <col min="3864" max="3864" width="2.453125" style="403" hidden="1" customWidth="1"/>
    <col min="3865" max="3868" width="2.54296875" style="403" hidden="1" customWidth="1"/>
    <col min="3869" max="3869" width="2.453125" style="403" hidden="1" customWidth="1"/>
    <col min="3870" max="3873" width="2.54296875" style="403" hidden="1" customWidth="1"/>
    <col min="3874" max="3879" width="2.453125" style="403" hidden="1" customWidth="1"/>
    <col min="3880" max="3880" width="1.54296875" style="403" hidden="1" customWidth="1"/>
    <col min="3881" max="4096" width="2.54296875" style="403" hidden="1"/>
    <col min="4097" max="4097" width="1.54296875" style="403" hidden="1" customWidth="1"/>
    <col min="4098" max="4098" width="0.81640625" style="403" hidden="1" customWidth="1"/>
    <col min="4099" max="4114" width="2.54296875" style="403" hidden="1" customWidth="1"/>
    <col min="4115" max="4115" width="4" style="403" hidden="1" customWidth="1"/>
    <col min="4116" max="4119" width="2.54296875" style="403" hidden="1" customWidth="1"/>
    <col min="4120" max="4120" width="2.453125" style="403" hidden="1" customWidth="1"/>
    <col min="4121" max="4124" width="2.54296875" style="403" hidden="1" customWidth="1"/>
    <col min="4125" max="4125" width="2.453125" style="403" hidden="1" customWidth="1"/>
    <col min="4126" max="4129" width="2.54296875" style="403" hidden="1" customWidth="1"/>
    <col min="4130" max="4135" width="2.453125" style="403" hidden="1" customWidth="1"/>
    <col min="4136" max="4136" width="1.54296875" style="403" hidden="1" customWidth="1"/>
    <col min="4137" max="4352" width="2.54296875" style="403" hidden="1"/>
    <col min="4353" max="4353" width="1.54296875" style="403" hidden="1" customWidth="1"/>
    <col min="4354" max="4354" width="0.81640625" style="403" hidden="1" customWidth="1"/>
    <col min="4355" max="4370" width="2.54296875" style="403" hidden="1" customWidth="1"/>
    <col min="4371" max="4371" width="4" style="403" hidden="1" customWidth="1"/>
    <col min="4372" max="4375" width="2.54296875" style="403" hidden="1" customWidth="1"/>
    <col min="4376" max="4376" width="2.453125" style="403" hidden="1" customWidth="1"/>
    <col min="4377" max="4380" width="2.54296875" style="403" hidden="1" customWidth="1"/>
    <col min="4381" max="4381" width="2.453125" style="403" hidden="1" customWidth="1"/>
    <col min="4382" max="4385" width="2.54296875" style="403" hidden="1" customWidth="1"/>
    <col min="4386" max="4391" width="2.453125" style="403" hidden="1" customWidth="1"/>
    <col min="4392" max="4392" width="1.54296875" style="403" hidden="1" customWidth="1"/>
    <col min="4393" max="4608" width="2.54296875" style="403" hidden="1"/>
    <col min="4609" max="4609" width="1.54296875" style="403" hidden="1" customWidth="1"/>
    <col min="4610" max="4610" width="0.81640625" style="403" hidden="1" customWidth="1"/>
    <col min="4611" max="4626" width="2.54296875" style="403" hidden="1" customWidth="1"/>
    <col min="4627" max="4627" width="4" style="403" hidden="1" customWidth="1"/>
    <col min="4628" max="4631" width="2.54296875" style="403" hidden="1" customWidth="1"/>
    <col min="4632" max="4632" width="2.453125" style="403" hidden="1" customWidth="1"/>
    <col min="4633" max="4636" width="2.54296875" style="403" hidden="1" customWidth="1"/>
    <col min="4637" max="4637" width="2.453125" style="403" hidden="1" customWidth="1"/>
    <col min="4638" max="4641" width="2.54296875" style="403" hidden="1" customWidth="1"/>
    <col min="4642" max="4647" width="2.453125" style="403" hidden="1" customWidth="1"/>
    <col min="4648" max="4648" width="1.54296875" style="403" hidden="1" customWidth="1"/>
    <col min="4649" max="4864" width="2.54296875" style="403" hidden="1"/>
    <col min="4865" max="4865" width="1.54296875" style="403" hidden="1" customWidth="1"/>
    <col min="4866" max="4866" width="0.81640625" style="403" hidden="1" customWidth="1"/>
    <col min="4867" max="4882" width="2.54296875" style="403" hidden="1" customWidth="1"/>
    <col min="4883" max="4883" width="4" style="403" hidden="1" customWidth="1"/>
    <col min="4884" max="4887" width="2.54296875" style="403" hidden="1" customWidth="1"/>
    <col min="4888" max="4888" width="2.453125" style="403" hidden="1" customWidth="1"/>
    <col min="4889" max="4892" width="2.54296875" style="403" hidden="1" customWidth="1"/>
    <col min="4893" max="4893" width="2.453125" style="403" hidden="1" customWidth="1"/>
    <col min="4894" max="4897" width="2.54296875" style="403" hidden="1" customWidth="1"/>
    <col min="4898" max="4903" width="2.453125" style="403" hidden="1" customWidth="1"/>
    <col min="4904" max="4904" width="1.54296875" style="403" hidden="1" customWidth="1"/>
    <col min="4905" max="5120" width="2.54296875" style="403" hidden="1"/>
    <col min="5121" max="5121" width="1.54296875" style="403" hidden="1" customWidth="1"/>
    <col min="5122" max="5122" width="0.81640625" style="403" hidden="1" customWidth="1"/>
    <col min="5123" max="5138" width="2.54296875" style="403" hidden="1" customWidth="1"/>
    <col min="5139" max="5139" width="4" style="403" hidden="1" customWidth="1"/>
    <col min="5140" max="5143" width="2.54296875" style="403" hidden="1" customWidth="1"/>
    <col min="5144" max="5144" width="2.453125" style="403" hidden="1" customWidth="1"/>
    <col min="5145" max="5148" width="2.54296875" style="403" hidden="1" customWidth="1"/>
    <col min="5149" max="5149" width="2.453125" style="403" hidden="1" customWidth="1"/>
    <col min="5150" max="5153" width="2.54296875" style="403" hidden="1" customWidth="1"/>
    <col min="5154" max="5159" width="2.453125" style="403" hidden="1" customWidth="1"/>
    <col min="5160" max="5160" width="1.54296875" style="403" hidden="1" customWidth="1"/>
    <col min="5161" max="5376" width="2.54296875" style="403" hidden="1"/>
    <col min="5377" max="5377" width="1.54296875" style="403" hidden="1" customWidth="1"/>
    <col min="5378" max="5378" width="0.81640625" style="403" hidden="1" customWidth="1"/>
    <col min="5379" max="5394" width="2.54296875" style="403" hidden="1" customWidth="1"/>
    <col min="5395" max="5395" width="4" style="403" hidden="1" customWidth="1"/>
    <col min="5396" max="5399" width="2.54296875" style="403" hidden="1" customWidth="1"/>
    <col min="5400" max="5400" width="2.453125" style="403" hidden="1" customWidth="1"/>
    <col min="5401" max="5404" width="2.54296875" style="403" hidden="1" customWidth="1"/>
    <col min="5405" max="5405" width="2.453125" style="403" hidden="1" customWidth="1"/>
    <col min="5406" max="5409" width="2.54296875" style="403" hidden="1" customWidth="1"/>
    <col min="5410" max="5415" width="2.453125" style="403" hidden="1" customWidth="1"/>
    <col min="5416" max="5416" width="1.54296875" style="403" hidden="1" customWidth="1"/>
    <col min="5417" max="5632" width="2.54296875" style="403" hidden="1"/>
    <col min="5633" max="5633" width="1.54296875" style="403" hidden="1" customWidth="1"/>
    <col min="5634" max="5634" width="0.81640625" style="403" hidden="1" customWidth="1"/>
    <col min="5635" max="5650" width="2.54296875" style="403" hidden="1" customWidth="1"/>
    <col min="5651" max="5651" width="4" style="403" hidden="1" customWidth="1"/>
    <col min="5652" max="5655" width="2.54296875" style="403" hidden="1" customWidth="1"/>
    <col min="5656" max="5656" width="2.453125" style="403" hidden="1" customWidth="1"/>
    <col min="5657" max="5660" width="2.54296875" style="403" hidden="1" customWidth="1"/>
    <col min="5661" max="5661" width="2.453125" style="403" hidden="1" customWidth="1"/>
    <col min="5662" max="5665" width="2.54296875" style="403" hidden="1" customWidth="1"/>
    <col min="5666" max="5671" width="2.453125" style="403" hidden="1" customWidth="1"/>
    <col min="5672" max="5672" width="1.54296875" style="403" hidden="1" customWidth="1"/>
    <col min="5673" max="5888" width="2.54296875" style="403" hidden="1"/>
    <col min="5889" max="5889" width="1.54296875" style="403" hidden="1" customWidth="1"/>
    <col min="5890" max="5890" width="0.81640625" style="403" hidden="1" customWidth="1"/>
    <col min="5891" max="5906" width="2.54296875" style="403" hidden="1" customWidth="1"/>
    <col min="5907" max="5907" width="4" style="403" hidden="1" customWidth="1"/>
    <col min="5908" max="5911" width="2.54296875" style="403" hidden="1" customWidth="1"/>
    <col min="5912" max="5912" width="2.453125" style="403" hidden="1" customWidth="1"/>
    <col min="5913" max="5916" width="2.54296875" style="403" hidden="1" customWidth="1"/>
    <col min="5917" max="5917" width="2.453125" style="403" hidden="1" customWidth="1"/>
    <col min="5918" max="5921" width="2.54296875" style="403" hidden="1" customWidth="1"/>
    <col min="5922" max="5927" width="2.453125" style="403" hidden="1" customWidth="1"/>
    <col min="5928" max="5928" width="1.54296875" style="403" hidden="1" customWidth="1"/>
    <col min="5929" max="6144" width="2.54296875" style="403" hidden="1"/>
    <col min="6145" max="6145" width="1.54296875" style="403" hidden="1" customWidth="1"/>
    <col min="6146" max="6146" width="0.81640625" style="403" hidden="1" customWidth="1"/>
    <col min="6147" max="6162" width="2.54296875" style="403" hidden="1" customWidth="1"/>
    <col min="6163" max="6163" width="4" style="403" hidden="1" customWidth="1"/>
    <col min="6164" max="6167" width="2.54296875" style="403" hidden="1" customWidth="1"/>
    <col min="6168" max="6168" width="2.453125" style="403" hidden="1" customWidth="1"/>
    <col min="6169" max="6172" width="2.54296875" style="403" hidden="1" customWidth="1"/>
    <col min="6173" max="6173" width="2.453125" style="403" hidden="1" customWidth="1"/>
    <col min="6174" max="6177" width="2.54296875" style="403" hidden="1" customWidth="1"/>
    <col min="6178" max="6183" width="2.453125" style="403" hidden="1" customWidth="1"/>
    <col min="6184" max="6184" width="1.54296875" style="403" hidden="1" customWidth="1"/>
    <col min="6185" max="6400" width="2.54296875" style="403" hidden="1"/>
    <col min="6401" max="6401" width="1.54296875" style="403" hidden="1" customWidth="1"/>
    <col min="6402" max="6402" width="0.81640625" style="403" hidden="1" customWidth="1"/>
    <col min="6403" max="6418" width="2.54296875" style="403" hidden="1" customWidth="1"/>
    <col min="6419" max="6419" width="4" style="403" hidden="1" customWidth="1"/>
    <col min="6420" max="6423" width="2.54296875" style="403" hidden="1" customWidth="1"/>
    <col min="6424" max="6424" width="2.453125" style="403" hidden="1" customWidth="1"/>
    <col min="6425" max="6428" width="2.54296875" style="403" hidden="1" customWidth="1"/>
    <col min="6429" max="6429" width="2.453125" style="403" hidden="1" customWidth="1"/>
    <col min="6430" max="6433" width="2.54296875" style="403" hidden="1" customWidth="1"/>
    <col min="6434" max="6439" width="2.453125" style="403" hidden="1" customWidth="1"/>
    <col min="6440" max="6440" width="1.54296875" style="403" hidden="1" customWidth="1"/>
    <col min="6441" max="6656" width="2.54296875" style="403" hidden="1"/>
    <col min="6657" max="6657" width="1.54296875" style="403" hidden="1" customWidth="1"/>
    <col min="6658" max="6658" width="0.81640625" style="403" hidden="1" customWidth="1"/>
    <col min="6659" max="6674" width="2.54296875" style="403" hidden="1" customWidth="1"/>
    <col min="6675" max="6675" width="4" style="403" hidden="1" customWidth="1"/>
    <col min="6676" max="6679" width="2.54296875" style="403" hidden="1" customWidth="1"/>
    <col min="6680" max="6680" width="2.453125" style="403" hidden="1" customWidth="1"/>
    <col min="6681" max="6684" width="2.54296875" style="403" hidden="1" customWidth="1"/>
    <col min="6685" max="6685" width="2.453125" style="403" hidden="1" customWidth="1"/>
    <col min="6686" max="6689" width="2.54296875" style="403" hidden="1" customWidth="1"/>
    <col min="6690" max="6695" width="2.453125" style="403" hidden="1" customWidth="1"/>
    <col min="6696" max="6696" width="1.54296875" style="403" hidden="1" customWidth="1"/>
    <col min="6697" max="6912" width="2.54296875" style="403" hidden="1"/>
    <col min="6913" max="6913" width="1.54296875" style="403" hidden="1" customWidth="1"/>
    <col min="6914" max="6914" width="0.81640625" style="403" hidden="1" customWidth="1"/>
    <col min="6915" max="6930" width="2.54296875" style="403" hidden="1" customWidth="1"/>
    <col min="6931" max="6931" width="4" style="403" hidden="1" customWidth="1"/>
    <col min="6932" max="6935" width="2.54296875" style="403" hidden="1" customWidth="1"/>
    <col min="6936" max="6936" width="2.453125" style="403" hidden="1" customWidth="1"/>
    <col min="6937" max="6940" width="2.54296875" style="403" hidden="1" customWidth="1"/>
    <col min="6941" max="6941" width="2.453125" style="403" hidden="1" customWidth="1"/>
    <col min="6942" max="6945" width="2.54296875" style="403" hidden="1" customWidth="1"/>
    <col min="6946" max="6951" width="2.453125" style="403" hidden="1" customWidth="1"/>
    <col min="6952" max="6952" width="1.54296875" style="403" hidden="1" customWidth="1"/>
    <col min="6953" max="7168" width="2.54296875" style="403" hidden="1"/>
    <col min="7169" max="7169" width="1.54296875" style="403" hidden="1" customWidth="1"/>
    <col min="7170" max="7170" width="0.81640625" style="403" hidden="1" customWidth="1"/>
    <col min="7171" max="7186" width="2.54296875" style="403" hidden="1" customWidth="1"/>
    <col min="7187" max="7187" width="4" style="403" hidden="1" customWidth="1"/>
    <col min="7188" max="7191" width="2.54296875" style="403" hidden="1" customWidth="1"/>
    <col min="7192" max="7192" width="2.453125" style="403" hidden="1" customWidth="1"/>
    <col min="7193" max="7196" width="2.54296875" style="403" hidden="1" customWidth="1"/>
    <col min="7197" max="7197" width="2.453125" style="403" hidden="1" customWidth="1"/>
    <col min="7198" max="7201" width="2.54296875" style="403" hidden="1" customWidth="1"/>
    <col min="7202" max="7207" width="2.453125" style="403" hidden="1" customWidth="1"/>
    <col min="7208" max="7208" width="1.54296875" style="403" hidden="1" customWidth="1"/>
    <col min="7209" max="7424" width="2.54296875" style="403" hidden="1"/>
    <col min="7425" max="7425" width="1.54296875" style="403" hidden="1" customWidth="1"/>
    <col min="7426" max="7426" width="0.81640625" style="403" hidden="1" customWidth="1"/>
    <col min="7427" max="7442" width="2.54296875" style="403" hidden="1" customWidth="1"/>
    <col min="7443" max="7443" width="4" style="403" hidden="1" customWidth="1"/>
    <col min="7444" max="7447" width="2.54296875" style="403" hidden="1" customWidth="1"/>
    <col min="7448" max="7448" width="2.453125" style="403" hidden="1" customWidth="1"/>
    <col min="7449" max="7452" width="2.54296875" style="403" hidden="1" customWidth="1"/>
    <col min="7453" max="7453" width="2.453125" style="403" hidden="1" customWidth="1"/>
    <col min="7454" max="7457" width="2.54296875" style="403" hidden="1" customWidth="1"/>
    <col min="7458" max="7463" width="2.453125" style="403" hidden="1" customWidth="1"/>
    <col min="7464" max="7464" width="1.54296875" style="403" hidden="1" customWidth="1"/>
    <col min="7465" max="7680" width="2.54296875" style="403" hidden="1"/>
    <col min="7681" max="7681" width="1.54296875" style="403" hidden="1" customWidth="1"/>
    <col min="7682" max="7682" width="0.81640625" style="403" hidden="1" customWidth="1"/>
    <col min="7683" max="7698" width="2.54296875" style="403" hidden="1" customWidth="1"/>
    <col min="7699" max="7699" width="4" style="403" hidden="1" customWidth="1"/>
    <col min="7700" max="7703" width="2.54296875" style="403" hidden="1" customWidth="1"/>
    <col min="7704" max="7704" width="2.453125" style="403" hidden="1" customWidth="1"/>
    <col min="7705" max="7708" width="2.54296875" style="403" hidden="1" customWidth="1"/>
    <col min="7709" max="7709" width="2.453125" style="403" hidden="1" customWidth="1"/>
    <col min="7710" max="7713" width="2.54296875" style="403" hidden="1" customWidth="1"/>
    <col min="7714" max="7719" width="2.453125" style="403" hidden="1" customWidth="1"/>
    <col min="7720" max="7720" width="1.54296875" style="403" hidden="1" customWidth="1"/>
    <col min="7721" max="7936" width="2.54296875" style="403" hidden="1"/>
    <col min="7937" max="7937" width="1.54296875" style="403" hidden="1" customWidth="1"/>
    <col min="7938" max="7938" width="0.81640625" style="403" hidden="1" customWidth="1"/>
    <col min="7939" max="7954" width="2.54296875" style="403" hidden="1" customWidth="1"/>
    <col min="7955" max="7955" width="4" style="403" hidden="1" customWidth="1"/>
    <col min="7956" max="7959" width="2.54296875" style="403" hidden="1" customWidth="1"/>
    <col min="7960" max="7960" width="2.453125" style="403" hidden="1" customWidth="1"/>
    <col min="7961" max="7964" width="2.54296875" style="403" hidden="1" customWidth="1"/>
    <col min="7965" max="7965" width="2.453125" style="403" hidden="1" customWidth="1"/>
    <col min="7966" max="7969" width="2.54296875" style="403" hidden="1" customWidth="1"/>
    <col min="7970" max="7975" width="2.453125" style="403" hidden="1" customWidth="1"/>
    <col min="7976" max="7976" width="1.54296875" style="403" hidden="1" customWidth="1"/>
    <col min="7977" max="8192" width="2.54296875" style="403" hidden="1"/>
    <col min="8193" max="8193" width="1.54296875" style="403" hidden="1" customWidth="1"/>
    <col min="8194" max="8194" width="0.81640625" style="403" hidden="1" customWidth="1"/>
    <col min="8195" max="8210" width="2.54296875" style="403" hidden="1" customWidth="1"/>
    <col min="8211" max="8211" width="4" style="403" hidden="1" customWidth="1"/>
    <col min="8212" max="8215" width="2.54296875" style="403" hidden="1" customWidth="1"/>
    <col min="8216" max="8216" width="2.453125" style="403" hidden="1" customWidth="1"/>
    <col min="8217" max="8220" width="2.54296875" style="403" hidden="1" customWidth="1"/>
    <col min="8221" max="8221" width="2.453125" style="403" hidden="1" customWidth="1"/>
    <col min="8222" max="8225" width="2.54296875" style="403" hidden="1" customWidth="1"/>
    <col min="8226" max="8231" width="2.453125" style="403" hidden="1" customWidth="1"/>
    <col min="8232" max="8232" width="1.54296875" style="403" hidden="1" customWidth="1"/>
    <col min="8233" max="8448" width="2.54296875" style="403" hidden="1"/>
    <col min="8449" max="8449" width="1.54296875" style="403" hidden="1" customWidth="1"/>
    <col min="8450" max="8450" width="0.81640625" style="403" hidden="1" customWidth="1"/>
    <col min="8451" max="8466" width="2.54296875" style="403" hidden="1" customWidth="1"/>
    <col min="8467" max="8467" width="4" style="403" hidden="1" customWidth="1"/>
    <col min="8468" max="8471" width="2.54296875" style="403" hidden="1" customWidth="1"/>
    <col min="8472" max="8472" width="2.453125" style="403" hidden="1" customWidth="1"/>
    <col min="8473" max="8476" width="2.54296875" style="403" hidden="1" customWidth="1"/>
    <col min="8477" max="8477" width="2.453125" style="403" hidden="1" customWidth="1"/>
    <col min="8478" max="8481" width="2.54296875" style="403" hidden="1" customWidth="1"/>
    <col min="8482" max="8487" width="2.453125" style="403" hidden="1" customWidth="1"/>
    <col min="8488" max="8488" width="1.54296875" style="403" hidden="1" customWidth="1"/>
    <col min="8489" max="8704" width="2.54296875" style="403" hidden="1"/>
    <col min="8705" max="8705" width="1.54296875" style="403" hidden="1" customWidth="1"/>
    <col min="8706" max="8706" width="0.81640625" style="403" hidden="1" customWidth="1"/>
    <col min="8707" max="8722" width="2.54296875" style="403" hidden="1" customWidth="1"/>
    <col min="8723" max="8723" width="4" style="403" hidden="1" customWidth="1"/>
    <col min="8724" max="8727" width="2.54296875" style="403" hidden="1" customWidth="1"/>
    <col min="8728" max="8728" width="2.453125" style="403" hidden="1" customWidth="1"/>
    <col min="8729" max="8732" width="2.54296875" style="403" hidden="1" customWidth="1"/>
    <col min="8733" max="8733" width="2.453125" style="403" hidden="1" customWidth="1"/>
    <col min="8734" max="8737" width="2.54296875" style="403" hidden="1" customWidth="1"/>
    <col min="8738" max="8743" width="2.453125" style="403" hidden="1" customWidth="1"/>
    <col min="8744" max="8744" width="1.54296875" style="403" hidden="1" customWidth="1"/>
    <col min="8745" max="8960" width="2.54296875" style="403" hidden="1"/>
    <col min="8961" max="8961" width="1.54296875" style="403" hidden="1" customWidth="1"/>
    <col min="8962" max="8962" width="0.81640625" style="403" hidden="1" customWidth="1"/>
    <col min="8963" max="8978" width="2.54296875" style="403" hidden="1" customWidth="1"/>
    <col min="8979" max="8979" width="4" style="403" hidden="1" customWidth="1"/>
    <col min="8980" max="8983" width="2.54296875" style="403" hidden="1" customWidth="1"/>
    <col min="8984" max="8984" width="2.453125" style="403" hidden="1" customWidth="1"/>
    <col min="8985" max="8988" width="2.54296875" style="403" hidden="1" customWidth="1"/>
    <col min="8989" max="8989" width="2.453125" style="403" hidden="1" customWidth="1"/>
    <col min="8990" max="8993" width="2.54296875" style="403" hidden="1" customWidth="1"/>
    <col min="8994" max="8999" width="2.453125" style="403" hidden="1" customWidth="1"/>
    <col min="9000" max="9000" width="1.54296875" style="403" hidden="1" customWidth="1"/>
    <col min="9001" max="9216" width="2.54296875" style="403" hidden="1"/>
    <col min="9217" max="9217" width="1.54296875" style="403" hidden="1" customWidth="1"/>
    <col min="9218" max="9218" width="0.81640625" style="403" hidden="1" customWidth="1"/>
    <col min="9219" max="9234" width="2.54296875" style="403" hidden="1" customWidth="1"/>
    <col min="9235" max="9235" width="4" style="403" hidden="1" customWidth="1"/>
    <col min="9236" max="9239" width="2.54296875" style="403" hidden="1" customWidth="1"/>
    <col min="9240" max="9240" width="2.453125" style="403" hidden="1" customWidth="1"/>
    <col min="9241" max="9244" width="2.54296875" style="403" hidden="1" customWidth="1"/>
    <col min="9245" max="9245" width="2.453125" style="403" hidden="1" customWidth="1"/>
    <col min="9246" max="9249" width="2.54296875" style="403" hidden="1" customWidth="1"/>
    <col min="9250" max="9255" width="2.453125" style="403" hidden="1" customWidth="1"/>
    <col min="9256" max="9256" width="1.54296875" style="403" hidden="1" customWidth="1"/>
    <col min="9257" max="9472" width="2.54296875" style="403" hidden="1"/>
    <col min="9473" max="9473" width="1.54296875" style="403" hidden="1" customWidth="1"/>
    <col min="9474" max="9474" width="0.81640625" style="403" hidden="1" customWidth="1"/>
    <col min="9475" max="9490" width="2.54296875" style="403" hidden="1" customWidth="1"/>
    <col min="9491" max="9491" width="4" style="403" hidden="1" customWidth="1"/>
    <col min="9492" max="9495" width="2.54296875" style="403" hidden="1" customWidth="1"/>
    <col min="9496" max="9496" width="2.453125" style="403" hidden="1" customWidth="1"/>
    <col min="9497" max="9500" width="2.54296875" style="403" hidden="1" customWidth="1"/>
    <col min="9501" max="9501" width="2.453125" style="403" hidden="1" customWidth="1"/>
    <col min="9502" max="9505" width="2.54296875" style="403" hidden="1" customWidth="1"/>
    <col min="9506" max="9511" width="2.453125" style="403" hidden="1" customWidth="1"/>
    <col min="9512" max="9512" width="1.54296875" style="403" hidden="1" customWidth="1"/>
    <col min="9513" max="9728" width="2.54296875" style="403" hidden="1"/>
    <col min="9729" max="9729" width="1.54296875" style="403" hidden="1" customWidth="1"/>
    <col min="9730" max="9730" width="0.81640625" style="403" hidden="1" customWidth="1"/>
    <col min="9731" max="9746" width="2.54296875" style="403" hidden="1" customWidth="1"/>
    <col min="9747" max="9747" width="4" style="403" hidden="1" customWidth="1"/>
    <col min="9748" max="9751" width="2.54296875" style="403" hidden="1" customWidth="1"/>
    <col min="9752" max="9752" width="2.453125" style="403" hidden="1" customWidth="1"/>
    <col min="9753" max="9756" width="2.54296875" style="403" hidden="1" customWidth="1"/>
    <col min="9757" max="9757" width="2.453125" style="403" hidden="1" customWidth="1"/>
    <col min="9758" max="9761" width="2.54296875" style="403" hidden="1" customWidth="1"/>
    <col min="9762" max="9767" width="2.453125" style="403" hidden="1" customWidth="1"/>
    <col min="9768" max="9768" width="1.54296875" style="403" hidden="1" customWidth="1"/>
    <col min="9769" max="9984" width="2.54296875" style="403" hidden="1"/>
    <col min="9985" max="9985" width="1.54296875" style="403" hidden="1" customWidth="1"/>
    <col min="9986" max="9986" width="0.81640625" style="403" hidden="1" customWidth="1"/>
    <col min="9987" max="10002" width="2.54296875" style="403" hidden="1" customWidth="1"/>
    <col min="10003" max="10003" width="4" style="403" hidden="1" customWidth="1"/>
    <col min="10004" max="10007" width="2.54296875" style="403" hidden="1" customWidth="1"/>
    <col min="10008" max="10008" width="2.453125" style="403" hidden="1" customWidth="1"/>
    <col min="10009" max="10012" width="2.54296875" style="403" hidden="1" customWidth="1"/>
    <col min="10013" max="10013" width="2.453125" style="403" hidden="1" customWidth="1"/>
    <col min="10014" max="10017" width="2.54296875" style="403" hidden="1" customWidth="1"/>
    <col min="10018" max="10023" width="2.453125" style="403" hidden="1" customWidth="1"/>
    <col min="10024" max="10024" width="1.54296875" style="403" hidden="1" customWidth="1"/>
    <col min="10025" max="10240" width="2.54296875" style="403" hidden="1"/>
    <col min="10241" max="10241" width="1.54296875" style="403" hidden="1" customWidth="1"/>
    <col min="10242" max="10242" width="0.81640625" style="403" hidden="1" customWidth="1"/>
    <col min="10243" max="10258" width="2.54296875" style="403" hidden="1" customWidth="1"/>
    <col min="10259" max="10259" width="4" style="403" hidden="1" customWidth="1"/>
    <col min="10260" max="10263" width="2.54296875" style="403" hidden="1" customWidth="1"/>
    <col min="10264" max="10264" width="2.453125" style="403" hidden="1" customWidth="1"/>
    <col min="10265" max="10268" width="2.54296875" style="403" hidden="1" customWidth="1"/>
    <col min="10269" max="10269" width="2.453125" style="403" hidden="1" customWidth="1"/>
    <col min="10270" max="10273" width="2.54296875" style="403" hidden="1" customWidth="1"/>
    <col min="10274" max="10279" width="2.453125" style="403" hidden="1" customWidth="1"/>
    <col min="10280" max="10280" width="1.54296875" style="403" hidden="1" customWidth="1"/>
    <col min="10281" max="10496" width="2.54296875" style="403" hidden="1"/>
    <col min="10497" max="10497" width="1.54296875" style="403" hidden="1" customWidth="1"/>
    <col min="10498" max="10498" width="0.81640625" style="403" hidden="1" customWidth="1"/>
    <col min="10499" max="10514" width="2.54296875" style="403" hidden="1" customWidth="1"/>
    <col min="10515" max="10515" width="4" style="403" hidden="1" customWidth="1"/>
    <col min="10516" max="10519" width="2.54296875" style="403" hidden="1" customWidth="1"/>
    <col min="10520" max="10520" width="2.453125" style="403" hidden="1" customWidth="1"/>
    <col min="10521" max="10524" width="2.54296875" style="403" hidden="1" customWidth="1"/>
    <col min="10525" max="10525" width="2.453125" style="403" hidden="1" customWidth="1"/>
    <col min="10526" max="10529" width="2.54296875" style="403" hidden="1" customWidth="1"/>
    <col min="10530" max="10535" width="2.453125" style="403" hidden="1" customWidth="1"/>
    <col min="10536" max="10536" width="1.54296875" style="403" hidden="1" customWidth="1"/>
    <col min="10537" max="10752" width="2.54296875" style="403" hidden="1"/>
    <col min="10753" max="10753" width="1.54296875" style="403" hidden="1" customWidth="1"/>
    <col min="10754" max="10754" width="0.81640625" style="403" hidden="1" customWidth="1"/>
    <col min="10755" max="10770" width="2.54296875" style="403" hidden="1" customWidth="1"/>
    <col min="10771" max="10771" width="4" style="403" hidden="1" customWidth="1"/>
    <col min="10772" max="10775" width="2.54296875" style="403" hidden="1" customWidth="1"/>
    <col min="10776" max="10776" width="2.453125" style="403" hidden="1" customWidth="1"/>
    <col min="10777" max="10780" width="2.54296875" style="403" hidden="1" customWidth="1"/>
    <col min="10781" max="10781" width="2.453125" style="403" hidden="1" customWidth="1"/>
    <col min="10782" max="10785" width="2.54296875" style="403" hidden="1" customWidth="1"/>
    <col min="10786" max="10791" width="2.453125" style="403" hidden="1" customWidth="1"/>
    <col min="10792" max="10792" width="1.54296875" style="403" hidden="1" customWidth="1"/>
    <col min="10793" max="11008" width="2.54296875" style="403" hidden="1"/>
    <col min="11009" max="11009" width="1.54296875" style="403" hidden="1" customWidth="1"/>
    <col min="11010" max="11010" width="0.81640625" style="403" hidden="1" customWidth="1"/>
    <col min="11011" max="11026" width="2.54296875" style="403" hidden="1" customWidth="1"/>
    <col min="11027" max="11027" width="4" style="403" hidden="1" customWidth="1"/>
    <col min="11028" max="11031" width="2.54296875" style="403" hidden="1" customWidth="1"/>
    <col min="11032" max="11032" width="2.453125" style="403" hidden="1" customWidth="1"/>
    <col min="11033" max="11036" width="2.54296875" style="403" hidden="1" customWidth="1"/>
    <col min="11037" max="11037" width="2.453125" style="403" hidden="1" customWidth="1"/>
    <col min="11038" max="11041" width="2.54296875" style="403" hidden="1" customWidth="1"/>
    <col min="11042" max="11047" width="2.453125" style="403" hidden="1" customWidth="1"/>
    <col min="11048" max="11048" width="1.54296875" style="403" hidden="1" customWidth="1"/>
    <col min="11049" max="11264" width="2.54296875" style="403" hidden="1"/>
    <col min="11265" max="11265" width="1.54296875" style="403" hidden="1" customWidth="1"/>
    <col min="11266" max="11266" width="0.81640625" style="403" hidden="1" customWidth="1"/>
    <col min="11267" max="11282" width="2.54296875" style="403" hidden="1" customWidth="1"/>
    <col min="11283" max="11283" width="4" style="403" hidden="1" customWidth="1"/>
    <col min="11284" max="11287" width="2.54296875" style="403" hidden="1" customWidth="1"/>
    <col min="11288" max="11288" width="2.453125" style="403" hidden="1" customWidth="1"/>
    <col min="11289" max="11292" width="2.54296875" style="403" hidden="1" customWidth="1"/>
    <col min="11293" max="11293" width="2.453125" style="403" hidden="1" customWidth="1"/>
    <col min="11294" max="11297" width="2.54296875" style="403" hidden="1" customWidth="1"/>
    <col min="11298" max="11303" width="2.453125" style="403" hidden="1" customWidth="1"/>
    <col min="11304" max="11304" width="1.54296875" style="403" hidden="1" customWidth="1"/>
    <col min="11305" max="11520" width="2.54296875" style="403" hidden="1"/>
    <col min="11521" max="11521" width="1.54296875" style="403" hidden="1" customWidth="1"/>
    <col min="11522" max="11522" width="0.81640625" style="403" hidden="1" customWidth="1"/>
    <col min="11523" max="11538" width="2.54296875" style="403" hidden="1" customWidth="1"/>
    <col min="11539" max="11539" width="4" style="403" hidden="1" customWidth="1"/>
    <col min="11540" max="11543" width="2.54296875" style="403" hidden="1" customWidth="1"/>
    <col min="11544" max="11544" width="2.453125" style="403" hidden="1" customWidth="1"/>
    <col min="11545" max="11548" width="2.54296875" style="403" hidden="1" customWidth="1"/>
    <col min="11549" max="11549" width="2.453125" style="403" hidden="1" customWidth="1"/>
    <col min="11550" max="11553" width="2.54296875" style="403" hidden="1" customWidth="1"/>
    <col min="11554" max="11559" width="2.453125" style="403" hidden="1" customWidth="1"/>
    <col min="11560" max="11560" width="1.54296875" style="403" hidden="1" customWidth="1"/>
    <col min="11561" max="11776" width="2.54296875" style="403" hidden="1"/>
    <col min="11777" max="11777" width="1.54296875" style="403" hidden="1" customWidth="1"/>
    <col min="11778" max="11778" width="0.81640625" style="403" hidden="1" customWidth="1"/>
    <col min="11779" max="11794" width="2.54296875" style="403" hidden="1" customWidth="1"/>
    <col min="11795" max="11795" width="4" style="403" hidden="1" customWidth="1"/>
    <col min="11796" max="11799" width="2.54296875" style="403" hidden="1" customWidth="1"/>
    <col min="11800" max="11800" width="2.453125" style="403" hidden="1" customWidth="1"/>
    <col min="11801" max="11804" width="2.54296875" style="403" hidden="1" customWidth="1"/>
    <col min="11805" max="11805" width="2.453125" style="403" hidden="1" customWidth="1"/>
    <col min="11806" max="11809" width="2.54296875" style="403" hidden="1" customWidth="1"/>
    <col min="11810" max="11815" width="2.453125" style="403" hidden="1" customWidth="1"/>
    <col min="11816" max="11816" width="1.54296875" style="403" hidden="1" customWidth="1"/>
    <col min="11817" max="12032" width="2.54296875" style="403" hidden="1"/>
    <col min="12033" max="12033" width="1.54296875" style="403" hidden="1" customWidth="1"/>
    <col min="12034" max="12034" width="0.81640625" style="403" hidden="1" customWidth="1"/>
    <col min="12035" max="12050" width="2.54296875" style="403" hidden="1" customWidth="1"/>
    <col min="12051" max="12051" width="4" style="403" hidden="1" customWidth="1"/>
    <col min="12052" max="12055" width="2.54296875" style="403" hidden="1" customWidth="1"/>
    <col min="12056" max="12056" width="2.453125" style="403" hidden="1" customWidth="1"/>
    <col min="12057" max="12060" width="2.54296875" style="403" hidden="1" customWidth="1"/>
    <col min="12061" max="12061" width="2.453125" style="403" hidden="1" customWidth="1"/>
    <col min="12062" max="12065" width="2.54296875" style="403" hidden="1" customWidth="1"/>
    <col min="12066" max="12071" width="2.453125" style="403" hidden="1" customWidth="1"/>
    <col min="12072" max="12072" width="1.54296875" style="403" hidden="1" customWidth="1"/>
    <col min="12073" max="12288" width="2.54296875" style="403" hidden="1"/>
    <col min="12289" max="12289" width="1.54296875" style="403" hidden="1" customWidth="1"/>
    <col min="12290" max="12290" width="0.81640625" style="403" hidden="1" customWidth="1"/>
    <col min="12291" max="12306" width="2.54296875" style="403" hidden="1" customWidth="1"/>
    <col min="12307" max="12307" width="4" style="403" hidden="1" customWidth="1"/>
    <col min="12308" max="12311" width="2.54296875" style="403" hidden="1" customWidth="1"/>
    <col min="12312" max="12312" width="2.453125" style="403" hidden="1" customWidth="1"/>
    <col min="12313" max="12316" width="2.54296875" style="403" hidden="1" customWidth="1"/>
    <col min="12317" max="12317" width="2.453125" style="403" hidden="1" customWidth="1"/>
    <col min="12318" max="12321" width="2.54296875" style="403" hidden="1" customWidth="1"/>
    <col min="12322" max="12327" width="2.453125" style="403" hidden="1" customWidth="1"/>
    <col min="12328" max="12328" width="1.54296875" style="403" hidden="1" customWidth="1"/>
    <col min="12329" max="12544" width="2.54296875" style="403" hidden="1"/>
    <col min="12545" max="12545" width="1.54296875" style="403" hidden="1" customWidth="1"/>
    <col min="12546" max="12546" width="0.81640625" style="403" hidden="1" customWidth="1"/>
    <col min="12547" max="12562" width="2.54296875" style="403" hidden="1" customWidth="1"/>
    <col min="12563" max="12563" width="4" style="403" hidden="1" customWidth="1"/>
    <col min="12564" max="12567" width="2.54296875" style="403" hidden="1" customWidth="1"/>
    <col min="12568" max="12568" width="2.453125" style="403" hidden="1" customWidth="1"/>
    <col min="12569" max="12572" width="2.54296875" style="403" hidden="1" customWidth="1"/>
    <col min="12573" max="12573" width="2.453125" style="403" hidden="1" customWidth="1"/>
    <col min="12574" max="12577" width="2.54296875" style="403" hidden="1" customWidth="1"/>
    <col min="12578" max="12583" width="2.453125" style="403" hidden="1" customWidth="1"/>
    <col min="12584" max="12584" width="1.54296875" style="403" hidden="1" customWidth="1"/>
    <col min="12585" max="12800" width="2.54296875" style="403" hidden="1"/>
    <col min="12801" max="12801" width="1.54296875" style="403" hidden="1" customWidth="1"/>
    <col min="12802" max="12802" width="0.81640625" style="403" hidden="1" customWidth="1"/>
    <col min="12803" max="12818" width="2.54296875" style="403" hidden="1" customWidth="1"/>
    <col min="12819" max="12819" width="4" style="403" hidden="1" customWidth="1"/>
    <col min="12820" max="12823" width="2.54296875" style="403" hidden="1" customWidth="1"/>
    <col min="12824" max="12824" width="2.453125" style="403" hidden="1" customWidth="1"/>
    <col min="12825" max="12828" width="2.54296875" style="403" hidden="1" customWidth="1"/>
    <col min="12829" max="12829" width="2.453125" style="403" hidden="1" customWidth="1"/>
    <col min="12830" max="12833" width="2.54296875" style="403" hidden="1" customWidth="1"/>
    <col min="12834" max="12839" width="2.453125" style="403" hidden="1" customWidth="1"/>
    <col min="12840" max="12840" width="1.54296875" style="403" hidden="1" customWidth="1"/>
    <col min="12841" max="13056" width="2.54296875" style="403" hidden="1"/>
    <col min="13057" max="13057" width="1.54296875" style="403" hidden="1" customWidth="1"/>
    <col min="13058" max="13058" width="0.81640625" style="403" hidden="1" customWidth="1"/>
    <col min="13059" max="13074" width="2.54296875" style="403" hidden="1" customWidth="1"/>
    <col min="13075" max="13075" width="4" style="403" hidden="1" customWidth="1"/>
    <col min="13076" max="13079" width="2.54296875" style="403" hidden="1" customWidth="1"/>
    <col min="13080" max="13080" width="2.453125" style="403" hidden="1" customWidth="1"/>
    <col min="13081" max="13084" width="2.54296875" style="403" hidden="1" customWidth="1"/>
    <col min="13085" max="13085" width="2.453125" style="403" hidden="1" customWidth="1"/>
    <col min="13086" max="13089" width="2.54296875" style="403" hidden="1" customWidth="1"/>
    <col min="13090" max="13095" width="2.453125" style="403" hidden="1" customWidth="1"/>
    <col min="13096" max="13096" width="1.54296875" style="403" hidden="1" customWidth="1"/>
    <col min="13097" max="13312" width="2.54296875" style="403" hidden="1"/>
    <col min="13313" max="13313" width="1.54296875" style="403" hidden="1" customWidth="1"/>
    <col min="13314" max="13314" width="0.81640625" style="403" hidden="1" customWidth="1"/>
    <col min="13315" max="13330" width="2.54296875" style="403" hidden="1" customWidth="1"/>
    <col min="13331" max="13331" width="4" style="403" hidden="1" customWidth="1"/>
    <col min="13332" max="13335" width="2.54296875" style="403" hidden="1" customWidth="1"/>
    <col min="13336" max="13336" width="2.453125" style="403" hidden="1" customWidth="1"/>
    <col min="13337" max="13340" width="2.54296875" style="403" hidden="1" customWidth="1"/>
    <col min="13341" max="13341" width="2.453125" style="403" hidden="1" customWidth="1"/>
    <col min="13342" max="13345" width="2.54296875" style="403" hidden="1" customWidth="1"/>
    <col min="13346" max="13351" width="2.453125" style="403" hidden="1" customWidth="1"/>
    <col min="13352" max="13352" width="1.54296875" style="403" hidden="1" customWidth="1"/>
    <col min="13353" max="13568" width="2.54296875" style="403" hidden="1"/>
    <col min="13569" max="13569" width="1.54296875" style="403" hidden="1" customWidth="1"/>
    <col min="13570" max="13570" width="0.81640625" style="403" hidden="1" customWidth="1"/>
    <col min="13571" max="13586" width="2.54296875" style="403" hidden="1" customWidth="1"/>
    <col min="13587" max="13587" width="4" style="403" hidden="1" customWidth="1"/>
    <col min="13588" max="13591" width="2.54296875" style="403" hidden="1" customWidth="1"/>
    <col min="13592" max="13592" width="2.453125" style="403" hidden="1" customWidth="1"/>
    <col min="13593" max="13596" width="2.54296875" style="403" hidden="1" customWidth="1"/>
    <col min="13597" max="13597" width="2.453125" style="403" hidden="1" customWidth="1"/>
    <col min="13598" max="13601" width="2.54296875" style="403" hidden="1" customWidth="1"/>
    <col min="13602" max="13607" width="2.453125" style="403" hidden="1" customWidth="1"/>
    <col min="13608" max="13608" width="1.54296875" style="403" hidden="1" customWidth="1"/>
    <col min="13609" max="13824" width="2.54296875" style="403" hidden="1"/>
    <col min="13825" max="13825" width="1.54296875" style="403" hidden="1" customWidth="1"/>
    <col min="13826" max="13826" width="0.81640625" style="403" hidden="1" customWidth="1"/>
    <col min="13827" max="13842" width="2.54296875" style="403" hidden="1" customWidth="1"/>
    <col min="13843" max="13843" width="4" style="403" hidden="1" customWidth="1"/>
    <col min="13844" max="13847" width="2.54296875" style="403" hidden="1" customWidth="1"/>
    <col min="13848" max="13848" width="2.453125" style="403" hidden="1" customWidth="1"/>
    <col min="13849" max="13852" width="2.54296875" style="403" hidden="1" customWidth="1"/>
    <col min="13853" max="13853" width="2.453125" style="403" hidden="1" customWidth="1"/>
    <col min="13854" max="13857" width="2.54296875" style="403" hidden="1" customWidth="1"/>
    <col min="13858" max="13863" width="2.453125" style="403" hidden="1" customWidth="1"/>
    <col min="13864" max="13864" width="1.54296875" style="403" hidden="1" customWidth="1"/>
    <col min="13865" max="14080" width="2.54296875" style="403" hidden="1"/>
    <col min="14081" max="14081" width="1.54296875" style="403" hidden="1" customWidth="1"/>
    <col min="14082" max="14082" width="0.81640625" style="403" hidden="1" customWidth="1"/>
    <col min="14083" max="14098" width="2.54296875" style="403" hidden="1" customWidth="1"/>
    <col min="14099" max="14099" width="4" style="403" hidden="1" customWidth="1"/>
    <col min="14100" max="14103" width="2.54296875" style="403" hidden="1" customWidth="1"/>
    <col min="14104" max="14104" width="2.453125" style="403" hidden="1" customWidth="1"/>
    <col min="14105" max="14108" width="2.54296875" style="403" hidden="1" customWidth="1"/>
    <col min="14109" max="14109" width="2.453125" style="403" hidden="1" customWidth="1"/>
    <col min="14110" max="14113" width="2.54296875" style="403" hidden="1" customWidth="1"/>
    <col min="14114" max="14119" width="2.453125" style="403" hidden="1" customWidth="1"/>
    <col min="14120" max="14120" width="1.54296875" style="403" hidden="1" customWidth="1"/>
    <col min="14121" max="14336" width="2.54296875" style="403" hidden="1"/>
    <col min="14337" max="14337" width="1.54296875" style="403" hidden="1" customWidth="1"/>
    <col min="14338" max="14338" width="0.81640625" style="403" hidden="1" customWidth="1"/>
    <col min="14339" max="14354" width="2.54296875" style="403" hidden="1" customWidth="1"/>
    <col min="14355" max="14355" width="4" style="403" hidden="1" customWidth="1"/>
    <col min="14356" max="14359" width="2.54296875" style="403" hidden="1" customWidth="1"/>
    <col min="14360" max="14360" width="2.453125" style="403" hidden="1" customWidth="1"/>
    <col min="14361" max="14364" width="2.54296875" style="403" hidden="1" customWidth="1"/>
    <col min="14365" max="14365" width="2.453125" style="403" hidden="1" customWidth="1"/>
    <col min="14366" max="14369" width="2.54296875" style="403" hidden="1" customWidth="1"/>
    <col min="14370" max="14375" width="2.453125" style="403" hidden="1" customWidth="1"/>
    <col min="14376" max="14376" width="1.54296875" style="403" hidden="1" customWidth="1"/>
    <col min="14377" max="14592" width="2.54296875" style="403" hidden="1"/>
    <col min="14593" max="14593" width="1.54296875" style="403" hidden="1" customWidth="1"/>
    <col min="14594" max="14594" width="0.81640625" style="403" hidden="1" customWidth="1"/>
    <col min="14595" max="14610" width="2.54296875" style="403" hidden="1" customWidth="1"/>
    <col min="14611" max="14611" width="4" style="403" hidden="1" customWidth="1"/>
    <col min="14612" max="14615" width="2.54296875" style="403" hidden="1" customWidth="1"/>
    <col min="14616" max="14616" width="2.453125" style="403" hidden="1" customWidth="1"/>
    <col min="14617" max="14620" width="2.54296875" style="403" hidden="1" customWidth="1"/>
    <col min="14621" max="14621" width="2.453125" style="403" hidden="1" customWidth="1"/>
    <col min="14622" max="14625" width="2.54296875" style="403" hidden="1" customWidth="1"/>
    <col min="14626" max="14631" width="2.453125" style="403" hidden="1" customWidth="1"/>
    <col min="14632" max="14632" width="1.54296875" style="403" hidden="1" customWidth="1"/>
    <col min="14633" max="14848" width="2.54296875" style="403" hidden="1"/>
    <col min="14849" max="14849" width="1.54296875" style="403" hidden="1" customWidth="1"/>
    <col min="14850" max="14850" width="0.81640625" style="403" hidden="1" customWidth="1"/>
    <col min="14851" max="14866" width="2.54296875" style="403" hidden="1" customWidth="1"/>
    <col min="14867" max="14867" width="4" style="403" hidden="1" customWidth="1"/>
    <col min="14868" max="14871" width="2.54296875" style="403" hidden="1" customWidth="1"/>
    <col min="14872" max="14872" width="2.453125" style="403" hidden="1" customWidth="1"/>
    <col min="14873" max="14876" width="2.54296875" style="403" hidden="1" customWidth="1"/>
    <col min="14877" max="14877" width="2.453125" style="403" hidden="1" customWidth="1"/>
    <col min="14878" max="14881" width="2.54296875" style="403" hidden="1" customWidth="1"/>
    <col min="14882" max="14887" width="2.453125" style="403" hidden="1" customWidth="1"/>
    <col min="14888" max="14888" width="1.54296875" style="403" hidden="1" customWidth="1"/>
    <col min="14889" max="15104" width="2.54296875" style="403" hidden="1"/>
    <col min="15105" max="15105" width="1.54296875" style="403" hidden="1" customWidth="1"/>
    <col min="15106" max="15106" width="0.81640625" style="403" hidden="1" customWidth="1"/>
    <col min="15107" max="15122" width="2.54296875" style="403" hidden="1" customWidth="1"/>
    <col min="15123" max="15123" width="4" style="403" hidden="1" customWidth="1"/>
    <col min="15124" max="15127" width="2.54296875" style="403" hidden="1" customWidth="1"/>
    <col min="15128" max="15128" width="2.453125" style="403" hidden="1" customWidth="1"/>
    <col min="15129" max="15132" width="2.54296875" style="403" hidden="1" customWidth="1"/>
    <col min="15133" max="15133" width="2.453125" style="403" hidden="1" customWidth="1"/>
    <col min="15134" max="15137" width="2.54296875" style="403" hidden="1" customWidth="1"/>
    <col min="15138" max="15143" width="2.453125" style="403" hidden="1" customWidth="1"/>
    <col min="15144" max="15144" width="1.54296875" style="403" hidden="1" customWidth="1"/>
    <col min="15145" max="15360" width="2.54296875" style="403" hidden="1"/>
    <col min="15361" max="15361" width="1.54296875" style="403" hidden="1" customWidth="1"/>
    <col min="15362" max="15362" width="0.81640625" style="403" hidden="1" customWidth="1"/>
    <col min="15363" max="15378" width="2.54296875" style="403" hidden="1" customWidth="1"/>
    <col min="15379" max="15379" width="4" style="403" hidden="1" customWidth="1"/>
    <col min="15380" max="15383" width="2.54296875" style="403" hidden="1" customWidth="1"/>
    <col min="15384" max="15384" width="2.453125" style="403" hidden="1" customWidth="1"/>
    <col min="15385" max="15388" width="2.54296875" style="403" hidden="1" customWidth="1"/>
    <col min="15389" max="15389" width="2.453125" style="403" hidden="1" customWidth="1"/>
    <col min="15390" max="15393" width="2.54296875" style="403" hidden="1" customWidth="1"/>
    <col min="15394" max="15399" width="2.453125" style="403" hidden="1" customWidth="1"/>
    <col min="15400" max="15400" width="1.54296875" style="403" hidden="1" customWidth="1"/>
    <col min="15401" max="15616" width="2.54296875" style="403" hidden="1"/>
    <col min="15617" max="15617" width="1.54296875" style="403" hidden="1" customWidth="1"/>
    <col min="15618" max="15618" width="0.81640625" style="403" hidden="1" customWidth="1"/>
    <col min="15619" max="15634" width="2.54296875" style="403" hidden="1" customWidth="1"/>
    <col min="15635" max="15635" width="4" style="403" hidden="1" customWidth="1"/>
    <col min="15636" max="15639" width="2.54296875" style="403" hidden="1" customWidth="1"/>
    <col min="15640" max="15640" width="2.453125" style="403" hidden="1" customWidth="1"/>
    <col min="15641" max="15644" width="2.54296875" style="403" hidden="1" customWidth="1"/>
    <col min="15645" max="15645" width="2.453125" style="403" hidden="1" customWidth="1"/>
    <col min="15646" max="15649" width="2.54296875" style="403" hidden="1" customWidth="1"/>
    <col min="15650" max="15655" width="2.453125" style="403" hidden="1" customWidth="1"/>
    <col min="15656" max="15656" width="1.54296875" style="403" hidden="1" customWidth="1"/>
    <col min="15657" max="15872" width="2.54296875" style="403" hidden="1"/>
    <col min="15873" max="15873" width="1.54296875" style="403" hidden="1" customWidth="1"/>
    <col min="15874" max="15874" width="0.81640625" style="403" hidden="1" customWidth="1"/>
    <col min="15875" max="15890" width="2.54296875" style="403" hidden="1" customWidth="1"/>
    <col min="15891" max="15891" width="4" style="403" hidden="1" customWidth="1"/>
    <col min="15892" max="15895" width="2.54296875" style="403" hidden="1" customWidth="1"/>
    <col min="15896" max="15896" width="2.453125" style="403" hidden="1" customWidth="1"/>
    <col min="15897" max="15900" width="2.54296875" style="403" hidden="1" customWidth="1"/>
    <col min="15901" max="15901" width="2.453125" style="403" hidden="1" customWidth="1"/>
    <col min="15902" max="15905" width="2.54296875" style="403" hidden="1" customWidth="1"/>
    <col min="15906" max="15911" width="2.453125" style="403" hidden="1" customWidth="1"/>
    <col min="15912" max="15912" width="1.54296875" style="403" hidden="1" customWidth="1"/>
    <col min="15913" max="16128" width="2.54296875" style="403" hidden="1"/>
    <col min="16129" max="16129" width="1.54296875" style="403" hidden="1" customWidth="1"/>
    <col min="16130" max="16130" width="0.81640625" style="403" hidden="1" customWidth="1"/>
    <col min="16131" max="16146" width="2.54296875" style="403" hidden="1" customWidth="1"/>
    <col min="16147" max="16147" width="4" style="403" hidden="1" customWidth="1"/>
    <col min="16148" max="16151" width="2.54296875" style="403" hidden="1" customWidth="1"/>
    <col min="16152" max="16152" width="2.453125" style="403" hidden="1" customWidth="1"/>
    <col min="16153" max="16156" width="2.54296875" style="403" hidden="1" customWidth="1"/>
    <col min="16157" max="16157" width="2.453125" style="403" hidden="1" customWidth="1"/>
    <col min="16158" max="16161" width="2.54296875" style="403" hidden="1" customWidth="1"/>
    <col min="16162" max="16167" width="2.453125" style="403" hidden="1" customWidth="1"/>
    <col min="16168" max="16168" width="1.54296875" style="403" hidden="1" customWidth="1"/>
    <col min="16169" max="16384" width="2.54296875" style="403" hidden="1"/>
  </cols>
  <sheetData>
    <row r="1" spans="1:40" ht="13" customHeight="1">
      <c r="A1" s="2370" t="s">
        <v>1279</v>
      </c>
      <c r="B1" s="2370"/>
      <c r="C1" s="2370"/>
      <c r="D1" s="2370"/>
      <c r="E1" s="2370"/>
      <c r="F1" s="2370"/>
      <c r="G1" s="2370"/>
      <c r="H1" s="2370"/>
      <c r="I1" s="2370"/>
      <c r="J1" s="2370"/>
      <c r="K1" s="2370"/>
      <c r="L1" s="2370"/>
      <c r="M1" s="2370"/>
      <c r="N1" s="2370"/>
      <c r="O1" s="2370"/>
      <c r="P1" s="2370"/>
      <c r="Q1" s="2370"/>
      <c r="R1" s="2370"/>
      <c r="S1" s="2370"/>
      <c r="T1" s="2370"/>
      <c r="U1" s="2370"/>
      <c r="V1" s="2370"/>
      <c r="W1" s="2370"/>
      <c r="X1" s="2370"/>
      <c r="Y1" s="2370"/>
      <c r="Z1" s="2370"/>
      <c r="AA1" s="2370"/>
      <c r="AB1" s="2370"/>
      <c r="AC1" s="2370"/>
      <c r="AD1" s="2370"/>
      <c r="AE1" s="2370"/>
      <c r="AF1" s="2370"/>
      <c r="AG1" s="2370"/>
      <c r="AH1" s="2370"/>
      <c r="AI1" s="2370"/>
      <c r="AJ1" s="2370"/>
      <c r="AK1" s="2370"/>
      <c r="AL1" s="2370"/>
      <c r="AM1" s="2370"/>
      <c r="AN1" s="2370"/>
    </row>
    <row r="2" spans="1:40" ht="13" customHeight="1" thickBot="1">
      <c r="A2" s="2371"/>
      <c r="B2" s="2371"/>
      <c r="C2" s="2371"/>
      <c r="D2" s="2371"/>
      <c r="E2" s="2371"/>
      <c r="F2" s="2371"/>
      <c r="G2" s="2371"/>
      <c r="H2" s="2371"/>
      <c r="I2" s="2371"/>
      <c r="J2" s="2371"/>
      <c r="K2" s="2371"/>
      <c r="L2" s="2371"/>
      <c r="M2" s="2371"/>
      <c r="N2" s="2371"/>
      <c r="O2" s="2371"/>
      <c r="P2" s="2371"/>
      <c r="Q2" s="2371"/>
      <c r="R2" s="2371"/>
      <c r="S2" s="2371"/>
      <c r="T2" s="2371"/>
      <c r="U2" s="2371"/>
      <c r="V2" s="2371"/>
      <c r="W2" s="2371"/>
      <c r="X2" s="2371"/>
      <c r="Y2" s="2371"/>
      <c r="Z2" s="2371"/>
      <c r="AA2" s="2371"/>
      <c r="AB2" s="2371"/>
      <c r="AC2" s="2371"/>
      <c r="AD2" s="2371"/>
      <c r="AE2" s="2371"/>
      <c r="AF2" s="2371"/>
      <c r="AG2" s="2371"/>
      <c r="AH2" s="2371"/>
      <c r="AI2" s="2371"/>
      <c r="AJ2" s="2371"/>
      <c r="AK2" s="2371"/>
      <c r="AL2" s="2371"/>
      <c r="AM2" s="2371"/>
      <c r="AN2" s="2371"/>
    </row>
    <row r="3" spans="1:40" ht="13" customHeight="1" thickTop="1">
      <c r="A3" s="403" t="str">
        <f>+A1</f>
        <v>V. BASIS AND CREDITS : 4% FEDERAL AND STATE CREDIT</v>
      </c>
      <c r="C3" s="101"/>
      <c r="D3" s="101"/>
      <c r="E3" s="101"/>
      <c r="F3" s="101"/>
      <c r="G3" s="101"/>
      <c r="H3" s="101"/>
      <c r="I3" s="101"/>
      <c r="J3" s="404"/>
      <c r="K3" s="404"/>
      <c r="L3" s="404"/>
      <c r="M3" s="404"/>
      <c r="N3" s="404"/>
      <c r="O3" s="404"/>
      <c r="P3" s="404"/>
      <c r="Q3" s="404"/>
      <c r="R3" s="404"/>
      <c r="S3" s="404"/>
      <c r="T3" s="404"/>
      <c r="U3" s="404"/>
      <c r="V3" s="404"/>
      <c r="W3" s="404"/>
      <c r="X3" s="404"/>
      <c r="Y3" s="404"/>
      <c r="Z3" s="404"/>
      <c r="AA3" s="404"/>
      <c r="AB3" s="404"/>
      <c r="AC3" s="404"/>
      <c r="AD3" s="404"/>
      <c r="AE3" s="404"/>
      <c r="AF3" s="404"/>
      <c r="AG3" s="404"/>
      <c r="AH3" s="404"/>
      <c r="AI3" s="404"/>
      <c r="AJ3" s="404"/>
      <c r="AK3" s="404"/>
      <c r="AL3" s="404"/>
      <c r="AM3" s="404"/>
      <c r="AN3" s="404"/>
    </row>
    <row r="4" spans="1:40" ht="13" customHeight="1">
      <c r="A4" s="405"/>
    </row>
    <row r="5" spans="1:40" ht="13" customHeight="1">
      <c r="A5" s="405" t="s">
        <v>318</v>
      </c>
      <c r="C5" s="405" t="s">
        <v>122</v>
      </c>
      <c r="F5" s="405"/>
    </row>
    <row r="6" spans="1:40" ht="13" customHeight="1">
      <c r="A6" s="405"/>
      <c r="C6" s="403" t="s">
        <v>1237</v>
      </c>
    </row>
    <row r="7" spans="1:40" ht="13" customHeight="1">
      <c r="B7" s="406"/>
      <c r="C7" s="407"/>
      <c r="D7" s="407"/>
      <c r="E7" s="407"/>
      <c r="F7" s="407"/>
      <c r="G7" s="407"/>
      <c r="H7" s="407"/>
      <c r="I7" s="407"/>
      <c r="J7" s="407"/>
      <c r="K7" s="407"/>
      <c r="L7" s="407"/>
      <c r="M7" s="407"/>
      <c r="N7" s="407"/>
      <c r="O7" s="407"/>
      <c r="P7" s="407"/>
      <c r="Q7" s="407"/>
      <c r="R7" s="407"/>
      <c r="S7" s="407"/>
      <c r="T7" s="2372" t="str">
        <f xml:space="preserve"> IF(T25=100%,'Sources and Basis Breakdown'!G2,'Sources and Basis Breakdown'!F2)</f>
        <v>30% PVC for New Const/
Rehabilitation
DDA/QCT
Building(s)</v>
      </c>
      <c r="U7" s="2372"/>
      <c r="V7" s="2372"/>
      <c r="W7" s="2372"/>
      <c r="X7" s="2372"/>
      <c r="Y7" s="2372" t="str">
        <f>IF(T25=100%,"",'Sources and Basis Breakdown'!G2)</f>
        <v>30% PVC for New Const/
Rehabilitation
NON-DDA/
NON-QCT Building(s)</v>
      </c>
      <c r="Z7" s="2372"/>
      <c r="AA7" s="2372"/>
      <c r="AB7" s="2372"/>
      <c r="AC7" s="2372"/>
      <c r="AD7" s="2372" t="str">
        <f xml:space="preserve"> IF(T25=100%, 'Sources and Basis Breakdown'!J2,'Sources and Basis Breakdown'!I2)</f>
        <v>30% PVC for Acquisition
DDA/QCT Building(s)</v>
      </c>
      <c r="AE7" s="2372"/>
      <c r="AF7" s="2372"/>
      <c r="AG7" s="2372"/>
      <c r="AH7" s="2372"/>
      <c r="AI7" s="2372" t="str">
        <f>IF(T25=100%,"",'Sources and Basis Breakdown'!J2)</f>
        <v>30% PVC for Acquisition
NON-DDA/
NON-QCT Building(s)</v>
      </c>
      <c r="AJ7" s="2372"/>
      <c r="AK7" s="2372"/>
      <c r="AL7" s="2372"/>
      <c r="AM7" s="2372"/>
    </row>
    <row r="8" spans="1:40" ht="13" customHeight="1">
      <c r="B8" s="408"/>
      <c r="T8" s="2372"/>
      <c r="U8" s="2372"/>
      <c r="V8" s="2372"/>
      <c r="W8" s="2372"/>
      <c r="X8" s="2372"/>
      <c r="Y8" s="2372"/>
      <c r="Z8" s="2372"/>
      <c r="AA8" s="2372"/>
      <c r="AB8" s="2372"/>
      <c r="AC8" s="2372"/>
      <c r="AD8" s="2372"/>
      <c r="AE8" s="2372"/>
      <c r="AF8" s="2372"/>
      <c r="AG8" s="2372"/>
      <c r="AH8" s="2372"/>
      <c r="AI8" s="2372"/>
      <c r="AJ8" s="2372"/>
      <c r="AK8" s="2372"/>
      <c r="AL8" s="2372"/>
      <c r="AM8" s="2372"/>
    </row>
    <row r="9" spans="1:40" ht="13" customHeight="1">
      <c r="B9" s="408"/>
      <c r="T9" s="2372"/>
      <c r="U9" s="2372"/>
      <c r="V9" s="2372"/>
      <c r="W9" s="2372"/>
      <c r="X9" s="2372"/>
      <c r="Y9" s="2372"/>
      <c r="Z9" s="2372"/>
      <c r="AA9" s="2372"/>
      <c r="AB9" s="2372"/>
      <c r="AC9" s="2372"/>
      <c r="AD9" s="2372"/>
      <c r="AE9" s="2372"/>
      <c r="AF9" s="2372"/>
      <c r="AG9" s="2372"/>
      <c r="AH9" s="2372"/>
      <c r="AI9" s="2372"/>
      <c r="AJ9" s="2372"/>
      <c r="AK9" s="2372"/>
      <c r="AL9" s="2372"/>
      <c r="AM9" s="2372"/>
    </row>
    <row r="10" spans="1:40" ht="13" customHeight="1">
      <c r="B10" s="409"/>
      <c r="C10" s="410"/>
      <c r="D10" s="410"/>
      <c r="E10" s="410"/>
      <c r="F10" s="410"/>
      <c r="G10" s="410"/>
      <c r="H10" s="410"/>
      <c r="I10" s="410"/>
      <c r="J10" s="410"/>
      <c r="K10" s="410"/>
      <c r="L10" s="410"/>
      <c r="M10" s="410"/>
      <c r="N10" s="410"/>
      <c r="O10" s="410"/>
      <c r="P10" s="410"/>
      <c r="Q10" s="410"/>
      <c r="R10" s="410"/>
      <c r="S10" s="410"/>
      <c r="T10" s="2372"/>
      <c r="U10" s="2372"/>
      <c r="V10" s="2372"/>
      <c r="W10" s="2372"/>
      <c r="X10" s="2372"/>
      <c r="Y10" s="2372"/>
      <c r="Z10" s="2372"/>
      <c r="AA10" s="2372"/>
      <c r="AB10" s="2372"/>
      <c r="AC10" s="2372"/>
      <c r="AD10" s="2372"/>
      <c r="AE10" s="2372"/>
      <c r="AF10" s="2372"/>
      <c r="AG10" s="2372"/>
      <c r="AH10" s="2372"/>
      <c r="AI10" s="2372"/>
      <c r="AJ10" s="2372"/>
      <c r="AK10" s="2372"/>
      <c r="AL10" s="2372"/>
      <c r="AM10" s="2372"/>
    </row>
    <row r="11" spans="1:40" ht="13" customHeight="1">
      <c r="B11" s="2351" t="s">
        <v>374</v>
      </c>
      <c r="C11" s="2352"/>
      <c r="D11" s="2352"/>
      <c r="E11" s="2352"/>
      <c r="F11" s="2352"/>
      <c r="G11" s="2352"/>
      <c r="H11" s="2352"/>
      <c r="I11" s="2352"/>
      <c r="J11" s="2352"/>
      <c r="K11" s="2352"/>
      <c r="L11" s="2352"/>
      <c r="M11" s="2352"/>
      <c r="N11" s="2352"/>
      <c r="O11" s="2352"/>
      <c r="P11" s="2352"/>
      <c r="Q11" s="2352"/>
      <c r="R11" s="2352"/>
      <c r="S11" s="2353"/>
      <c r="T11" s="2373">
        <f>IF('Sources and Basis Breakdown'!F107=0,'Sources and Basis Breakdown'!E107,'Sources and Basis Breakdown'!F107)</f>
        <v>16665943</v>
      </c>
      <c r="U11" s="2374"/>
      <c r="V11" s="2374"/>
      <c r="W11" s="2374"/>
      <c r="X11" s="2374"/>
      <c r="Y11" s="2373">
        <f>IF(Y7="",0,IF('Sources and Basis Breakdown'!G107+'Sources and Basis Breakdown'!F107='Sources and Basis Breakdown'!E107,'Sources and Basis Breakdown'!G107,0))</f>
        <v>0</v>
      </c>
      <c r="Z11" s="2374"/>
      <c r="AA11" s="2374"/>
      <c r="AB11" s="2374"/>
      <c r="AC11" s="2374"/>
      <c r="AD11" s="2374">
        <f>IF('Sources and Basis Breakdown'!I107=0,'Sources and Basis Breakdown'!H107,'Sources and Basis Breakdown'!I107)</f>
        <v>10415570</v>
      </c>
      <c r="AE11" s="2374"/>
      <c r="AF11" s="2374"/>
      <c r="AG11" s="2374"/>
      <c r="AH11" s="2374"/>
      <c r="AI11" s="2374">
        <f>IF(Y7="",0,IF('Sources and Basis Breakdown'!I107+'Sources and Basis Breakdown'!J107='Sources and Basis Breakdown'!H107,'Sources and Basis Breakdown'!J107,0))</f>
        <v>0</v>
      </c>
      <c r="AJ11" s="2374"/>
      <c r="AK11" s="2374"/>
      <c r="AL11" s="2374"/>
      <c r="AM11" s="2374"/>
    </row>
    <row r="12" spans="1:40" ht="13" customHeight="1">
      <c r="B12" s="2366" t="s">
        <v>496</v>
      </c>
      <c r="C12" s="1296"/>
      <c r="D12" s="1296"/>
      <c r="E12" s="1296"/>
      <c r="F12" s="1296"/>
      <c r="G12" s="1296"/>
      <c r="H12" s="1296"/>
      <c r="I12" s="1296"/>
      <c r="J12" s="1296"/>
      <c r="K12" s="1296"/>
      <c r="L12" s="1296"/>
      <c r="M12" s="1296"/>
      <c r="N12" s="1296"/>
      <c r="O12" s="1296"/>
      <c r="P12" s="1296"/>
      <c r="Q12" s="1296"/>
      <c r="R12" s="1296"/>
      <c r="S12" s="2367"/>
      <c r="T12" s="2339"/>
      <c r="U12" s="2340"/>
      <c r="V12" s="2340"/>
      <c r="W12" s="2340"/>
      <c r="X12" s="2341"/>
      <c r="Y12" s="2339"/>
      <c r="Z12" s="2340"/>
      <c r="AA12" s="2340"/>
      <c r="AB12" s="2340"/>
      <c r="AC12" s="2341"/>
      <c r="AD12" s="2339"/>
      <c r="AE12" s="2340"/>
      <c r="AF12" s="2340"/>
      <c r="AG12" s="2340"/>
      <c r="AH12" s="2341"/>
      <c r="AI12" s="2339"/>
      <c r="AJ12" s="2340"/>
      <c r="AK12" s="2340"/>
      <c r="AL12" s="2340"/>
      <c r="AM12" s="2341"/>
    </row>
    <row r="13" spans="1:40" ht="13" customHeight="1">
      <c r="B13" s="436"/>
      <c r="C13" s="2368" t="s">
        <v>497</v>
      </c>
      <c r="D13" s="2368"/>
      <c r="E13" s="2368"/>
      <c r="F13" s="2368"/>
      <c r="G13" s="2368"/>
      <c r="H13" s="2368"/>
      <c r="I13" s="2368"/>
      <c r="J13" s="2368"/>
      <c r="K13" s="2368"/>
      <c r="L13" s="2368"/>
      <c r="M13" s="2368"/>
      <c r="N13" s="2368"/>
      <c r="O13" s="2368"/>
      <c r="P13" s="2368"/>
      <c r="Q13" s="2368"/>
      <c r="R13" s="2368"/>
      <c r="S13" s="2369"/>
      <c r="T13" s="2375"/>
      <c r="U13" s="2376"/>
      <c r="V13" s="2376"/>
      <c r="W13" s="2376"/>
      <c r="X13" s="2376"/>
      <c r="Y13" s="2375"/>
      <c r="Z13" s="2376"/>
      <c r="AA13" s="2376"/>
      <c r="AB13" s="2376"/>
      <c r="AC13" s="2376"/>
      <c r="AD13" s="2376"/>
      <c r="AE13" s="2376"/>
      <c r="AF13" s="2376"/>
      <c r="AG13" s="2376"/>
      <c r="AH13" s="2376"/>
      <c r="AI13" s="2376"/>
      <c r="AJ13" s="2376"/>
      <c r="AK13" s="2376"/>
      <c r="AL13" s="2376"/>
      <c r="AM13" s="2376"/>
    </row>
    <row r="14" spans="1:40" ht="13" customHeight="1">
      <c r="B14" s="436"/>
      <c r="C14" s="2368" t="s">
        <v>498</v>
      </c>
      <c r="D14" s="2368"/>
      <c r="E14" s="2368"/>
      <c r="F14" s="2368"/>
      <c r="G14" s="2368"/>
      <c r="H14" s="2368"/>
      <c r="I14" s="2368"/>
      <c r="J14" s="2368"/>
      <c r="K14" s="2368"/>
      <c r="L14" s="2368"/>
      <c r="M14" s="2368"/>
      <c r="N14" s="2368"/>
      <c r="O14" s="2368"/>
      <c r="P14" s="2368"/>
      <c r="Q14" s="2368"/>
      <c r="R14" s="2368"/>
      <c r="S14" s="2369"/>
      <c r="T14" s="2342"/>
      <c r="U14" s="2343"/>
      <c r="V14" s="2343"/>
      <c r="W14" s="2343"/>
      <c r="X14" s="2343"/>
      <c r="Y14" s="2342"/>
      <c r="Z14" s="2343"/>
      <c r="AA14" s="2343"/>
      <c r="AB14" s="2343"/>
      <c r="AC14" s="2343"/>
      <c r="AD14" s="2343"/>
      <c r="AE14" s="2343"/>
      <c r="AF14" s="2343"/>
      <c r="AG14" s="2343"/>
      <c r="AH14" s="2343"/>
      <c r="AI14" s="2343"/>
      <c r="AJ14" s="2343"/>
      <c r="AK14" s="2343"/>
      <c r="AL14" s="2343"/>
      <c r="AM14" s="2343"/>
    </row>
    <row r="15" spans="1:40" ht="13" customHeight="1">
      <c r="B15" s="436"/>
      <c r="C15" s="2368" t="s">
        <v>499</v>
      </c>
      <c r="D15" s="2368"/>
      <c r="E15" s="2368"/>
      <c r="F15" s="2368"/>
      <c r="G15" s="2368"/>
      <c r="H15" s="2368"/>
      <c r="I15" s="2368"/>
      <c r="J15" s="2368"/>
      <c r="K15" s="2368"/>
      <c r="L15" s="2368"/>
      <c r="M15" s="2368"/>
      <c r="N15" s="2368"/>
      <c r="O15" s="2368"/>
      <c r="P15" s="2368"/>
      <c r="Q15" s="2368"/>
      <c r="R15" s="2368"/>
      <c r="S15" s="2369"/>
      <c r="T15" s="2342"/>
      <c r="U15" s="2343"/>
      <c r="V15" s="2343"/>
      <c r="W15" s="2343"/>
      <c r="X15" s="2343"/>
      <c r="Y15" s="2342"/>
      <c r="Z15" s="2343"/>
      <c r="AA15" s="2343"/>
      <c r="AB15" s="2343"/>
      <c r="AC15" s="2343"/>
      <c r="AD15" s="2343"/>
      <c r="AE15" s="2343"/>
      <c r="AF15" s="2343"/>
      <c r="AG15" s="2343"/>
      <c r="AH15" s="2343"/>
      <c r="AI15" s="2343"/>
      <c r="AJ15" s="2343"/>
      <c r="AK15" s="2343"/>
      <c r="AL15" s="2343"/>
      <c r="AM15" s="2343"/>
    </row>
    <row r="16" spans="1:40" ht="13" customHeight="1">
      <c r="B16" s="436"/>
      <c r="C16" s="2368" t="s">
        <v>804</v>
      </c>
      <c r="D16" s="2368"/>
      <c r="E16" s="2368"/>
      <c r="F16" s="2368"/>
      <c r="G16" s="2368"/>
      <c r="H16" s="2368"/>
      <c r="I16" s="2368"/>
      <c r="J16" s="2368"/>
      <c r="K16" s="2368"/>
      <c r="L16" s="2368"/>
      <c r="M16" s="2368"/>
      <c r="N16" s="2368"/>
      <c r="O16" s="2368"/>
      <c r="P16" s="2368"/>
      <c r="Q16" s="2368"/>
      <c r="R16" s="2368"/>
      <c r="S16" s="2369"/>
      <c r="T16" s="2342"/>
      <c r="U16" s="2343"/>
      <c r="V16" s="2343"/>
      <c r="W16" s="2343"/>
      <c r="X16" s="2343"/>
      <c r="Y16" s="2342"/>
      <c r="Z16" s="2343"/>
      <c r="AA16" s="2343"/>
      <c r="AB16" s="2343"/>
      <c r="AC16" s="2343"/>
      <c r="AD16" s="2343"/>
      <c r="AE16" s="2343"/>
      <c r="AF16" s="2343"/>
      <c r="AG16" s="2343"/>
      <c r="AH16" s="2343"/>
      <c r="AI16" s="2343"/>
      <c r="AJ16" s="2343"/>
      <c r="AK16" s="2343"/>
      <c r="AL16" s="2343"/>
      <c r="AM16" s="2343"/>
    </row>
    <row r="17" spans="1:40" ht="13" customHeight="1">
      <c r="B17" s="436"/>
      <c r="C17" s="2368" t="s">
        <v>500</v>
      </c>
      <c r="D17" s="2368"/>
      <c r="E17" s="2368"/>
      <c r="F17" s="2368"/>
      <c r="G17" s="2368"/>
      <c r="H17" s="2368"/>
      <c r="I17" s="2368"/>
      <c r="J17" s="2368"/>
      <c r="K17" s="2368"/>
      <c r="L17" s="2368"/>
      <c r="M17" s="2368"/>
      <c r="N17" s="2368"/>
      <c r="O17" s="2368"/>
      <c r="P17" s="2368"/>
      <c r="Q17" s="2368"/>
      <c r="R17" s="2368"/>
      <c r="S17" s="2369"/>
      <c r="T17" s="2342"/>
      <c r="U17" s="2343"/>
      <c r="V17" s="2343"/>
      <c r="W17" s="2343"/>
      <c r="X17" s="2343"/>
      <c r="Y17" s="2342"/>
      <c r="Z17" s="2343"/>
      <c r="AA17" s="2343"/>
      <c r="AB17" s="2343"/>
      <c r="AC17" s="2343"/>
      <c r="AD17" s="2343"/>
      <c r="AE17" s="2343"/>
      <c r="AF17" s="2343"/>
      <c r="AG17" s="2343"/>
      <c r="AH17" s="2343"/>
      <c r="AI17" s="2343"/>
      <c r="AJ17" s="2343"/>
      <c r="AK17" s="2343"/>
      <c r="AL17" s="2343"/>
      <c r="AM17" s="2343"/>
    </row>
    <row r="18" spans="1:40" ht="13" customHeight="1">
      <c r="A18"/>
      <c r="B18" s="1152"/>
      <c r="C18" s="1803" t="s">
        <v>959</v>
      </c>
      <c r="D18" s="1803"/>
      <c r="E18" s="1803"/>
      <c r="F18" s="1803"/>
      <c r="G18" s="1803"/>
      <c r="H18" s="1803"/>
      <c r="I18" s="1803"/>
      <c r="J18" s="1803"/>
      <c r="K18" s="1803"/>
      <c r="L18" s="1803"/>
      <c r="M18" s="1803"/>
      <c r="N18" s="1803"/>
      <c r="O18" s="1803"/>
      <c r="P18" s="1803"/>
      <c r="Q18" s="1803"/>
      <c r="R18" s="1803"/>
      <c r="S18" s="1804"/>
      <c r="T18" s="2342"/>
      <c r="U18" s="2343"/>
      <c r="V18" s="2343"/>
      <c r="W18" s="2343"/>
      <c r="X18" s="2343"/>
      <c r="Y18" s="2342"/>
      <c r="Z18" s="2343"/>
      <c r="AA18" s="2343"/>
      <c r="AB18" s="2343"/>
      <c r="AC18" s="2343"/>
      <c r="AD18" s="2343"/>
      <c r="AE18" s="2343"/>
      <c r="AF18" s="2343"/>
      <c r="AG18" s="2343"/>
      <c r="AH18" s="2343"/>
      <c r="AI18" s="2343"/>
      <c r="AJ18" s="2343"/>
      <c r="AK18" s="2343"/>
      <c r="AL18" s="2343"/>
      <c r="AM18" s="2343"/>
    </row>
    <row r="19" spans="1:40" ht="13" customHeight="1">
      <c r="B19" s="1152"/>
      <c r="C19" s="1803" t="s">
        <v>959</v>
      </c>
      <c r="D19" s="1803"/>
      <c r="E19" s="1803"/>
      <c r="F19" s="1803"/>
      <c r="G19" s="1803"/>
      <c r="H19" s="1803"/>
      <c r="I19" s="1803"/>
      <c r="J19" s="1803"/>
      <c r="K19" s="1803"/>
      <c r="L19" s="1803"/>
      <c r="M19" s="1803"/>
      <c r="N19" s="1803"/>
      <c r="O19" s="1803"/>
      <c r="P19" s="1803"/>
      <c r="Q19" s="1803"/>
      <c r="R19" s="1803"/>
      <c r="S19" s="1804"/>
      <c r="T19" s="2342"/>
      <c r="U19" s="2343"/>
      <c r="V19" s="2343"/>
      <c r="W19" s="2343"/>
      <c r="X19" s="2343"/>
      <c r="Y19" s="2342"/>
      <c r="Z19" s="2343"/>
      <c r="AA19" s="2343"/>
      <c r="AB19" s="2343"/>
      <c r="AC19" s="2343"/>
      <c r="AD19" s="2343"/>
      <c r="AE19" s="2343"/>
      <c r="AF19" s="2343"/>
      <c r="AG19" s="2343"/>
      <c r="AH19" s="2343"/>
      <c r="AI19" s="2343"/>
      <c r="AJ19" s="2343"/>
      <c r="AK19" s="2343"/>
      <c r="AL19" s="2343"/>
      <c r="AM19" s="2343"/>
    </row>
    <row r="20" spans="1:40" ht="13" customHeight="1">
      <c r="B20" s="2351" t="s">
        <v>501</v>
      </c>
      <c r="C20" s="2352"/>
      <c r="D20" s="2352"/>
      <c r="E20" s="2352"/>
      <c r="F20" s="2352"/>
      <c r="G20" s="2352"/>
      <c r="H20" s="2352"/>
      <c r="I20" s="2352"/>
      <c r="J20" s="2352"/>
      <c r="K20" s="2352"/>
      <c r="L20" s="2352"/>
      <c r="M20" s="2352"/>
      <c r="N20" s="2352"/>
      <c r="O20" s="2352"/>
      <c r="P20" s="2352"/>
      <c r="Q20" s="2352"/>
      <c r="R20" s="2352"/>
      <c r="S20" s="2353"/>
      <c r="T20" s="2344">
        <f>SUM(T13:X19)</f>
        <v>0</v>
      </c>
      <c r="U20" s="2345"/>
      <c r="V20" s="2345"/>
      <c r="W20" s="2345"/>
      <c r="X20" s="2345"/>
      <c r="Y20" s="2344">
        <f>SUM(Y13:AC19)</f>
        <v>0</v>
      </c>
      <c r="Z20" s="2345"/>
      <c r="AA20" s="2345"/>
      <c r="AB20" s="2345"/>
      <c r="AC20" s="2345"/>
      <c r="AD20" s="2346">
        <f>SUM(AD13:AH19)</f>
        <v>0</v>
      </c>
      <c r="AE20" s="2347"/>
      <c r="AF20" s="2347"/>
      <c r="AG20" s="2347"/>
      <c r="AH20" s="2344"/>
      <c r="AI20" s="2346">
        <f>SUM(AI13:AM19)</f>
        <v>0</v>
      </c>
      <c r="AJ20" s="2347"/>
      <c r="AK20" s="2347"/>
      <c r="AL20" s="2347"/>
      <c r="AM20" s="2344"/>
    </row>
    <row r="21" spans="1:40" ht="13" customHeight="1">
      <c r="B21" s="2351" t="s">
        <v>1262</v>
      </c>
      <c r="C21" s="2352"/>
      <c r="D21" s="2352"/>
      <c r="E21" s="2352"/>
      <c r="F21" s="2352"/>
      <c r="G21" s="2352"/>
      <c r="H21" s="2352"/>
      <c r="I21" s="2352"/>
      <c r="J21" s="2352"/>
      <c r="K21" s="2352"/>
      <c r="L21" s="2352"/>
      <c r="M21" s="2352"/>
      <c r="N21" s="2352"/>
      <c r="O21" s="2352"/>
      <c r="P21" s="2352"/>
      <c r="Q21" s="2352"/>
      <c r="R21" s="2352"/>
      <c r="S21" s="2353"/>
      <c r="T21" s="2342"/>
      <c r="U21" s="2343"/>
      <c r="V21" s="2343"/>
      <c r="W21" s="2343"/>
      <c r="X21" s="2343"/>
      <c r="Y21" s="2342"/>
      <c r="Z21" s="2343"/>
      <c r="AA21" s="2343"/>
      <c r="AB21" s="2343"/>
      <c r="AC21" s="2343"/>
      <c r="AD21" s="2339"/>
      <c r="AE21" s="2340"/>
      <c r="AF21" s="2340"/>
      <c r="AG21" s="2340"/>
      <c r="AH21" s="2341"/>
      <c r="AI21" s="2339"/>
      <c r="AJ21" s="2340"/>
      <c r="AK21" s="2340"/>
      <c r="AL21" s="2340"/>
      <c r="AM21" s="2341"/>
    </row>
    <row r="22" spans="1:40" ht="13" customHeight="1">
      <c r="B22" s="2351" t="s">
        <v>502</v>
      </c>
      <c r="C22" s="2352"/>
      <c r="D22" s="2352"/>
      <c r="E22" s="2352"/>
      <c r="F22" s="2352"/>
      <c r="G22" s="2352"/>
      <c r="H22" s="2352"/>
      <c r="I22" s="2352"/>
      <c r="J22" s="2352"/>
      <c r="K22" s="2352"/>
      <c r="L22" s="2352"/>
      <c r="M22" s="2352"/>
      <c r="N22" s="2352"/>
      <c r="O22" s="2352"/>
      <c r="P22" s="2352"/>
      <c r="Q22" s="2352"/>
      <c r="R22" s="2352"/>
      <c r="S22" s="2353"/>
      <c r="T22" s="2377">
        <f>(ABS(T20)+ABS(T21))*-1</f>
        <v>0</v>
      </c>
      <c r="U22" s="2378"/>
      <c r="V22" s="2378"/>
      <c r="W22" s="2378"/>
      <c r="X22" s="2378"/>
      <c r="Y22" s="2377">
        <f>(Y20+Y21)*-1</f>
        <v>0</v>
      </c>
      <c r="Z22" s="2378"/>
      <c r="AA22" s="2378"/>
      <c r="AB22" s="2378"/>
      <c r="AC22" s="2378"/>
      <c r="AD22" s="2379">
        <f>(AD20)*-1</f>
        <v>0</v>
      </c>
      <c r="AE22" s="2380"/>
      <c r="AF22" s="2380"/>
      <c r="AG22" s="2380"/>
      <c r="AH22" s="2377"/>
      <c r="AI22" s="2379">
        <f>(AI20)*-1</f>
        <v>0</v>
      </c>
      <c r="AJ22" s="2380"/>
      <c r="AK22" s="2380"/>
      <c r="AL22" s="2380"/>
      <c r="AM22" s="2377"/>
    </row>
    <row r="23" spans="1:40" ht="13" customHeight="1">
      <c r="B23" s="2351" t="s">
        <v>503</v>
      </c>
      <c r="C23" s="2352"/>
      <c r="D23" s="2352"/>
      <c r="E23" s="2352"/>
      <c r="F23" s="2352"/>
      <c r="G23" s="2352"/>
      <c r="H23" s="2352"/>
      <c r="I23" s="2352"/>
      <c r="J23" s="2352"/>
      <c r="K23" s="2352"/>
      <c r="L23" s="2352"/>
      <c r="M23" s="2352"/>
      <c r="N23" s="2352"/>
      <c r="O23" s="2352"/>
      <c r="P23" s="2352"/>
      <c r="Q23" s="2352"/>
      <c r="R23" s="2352"/>
      <c r="S23" s="2353"/>
      <c r="T23" s="2344">
        <f>T11+T22</f>
        <v>16665943</v>
      </c>
      <c r="U23" s="2345"/>
      <c r="V23" s="2345"/>
      <c r="W23" s="2345"/>
      <c r="X23" s="2345"/>
      <c r="Y23" s="2344">
        <f>Y11+Y22</f>
        <v>0</v>
      </c>
      <c r="Z23" s="2345"/>
      <c r="AA23" s="2345"/>
      <c r="AB23" s="2345"/>
      <c r="AC23" s="2345"/>
      <c r="AD23" s="2344">
        <f>AD11+AD22</f>
        <v>10415570</v>
      </c>
      <c r="AE23" s="2345"/>
      <c r="AF23" s="2345"/>
      <c r="AG23" s="2345"/>
      <c r="AH23" s="2345"/>
      <c r="AI23" s="2344">
        <f>AI11+AI22</f>
        <v>0</v>
      </c>
      <c r="AJ23" s="2345"/>
      <c r="AK23" s="2345"/>
      <c r="AL23" s="2345"/>
      <c r="AM23" s="2345"/>
    </row>
    <row r="24" spans="1:40" ht="13" customHeight="1">
      <c r="B24" s="2351" t="s">
        <v>960</v>
      </c>
      <c r="C24" s="2352"/>
      <c r="D24" s="2352"/>
      <c r="E24" s="2352"/>
      <c r="F24" s="2352"/>
      <c r="G24" s="2352"/>
      <c r="H24" s="2352"/>
      <c r="I24" s="2352"/>
      <c r="J24" s="2352"/>
      <c r="K24" s="2352"/>
      <c r="L24" s="2352"/>
      <c r="M24" s="2352"/>
      <c r="N24" s="2352"/>
      <c r="O24" s="2352"/>
      <c r="P24" s="2352"/>
      <c r="Q24" s="2352"/>
      <c r="R24" s="2352"/>
      <c r="S24" s="2353"/>
      <c r="T24" s="2346">
        <f>Application!AJ1053</f>
        <v>80315300</v>
      </c>
      <c r="U24" s="2347"/>
      <c r="V24" s="2347"/>
      <c r="W24" s="2347"/>
      <c r="X24" s="2347"/>
      <c r="Y24" s="2347"/>
      <c r="Z24" s="2347"/>
      <c r="AA24" s="2347"/>
      <c r="AB24" s="2347"/>
      <c r="AC24" s="2347"/>
      <c r="AD24" s="2347"/>
      <c r="AE24" s="2347"/>
      <c r="AF24" s="2347"/>
      <c r="AG24" s="2347"/>
      <c r="AH24" s="2347"/>
      <c r="AI24" s="2347"/>
      <c r="AJ24" s="2347"/>
      <c r="AK24" s="2347"/>
      <c r="AL24" s="2347"/>
      <c r="AM24" s="2344"/>
    </row>
    <row r="25" spans="1:40" ht="13" customHeight="1">
      <c r="B25" s="2355" t="s">
        <v>1263</v>
      </c>
      <c r="C25" s="2356"/>
      <c r="D25" s="2356"/>
      <c r="E25" s="2356"/>
      <c r="F25" s="2356"/>
      <c r="G25" s="2356"/>
      <c r="H25" s="2356"/>
      <c r="I25" s="2356"/>
      <c r="J25" s="2356"/>
      <c r="K25" s="2356"/>
      <c r="L25" s="2356"/>
      <c r="M25" s="2356"/>
      <c r="N25" s="2356"/>
      <c r="O25" s="2356"/>
      <c r="P25" s="2356"/>
      <c r="Q25" s="2356"/>
      <c r="R25" s="2356"/>
      <c r="S25" s="2357"/>
      <c r="T25" s="2381">
        <f>IF(OR(Application!T196="yes",Application!T195="yes"),1.3,1)</f>
        <v>1.3</v>
      </c>
      <c r="U25" s="2382"/>
      <c r="V25" s="2382"/>
      <c r="W25" s="2382"/>
      <c r="X25" s="2382"/>
      <c r="Y25" s="2381">
        <v>1</v>
      </c>
      <c r="Z25" s="2382"/>
      <c r="AA25" s="2382"/>
      <c r="AB25" s="2382"/>
      <c r="AC25" s="2382"/>
      <c r="AD25" s="2381">
        <v>1</v>
      </c>
      <c r="AE25" s="2382"/>
      <c r="AF25" s="2382"/>
      <c r="AG25" s="2382"/>
      <c r="AH25" s="2383"/>
      <c r="AI25" s="2381">
        <v>1</v>
      </c>
      <c r="AJ25" s="2382"/>
      <c r="AK25" s="2382"/>
      <c r="AL25" s="2382"/>
      <c r="AM25" s="2383"/>
    </row>
    <row r="26" spans="1:40" ht="13" customHeight="1">
      <c r="B26" s="2351" t="s">
        <v>504</v>
      </c>
      <c r="C26" s="2352"/>
      <c r="D26" s="2352"/>
      <c r="E26" s="2352"/>
      <c r="F26" s="2352"/>
      <c r="G26" s="2352"/>
      <c r="H26" s="2352"/>
      <c r="I26" s="2352"/>
      <c r="J26" s="2352"/>
      <c r="K26" s="2352"/>
      <c r="L26" s="2352"/>
      <c r="M26" s="2352"/>
      <c r="N26" s="2352"/>
      <c r="O26" s="2352"/>
      <c r="P26" s="2352"/>
      <c r="Q26" s="2352"/>
      <c r="R26" s="2352"/>
      <c r="S26" s="2353"/>
      <c r="T26" s="2344">
        <f>T23*T25</f>
        <v>21665725.900000002</v>
      </c>
      <c r="U26" s="2345"/>
      <c r="V26" s="2345"/>
      <c r="W26" s="2345"/>
      <c r="X26" s="2345"/>
      <c r="Y26" s="2344">
        <f>Y23*Y25</f>
        <v>0</v>
      </c>
      <c r="Z26" s="2345"/>
      <c r="AA26" s="2345"/>
      <c r="AB26" s="2345"/>
      <c r="AC26" s="2345"/>
      <c r="AD26" s="2344">
        <f>AD23*AD25</f>
        <v>10415570</v>
      </c>
      <c r="AE26" s="2345"/>
      <c r="AF26" s="2345"/>
      <c r="AG26" s="2345"/>
      <c r="AH26" s="2345"/>
      <c r="AI26" s="2344">
        <f>AI23*AI25</f>
        <v>0</v>
      </c>
      <c r="AJ26" s="2345"/>
      <c r="AK26" s="2345"/>
      <c r="AL26" s="2345"/>
      <c r="AM26" s="2345"/>
    </row>
    <row r="27" spans="1:40" ht="13" customHeight="1">
      <c r="A27" s="411"/>
      <c r="B27" s="2358" t="s">
        <v>425</v>
      </c>
      <c r="C27" s="2359"/>
      <c r="D27" s="2359"/>
      <c r="E27" s="2359"/>
      <c r="F27" s="2359"/>
      <c r="G27" s="2359"/>
      <c r="H27" s="2359"/>
      <c r="I27" s="2359"/>
      <c r="J27" s="2359"/>
      <c r="K27" s="2359"/>
      <c r="L27" s="2359"/>
      <c r="M27" s="2359"/>
      <c r="N27" s="2359"/>
      <c r="O27" s="2359"/>
      <c r="P27" s="2359"/>
      <c r="Q27" s="2359"/>
      <c r="R27" s="2359"/>
      <c r="S27" s="2360"/>
      <c r="T27" s="2364">
        <f>Application!$AG$445</f>
        <v>1</v>
      </c>
      <c r="U27" s="2365"/>
      <c r="V27" s="2365"/>
      <c r="W27" s="2365"/>
      <c r="X27" s="2365"/>
      <c r="Y27" s="2364">
        <f>Application!$AG$445</f>
        <v>1</v>
      </c>
      <c r="Z27" s="2365"/>
      <c r="AA27" s="2365"/>
      <c r="AB27" s="2365"/>
      <c r="AC27" s="2365"/>
      <c r="AD27" s="2364">
        <f>Application!$AG$445</f>
        <v>1</v>
      </c>
      <c r="AE27" s="2365"/>
      <c r="AF27" s="2365"/>
      <c r="AG27" s="2365"/>
      <c r="AH27" s="2365"/>
      <c r="AI27" s="2364">
        <f>Application!$AG$445</f>
        <v>1</v>
      </c>
      <c r="AJ27" s="2365"/>
      <c r="AK27" s="2365"/>
      <c r="AL27" s="2365"/>
      <c r="AM27" s="2365"/>
    </row>
    <row r="28" spans="1:40" ht="13" customHeight="1">
      <c r="A28" s="405"/>
      <c r="B28" s="2351" t="s">
        <v>505</v>
      </c>
      <c r="C28" s="2352"/>
      <c r="D28" s="2352"/>
      <c r="E28" s="2352"/>
      <c r="F28" s="2352"/>
      <c r="G28" s="2352"/>
      <c r="H28" s="2352"/>
      <c r="I28" s="2352"/>
      <c r="J28" s="2352"/>
      <c r="K28" s="2352"/>
      <c r="L28" s="2352"/>
      <c r="M28" s="2352"/>
      <c r="N28" s="2352"/>
      <c r="O28" s="2352"/>
      <c r="P28" s="2352"/>
      <c r="Q28" s="2352"/>
      <c r="R28" s="2352"/>
      <c r="S28" s="2353"/>
      <c r="T28" s="2344">
        <f>IF(ISERROR((T26*T27)),0,(T26*T27))</f>
        <v>21665725.900000002</v>
      </c>
      <c r="U28" s="2345"/>
      <c r="V28" s="2345"/>
      <c r="W28" s="2345"/>
      <c r="X28" s="2345"/>
      <c r="Y28" s="2344">
        <f>IF(ISERROR((Y26*Y27)),0,(Y26*Y27))</f>
        <v>0</v>
      </c>
      <c r="Z28" s="2345"/>
      <c r="AA28" s="2345"/>
      <c r="AB28" s="2345"/>
      <c r="AC28" s="2345"/>
      <c r="AD28" s="2344">
        <f>IF(ISERROR((AD26*AD27)),0,(AD26*AD27))</f>
        <v>10415570</v>
      </c>
      <c r="AE28" s="2345"/>
      <c r="AF28" s="2345"/>
      <c r="AG28" s="2345"/>
      <c r="AH28" s="2345"/>
      <c r="AI28" s="2344">
        <f>IF(ISERROR((AI26*AI27)),0,(AI26*AI27))</f>
        <v>0</v>
      </c>
      <c r="AJ28" s="2345"/>
      <c r="AK28" s="2345"/>
      <c r="AL28" s="2345"/>
      <c r="AM28" s="2345"/>
    </row>
    <row r="29" spans="1:40" ht="13" customHeight="1">
      <c r="B29" s="2351" t="s">
        <v>522</v>
      </c>
      <c r="C29" s="2352"/>
      <c r="D29" s="2352"/>
      <c r="E29" s="2352"/>
      <c r="F29" s="2352"/>
      <c r="G29" s="2352"/>
      <c r="H29" s="2352"/>
      <c r="I29" s="2352"/>
      <c r="J29" s="2352"/>
      <c r="K29" s="2352"/>
      <c r="L29" s="2352"/>
      <c r="M29" s="2352"/>
      <c r="N29" s="2352"/>
      <c r="O29" s="2352"/>
      <c r="P29" s="2352"/>
      <c r="Q29" s="2352"/>
      <c r="R29" s="2352"/>
      <c r="S29" s="2353"/>
      <c r="T29" s="2346">
        <f>T28+Y28+AD28+AI28</f>
        <v>32081295.900000002</v>
      </c>
      <c r="U29" s="2347"/>
      <c r="V29" s="2347"/>
      <c r="W29" s="2347"/>
      <c r="X29" s="2347"/>
      <c r="Y29" s="2347"/>
      <c r="Z29" s="2347"/>
      <c r="AA29" s="2347"/>
      <c r="AB29" s="2347"/>
      <c r="AC29" s="2347"/>
      <c r="AD29" s="2347"/>
      <c r="AE29" s="2347"/>
      <c r="AF29" s="2347"/>
      <c r="AG29" s="2347"/>
      <c r="AH29" s="2347"/>
      <c r="AI29" s="2347"/>
      <c r="AJ29" s="2347"/>
      <c r="AK29" s="2347"/>
      <c r="AL29" s="2347"/>
      <c r="AM29" s="2344"/>
    </row>
    <row r="30" spans="1:40" ht="13" customHeight="1">
      <c r="B30" s="2354" t="s">
        <v>1265</v>
      </c>
      <c r="C30" s="2354"/>
      <c r="D30" s="2354"/>
      <c r="E30" s="2354"/>
      <c r="F30" s="2354"/>
      <c r="G30" s="2354"/>
      <c r="H30" s="2354"/>
      <c r="I30" s="2354"/>
      <c r="J30" s="2354"/>
      <c r="K30" s="2354"/>
      <c r="L30" s="2354"/>
      <c r="M30" s="2354"/>
      <c r="N30" s="2354"/>
      <c r="O30" s="2354"/>
      <c r="P30" s="2354"/>
      <c r="Q30" s="2354"/>
      <c r="R30" s="2354"/>
      <c r="S30" s="2354"/>
      <c r="T30" s="2354"/>
      <c r="U30" s="2354"/>
      <c r="V30" s="2354"/>
      <c r="W30" s="2354"/>
      <c r="X30" s="2354"/>
      <c r="Y30" s="2354"/>
      <c r="Z30" s="2354"/>
      <c r="AA30" s="2354"/>
      <c r="AB30" s="2354"/>
      <c r="AC30" s="2354"/>
      <c r="AD30" s="2354"/>
      <c r="AE30" s="2354"/>
      <c r="AF30" s="2354"/>
      <c r="AG30" s="2354"/>
      <c r="AH30" s="2354"/>
      <c r="AI30" s="2354"/>
      <c r="AJ30" s="2354"/>
      <c r="AK30" s="2354"/>
      <c r="AL30" s="2354"/>
      <c r="AM30" s="2354"/>
    </row>
    <row r="31" spans="1:40" ht="13" customHeight="1">
      <c r="B31" s="2354" t="s">
        <v>1264</v>
      </c>
      <c r="C31" s="2354"/>
      <c r="D31" s="2354"/>
      <c r="E31" s="2354"/>
      <c r="F31" s="2354"/>
      <c r="G31" s="2354"/>
      <c r="H31" s="2354"/>
      <c r="I31" s="2354"/>
      <c r="J31" s="2354"/>
      <c r="K31" s="2354"/>
      <c r="L31" s="2354"/>
      <c r="M31" s="2354"/>
      <c r="N31" s="2354"/>
      <c r="O31" s="2354"/>
      <c r="P31" s="2354"/>
      <c r="Q31" s="2354"/>
      <c r="R31" s="2354"/>
      <c r="S31" s="2354"/>
      <c r="T31" s="2354"/>
      <c r="U31" s="2354"/>
      <c r="V31" s="2354"/>
      <c r="W31" s="2354"/>
      <c r="X31" s="2354"/>
      <c r="Y31" s="2354"/>
      <c r="Z31" s="2354"/>
      <c r="AA31" s="2354"/>
      <c r="AB31" s="2354"/>
      <c r="AC31" s="2354"/>
      <c r="AD31" s="2354"/>
      <c r="AE31" s="2354"/>
      <c r="AF31" s="2354"/>
      <c r="AG31" s="2354"/>
      <c r="AH31" s="2354"/>
      <c r="AI31" s="2354"/>
      <c r="AJ31" s="2354"/>
      <c r="AK31" s="2354"/>
      <c r="AL31" s="2354"/>
      <c r="AM31" s="2354"/>
      <c r="AN31" s="519"/>
    </row>
    <row r="32" spans="1:40" ht="13" customHeight="1">
      <c r="B32" s="435"/>
      <c r="C32" s="512" t="s">
        <v>386</v>
      </c>
      <c r="D32" s="435"/>
      <c r="E32" s="435"/>
      <c r="F32" s="435"/>
      <c r="G32" s="435"/>
      <c r="H32" s="435"/>
      <c r="I32" s="435"/>
      <c r="J32" s="435"/>
      <c r="K32" s="435"/>
      <c r="L32" s="435"/>
      <c r="M32" s="435"/>
      <c r="N32" s="435"/>
      <c r="O32" s="435"/>
      <c r="P32" s="435"/>
      <c r="Q32" s="435"/>
      <c r="R32" s="435"/>
      <c r="S32" s="435"/>
      <c r="T32" s="435"/>
      <c r="U32" s="435"/>
      <c r="V32" s="435"/>
      <c r="W32" s="435"/>
      <c r="X32" s="435"/>
      <c r="Y32" s="435"/>
      <c r="Z32" s="435"/>
      <c r="AA32" s="435"/>
      <c r="AB32" s="435"/>
      <c r="AC32" s="435"/>
      <c r="AD32" s="435"/>
      <c r="AE32" s="435"/>
      <c r="AF32" s="435"/>
      <c r="AG32" s="435"/>
      <c r="AH32" s="435"/>
      <c r="AI32" s="435"/>
      <c r="AJ32" s="435"/>
      <c r="AK32" s="435"/>
      <c r="AL32" s="435"/>
      <c r="AM32" s="435"/>
    </row>
    <row r="34" spans="1:76" ht="13" customHeight="1">
      <c r="A34" s="405" t="s">
        <v>575</v>
      </c>
      <c r="C34" s="405" t="s">
        <v>567</v>
      </c>
    </row>
    <row r="35" spans="1:76" ht="13" customHeight="1">
      <c r="B35" s="406"/>
      <c r="C35" s="407"/>
      <c r="D35" s="407"/>
      <c r="E35" s="407"/>
      <c r="F35" s="407"/>
      <c r="G35" s="407"/>
      <c r="H35" s="407"/>
      <c r="I35" s="407"/>
      <c r="J35" s="407"/>
      <c r="K35" s="407"/>
      <c r="L35" s="407"/>
      <c r="M35" s="407"/>
      <c r="N35" s="407"/>
      <c r="O35" s="407"/>
      <c r="P35" s="407"/>
      <c r="Q35" s="407"/>
      <c r="R35" s="407"/>
      <c r="S35" s="407"/>
      <c r="T35" s="407"/>
      <c r="U35" s="407"/>
      <c r="V35" s="407"/>
      <c r="W35" s="407"/>
      <c r="X35" s="412"/>
      <c r="Y35" s="2372" t="s">
        <v>1153</v>
      </c>
      <c r="Z35" s="2372"/>
      <c r="AA35" s="2372"/>
      <c r="AB35" s="2372"/>
      <c r="AC35" s="2372"/>
      <c r="AD35" s="2392" t="s">
        <v>368</v>
      </c>
      <c r="AE35" s="2392"/>
      <c r="AF35" s="2392"/>
      <c r="AG35" s="2392"/>
      <c r="AH35" s="2392"/>
    </row>
    <row r="36" spans="1:76" ht="13" customHeight="1">
      <c r="B36" s="408"/>
      <c r="X36" s="413"/>
      <c r="Y36" s="2372"/>
      <c r="Z36" s="2372"/>
      <c r="AA36" s="2372"/>
      <c r="AB36" s="2372"/>
      <c r="AC36" s="2372"/>
      <c r="AD36" s="2392"/>
      <c r="AE36" s="2392"/>
      <c r="AF36" s="2392"/>
      <c r="AG36" s="2392"/>
      <c r="AH36" s="2392"/>
    </row>
    <row r="37" spans="1:76" ht="13" customHeight="1">
      <c r="B37" s="409"/>
      <c r="C37" s="410"/>
      <c r="D37" s="410"/>
      <c r="E37" s="410"/>
      <c r="F37" s="410"/>
      <c r="G37" s="410"/>
      <c r="H37" s="410"/>
      <c r="I37" s="410"/>
      <c r="J37" s="410"/>
      <c r="K37" s="410"/>
      <c r="L37" s="410"/>
      <c r="M37" s="410"/>
      <c r="N37" s="410"/>
      <c r="O37" s="410"/>
      <c r="P37" s="410"/>
      <c r="Q37" s="410"/>
      <c r="R37" s="410"/>
      <c r="S37" s="410"/>
      <c r="T37" s="410"/>
      <c r="U37" s="410"/>
      <c r="V37" s="410"/>
      <c r="W37" s="410"/>
      <c r="X37" s="414"/>
      <c r="Y37" s="2372"/>
      <c r="Z37" s="2372"/>
      <c r="AA37" s="2372"/>
      <c r="AB37" s="2372"/>
      <c r="AC37" s="2372"/>
      <c r="AD37" s="2392"/>
      <c r="AE37" s="2392"/>
      <c r="AF37" s="2392"/>
      <c r="AG37" s="2392"/>
      <c r="AH37" s="2392"/>
    </row>
    <row r="38" spans="1:76" ht="13" customHeight="1">
      <c r="A38" s="405"/>
      <c r="B38" s="2351" t="s">
        <v>505</v>
      </c>
      <c r="C38" s="2352"/>
      <c r="D38" s="2352"/>
      <c r="E38" s="2352"/>
      <c r="F38" s="2352"/>
      <c r="G38" s="2352"/>
      <c r="H38" s="2352"/>
      <c r="I38" s="2352"/>
      <c r="J38" s="2352"/>
      <c r="K38" s="2352"/>
      <c r="L38" s="2352"/>
      <c r="M38" s="2352"/>
      <c r="N38" s="2352"/>
      <c r="O38" s="2352"/>
      <c r="P38" s="2352"/>
      <c r="Q38" s="2352"/>
      <c r="R38" s="2352"/>
      <c r="S38" s="2352"/>
      <c r="T38" s="2352"/>
      <c r="U38" s="2352"/>
      <c r="V38" s="2352"/>
      <c r="W38" s="2352"/>
      <c r="X38" s="2353"/>
      <c r="Y38" s="2345">
        <f>IF(T24&gt;=(T23+Y23+AD23+AI23),T28+Y28,0)</f>
        <v>21665725.900000002</v>
      </c>
      <c r="Z38" s="2345"/>
      <c r="AA38" s="2345"/>
      <c r="AB38" s="2345"/>
      <c r="AC38" s="2345"/>
      <c r="AD38" s="2345">
        <f>IF(T24&gt;=(T23+Y23+AD23+AI23),AD28+AI28,0)</f>
        <v>10415570</v>
      </c>
      <c r="AE38" s="2345"/>
      <c r="AF38" s="2345"/>
      <c r="AG38" s="2345"/>
      <c r="AH38" s="2345"/>
    </row>
    <row r="39" spans="1:76" ht="13" customHeight="1">
      <c r="B39" s="2351" t="s">
        <v>1690</v>
      </c>
      <c r="C39" s="2352"/>
      <c r="D39" s="2352"/>
      <c r="E39" s="2352"/>
      <c r="F39" s="2352"/>
      <c r="G39" s="2352"/>
      <c r="H39" s="2352"/>
      <c r="I39" s="2352"/>
      <c r="J39" s="2352"/>
      <c r="K39" s="2352"/>
      <c r="L39" s="2352"/>
      <c r="M39" s="2352"/>
      <c r="N39" s="2352"/>
      <c r="O39" s="2352"/>
      <c r="P39" s="2352"/>
      <c r="Q39" s="2352"/>
      <c r="R39" s="2352"/>
      <c r="S39" s="2352"/>
      <c r="T39" s="2352"/>
      <c r="U39" s="2352"/>
      <c r="V39" s="2352"/>
      <c r="W39" s="2352"/>
      <c r="X39" s="2353"/>
      <c r="Y39" s="2393">
        <v>0.04</v>
      </c>
      <c r="Z39" s="2393"/>
      <c r="AA39" s="2393"/>
      <c r="AB39" s="2393"/>
      <c r="AC39" s="2393"/>
      <c r="AD39" s="2393">
        <v>0.04</v>
      </c>
      <c r="AE39" s="2393"/>
      <c r="AF39" s="2393"/>
      <c r="AG39" s="2393"/>
      <c r="AH39" s="2393"/>
    </row>
    <row r="40" spans="1:76" ht="13" customHeight="1">
      <c r="A40" s="405"/>
      <c r="B40" s="2351" t="s">
        <v>641</v>
      </c>
      <c r="C40" s="2352"/>
      <c r="D40" s="2352"/>
      <c r="E40" s="2352"/>
      <c r="F40" s="2352"/>
      <c r="G40" s="2352"/>
      <c r="H40" s="2352"/>
      <c r="I40" s="2352"/>
      <c r="J40" s="2352"/>
      <c r="K40" s="2352"/>
      <c r="L40" s="2352"/>
      <c r="M40" s="2352"/>
      <c r="N40" s="2352"/>
      <c r="O40" s="2352"/>
      <c r="P40" s="2352"/>
      <c r="Q40" s="2352"/>
      <c r="R40" s="2352"/>
      <c r="S40" s="2352"/>
      <c r="T40" s="2352"/>
      <c r="U40" s="2352"/>
      <c r="V40" s="2352"/>
      <c r="W40" s="2352"/>
      <c r="X40" s="2353"/>
      <c r="Y40" s="2345">
        <f>ROUND(Y38*Y39,0)</f>
        <v>866629</v>
      </c>
      <c r="Z40" s="2345"/>
      <c r="AA40" s="2345"/>
      <c r="AB40" s="2345"/>
      <c r="AC40" s="2345"/>
      <c r="AD40" s="2344">
        <f>ROUND(AD38*AD39,0)</f>
        <v>416623</v>
      </c>
      <c r="AE40" s="2345"/>
      <c r="AF40" s="2345"/>
      <c r="AG40" s="2345"/>
      <c r="AH40" s="2345"/>
    </row>
    <row r="41" spans="1:76" ht="13" customHeight="1">
      <c r="B41" s="2351" t="s">
        <v>642</v>
      </c>
      <c r="C41" s="2352"/>
      <c r="D41" s="2352"/>
      <c r="E41" s="2352"/>
      <c r="F41" s="2352"/>
      <c r="G41" s="2352"/>
      <c r="H41" s="2352"/>
      <c r="I41" s="2352"/>
      <c r="J41" s="2352"/>
      <c r="K41" s="2352"/>
      <c r="L41" s="2352"/>
      <c r="M41" s="2352"/>
      <c r="N41" s="2352"/>
      <c r="O41" s="2352"/>
      <c r="P41" s="2352"/>
      <c r="Q41" s="2352"/>
      <c r="R41" s="2352"/>
      <c r="S41" s="2352"/>
      <c r="T41" s="2352"/>
      <c r="U41" s="2352"/>
      <c r="V41" s="2352"/>
      <c r="W41" s="2352"/>
      <c r="X41" s="2353"/>
      <c r="Y41" s="2346">
        <f>Y40+AD40</f>
        <v>1283252</v>
      </c>
      <c r="Z41" s="2347"/>
      <c r="AA41" s="2347"/>
      <c r="AB41" s="2347"/>
      <c r="AC41" s="2347"/>
      <c r="AD41" s="2347"/>
      <c r="AE41" s="2347"/>
      <c r="AF41" s="2347"/>
      <c r="AG41" s="2347"/>
      <c r="AH41" s="2344"/>
    </row>
    <row r="42" spans="1:76" ht="13" customHeight="1">
      <c r="A42" s="405"/>
      <c r="B42" s="931"/>
      <c r="C42" s="931"/>
      <c r="D42" s="931"/>
      <c r="E42" s="931"/>
      <c r="F42" s="931"/>
      <c r="G42" s="931"/>
      <c r="H42" s="931"/>
      <c r="I42" s="931"/>
      <c r="J42" s="931"/>
      <c r="K42" s="931"/>
      <c r="L42" s="931"/>
      <c r="M42" s="931"/>
      <c r="N42" s="931"/>
      <c r="O42" s="931"/>
      <c r="P42" s="931"/>
      <c r="Q42" s="931"/>
      <c r="R42" s="931"/>
      <c r="S42" s="931"/>
      <c r="T42" s="931"/>
      <c r="U42" s="931"/>
      <c r="V42" s="931"/>
      <c r="W42" s="931"/>
      <c r="X42" s="931"/>
      <c r="Y42" s="931"/>
      <c r="Z42" s="931"/>
      <c r="AA42" s="931"/>
      <c r="AB42" s="931"/>
      <c r="AC42" s="931"/>
      <c r="AD42" s="931"/>
      <c r="AE42" s="931"/>
      <c r="AF42" s="931"/>
      <c r="AG42" s="931"/>
      <c r="AH42" s="931"/>
    </row>
    <row r="43" spans="1:76" ht="13" customHeight="1">
      <c r="B43" s="415"/>
      <c r="C43" s="415"/>
      <c r="D43" s="415"/>
      <c r="E43" s="415"/>
      <c r="F43" s="415"/>
      <c r="G43" s="415"/>
      <c r="H43" s="415"/>
      <c r="I43" s="415"/>
      <c r="J43" s="415"/>
      <c r="K43" s="415"/>
      <c r="L43" s="415"/>
      <c r="M43" s="415"/>
      <c r="N43" s="415"/>
      <c r="O43" s="415"/>
      <c r="P43" s="415"/>
      <c r="Q43" s="415"/>
      <c r="R43" s="415"/>
      <c r="S43" s="415"/>
      <c r="T43" s="415"/>
      <c r="U43" s="415"/>
      <c r="V43" s="415"/>
      <c r="W43" s="415"/>
      <c r="X43" s="415"/>
      <c r="Y43" s="415"/>
      <c r="Z43" s="415"/>
      <c r="AA43" s="415"/>
      <c r="AB43" s="415"/>
      <c r="AC43" s="415"/>
      <c r="AD43" s="415"/>
      <c r="AE43" s="415"/>
      <c r="AF43" s="415"/>
      <c r="AG43" s="415"/>
      <c r="AH43" s="415"/>
    </row>
    <row r="44" spans="1:76" s="205" customFormat="1" ht="13" customHeight="1" thickBot="1">
      <c r="A44" s="2349" t="s">
        <v>1275</v>
      </c>
      <c r="B44" s="2349"/>
      <c r="C44" s="2349"/>
      <c r="D44" s="2349"/>
      <c r="E44" s="2349"/>
      <c r="F44" s="2349"/>
      <c r="G44" s="2349"/>
      <c r="H44" s="2349"/>
      <c r="I44" s="2349"/>
      <c r="J44" s="2349"/>
      <c r="K44" s="2349"/>
      <c r="L44" s="2349"/>
      <c r="M44" s="2349"/>
      <c r="N44" s="2349"/>
      <c r="O44" s="2349"/>
      <c r="P44" s="2349"/>
      <c r="Q44" s="2349"/>
      <c r="R44" s="2349"/>
      <c r="S44" s="2349"/>
      <c r="T44" s="2349"/>
      <c r="U44" s="2349"/>
      <c r="V44" s="2349"/>
      <c r="W44" s="2349"/>
      <c r="X44" s="2349"/>
      <c r="Y44" s="2349"/>
      <c r="Z44" s="2349"/>
      <c r="AA44" s="2349"/>
      <c r="AB44" s="2349"/>
      <c r="AC44" s="2349"/>
      <c r="AD44" s="2349"/>
      <c r="AE44" s="2349"/>
      <c r="AF44" s="2349"/>
      <c r="AG44" s="2349"/>
      <c r="AH44" s="2349"/>
      <c r="AI44" s="2349"/>
      <c r="AJ44" s="2349"/>
      <c r="AK44" s="2349"/>
      <c r="AL44" s="2349"/>
      <c r="AM44" s="2349"/>
      <c r="AN44" s="2349"/>
      <c r="AO44" s="2349"/>
      <c r="AP44" s="2349"/>
      <c r="AQ44" s="2349"/>
      <c r="AR44" s="2349"/>
      <c r="AS44" s="2349"/>
      <c r="AT44" s="2349"/>
      <c r="AU44" s="2349"/>
      <c r="AV44" s="2349"/>
      <c r="AW44" s="2349"/>
      <c r="AX44" s="2349"/>
      <c r="AY44" s="2349"/>
      <c r="AZ44" s="2349"/>
      <c r="BA44" s="2349"/>
      <c r="BB44" s="2349"/>
      <c r="BC44" s="2349"/>
      <c r="BD44" s="2349"/>
      <c r="BE44" s="2349"/>
      <c r="BF44" s="2349"/>
      <c r="BG44" s="2349"/>
      <c r="BH44" s="2349"/>
      <c r="BI44" s="2349"/>
      <c r="BJ44" s="2349"/>
      <c r="BK44" s="2349"/>
      <c r="BL44" s="2349"/>
      <c r="BM44" s="2349"/>
      <c r="BN44" s="2349"/>
      <c r="BO44" s="2349"/>
      <c r="BP44" s="2349"/>
      <c r="BQ44" s="2349"/>
      <c r="BR44" s="2349"/>
      <c r="BS44" s="2349"/>
      <c r="BT44" s="2349"/>
      <c r="BU44" s="2349"/>
      <c r="BV44" s="2349"/>
      <c r="BW44" s="2349"/>
      <c r="BX44" s="2349"/>
    </row>
    <row r="45" spans="1:76" s="205" customFormat="1" ht="13" customHeight="1" thickTop="1"/>
    <row r="46" spans="1:76" ht="13" customHeight="1">
      <c r="A46" s="405" t="s">
        <v>585</v>
      </c>
      <c r="C46" s="405" t="s">
        <v>281</v>
      </c>
    </row>
    <row r="47" spans="1:76" ht="13" customHeight="1">
      <c r="D47" s="405" t="s">
        <v>282</v>
      </c>
      <c r="AB47" s="2361">
        <f>'Sources and Uses Budget'!B105-MAX(IF('Sources and Uses Budget'!B15="",0,'Sources and Uses Budget'!B15),IF(Application!AG394="",0,Application!AG394))</f>
        <v>35051792</v>
      </c>
      <c r="AC47" s="2362"/>
      <c r="AD47" s="2362"/>
      <c r="AE47" s="2362"/>
      <c r="AF47" s="2363"/>
    </row>
    <row r="48" spans="1:76" ht="13" customHeight="1">
      <c r="D48" s="405" t="s">
        <v>21</v>
      </c>
      <c r="AB48" s="2361">
        <f>Application!AO639-MAX(IF('Sources and Uses Budget'!B15="",0,'Sources and Uses Budget'!B15),IF(Application!AG394="",0,Application!AG394))</f>
        <v>23811992</v>
      </c>
      <c r="AC48" s="2362"/>
      <c r="AD48" s="2362"/>
      <c r="AE48" s="2362"/>
      <c r="AF48" s="2363"/>
    </row>
    <row r="49" spans="1:76" ht="13" customHeight="1">
      <c r="D49" s="405" t="s">
        <v>91</v>
      </c>
      <c r="AB49" s="2361">
        <f>AB47-AB48</f>
        <v>11239800</v>
      </c>
      <c r="AC49" s="2362"/>
      <c r="AD49" s="2362"/>
      <c r="AE49" s="2362"/>
      <c r="AF49" s="2363"/>
    </row>
    <row r="50" spans="1:76" ht="13" customHeight="1">
      <c r="D50" s="405" t="s">
        <v>680</v>
      </c>
      <c r="AA50" s="416"/>
      <c r="AB50" s="2388">
        <f>AB49/Y41/10</f>
        <v>0.87588408200415824</v>
      </c>
      <c r="AC50" s="2389"/>
      <c r="AD50" s="2389"/>
      <c r="AE50" s="2389"/>
      <c r="AF50" s="2390"/>
    </row>
    <row r="51" spans="1:76" s="418" customFormat="1" ht="13" customHeight="1">
      <c r="A51" s="403"/>
      <c r="B51" s="403"/>
      <c r="C51" s="403"/>
      <c r="D51" s="403"/>
      <c r="E51" s="2391" t="s">
        <v>1849</v>
      </c>
      <c r="F51" s="2391"/>
      <c r="G51" s="2391"/>
      <c r="H51" s="2391"/>
      <c r="I51" s="2391"/>
      <c r="J51" s="2391"/>
      <c r="K51" s="2391"/>
      <c r="L51" s="2391"/>
      <c r="M51" s="2391"/>
      <c r="N51" s="2391"/>
      <c r="O51" s="2391"/>
      <c r="P51" s="2391"/>
      <c r="Q51" s="2391"/>
      <c r="R51" s="2391"/>
      <c r="S51" s="2391"/>
      <c r="T51" s="2391"/>
      <c r="U51" s="2391"/>
      <c r="V51" s="2391"/>
      <c r="W51" s="2391"/>
      <c r="X51" s="2391"/>
      <c r="Y51" s="2391"/>
      <c r="Z51" s="2391"/>
      <c r="AA51" s="417"/>
      <c r="AB51" s="417"/>
      <c r="AC51" s="417"/>
      <c r="AD51" s="417"/>
      <c r="AE51" s="417"/>
      <c r="AF51" s="417"/>
      <c r="AG51" s="403"/>
      <c r="AH51" s="403"/>
      <c r="AI51" s="403"/>
      <c r="AJ51" s="403"/>
      <c r="AK51" s="403"/>
      <c r="AL51" s="403"/>
      <c r="AM51" s="403"/>
      <c r="AN51" s="403"/>
    </row>
    <row r="52" spans="1:76" s="418" customFormat="1" ht="13" customHeight="1">
      <c r="A52" s="403"/>
      <c r="B52" s="403"/>
      <c r="C52" s="403"/>
      <c r="D52" s="403"/>
      <c r="E52" s="2391"/>
      <c r="F52" s="2391"/>
      <c r="G52" s="2391"/>
      <c r="H52" s="2391"/>
      <c r="I52" s="2391"/>
      <c r="J52" s="2391"/>
      <c r="K52" s="2391"/>
      <c r="L52" s="2391"/>
      <c r="M52" s="2391"/>
      <c r="N52" s="2391"/>
      <c r="O52" s="2391"/>
      <c r="P52" s="2391"/>
      <c r="Q52" s="2391"/>
      <c r="R52" s="2391"/>
      <c r="S52" s="2391"/>
      <c r="T52" s="2391"/>
      <c r="U52" s="2391"/>
      <c r="V52" s="2391"/>
      <c r="W52" s="2391"/>
      <c r="X52" s="2391"/>
      <c r="Y52" s="2391"/>
      <c r="Z52" s="2391"/>
      <c r="AA52" s="419"/>
      <c r="AB52" s="419"/>
      <c r="AC52" s="419"/>
      <c r="AD52" s="419"/>
      <c r="AE52" s="419"/>
      <c r="AF52" s="419"/>
      <c r="AG52" s="420"/>
      <c r="AH52" s="403"/>
      <c r="AI52" s="403"/>
      <c r="AJ52" s="403"/>
      <c r="AK52" s="403"/>
      <c r="AL52" s="403"/>
      <c r="AM52" s="403"/>
      <c r="AN52" s="403"/>
    </row>
    <row r="53" spans="1:76" ht="13" customHeight="1">
      <c r="E53" s="417"/>
      <c r="F53" s="417"/>
      <c r="G53" s="417"/>
      <c r="H53" s="417"/>
      <c r="I53" s="417"/>
      <c r="J53" s="417"/>
      <c r="K53" s="417"/>
      <c r="L53" s="417"/>
      <c r="M53" s="417"/>
      <c r="N53" s="417"/>
      <c r="O53" s="417"/>
      <c r="P53" s="417"/>
      <c r="Q53" s="417"/>
      <c r="R53" s="417"/>
      <c r="S53" s="417"/>
      <c r="T53" s="417"/>
      <c r="U53" s="417"/>
      <c r="V53" s="417"/>
      <c r="W53" s="417"/>
      <c r="X53" s="417"/>
      <c r="Y53" s="417"/>
      <c r="Z53" s="417"/>
    </row>
    <row r="54" spans="1:76" ht="13" customHeight="1">
      <c r="D54" s="405" t="s">
        <v>331</v>
      </c>
      <c r="AB54" s="2361">
        <f>ROUND(IF(ISERROR((AB49/AB50)),0,(AB49/AB50)),0)</f>
        <v>12832520</v>
      </c>
      <c r="AC54" s="2362"/>
      <c r="AD54" s="2362"/>
      <c r="AE54" s="2362"/>
      <c r="AF54" s="2363"/>
    </row>
    <row r="55" spans="1:76" ht="13" customHeight="1">
      <c r="D55" s="405" t="s">
        <v>332</v>
      </c>
      <c r="AB55" s="2361">
        <f>(AB54/10)</f>
        <v>1283252</v>
      </c>
      <c r="AC55" s="2362"/>
      <c r="AD55" s="2362"/>
      <c r="AE55" s="2362"/>
      <c r="AF55" s="2363"/>
    </row>
    <row r="56" spans="1:76" ht="13" customHeight="1">
      <c r="D56" s="405" t="s">
        <v>755</v>
      </c>
      <c r="AB56" s="2361">
        <f>ROUND((IF((Y41&lt;AB55),Y41,AB55)),0)</f>
        <v>1283252</v>
      </c>
      <c r="AC56" s="2362"/>
      <c r="AD56" s="2362"/>
      <c r="AE56" s="2362"/>
      <c r="AF56" s="2363"/>
    </row>
    <row r="57" spans="1:76" ht="13" customHeight="1">
      <c r="D57" s="405" t="s">
        <v>754</v>
      </c>
      <c r="AB57" s="2361">
        <f>ROUND((10*AB56*AB50),0)</f>
        <v>11239800</v>
      </c>
      <c r="AC57" s="2362"/>
      <c r="AD57" s="2362"/>
      <c r="AE57" s="2362"/>
      <c r="AF57" s="2363"/>
    </row>
    <row r="58" spans="1:76" ht="13" customHeight="1">
      <c r="D58" s="405"/>
      <c r="AB58" s="424"/>
      <c r="AC58" s="424"/>
      <c r="AD58" s="424"/>
      <c r="AE58" s="424"/>
      <c r="AF58" s="424"/>
    </row>
    <row r="59" spans="1:76" ht="13" customHeight="1">
      <c r="D59" s="405" t="s">
        <v>753</v>
      </c>
      <c r="AB59" s="2384">
        <f>AB49-AB57</f>
        <v>0</v>
      </c>
      <c r="AC59" s="2384"/>
      <c r="AD59" s="2384"/>
      <c r="AE59" s="2384"/>
      <c r="AF59" s="2384"/>
    </row>
    <row r="60" spans="1:76" ht="13" customHeight="1">
      <c r="D60" s="405"/>
      <c r="AB60" s="424"/>
      <c r="AC60" s="424"/>
      <c r="AD60" s="424"/>
      <c r="AE60" s="424"/>
      <c r="AF60" s="424"/>
    </row>
    <row r="61" spans="1:76" s="205" customFormat="1" ht="13" customHeight="1" thickBot="1">
      <c r="A61" s="2349" t="str">
        <f>IF(Application!AP205="yes","Farmworker State Credit", "State Credit" )</f>
        <v>State Credit</v>
      </c>
      <c r="B61" s="2349"/>
      <c r="C61" s="2349"/>
      <c r="D61" s="2349"/>
      <c r="E61" s="2349"/>
      <c r="F61" s="2349"/>
      <c r="G61" s="2349"/>
      <c r="H61" s="2349"/>
      <c r="I61" s="2349"/>
      <c r="J61" s="2349"/>
      <c r="K61" s="2349"/>
      <c r="L61" s="2349"/>
      <c r="M61" s="2349"/>
      <c r="N61" s="2349"/>
      <c r="O61" s="2349"/>
      <c r="P61" s="2349"/>
      <c r="Q61" s="2349"/>
      <c r="R61" s="2349"/>
      <c r="S61" s="2349"/>
      <c r="T61" s="2349"/>
      <c r="U61" s="2349"/>
      <c r="V61" s="2349"/>
      <c r="W61" s="2349"/>
      <c r="X61" s="2349"/>
      <c r="Y61" s="2349"/>
      <c r="Z61" s="2349"/>
      <c r="AA61" s="2349"/>
      <c r="AB61" s="2349"/>
      <c r="AC61" s="2349"/>
      <c r="AD61" s="2349"/>
      <c r="AE61" s="2349"/>
      <c r="AF61" s="2349"/>
      <c r="AG61" s="2349"/>
      <c r="AH61" s="2349"/>
      <c r="AI61" s="2349"/>
      <c r="AJ61" s="2349"/>
      <c r="AK61" s="2349"/>
      <c r="AL61" s="2349"/>
      <c r="AM61" s="2349"/>
      <c r="AN61" s="2349"/>
      <c r="AO61" s="2349"/>
      <c r="AP61" s="2349"/>
      <c r="AQ61" s="2349"/>
      <c r="AR61" s="2349"/>
      <c r="AS61" s="2349"/>
      <c r="AT61" s="2349"/>
      <c r="AU61" s="2349"/>
      <c r="AV61" s="2349"/>
      <c r="AW61" s="2349"/>
      <c r="AX61" s="2349"/>
      <c r="AY61" s="2349"/>
      <c r="AZ61" s="2349"/>
      <c r="BA61" s="2349"/>
      <c r="BB61" s="2349"/>
      <c r="BC61" s="2349"/>
      <c r="BD61" s="2349"/>
      <c r="BE61" s="2349"/>
      <c r="BF61" s="2349"/>
      <c r="BG61" s="2349"/>
      <c r="BH61" s="2349"/>
      <c r="BI61" s="2349"/>
      <c r="BJ61" s="2349"/>
      <c r="BK61" s="2349"/>
      <c r="BL61" s="2349"/>
      <c r="BM61" s="2349"/>
      <c r="BN61" s="2349"/>
      <c r="BO61" s="2349"/>
      <c r="BP61" s="2349"/>
      <c r="BQ61" s="2349"/>
      <c r="BR61" s="2349"/>
      <c r="BS61" s="2349"/>
      <c r="BT61" s="2349"/>
      <c r="BU61" s="2349"/>
      <c r="BV61" s="2349"/>
      <c r="BW61" s="2349"/>
      <c r="BX61" s="2349"/>
    </row>
    <row r="62" spans="1:76" s="205" customFormat="1" ht="13" customHeight="1" thickTop="1"/>
    <row r="63" spans="1:76" ht="13" customHeight="1">
      <c r="A63" s="405" t="s">
        <v>588</v>
      </c>
      <c r="C63" s="206" t="s">
        <v>1247</v>
      </c>
      <c r="Y63" s="2385" t="s">
        <v>983</v>
      </c>
      <c r="Z63" s="2385"/>
      <c r="AA63" s="2385"/>
      <c r="AB63" s="2385"/>
      <c r="AC63" s="2385"/>
      <c r="AD63" s="2385" t="s">
        <v>368</v>
      </c>
      <c r="AE63" s="2385"/>
      <c r="AF63" s="2385"/>
      <c r="AG63" s="2385"/>
      <c r="AH63" s="2385"/>
    </row>
    <row r="64" spans="1:76" ht="13" customHeight="1">
      <c r="C64" s="405"/>
      <c r="D64" s="378" t="s">
        <v>1248</v>
      </c>
      <c r="E64" s="421"/>
      <c r="F64" s="421"/>
      <c r="G64" s="421"/>
      <c r="H64" s="421"/>
      <c r="I64" s="421"/>
      <c r="J64" s="421"/>
      <c r="K64" s="421"/>
      <c r="L64" s="421"/>
      <c r="M64" s="421"/>
      <c r="N64" s="421"/>
      <c r="O64" s="421"/>
      <c r="P64" s="421"/>
      <c r="Q64" s="421"/>
      <c r="R64" s="421"/>
      <c r="S64" s="421"/>
      <c r="T64" s="421"/>
      <c r="U64" s="421"/>
      <c r="V64" s="421"/>
      <c r="W64" s="421"/>
      <c r="X64" s="421"/>
      <c r="Y64" s="2346">
        <f>IF(Application!$Z$205="(select)",0,((T23*T27)+Y28))</f>
        <v>0</v>
      </c>
      <c r="Z64" s="2386"/>
      <c r="AA64" s="2386"/>
      <c r="AB64" s="2386"/>
      <c r="AC64" s="2387"/>
      <c r="AD64" s="2346">
        <f>IF(AND(OR(Application!D211="At-Risk",Application!D211="At-Risk and Special Needs"),Application!M358="yes"),AD28+AI28,0)</f>
        <v>0</v>
      </c>
      <c r="AE64" s="2386"/>
      <c r="AF64" s="2386"/>
      <c r="AG64" s="2386"/>
      <c r="AH64" s="2387"/>
    </row>
    <row r="65" spans="1:36" ht="13" customHeight="1">
      <c r="C65" s="405"/>
      <c r="E65" s="1018" t="s">
        <v>1847</v>
      </c>
      <c r="F65" s="440"/>
      <c r="G65" s="440"/>
      <c r="H65" s="440"/>
      <c r="I65" s="440"/>
      <c r="J65" s="440"/>
      <c r="K65" s="440"/>
      <c r="L65" s="440"/>
      <c r="M65" s="440"/>
      <c r="N65" s="440"/>
      <c r="O65" s="440"/>
      <c r="P65" s="440"/>
      <c r="Q65" s="440"/>
      <c r="R65" s="440"/>
      <c r="S65" s="440"/>
      <c r="T65" s="440"/>
      <c r="U65" s="440"/>
      <c r="V65" s="440"/>
      <c r="W65" s="440"/>
      <c r="X65" s="440"/>
      <c r="Y65" s="440"/>
      <c r="Z65" s="440"/>
      <c r="AA65" s="440"/>
      <c r="AB65" s="440"/>
      <c r="AC65" s="440"/>
      <c r="AD65" s="440"/>
      <c r="AE65" s="440"/>
      <c r="AF65" s="440"/>
      <c r="AG65" s="440"/>
      <c r="AH65" s="440"/>
      <c r="AI65" s="440"/>
      <c r="AJ65" s="440"/>
    </row>
    <row r="66" spans="1:36" ht="22.5" customHeight="1">
      <c r="C66" s="405"/>
      <c r="E66" s="1018" t="s">
        <v>1848</v>
      </c>
      <c r="F66" s="440"/>
      <c r="G66" s="440"/>
      <c r="H66" s="440"/>
      <c r="I66" s="440"/>
      <c r="J66" s="440"/>
      <c r="K66" s="440"/>
      <c r="L66" s="440"/>
      <c r="M66" s="440"/>
      <c r="N66" s="440"/>
      <c r="O66" s="440"/>
      <c r="P66" s="440"/>
      <c r="Q66" s="440"/>
      <c r="R66" s="440"/>
      <c r="S66" s="440"/>
      <c r="T66" s="440"/>
      <c r="U66" s="440"/>
      <c r="V66" s="440"/>
      <c r="W66" s="440"/>
      <c r="X66" s="440"/>
      <c r="Y66" s="440"/>
      <c r="Z66" s="440"/>
      <c r="AA66" s="440"/>
      <c r="AB66" s="440"/>
      <c r="AC66" s="440"/>
      <c r="AD66" s="440"/>
      <c r="AE66" s="440"/>
      <c r="AF66" s="440"/>
      <c r="AG66" s="440"/>
      <c r="AH66" s="440"/>
      <c r="AI66" s="440"/>
      <c r="AJ66" s="440"/>
    </row>
    <row r="67" spans="1:36" ht="13" customHeight="1">
      <c r="C67" s="405"/>
      <c r="D67" s="405" t="s">
        <v>269</v>
      </c>
      <c r="E67" s="422"/>
      <c r="F67" s="422"/>
      <c r="G67" s="422"/>
      <c r="H67" s="422"/>
      <c r="I67" s="422"/>
      <c r="J67" s="422"/>
      <c r="K67" s="422"/>
      <c r="L67" s="422"/>
      <c r="M67" s="422"/>
      <c r="N67" s="422"/>
      <c r="O67" s="422"/>
      <c r="P67" s="422"/>
      <c r="Q67" s="422"/>
      <c r="R67" s="422"/>
      <c r="S67" s="422"/>
      <c r="T67" s="422"/>
      <c r="U67" s="422"/>
      <c r="V67" s="422"/>
      <c r="W67" s="422"/>
      <c r="X67" s="422"/>
      <c r="Y67" s="2399" cm="1">
        <f t="array" ref="Y67">_xlfn.IFS(OR(Application!Z205="State Farmworker Credit",Application!Z205="$500M (Farmworker Housing)"),0.75,Application!Z205="15% set-aside",0.13,Application!Z205="15% set-aside with qualifying low value rehab",0.95,Application!Z205="$500M",0.3,TRUE,0)</f>
        <v>0</v>
      </c>
      <c r="Z67" s="2399"/>
      <c r="AA67" s="2399"/>
      <c r="AB67" s="2399"/>
      <c r="AC67" s="2399"/>
      <c r="AD67" s="2399" cm="1">
        <f t="array" ref="AD67">_xlfn.IFS(Application!Z205="15% set-aside with qualifying low value rehab", 0.95,OR(Application!D211="At-Risk",'Points System'!B13="Yes"),0.13,TRUE,0)</f>
        <v>0</v>
      </c>
      <c r="AE67" s="2399"/>
      <c r="AF67" s="2399"/>
      <c r="AG67" s="2399"/>
      <c r="AH67" s="2399"/>
    </row>
    <row r="68" spans="1:36" ht="13" customHeight="1">
      <c r="C68" s="405"/>
      <c r="D68" s="206" t="s">
        <v>2227</v>
      </c>
      <c r="Y68" s="2345">
        <f>ROUND(Y64*Y67,0)</f>
        <v>0</v>
      </c>
      <c r="Z68" s="2400"/>
      <c r="AA68" s="2400"/>
      <c r="AB68" s="2400"/>
      <c r="AC68" s="2400"/>
      <c r="AD68" s="2345">
        <f>ROUND(AD64*AD67,0)</f>
        <v>0</v>
      </c>
      <c r="AE68" s="2400"/>
      <c r="AF68" s="2400"/>
      <c r="AG68" s="2400"/>
      <c r="AH68" s="2400"/>
    </row>
    <row r="69" spans="1:36" ht="13" customHeight="1">
      <c r="C69" s="405"/>
      <c r="D69" s="206" t="s">
        <v>2228</v>
      </c>
      <c r="Y69" s="2345">
        <f>IF(OR(Application!Z205="State Farmworker Credit",Application!Z205="$500M (Farmworker Housing)"),Y68+AD68,MIN(Y68+AD68,200000*(Application!G753+Application!O777)))</f>
        <v>0</v>
      </c>
      <c r="Z69" s="2345"/>
      <c r="AA69" s="2345"/>
      <c r="AB69" s="2345"/>
      <c r="AC69" s="2345"/>
      <c r="AD69" s="2345"/>
      <c r="AE69" s="2345"/>
      <c r="AF69" s="2345"/>
      <c r="AG69" s="2345"/>
      <c r="AH69" s="2345"/>
    </row>
    <row r="70" spans="1:36" ht="13" customHeight="1">
      <c r="C70" s="405"/>
      <c r="E70" s="405"/>
      <c r="AB70" s="423"/>
      <c r="AC70" s="423"/>
      <c r="AD70" s="423"/>
      <c r="AE70" s="423"/>
      <c r="AF70" s="423"/>
    </row>
    <row r="71" spans="1:36" ht="13" customHeight="1">
      <c r="A71" s="405" t="s">
        <v>589</v>
      </c>
      <c r="C71" s="206" t="s">
        <v>283</v>
      </c>
    </row>
    <row r="72" spans="1:36" ht="13" customHeight="1">
      <c r="A72" s="405"/>
      <c r="C72" s="405"/>
      <c r="D72" s="206" t="s">
        <v>1249</v>
      </c>
      <c r="AB72" s="2388"/>
      <c r="AC72" s="2389"/>
      <c r="AD72" s="2389"/>
      <c r="AE72" s="2389"/>
      <c r="AF72" s="2390"/>
    </row>
    <row r="73" spans="1:36" ht="13" customHeight="1">
      <c r="A73" s="405"/>
      <c r="C73" s="405"/>
      <c r="D73" s="405"/>
      <c r="E73" s="2401" t="s">
        <v>1250</v>
      </c>
      <c r="F73" s="2401"/>
      <c r="G73" s="2401"/>
      <c r="H73" s="2401"/>
      <c r="I73" s="2401"/>
      <c r="J73" s="2401"/>
      <c r="K73" s="2401"/>
      <c r="L73" s="2401"/>
      <c r="M73" s="2401"/>
      <c r="N73" s="2401"/>
      <c r="O73" s="2401"/>
      <c r="P73" s="2401"/>
      <c r="Q73" s="2401"/>
      <c r="R73" s="2401"/>
      <c r="S73" s="2401"/>
      <c r="T73" s="2401"/>
      <c r="U73" s="2401"/>
      <c r="V73" s="2401"/>
      <c r="W73" s="2401"/>
      <c r="X73" s="2401"/>
      <c r="Y73" s="2401"/>
      <c r="Z73" s="2401"/>
      <c r="AA73" s="2401"/>
      <c r="AB73" s="439"/>
      <c r="AC73" s="439"/>
    </row>
    <row r="74" spans="1:36" ht="13" customHeight="1">
      <c r="A74" s="405"/>
      <c r="C74" s="405"/>
      <c r="D74" s="405"/>
      <c r="E74" s="2401"/>
      <c r="F74" s="2401"/>
      <c r="G74" s="2401"/>
      <c r="H74" s="2401"/>
      <c r="I74" s="2401"/>
      <c r="J74" s="2401"/>
      <c r="K74" s="2401"/>
      <c r="L74" s="2401"/>
      <c r="M74" s="2401"/>
      <c r="N74" s="2401"/>
      <c r="O74" s="2401"/>
      <c r="P74" s="2401"/>
      <c r="Q74" s="2401"/>
      <c r="R74" s="2401"/>
      <c r="S74" s="2401"/>
      <c r="T74" s="2401"/>
      <c r="U74" s="2401"/>
      <c r="V74" s="2401"/>
      <c r="W74" s="2401"/>
      <c r="X74" s="2401"/>
      <c r="Y74" s="2401"/>
      <c r="Z74" s="2401"/>
      <c r="AA74" s="2401"/>
      <c r="AB74" s="439"/>
      <c r="AC74" s="439"/>
    </row>
    <row r="75" spans="1:36" ht="13" customHeight="1">
      <c r="A75" s="405"/>
      <c r="C75" s="405"/>
      <c r="D75" s="405"/>
      <c r="E75" s="2401"/>
      <c r="F75" s="2401"/>
      <c r="G75" s="2401"/>
      <c r="H75" s="2401"/>
      <c r="I75" s="2401"/>
      <c r="J75" s="2401"/>
      <c r="K75" s="2401"/>
      <c r="L75" s="2401"/>
      <c r="M75" s="2401"/>
      <c r="N75" s="2401"/>
      <c r="O75" s="2401"/>
      <c r="P75" s="2401"/>
      <c r="Q75" s="2401"/>
      <c r="R75" s="2401"/>
      <c r="S75" s="2401"/>
      <c r="T75" s="2401"/>
      <c r="U75" s="2401"/>
      <c r="V75" s="2401"/>
      <c r="W75" s="2401"/>
      <c r="X75" s="2401"/>
      <c r="Y75" s="2401"/>
      <c r="Z75" s="2401"/>
      <c r="AA75" s="2401"/>
      <c r="AB75" s="439"/>
      <c r="AC75" s="439"/>
    </row>
    <row r="76" spans="1:36" ht="13" customHeight="1">
      <c r="A76" s="405"/>
      <c r="C76" s="405"/>
      <c r="D76" s="405"/>
      <c r="E76" s="425"/>
      <c r="F76" s="425"/>
      <c r="G76" s="425"/>
      <c r="H76" s="425"/>
      <c r="I76" s="425"/>
      <c r="J76" s="425"/>
      <c r="K76" s="425"/>
      <c r="L76" s="425"/>
      <c r="M76" s="425"/>
      <c r="N76" s="425"/>
      <c r="O76" s="425"/>
      <c r="P76" s="425"/>
      <c r="Q76" s="425"/>
      <c r="R76" s="425"/>
      <c r="S76" s="425"/>
      <c r="T76" s="425"/>
      <c r="U76" s="425"/>
      <c r="V76" s="425"/>
      <c r="W76" s="425"/>
      <c r="X76" s="425"/>
      <c r="Y76" s="425"/>
      <c r="Z76" s="425"/>
      <c r="AA76" s="361"/>
      <c r="AB76" s="361"/>
      <c r="AC76" s="361"/>
    </row>
    <row r="77" spans="1:36" ht="13" customHeight="1">
      <c r="C77" s="405"/>
      <c r="D77" s="206" t="s">
        <v>1251</v>
      </c>
      <c r="AB77" s="2394">
        <f>ROUND(IF(ISERROR((AB59/AB72)),0,(AB59/AB72)),0)</f>
        <v>0</v>
      </c>
      <c r="AC77" s="2394"/>
      <c r="AD77" s="2394"/>
      <c r="AE77" s="2394"/>
      <c r="AF77" s="2394"/>
    </row>
    <row r="78" spans="1:36" ht="13" customHeight="1">
      <c r="C78" s="405"/>
      <c r="D78" s="206" t="s">
        <v>1252</v>
      </c>
      <c r="AB78" s="2395">
        <f>ROUNDUP(MIN(Y69,AB77),0)</f>
        <v>0</v>
      </c>
      <c r="AC78" s="2396"/>
      <c r="AD78" s="2396"/>
      <c r="AE78" s="2396"/>
      <c r="AF78" s="2397"/>
    </row>
    <row r="79" spans="1:36" ht="13" customHeight="1">
      <c r="C79" s="405"/>
      <c r="D79" s="206" t="s">
        <v>1253</v>
      </c>
      <c r="AB79" s="2398">
        <f>AB78*AB72</f>
        <v>0</v>
      </c>
      <c r="AC79" s="2398"/>
      <c r="AD79" s="2398"/>
      <c r="AE79" s="2398"/>
      <c r="AF79" s="2398"/>
    </row>
    <row r="80" spans="1:36" ht="13" customHeight="1">
      <c r="C80" s="405"/>
      <c r="D80" s="405"/>
      <c r="AB80" s="426"/>
      <c r="AC80" s="426"/>
      <c r="AD80" s="426"/>
      <c r="AE80" s="426"/>
      <c r="AF80" s="426"/>
    </row>
    <row r="81" spans="1:78" ht="13" customHeight="1">
      <c r="D81" s="405" t="s">
        <v>753</v>
      </c>
      <c r="AB81" s="2384">
        <f>AB49-(AB57+AB79)</f>
        <v>0</v>
      </c>
      <c r="AC81" s="2384"/>
      <c r="AD81" s="2384"/>
      <c r="AE81" s="2384"/>
      <c r="AF81" s="2384"/>
    </row>
    <row r="82" spans="1:78" ht="13" customHeight="1">
      <c r="F82" s="523"/>
      <c r="J82" s="523" t="str">
        <f>IF(AB81&gt;0,"FUNDING GAP MUST NOT EXCEED ZERO","")</f>
        <v/>
      </c>
    </row>
    <row r="83" spans="1:78" ht="13" customHeight="1">
      <c r="D83" s="524"/>
    </row>
    <row r="84" spans="1:78" ht="13" customHeight="1" thickBot="1">
      <c r="A84" s="2349"/>
      <c r="B84" s="2349"/>
      <c r="C84" s="2349"/>
      <c r="D84" s="2349"/>
      <c r="E84" s="2349"/>
      <c r="F84" s="2349"/>
      <c r="G84" s="2349"/>
      <c r="H84" s="2349"/>
      <c r="I84" s="2349"/>
      <c r="J84" s="2349"/>
      <c r="K84" s="2349"/>
      <c r="L84" s="2349"/>
      <c r="M84" s="2349"/>
      <c r="N84" s="2349"/>
      <c r="O84" s="2349"/>
      <c r="P84" s="2349"/>
      <c r="Q84" s="2349"/>
      <c r="R84" s="2349"/>
      <c r="S84" s="2349"/>
      <c r="T84" s="2349"/>
      <c r="U84" s="2349"/>
      <c r="V84" s="2349"/>
      <c r="W84" s="2349"/>
      <c r="X84" s="2349"/>
      <c r="Y84" s="2349"/>
      <c r="Z84" s="2349"/>
      <c r="AA84" s="2349"/>
      <c r="AB84" s="2349"/>
      <c r="AC84" s="2349"/>
      <c r="AD84" s="2349"/>
      <c r="AE84" s="2349"/>
      <c r="AF84" s="2349"/>
      <c r="AG84" s="2349"/>
      <c r="AH84" s="2349"/>
      <c r="AI84" s="2349"/>
      <c r="AJ84" s="2349"/>
      <c r="AK84" s="2349"/>
      <c r="AL84" s="2349"/>
      <c r="AM84" s="2349"/>
      <c r="AN84" s="2349"/>
      <c r="AO84" s="2349"/>
      <c r="AP84" s="2349"/>
      <c r="AQ84" s="2349"/>
      <c r="AR84" s="2349"/>
      <c r="AS84" s="2349"/>
      <c r="AT84" s="2349"/>
      <c r="AU84" s="2349"/>
      <c r="AV84" s="2349"/>
      <c r="AW84" s="2349"/>
      <c r="AX84" s="2349"/>
      <c r="AY84" s="2349"/>
      <c r="AZ84" s="2349"/>
      <c r="BA84" s="2349"/>
      <c r="BB84" s="2349"/>
      <c r="BC84" s="2349"/>
      <c r="BD84" s="2349"/>
      <c r="BE84" s="2349"/>
      <c r="BF84" s="2349"/>
      <c r="BG84" s="2349"/>
      <c r="BH84" s="2349"/>
      <c r="BI84" s="2349"/>
      <c r="BJ84" s="2349"/>
      <c r="BK84" s="2349"/>
      <c r="BL84" s="2349"/>
      <c r="BM84" s="2349"/>
      <c r="BN84" s="2349"/>
      <c r="BO84" s="2349"/>
      <c r="BP84" s="2349"/>
      <c r="BQ84" s="2349"/>
      <c r="BR84" s="2349"/>
      <c r="BS84" s="2349"/>
      <c r="BT84" s="2349"/>
      <c r="BU84" s="2349"/>
      <c r="BV84" s="2349"/>
      <c r="BW84" s="2349"/>
      <c r="BX84" s="2349"/>
    </row>
    <row r="85" spans="1:78" ht="13" customHeight="1" thickTop="1"/>
    <row r="86" spans="1:78" ht="13" customHeight="1">
      <c r="A86" s="405"/>
      <c r="C86" s="206"/>
    </row>
    <row r="87" spans="1:78" ht="13" customHeight="1">
      <c r="D87" s="206"/>
      <c r="AB87" s="2350"/>
      <c r="AC87" s="2350"/>
      <c r="AD87" s="2350"/>
      <c r="AE87" s="2350"/>
      <c r="AF87" s="2350"/>
    </row>
    <row r="88" spans="1:78" ht="13" customHeight="1" thickBot="1">
      <c r="D88" s="206"/>
      <c r="AB88" s="2348"/>
      <c r="AC88" s="2348"/>
      <c r="AD88" s="2348"/>
      <c r="AE88" s="2348"/>
      <c r="AF88" s="2348"/>
      <c r="AO88" s="522"/>
      <c r="AP88" s="522"/>
      <c r="AQ88" s="522"/>
      <c r="AR88" s="522"/>
      <c r="AS88" s="522"/>
      <c r="AT88" s="522"/>
      <c r="AU88" s="522"/>
      <c r="AV88" s="522"/>
      <c r="AW88" s="522"/>
      <c r="AX88" s="522"/>
      <c r="AY88" s="522"/>
      <c r="AZ88" s="522"/>
      <c r="BA88" s="522"/>
      <c r="BB88" s="522"/>
      <c r="BC88" s="522"/>
      <c r="BD88" s="522"/>
      <c r="BE88" s="522"/>
      <c r="BF88" s="522"/>
      <c r="BG88" s="522"/>
      <c r="BH88" s="522"/>
      <c r="BI88" s="522"/>
      <c r="BJ88" s="522"/>
      <c r="BK88" s="522"/>
      <c r="BL88" s="522"/>
      <c r="BM88" s="522"/>
      <c r="BN88" s="522"/>
      <c r="BO88" s="522"/>
      <c r="BP88" s="522"/>
      <c r="BQ88" s="522"/>
      <c r="BR88" s="522"/>
      <c r="BS88" s="522"/>
      <c r="BT88" s="522"/>
      <c r="BU88" s="522"/>
      <c r="BV88" s="522"/>
      <c r="BW88" s="522"/>
      <c r="BX88" s="522"/>
      <c r="BY88" s="522"/>
      <c r="BZ88" s="522"/>
    </row>
    <row r="89" spans="1:78" ht="13" customHeight="1" thickTop="1"/>
  </sheetData>
  <sheetProtection algorithmName="SHA-512" hashValue="Ozp0JcLS8Ad+MKfIDKYwLzxgKer7KTR3Ibh34CcQ+GBsI2KA16dLqlCvW/JdYSPiMK3c0XBe2GNpB1jAf8ETrQ==" saltValue="OXZBnsgKaPChqpwQBRQHSw==" spinCount="100000" sheet="1" objects="1" scenarios="1"/>
  <mergeCells count="139">
    <mergeCell ref="AB77:AF77"/>
    <mergeCell ref="AB78:AF78"/>
    <mergeCell ref="AB79:AF79"/>
    <mergeCell ref="AB81:AF81"/>
    <mergeCell ref="Y67:AC67"/>
    <mergeCell ref="AD67:AH67"/>
    <mergeCell ref="Y68:AC68"/>
    <mergeCell ref="AD68:AH68"/>
    <mergeCell ref="AB72:AF72"/>
    <mergeCell ref="E73:AA75"/>
    <mergeCell ref="Y69:AH69"/>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18" priority="3">
      <formula>AND($T$18&gt;0,OR($C$18="",$C$18="Subtract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9:AF60 AB81:AF81">
    <cfRule type="cellIs" dxfId="16"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27"/>
  <sheetViews>
    <sheetView showGridLines="0" tabSelected="1" zoomScale="66" zoomScaleNormal="66" workbookViewId="0">
      <selection activeCell="AO1" sqref="AO1:XFD1048576"/>
    </sheetView>
  </sheetViews>
  <sheetFormatPr defaultColWidth="0" defaultRowHeight="12.5" zeroHeight="1"/>
  <cols>
    <col min="1" max="1" width="2.7265625" style="14" customWidth="1"/>
    <col min="2" max="3" width="2.453125" style="14" customWidth="1"/>
    <col min="4" max="4" width="3.1796875" style="14" customWidth="1"/>
    <col min="5" max="5" width="3.453125" style="14" customWidth="1"/>
    <col min="6" max="6" width="2.81640625" style="14" customWidth="1"/>
    <col min="7" max="14" width="2.453125" style="14" customWidth="1"/>
    <col min="15" max="15" width="2.81640625" style="14" customWidth="1"/>
    <col min="16" max="16" width="2.453125" style="14" customWidth="1"/>
    <col min="17" max="17" width="3.81640625" style="14" customWidth="1"/>
    <col min="18" max="18" width="4.54296875" style="14" customWidth="1"/>
    <col min="19" max="19" width="3.26953125" style="14" customWidth="1"/>
    <col min="20" max="26" width="2.453125" style="14" customWidth="1"/>
    <col min="27" max="30" width="2.54296875" style="14" customWidth="1"/>
    <col min="31" max="32" width="2.453125" style="14" customWidth="1"/>
    <col min="33" max="33" width="3.453125" style="14" customWidth="1"/>
    <col min="34" max="36" width="2.453125" style="14" customWidth="1"/>
    <col min="37" max="37" width="5.54296875" style="14" customWidth="1"/>
    <col min="38" max="38" width="2.453125" style="14" customWidth="1"/>
    <col min="39" max="39" width="3.453125" style="14" customWidth="1"/>
    <col min="40" max="40" width="5.54296875" style="535" customWidth="1"/>
    <col min="41" max="41" width="5.54296875" style="30" hidden="1"/>
    <col min="42" max="45" width="5.54296875" style="14" hidden="1"/>
    <col min="46" max="46" width="10.81640625" style="14" hidden="1"/>
    <col min="47" max="48" width="5.54296875" style="14" hidden="1"/>
    <col min="49" max="49" width="8.7265625" style="14" hidden="1"/>
    <col min="50" max="50" width="7.453125" style="14" hidden="1"/>
    <col min="51" max="55" width="5.54296875" style="14" hidden="1"/>
    <col min="56" max="60" width="5.54296875" style="32" hidden="1"/>
    <col min="61" max="81" width="5.54296875" style="14" hidden="1"/>
    <col min="82" max="16384" width="9.1796875" style="14" hidden="1"/>
  </cols>
  <sheetData>
    <row r="1" spans="1:42" ht="15.75" customHeight="1">
      <c r="A1" s="2632" t="s">
        <v>1299</v>
      </c>
      <c r="B1" s="2632"/>
      <c r="C1" s="2632"/>
      <c r="D1" s="2632"/>
      <c r="E1" s="2632"/>
      <c r="F1" s="2632"/>
      <c r="G1" s="2632"/>
      <c r="H1" s="2632"/>
      <c r="I1" s="2632"/>
      <c r="J1" s="2632"/>
      <c r="K1" s="2632"/>
      <c r="L1" s="2632"/>
      <c r="M1" s="2632"/>
      <c r="N1" s="2632"/>
      <c r="O1" s="2632"/>
      <c r="P1" s="2632"/>
      <c r="Q1" s="2632"/>
      <c r="R1" s="2632"/>
      <c r="S1" s="2632"/>
      <c r="T1" s="2632"/>
      <c r="U1" s="2632"/>
      <c r="V1" s="2632"/>
      <c r="W1" s="2632"/>
      <c r="X1" s="2632"/>
      <c r="Y1" s="2632"/>
      <c r="Z1" s="2632"/>
      <c r="AA1" s="2632"/>
      <c r="AB1" s="2632"/>
      <c r="AC1" s="2632"/>
      <c r="AD1" s="2632"/>
      <c r="AE1" s="2632"/>
      <c r="AF1" s="2632"/>
      <c r="AG1" s="2632"/>
      <c r="AH1" s="2632"/>
      <c r="AI1" s="2632"/>
      <c r="AJ1" s="2632"/>
      <c r="AK1" s="2632"/>
      <c r="AL1" s="2632"/>
      <c r="AM1" s="2632"/>
    </row>
    <row r="2" spans="1:42" s="537" customFormat="1" ht="12.75" customHeight="1" thickBot="1">
      <c r="A2" s="2633"/>
      <c r="B2" s="2633"/>
      <c r="C2" s="2633"/>
      <c r="D2" s="2633"/>
      <c r="E2" s="2633"/>
      <c r="F2" s="2633"/>
      <c r="G2" s="2633"/>
      <c r="H2" s="2633"/>
      <c r="I2" s="2633"/>
      <c r="J2" s="2633"/>
      <c r="K2" s="2633"/>
      <c r="L2" s="2633"/>
      <c r="M2" s="2633"/>
      <c r="N2" s="2633"/>
      <c r="O2" s="2633"/>
      <c r="P2" s="2633"/>
      <c r="Q2" s="2633"/>
      <c r="R2" s="2633"/>
      <c r="S2" s="2633"/>
      <c r="T2" s="2633"/>
      <c r="U2" s="2633"/>
      <c r="V2" s="2633"/>
      <c r="W2" s="2633"/>
      <c r="X2" s="2633"/>
      <c r="Y2" s="2633"/>
      <c r="Z2" s="2633"/>
      <c r="AA2" s="2633"/>
      <c r="AB2" s="2633"/>
      <c r="AC2" s="2633"/>
      <c r="AD2" s="2633"/>
      <c r="AE2" s="2633"/>
      <c r="AF2" s="2633"/>
      <c r="AG2" s="2633"/>
      <c r="AH2" s="2633"/>
      <c r="AI2" s="2633"/>
      <c r="AJ2" s="2633"/>
      <c r="AK2" s="2633"/>
      <c r="AL2" s="2633"/>
      <c r="AM2" s="2633"/>
      <c r="AN2" s="536"/>
    </row>
    <row r="3" spans="1:42" s="537" customFormat="1" ht="12.75" customHeight="1" thickTop="1">
      <c r="A3" s="538"/>
      <c r="B3" s="538"/>
      <c r="C3" s="538"/>
      <c r="D3" s="538"/>
      <c r="E3" s="538"/>
      <c r="F3" s="538"/>
      <c r="G3" s="538"/>
      <c r="H3" s="538"/>
      <c r="I3" s="538"/>
      <c r="J3" s="538"/>
      <c r="K3" s="538"/>
      <c r="L3" s="538"/>
      <c r="M3" s="538"/>
      <c r="N3" s="538"/>
      <c r="O3" s="538"/>
      <c r="P3" s="538"/>
      <c r="Q3" s="538"/>
      <c r="R3" s="538"/>
      <c r="S3" s="538"/>
      <c r="T3" s="538"/>
      <c r="U3" s="538"/>
      <c r="V3" s="538"/>
      <c r="W3" s="538"/>
      <c r="X3" s="538"/>
      <c r="Y3" s="538"/>
      <c r="Z3" s="538"/>
      <c r="AA3" s="538"/>
      <c r="AB3" s="538"/>
      <c r="AC3" s="538"/>
      <c r="AD3" s="538"/>
      <c r="AE3" s="538"/>
      <c r="AF3" s="538"/>
      <c r="AG3" s="538"/>
      <c r="AH3" s="538"/>
      <c r="AI3" s="538"/>
      <c r="AJ3" s="538"/>
      <c r="AK3" s="538"/>
      <c r="AL3" s="538"/>
      <c r="AM3" s="538"/>
      <c r="AN3" s="536"/>
    </row>
    <row r="4" spans="1:42" s="537" customFormat="1" ht="12.75" customHeight="1">
      <c r="A4" s="539" t="s">
        <v>1300</v>
      </c>
      <c r="B4" s="540" t="s">
        <v>1301</v>
      </c>
      <c r="C4" s="541"/>
      <c r="D4" s="541"/>
      <c r="E4" s="541"/>
      <c r="F4" s="541"/>
      <c r="G4" s="541"/>
      <c r="H4" s="541"/>
      <c r="I4" s="541"/>
      <c r="J4" s="541"/>
      <c r="K4" s="541"/>
      <c r="L4" s="541"/>
      <c r="M4" s="541"/>
      <c r="N4" s="541"/>
      <c r="O4" s="541"/>
      <c r="P4" s="541"/>
      <c r="Q4" s="541"/>
      <c r="R4" s="541"/>
      <c r="S4" s="541"/>
      <c r="T4" s="541"/>
      <c r="U4" s="541"/>
      <c r="V4" s="541"/>
      <c r="W4" s="541"/>
      <c r="X4" s="541"/>
      <c r="Y4" s="541"/>
      <c r="Z4" s="541"/>
      <c r="AA4" s="541"/>
      <c r="AB4" s="541"/>
      <c r="AC4" s="541"/>
      <c r="AD4" s="541"/>
      <c r="AE4" s="541"/>
      <c r="AF4" s="541"/>
      <c r="AG4" s="541"/>
      <c r="AH4" s="541"/>
      <c r="AI4" s="541"/>
      <c r="AJ4" s="541"/>
      <c r="AK4" s="541"/>
      <c r="AL4" s="541"/>
      <c r="AM4" s="541"/>
      <c r="AN4" s="536"/>
    </row>
    <row r="5" spans="1:42" s="537" customFormat="1" ht="12.75" customHeight="1" thickBot="1">
      <c r="A5" s="539"/>
      <c r="B5" s="540"/>
      <c r="C5" s="541"/>
      <c r="D5" s="541"/>
      <c r="E5" s="541"/>
      <c r="F5" s="541"/>
      <c r="G5" s="541"/>
      <c r="H5" s="541"/>
      <c r="I5" s="541"/>
      <c r="J5" s="541"/>
      <c r="K5" s="541"/>
      <c r="L5" s="541"/>
      <c r="M5" s="541"/>
      <c r="N5" s="541"/>
      <c r="O5" s="541"/>
      <c r="P5" s="541"/>
      <c r="Q5" s="541"/>
      <c r="R5" s="541"/>
      <c r="S5" s="541"/>
      <c r="T5" s="541"/>
      <c r="U5" s="541"/>
      <c r="V5" s="541"/>
      <c r="W5" s="541"/>
      <c r="X5" s="541"/>
      <c r="Y5" s="541"/>
      <c r="Z5" s="541"/>
      <c r="AA5" s="541"/>
      <c r="AB5" s="541"/>
      <c r="AC5" s="541"/>
      <c r="AD5" s="541"/>
      <c r="AE5" s="541"/>
      <c r="AF5" s="541"/>
      <c r="AG5" s="541"/>
      <c r="AH5" s="541"/>
      <c r="AI5" s="541"/>
      <c r="AJ5" s="541"/>
      <c r="AK5" s="541"/>
      <c r="AL5" s="541"/>
      <c r="AM5" s="541"/>
      <c r="AN5" s="536"/>
    </row>
    <row r="6" spans="1:42" s="537" customFormat="1" ht="12.75" customHeight="1" thickTop="1">
      <c r="A6" s="542"/>
      <c r="B6" s="542"/>
      <c r="C6" s="542"/>
      <c r="D6" s="542"/>
      <c r="E6" s="542"/>
      <c r="F6" s="542"/>
      <c r="G6" s="542"/>
      <c r="H6" s="542"/>
      <c r="I6" s="542"/>
      <c r="J6" s="542"/>
      <c r="K6" s="542"/>
      <c r="L6" s="542"/>
      <c r="M6" s="542"/>
      <c r="N6" s="542"/>
      <c r="O6" s="542"/>
      <c r="P6" s="542"/>
      <c r="Q6" s="542"/>
      <c r="R6" s="542"/>
      <c r="S6" s="542"/>
      <c r="T6" s="542"/>
      <c r="U6" s="542"/>
      <c r="V6" s="542"/>
      <c r="W6" s="542"/>
      <c r="X6" s="542"/>
      <c r="Y6" s="542"/>
      <c r="Z6" s="542"/>
      <c r="AA6" s="542"/>
      <c r="AB6" s="542"/>
      <c r="AC6" s="542"/>
      <c r="AD6" s="542"/>
      <c r="AE6" s="542"/>
      <c r="AF6" s="542"/>
      <c r="AG6" s="542"/>
      <c r="AH6" s="542"/>
      <c r="AI6" s="542"/>
      <c r="AJ6" s="542"/>
      <c r="AK6" s="542"/>
      <c r="AL6" s="542"/>
      <c r="AM6" s="543"/>
      <c r="AN6" s="536"/>
    </row>
    <row r="7" spans="1:42" s="537" customFormat="1" ht="12.75" customHeight="1">
      <c r="A7" s="539" t="s">
        <v>1302</v>
      </c>
      <c r="B7" s="540" t="s">
        <v>1303</v>
      </c>
      <c r="C7" s="540"/>
      <c r="D7" s="540"/>
      <c r="E7" s="540"/>
      <c r="F7" s="540"/>
      <c r="G7" s="540"/>
      <c r="H7" s="540"/>
      <c r="I7" s="540"/>
      <c r="J7" s="540"/>
      <c r="K7" s="540"/>
      <c r="L7" s="540"/>
      <c r="M7" s="540"/>
      <c r="N7" s="540"/>
      <c r="O7" s="540"/>
      <c r="P7" s="540"/>
      <c r="Q7" s="540"/>
      <c r="R7" s="540"/>
      <c r="S7" s="540"/>
      <c r="T7" s="540"/>
      <c r="U7" s="540"/>
      <c r="V7" s="540"/>
      <c r="W7" s="540"/>
      <c r="X7" s="540"/>
      <c r="Y7" s="540"/>
      <c r="Z7" s="540"/>
      <c r="AA7" s="540"/>
      <c r="AB7" s="540"/>
      <c r="AC7" s="540"/>
      <c r="AD7" s="540"/>
      <c r="AE7" s="2473" t="s">
        <v>1304</v>
      </c>
      <c r="AF7" s="2473"/>
      <c r="AG7" s="2473"/>
      <c r="AH7" s="2473"/>
      <c r="AI7" s="2473"/>
      <c r="AJ7" s="2473"/>
      <c r="AK7" s="2473"/>
      <c r="AL7" s="541"/>
      <c r="AM7" s="541"/>
      <c r="AN7" s="536"/>
    </row>
    <row r="8" spans="1:42" s="537" customFormat="1" ht="12.75" customHeight="1">
      <c r="A8" s="539"/>
      <c r="B8" s="540" t="s">
        <v>1728</v>
      </c>
      <c r="C8" s="540"/>
      <c r="D8" s="540"/>
      <c r="E8" s="540"/>
      <c r="F8" s="540"/>
      <c r="G8" s="540"/>
      <c r="H8" s="540"/>
      <c r="I8" s="540"/>
      <c r="J8" s="540"/>
      <c r="K8" s="540"/>
      <c r="L8" s="540"/>
      <c r="M8" s="540"/>
      <c r="N8" s="540"/>
      <c r="O8" s="540"/>
      <c r="P8" s="540"/>
      <c r="Q8" s="540"/>
      <c r="R8" s="540"/>
      <c r="S8" s="540"/>
      <c r="T8" s="540"/>
      <c r="U8" s="540"/>
      <c r="V8" s="540"/>
      <c r="W8" s="540"/>
      <c r="X8" s="540"/>
      <c r="Y8" s="540"/>
      <c r="Z8" s="540"/>
      <c r="AA8" s="540"/>
      <c r="AB8" s="540"/>
      <c r="AC8" s="540"/>
      <c r="AD8" s="540"/>
      <c r="AE8" s="544"/>
      <c r="AF8" s="544"/>
      <c r="AG8" s="544"/>
      <c r="AH8" s="544"/>
      <c r="AI8" s="544"/>
      <c r="AJ8" s="544"/>
      <c r="AK8" s="544"/>
      <c r="AL8" s="541"/>
      <c r="AM8" s="541"/>
      <c r="AN8" s="536"/>
    </row>
    <row r="9" spans="1:42" s="537" customFormat="1" ht="12.75" customHeight="1">
      <c r="A9" s="539"/>
      <c r="B9" s="540"/>
      <c r="C9" s="540"/>
      <c r="D9" s="540"/>
      <c r="E9" s="540"/>
      <c r="F9" s="540"/>
      <c r="G9" s="540"/>
      <c r="H9" s="540"/>
      <c r="I9" s="540"/>
      <c r="J9" s="540"/>
      <c r="K9" s="540"/>
      <c r="L9" s="540"/>
      <c r="M9" s="540"/>
      <c r="N9" s="540"/>
      <c r="O9" s="540"/>
      <c r="P9" s="540"/>
      <c r="Q9" s="540"/>
      <c r="R9" s="540"/>
      <c r="S9" s="540"/>
      <c r="T9" s="540"/>
      <c r="U9" s="540"/>
      <c r="V9" s="540"/>
      <c r="W9" s="540"/>
      <c r="X9" s="540"/>
      <c r="Y9" s="540"/>
      <c r="Z9" s="540"/>
      <c r="AA9" s="540"/>
      <c r="AB9" s="540"/>
      <c r="AC9" s="540"/>
      <c r="AD9" s="540"/>
      <c r="AE9" s="544"/>
      <c r="AF9" s="544"/>
      <c r="AG9" s="544"/>
      <c r="AH9" s="544"/>
      <c r="AI9" s="544"/>
      <c r="AJ9" s="544"/>
      <c r="AK9" s="544"/>
      <c r="AL9" s="541"/>
      <c r="AM9" s="541"/>
      <c r="AN9" s="536"/>
    </row>
    <row r="10" spans="1:42" s="537" customFormat="1" ht="12.75" customHeight="1">
      <c r="A10" s="539"/>
      <c r="B10" s="540" t="s">
        <v>2011</v>
      </c>
      <c r="C10" s="540"/>
      <c r="D10" s="540"/>
      <c r="E10" s="540"/>
      <c r="F10" s="540"/>
      <c r="G10" s="540"/>
      <c r="H10" s="540"/>
      <c r="I10" s="540"/>
      <c r="J10" s="540"/>
      <c r="K10" s="540"/>
      <c r="L10" s="540"/>
      <c r="M10" s="540"/>
      <c r="N10" s="540"/>
      <c r="O10" s="540"/>
      <c r="P10" s="540"/>
      <c r="Q10" s="540"/>
      <c r="R10" s="540"/>
      <c r="S10" s="540"/>
      <c r="T10" s="540"/>
      <c r="U10" s="540"/>
      <c r="V10" s="540"/>
      <c r="W10" s="540"/>
      <c r="X10" s="540"/>
      <c r="Y10" s="540"/>
      <c r="Z10" s="540"/>
      <c r="AA10" s="540"/>
      <c r="AB10" s="540"/>
      <c r="AC10" s="540"/>
      <c r="AD10" s="540"/>
      <c r="AE10" s="544"/>
      <c r="AF10" s="544"/>
      <c r="AG10" s="544"/>
      <c r="AH10" s="544"/>
      <c r="AI10" s="544"/>
      <c r="AJ10" s="544"/>
      <c r="AK10" s="544"/>
      <c r="AL10" s="541"/>
      <c r="AM10" s="541"/>
      <c r="AN10" s="536"/>
    </row>
    <row r="11" spans="1:42" s="537" customFormat="1" ht="12.75" customHeight="1">
      <c r="A11" s="541"/>
      <c r="C11" s="1143" t="s">
        <v>2007</v>
      </c>
      <c r="D11" s="1143"/>
      <c r="E11" s="1143"/>
      <c r="F11" s="1143"/>
      <c r="G11" s="1143"/>
      <c r="H11" s="1143"/>
      <c r="I11" s="1143"/>
      <c r="J11" s="1143"/>
      <c r="K11" s="1143"/>
      <c r="L11" s="1143"/>
      <c r="M11" s="1143"/>
      <c r="N11" s="1143"/>
      <c r="O11" s="1143"/>
      <c r="P11" s="1143"/>
      <c r="Q11" s="1143"/>
      <c r="R11" s="1143"/>
      <c r="S11" s="1143"/>
      <c r="T11" s="1143"/>
      <c r="U11" s="1143"/>
      <c r="V11" s="1143"/>
      <c r="W11" s="1143"/>
      <c r="X11" s="1143"/>
      <c r="Y11" s="1143"/>
      <c r="Z11" s="1143"/>
      <c r="AA11" s="1143"/>
      <c r="AB11" s="1143"/>
      <c r="AC11" s="1143"/>
      <c r="AD11" s="1143"/>
      <c r="AE11" s="1143"/>
      <c r="AF11" s="1143"/>
      <c r="AG11" s="1143"/>
      <c r="AH11" s="1143"/>
      <c r="AI11" s="1143"/>
      <c r="AJ11" s="1143"/>
      <c r="AK11" s="541"/>
      <c r="AL11" s="541"/>
      <c r="AM11" s="541"/>
      <c r="AN11" s="536"/>
      <c r="AO11" s="448"/>
      <c r="AP11" s="546"/>
    </row>
    <row r="12" spans="1:42" s="537" customFormat="1" ht="12.75" customHeight="1">
      <c r="A12" s="541"/>
      <c r="B12" s="547"/>
      <c r="C12" s="541"/>
      <c r="D12" s="541"/>
      <c r="E12" s="541"/>
      <c r="F12" s="541"/>
      <c r="G12" s="541"/>
      <c r="H12" s="541"/>
      <c r="I12" s="541"/>
      <c r="J12" s="541"/>
      <c r="K12" s="541"/>
      <c r="L12" s="541"/>
      <c r="M12" s="541"/>
      <c r="N12" s="541"/>
      <c r="O12" s="541"/>
      <c r="P12" s="541"/>
      <c r="Q12" s="541"/>
      <c r="R12" s="541"/>
      <c r="S12" s="541"/>
      <c r="T12" s="541"/>
      <c r="U12" s="541"/>
      <c r="V12" s="541"/>
      <c r="W12" s="541"/>
      <c r="X12" s="541"/>
      <c r="Y12" s="541"/>
      <c r="Z12" s="541"/>
      <c r="AA12" s="541"/>
      <c r="AB12" s="541"/>
      <c r="AC12" s="541"/>
      <c r="AD12" s="541"/>
      <c r="AE12" s="541"/>
      <c r="AF12" s="541"/>
      <c r="AG12" s="541"/>
      <c r="AH12" s="541"/>
      <c r="AI12" s="541"/>
      <c r="AJ12" s="541"/>
      <c r="AK12" s="541"/>
      <c r="AL12" s="541"/>
      <c r="AM12" s="541"/>
      <c r="AN12" s="536"/>
      <c r="AP12" s="14"/>
    </row>
    <row r="13" spans="1:42" s="537" customFormat="1" ht="12.75" customHeight="1">
      <c r="A13" s="541"/>
      <c r="B13" s="2626" t="s">
        <v>590</v>
      </c>
      <c r="C13" s="2626"/>
      <c r="D13" s="548"/>
      <c r="E13" s="549" t="s">
        <v>1305</v>
      </c>
      <c r="F13" s="550"/>
      <c r="G13" s="550"/>
      <c r="H13" s="550"/>
      <c r="I13" s="550"/>
      <c r="J13" s="550"/>
      <c r="K13" s="550"/>
      <c r="L13" s="550"/>
      <c r="M13" s="550"/>
      <c r="N13" s="550"/>
      <c r="O13" s="550"/>
      <c r="P13" s="550"/>
      <c r="Q13" s="550"/>
      <c r="R13" s="550"/>
      <c r="S13" s="550"/>
      <c r="T13" s="550"/>
      <c r="U13" s="550"/>
      <c r="V13" s="550"/>
      <c r="W13" s="550"/>
      <c r="X13" s="550"/>
      <c r="Y13" s="550"/>
      <c r="Z13" s="550"/>
      <c r="AA13" s="550"/>
      <c r="AB13" s="550"/>
      <c r="AC13" s="550"/>
      <c r="AD13" s="550"/>
      <c r="AE13" s="550"/>
      <c r="AF13" s="550"/>
      <c r="AG13" s="2634"/>
      <c r="AH13" s="2634"/>
      <c r="AI13" s="2634"/>
      <c r="AJ13" s="2635"/>
      <c r="AK13" s="541"/>
      <c r="AL13" s="541"/>
      <c r="AM13" s="541"/>
      <c r="AN13" s="536"/>
      <c r="AO13" s="551">
        <f>IF($B13="yes",20,0)</f>
        <v>0</v>
      </c>
      <c r="AP13" s="14"/>
    </row>
    <row r="14" spans="1:42" s="537" customFormat="1" ht="12.75" customHeight="1">
      <c r="A14" s="541"/>
      <c r="B14" s="541"/>
      <c r="C14" s="541"/>
      <c r="D14" s="14"/>
      <c r="E14" s="541"/>
      <c r="F14" s="541"/>
      <c r="G14" s="541"/>
      <c r="H14" s="541"/>
      <c r="I14" s="541"/>
      <c r="J14" s="541"/>
      <c r="K14" s="541"/>
      <c r="L14" s="541"/>
      <c r="M14" s="541"/>
      <c r="N14" s="541"/>
      <c r="O14" s="541"/>
      <c r="P14" s="541"/>
      <c r="Q14" s="541"/>
      <c r="R14" s="541"/>
      <c r="S14" s="541"/>
      <c r="T14" s="541"/>
      <c r="U14" s="541"/>
      <c r="V14" s="541"/>
      <c r="W14" s="541"/>
      <c r="X14" s="541"/>
      <c r="Y14" s="541"/>
      <c r="Z14" s="541"/>
      <c r="AA14" s="541"/>
      <c r="AB14" s="541"/>
      <c r="AC14" s="541"/>
      <c r="AD14" s="541"/>
      <c r="AE14" s="541"/>
      <c r="AF14" s="541"/>
      <c r="AG14" s="541"/>
      <c r="AH14" s="541"/>
      <c r="AI14" s="541"/>
      <c r="AJ14" s="541"/>
      <c r="AK14" s="541"/>
      <c r="AL14" s="541"/>
      <c r="AM14" s="541"/>
      <c r="AN14" s="536"/>
      <c r="AO14" s="551">
        <f>IF(AND($B16="yes",E20&gt;0),20,0)</f>
        <v>0</v>
      </c>
      <c r="AP14" s="14"/>
    </row>
    <row r="15" spans="1:42" s="537" customFormat="1" ht="12.75" customHeight="1">
      <c r="A15" s="541"/>
      <c r="B15" s="541"/>
      <c r="C15" s="541"/>
      <c r="D15" s="551"/>
      <c r="E15" s="541"/>
      <c r="F15" s="541"/>
      <c r="G15" s="541"/>
      <c r="H15" s="541"/>
      <c r="I15" s="541"/>
      <c r="J15" s="541"/>
      <c r="K15" s="541"/>
      <c r="L15" s="541"/>
      <c r="M15" s="541"/>
      <c r="N15" s="541"/>
      <c r="O15" s="541"/>
      <c r="P15" s="541"/>
      <c r="Q15" s="541"/>
      <c r="R15" s="541"/>
      <c r="S15" s="541"/>
      <c r="T15" s="541"/>
      <c r="U15" s="541"/>
      <c r="V15" s="541"/>
      <c r="W15" s="541"/>
      <c r="X15" s="541"/>
      <c r="Y15" s="541"/>
      <c r="Z15" s="541"/>
      <c r="AA15" s="541"/>
      <c r="AB15" s="541"/>
      <c r="AC15" s="541"/>
      <c r="AD15" s="541"/>
      <c r="AE15" s="541"/>
      <c r="AF15" s="541"/>
      <c r="AG15" s="541"/>
      <c r="AH15" s="541"/>
      <c r="AI15" s="541"/>
      <c r="AJ15" s="541"/>
      <c r="AK15" s="541"/>
      <c r="AL15" s="541"/>
      <c r="AM15" s="541"/>
      <c r="AN15" s="536"/>
      <c r="AO15" s="551">
        <f>IF($B22="yes",20,0)</f>
        <v>0</v>
      </c>
      <c r="AP15" s="14"/>
    </row>
    <row r="16" spans="1:42" s="537" customFormat="1" ht="12.75" customHeight="1">
      <c r="A16" s="541"/>
      <c r="B16" s="2626" t="s">
        <v>590</v>
      </c>
      <c r="C16" s="2626"/>
      <c r="D16" s="548"/>
      <c r="E16" s="2618" t="s">
        <v>1306</v>
      </c>
      <c r="F16" s="2619"/>
      <c r="G16" s="2619"/>
      <c r="H16" s="2619"/>
      <c r="I16" s="2619"/>
      <c r="J16" s="2619"/>
      <c r="K16" s="2619"/>
      <c r="L16" s="2619"/>
      <c r="M16" s="2619"/>
      <c r="N16" s="2619"/>
      <c r="O16" s="2619"/>
      <c r="P16" s="2619"/>
      <c r="Q16" s="2619"/>
      <c r="R16" s="2619"/>
      <c r="S16" s="2619"/>
      <c r="T16" s="2619"/>
      <c r="U16" s="2619"/>
      <c r="V16" s="2619"/>
      <c r="W16" s="2619"/>
      <c r="X16" s="2619"/>
      <c r="Y16" s="2619"/>
      <c r="Z16" s="2619"/>
      <c r="AA16" s="2619"/>
      <c r="AB16" s="2619"/>
      <c r="AC16" s="2619"/>
      <c r="AD16" s="2619"/>
      <c r="AE16" s="2619"/>
      <c r="AF16" s="2619"/>
      <c r="AG16" s="2619"/>
      <c r="AH16" s="2619"/>
      <c r="AI16" s="2619"/>
      <c r="AJ16" s="2620"/>
      <c r="AK16" s="541"/>
      <c r="AL16" s="541"/>
      <c r="AM16" s="541"/>
      <c r="AN16" s="536"/>
      <c r="AO16" s="551">
        <f>IF($B25="yes",20,0)</f>
        <v>0</v>
      </c>
      <c r="AP16" s="14"/>
    </row>
    <row r="17" spans="1:42" s="537" customFormat="1" ht="12.75" customHeight="1">
      <c r="A17" s="541"/>
      <c r="B17" s="541"/>
      <c r="C17" s="541"/>
      <c r="D17" s="552"/>
      <c r="E17" s="2621"/>
      <c r="F17" s="2622"/>
      <c r="G17" s="2622"/>
      <c r="H17" s="2622"/>
      <c r="I17" s="2622"/>
      <c r="J17" s="2622"/>
      <c r="K17" s="2622"/>
      <c r="L17" s="2622"/>
      <c r="M17" s="2622"/>
      <c r="N17" s="2622"/>
      <c r="O17" s="2622"/>
      <c r="P17" s="2622"/>
      <c r="Q17" s="2622"/>
      <c r="R17" s="2622"/>
      <c r="S17" s="2622"/>
      <c r="T17" s="2622"/>
      <c r="U17" s="2622"/>
      <c r="V17" s="2622"/>
      <c r="W17" s="2622"/>
      <c r="X17" s="2622"/>
      <c r="Y17" s="2622"/>
      <c r="Z17" s="2622"/>
      <c r="AA17" s="2622"/>
      <c r="AB17" s="2622"/>
      <c r="AC17" s="2622"/>
      <c r="AD17" s="2622"/>
      <c r="AE17" s="2622"/>
      <c r="AF17" s="2622"/>
      <c r="AG17" s="2622"/>
      <c r="AH17" s="2622"/>
      <c r="AI17" s="2622"/>
      <c r="AJ17" s="2623"/>
      <c r="AK17" s="541"/>
      <c r="AL17" s="541"/>
      <c r="AM17" s="541"/>
      <c r="AN17" s="536"/>
      <c r="AO17" s="551">
        <f>IF($B28="yes",20,0)</f>
        <v>0</v>
      </c>
    </row>
    <row r="18" spans="1:42" s="537" customFormat="1" ht="12.75" customHeight="1">
      <c r="A18" s="541"/>
      <c r="B18" s="541"/>
      <c r="C18" s="541"/>
      <c r="D18" s="552"/>
      <c r="E18" s="2621"/>
      <c r="F18" s="2622"/>
      <c r="G18" s="2622"/>
      <c r="H18" s="2622"/>
      <c r="I18" s="2622"/>
      <c r="J18" s="2622"/>
      <c r="K18" s="2622"/>
      <c r="L18" s="2622"/>
      <c r="M18" s="2622"/>
      <c r="N18" s="2622"/>
      <c r="O18" s="2622"/>
      <c r="P18" s="2622"/>
      <c r="Q18" s="2622"/>
      <c r="R18" s="2622"/>
      <c r="S18" s="2622"/>
      <c r="T18" s="2622"/>
      <c r="U18" s="2622"/>
      <c r="V18" s="2622"/>
      <c r="W18" s="2622"/>
      <c r="X18" s="2622"/>
      <c r="Y18" s="2622"/>
      <c r="Z18" s="2622"/>
      <c r="AA18" s="2622"/>
      <c r="AB18" s="2622"/>
      <c r="AC18" s="2622"/>
      <c r="AD18" s="2622"/>
      <c r="AE18" s="2622"/>
      <c r="AF18" s="2622"/>
      <c r="AG18" s="2622"/>
      <c r="AH18" s="2622"/>
      <c r="AI18" s="2622"/>
      <c r="AJ18" s="2623"/>
      <c r="AK18" s="541"/>
      <c r="AL18" s="541"/>
      <c r="AM18" s="541"/>
      <c r="AN18" s="536"/>
      <c r="AO18" s="537">
        <f>IF(SUM(AO13:AO17)&gt;20,20,(SUM(AO13:AO17)))</f>
        <v>0</v>
      </c>
      <c r="AP18" s="537" t="s">
        <v>1307</v>
      </c>
    </row>
    <row r="19" spans="1:42" s="537" customFormat="1" ht="12.75" customHeight="1">
      <c r="A19" s="541"/>
      <c r="B19" s="541"/>
      <c r="C19" s="541"/>
      <c r="D19" s="552"/>
      <c r="E19" s="553" t="s">
        <v>1308</v>
      </c>
      <c r="F19" s="554"/>
      <c r="G19" s="554"/>
      <c r="H19" s="554"/>
      <c r="I19" s="554"/>
      <c r="J19" s="554"/>
      <c r="K19" s="554"/>
      <c r="L19" s="554"/>
      <c r="M19" s="554"/>
      <c r="N19" s="554"/>
      <c r="O19" s="554"/>
      <c r="P19" s="554"/>
      <c r="Q19" s="554"/>
      <c r="R19" s="554"/>
      <c r="S19" s="554"/>
      <c r="T19" s="554"/>
      <c r="U19" s="554"/>
      <c r="V19" s="554"/>
      <c r="W19" s="554"/>
      <c r="X19" s="554"/>
      <c r="Y19" s="554"/>
      <c r="Z19" s="554"/>
      <c r="AA19" s="554"/>
      <c r="AB19" s="554"/>
      <c r="AC19" s="554"/>
      <c r="AD19" s="554"/>
      <c r="AE19" s="554"/>
      <c r="AF19" s="554"/>
      <c r="AG19" s="554"/>
      <c r="AH19" s="554"/>
      <c r="AI19" s="554"/>
      <c r="AJ19" s="555"/>
      <c r="AK19" s="541"/>
      <c r="AL19" s="541"/>
      <c r="AM19" s="541"/>
      <c r="AN19" s="536"/>
    </row>
    <row r="20" spans="1:42" s="537" customFormat="1" ht="12.75" customHeight="1">
      <c r="A20" s="541"/>
      <c r="B20" s="541"/>
      <c r="C20" s="541"/>
      <c r="D20" s="552"/>
      <c r="E20" s="2642"/>
      <c r="F20" s="2643"/>
      <c r="G20" s="2643"/>
      <c r="H20" s="2643"/>
      <c r="I20" s="2643"/>
      <c r="J20" s="2643"/>
      <c r="K20" s="2643"/>
      <c r="L20" s="2643"/>
      <c r="M20" s="2643"/>
      <c r="N20" s="2643"/>
      <c r="O20" s="2643"/>
      <c r="P20" s="2643"/>
      <c r="Q20" s="2643"/>
      <c r="R20" s="2643"/>
      <c r="S20" s="2643"/>
      <c r="T20" s="2643"/>
      <c r="U20" s="2643"/>
      <c r="V20" s="2643"/>
      <c r="W20" s="2643"/>
      <c r="X20" s="2643"/>
      <c r="Y20" s="2643"/>
      <c r="Z20" s="2643"/>
      <c r="AA20" s="2643"/>
      <c r="AB20" s="2643"/>
      <c r="AC20" s="2643"/>
      <c r="AD20" s="2643"/>
      <c r="AE20" s="2643"/>
      <c r="AF20" s="2643"/>
      <c r="AG20" s="2643"/>
      <c r="AH20" s="2643"/>
      <c r="AI20" s="2643"/>
      <c r="AJ20" s="2644"/>
      <c r="AK20" s="541"/>
      <c r="AL20" s="541"/>
      <c r="AM20" s="541"/>
      <c r="AN20" s="536"/>
      <c r="AO20" s="551">
        <f>IF($B33="yes",14,0)</f>
        <v>14</v>
      </c>
    </row>
    <row r="21" spans="1:42" s="537" customFormat="1" ht="12.75" customHeight="1">
      <c r="A21" s="541"/>
      <c r="B21" s="541"/>
      <c r="C21" s="541"/>
      <c r="E21" s="541"/>
      <c r="F21" s="541"/>
      <c r="G21" s="541"/>
      <c r="H21" s="541"/>
      <c r="I21" s="541"/>
      <c r="J21" s="541"/>
      <c r="K21" s="541"/>
      <c r="L21" s="541"/>
      <c r="M21" s="541"/>
      <c r="N21" s="541"/>
      <c r="O21" s="541"/>
      <c r="P21" s="541"/>
      <c r="Q21" s="541"/>
      <c r="R21" s="541"/>
      <c r="S21" s="541"/>
      <c r="T21" s="541"/>
      <c r="U21" s="541"/>
      <c r="V21" s="541"/>
      <c r="W21" s="541"/>
      <c r="X21" s="541"/>
      <c r="Y21" s="541"/>
      <c r="Z21" s="541"/>
      <c r="AA21" s="541"/>
      <c r="AB21" s="541"/>
      <c r="AC21" s="541"/>
      <c r="AD21" s="541"/>
      <c r="AE21" s="541"/>
      <c r="AF21" s="541"/>
      <c r="AG21" s="541"/>
      <c r="AH21" s="541"/>
      <c r="AI21" s="541"/>
      <c r="AJ21" s="541"/>
      <c r="AK21" s="541"/>
      <c r="AL21" s="541"/>
      <c r="AM21" s="541"/>
      <c r="AN21" s="536"/>
      <c r="AO21" s="551">
        <f>IF($B36="yes",14,0)</f>
        <v>0</v>
      </c>
      <c r="AP21" s="14"/>
    </row>
    <row r="22" spans="1:42" s="537" customFormat="1" ht="12.75" customHeight="1">
      <c r="A22" s="541"/>
      <c r="B22" s="2626" t="s">
        <v>590</v>
      </c>
      <c r="C22" s="2626"/>
      <c r="D22" s="548"/>
      <c r="E22" s="2636" t="s">
        <v>1309</v>
      </c>
      <c r="F22" s="2637"/>
      <c r="G22" s="2637"/>
      <c r="H22" s="2637"/>
      <c r="I22" s="2637"/>
      <c r="J22" s="2637"/>
      <c r="K22" s="2637"/>
      <c r="L22" s="2637"/>
      <c r="M22" s="2637"/>
      <c r="N22" s="2637"/>
      <c r="O22" s="2637"/>
      <c r="P22" s="2637"/>
      <c r="Q22" s="2637"/>
      <c r="R22" s="2637"/>
      <c r="S22" s="2637"/>
      <c r="T22" s="2637"/>
      <c r="U22" s="2637"/>
      <c r="V22" s="2637"/>
      <c r="W22" s="2637"/>
      <c r="X22" s="2637"/>
      <c r="Y22" s="2637"/>
      <c r="Z22" s="2637"/>
      <c r="AA22" s="2637"/>
      <c r="AB22" s="2637"/>
      <c r="AC22" s="2637"/>
      <c r="AD22" s="2637"/>
      <c r="AE22" s="2637"/>
      <c r="AF22" s="2637"/>
      <c r="AG22" s="2637"/>
      <c r="AH22" s="2637"/>
      <c r="AI22" s="2637"/>
      <c r="AJ22" s="2638"/>
      <c r="AK22" s="541"/>
      <c r="AL22" s="541"/>
      <c r="AM22" s="541"/>
      <c r="AN22" s="536"/>
      <c r="AO22" s="551">
        <f>IF($B40="yes",14,0)</f>
        <v>0</v>
      </c>
    </row>
    <row r="23" spans="1:42" s="537" customFormat="1" ht="12.75" customHeight="1">
      <c r="A23" s="541"/>
      <c r="B23" s="541"/>
      <c r="C23" s="541"/>
      <c r="D23" s="551"/>
      <c r="E23" s="2639"/>
      <c r="F23" s="2640"/>
      <c r="G23" s="2640"/>
      <c r="H23" s="2640"/>
      <c r="I23" s="2640"/>
      <c r="J23" s="2640"/>
      <c r="K23" s="2640"/>
      <c r="L23" s="2640"/>
      <c r="M23" s="2640"/>
      <c r="N23" s="2640"/>
      <c r="O23" s="2640"/>
      <c r="P23" s="2640"/>
      <c r="Q23" s="2640"/>
      <c r="R23" s="2640"/>
      <c r="S23" s="2640"/>
      <c r="T23" s="2640"/>
      <c r="U23" s="2640"/>
      <c r="V23" s="2640"/>
      <c r="W23" s="2640"/>
      <c r="X23" s="2640"/>
      <c r="Y23" s="2640"/>
      <c r="Z23" s="2640"/>
      <c r="AA23" s="2640"/>
      <c r="AB23" s="2640"/>
      <c r="AC23" s="2640"/>
      <c r="AD23" s="2640"/>
      <c r="AE23" s="2640"/>
      <c r="AF23" s="2640"/>
      <c r="AG23" s="2640"/>
      <c r="AH23" s="2640"/>
      <c r="AI23" s="2640"/>
      <c r="AJ23" s="2641"/>
      <c r="AK23" s="541"/>
      <c r="AL23" s="541"/>
      <c r="AM23" s="541"/>
      <c r="AN23" s="536"/>
      <c r="AO23" s="537">
        <f>IF(SUM(AO20:AO22)&gt;14,14,SUM(AO20:AO22))</f>
        <v>14</v>
      </c>
      <c r="AP23" s="537" t="s">
        <v>1307</v>
      </c>
    </row>
    <row r="24" spans="1:42" s="537" customFormat="1" ht="12.75" customHeight="1">
      <c r="A24" s="541"/>
      <c r="B24" s="541"/>
      <c r="C24" s="541"/>
      <c r="D24" s="552"/>
      <c r="E24" s="541"/>
      <c r="F24" s="541"/>
      <c r="G24" s="541"/>
      <c r="H24" s="541"/>
      <c r="I24" s="541"/>
      <c r="J24" s="541"/>
      <c r="K24" s="541"/>
      <c r="L24" s="541"/>
      <c r="M24" s="541"/>
      <c r="N24" s="541"/>
      <c r="O24" s="541"/>
      <c r="P24" s="541"/>
      <c r="Q24" s="541"/>
      <c r="R24" s="541"/>
      <c r="S24" s="541"/>
      <c r="T24" s="541"/>
      <c r="U24" s="541"/>
      <c r="V24" s="541"/>
      <c r="W24" s="541"/>
      <c r="X24" s="541"/>
      <c r="Y24" s="541"/>
      <c r="Z24" s="541"/>
      <c r="AA24" s="541"/>
      <c r="AB24" s="541"/>
      <c r="AC24" s="541"/>
      <c r="AD24" s="541"/>
      <c r="AE24" s="541"/>
      <c r="AF24" s="541"/>
      <c r="AG24" s="541"/>
      <c r="AH24" s="541"/>
      <c r="AI24" s="541"/>
      <c r="AJ24" s="541"/>
      <c r="AK24" s="541"/>
      <c r="AL24" s="541"/>
      <c r="AM24" s="541"/>
      <c r="AN24" s="536"/>
    </row>
    <row r="25" spans="1:42" s="537" customFormat="1" ht="12.75" customHeight="1">
      <c r="A25" s="541"/>
      <c r="B25" s="2626" t="s">
        <v>590</v>
      </c>
      <c r="C25" s="2626"/>
      <c r="D25" s="548"/>
      <c r="E25" s="2553" t="s">
        <v>2034</v>
      </c>
      <c r="F25" s="2554"/>
      <c r="G25" s="2554"/>
      <c r="H25" s="2554"/>
      <c r="I25" s="2554"/>
      <c r="J25" s="2554"/>
      <c r="K25" s="2554"/>
      <c r="L25" s="2554"/>
      <c r="M25" s="2554"/>
      <c r="N25" s="2554"/>
      <c r="O25" s="2554"/>
      <c r="P25" s="2554"/>
      <c r="Q25" s="2554"/>
      <c r="R25" s="2554"/>
      <c r="S25" s="2554"/>
      <c r="T25" s="2554"/>
      <c r="U25" s="2554"/>
      <c r="V25" s="2554"/>
      <c r="W25" s="2554"/>
      <c r="X25" s="2554"/>
      <c r="Y25" s="2554"/>
      <c r="Z25" s="2554"/>
      <c r="AA25" s="2554"/>
      <c r="AB25" s="2554"/>
      <c r="AC25" s="2554"/>
      <c r="AD25" s="2554"/>
      <c r="AE25" s="2554"/>
      <c r="AF25" s="2554"/>
      <c r="AG25" s="2554"/>
      <c r="AH25" s="2554"/>
      <c r="AI25" s="2554"/>
      <c r="AJ25" s="2555"/>
      <c r="AK25" s="541"/>
      <c r="AL25" s="541"/>
      <c r="AM25" s="541"/>
      <c r="AN25" s="536"/>
      <c r="AO25" s="551">
        <f>IF($B45="yes",6,0)</f>
        <v>0</v>
      </c>
    </row>
    <row r="26" spans="1:42" s="537" customFormat="1" ht="12.75" customHeight="1">
      <c r="A26" s="541"/>
      <c r="B26" s="541"/>
      <c r="C26" s="541"/>
      <c r="D26" s="551"/>
      <c r="E26" s="2578"/>
      <c r="F26" s="2579"/>
      <c r="G26" s="2579"/>
      <c r="H26" s="2579"/>
      <c r="I26" s="2579"/>
      <c r="J26" s="2579"/>
      <c r="K26" s="2579"/>
      <c r="L26" s="2579"/>
      <c r="M26" s="2579"/>
      <c r="N26" s="2579"/>
      <c r="O26" s="2579"/>
      <c r="P26" s="2579"/>
      <c r="Q26" s="2579"/>
      <c r="R26" s="2579"/>
      <c r="S26" s="2579"/>
      <c r="T26" s="2579"/>
      <c r="U26" s="2579"/>
      <c r="V26" s="2579"/>
      <c r="W26" s="2579"/>
      <c r="X26" s="2579"/>
      <c r="Y26" s="2579"/>
      <c r="Z26" s="2579"/>
      <c r="AA26" s="2579"/>
      <c r="AB26" s="2579"/>
      <c r="AC26" s="2579"/>
      <c r="AD26" s="2579"/>
      <c r="AE26" s="2579"/>
      <c r="AF26" s="2579"/>
      <c r="AG26" s="2579"/>
      <c r="AH26" s="2579"/>
      <c r="AI26" s="2579"/>
      <c r="AJ26" s="2580"/>
      <c r="AK26" s="541"/>
      <c r="AL26" s="541"/>
      <c r="AM26" s="541"/>
      <c r="AN26" s="536"/>
      <c r="AO26" s="537">
        <f>IF(AO25&gt;6,6,AO25)</f>
        <v>0</v>
      </c>
      <c r="AP26" s="537" t="s">
        <v>1307</v>
      </c>
    </row>
    <row r="27" spans="1:42" s="537" customFormat="1" ht="12.75" customHeight="1">
      <c r="A27" s="541"/>
      <c r="B27" s="541"/>
      <c r="C27" s="541"/>
      <c r="D27" s="551"/>
      <c r="E27" s="541"/>
      <c r="F27" s="541"/>
      <c r="G27" s="541"/>
      <c r="H27" s="541"/>
      <c r="I27" s="541"/>
      <c r="J27" s="541"/>
      <c r="K27" s="541"/>
      <c r="L27" s="541"/>
      <c r="M27" s="541"/>
      <c r="N27" s="541"/>
      <c r="O27" s="541"/>
      <c r="P27" s="541"/>
      <c r="Q27" s="541"/>
      <c r="R27" s="541"/>
      <c r="S27" s="541"/>
      <c r="T27" s="541"/>
      <c r="U27" s="541"/>
      <c r="V27" s="541"/>
      <c r="W27" s="541"/>
      <c r="X27" s="541"/>
      <c r="Y27" s="541"/>
      <c r="Z27" s="541"/>
      <c r="AA27" s="541"/>
      <c r="AB27" s="541"/>
      <c r="AC27" s="541"/>
      <c r="AD27" s="541"/>
      <c r="AE27" s="541"/>
      <c r="AF27" s="541"/>
      <c r="AG27" s="541"/>
      <c r="AH27" s="541"/>
      <c r="AI27" s="541"/>
      <c r="AJ27" s="541"/>
      <c r="AK27" s="541"/>
      <c r="AL27" s="541"/>
      <c r="AM27" s="541"/>
      <c r="AN27" s="536"/>
      <c r="AO27" s="551"/>
    </row>
    <row r="28" spans="1:42" s="537" customFormat="1" ht="12.75" customHeight="1">
      <c r="A28" s="541"/>
      <c r="B28" s="2626" t="s">
        <v>590</v>
      </c>
      <c r="C28" s="2626"/>
      <c r="D28" s="548"/>
      <c r="E28" s="2655" t="s">
        <v>2251</v>
      </c>
      <c r="F28" s="2656"/>
      <c r="G28" s="2656"/>
      <c r="H28" s="2656"/>
      <c r="I28" s="2656"/>
      <c r="J28" s="2656"/>
      <c r="K28" s="2656"/>
      <c r="L28" s="2656"/>
      <c r="M28" s="2656"/>
      <c r="N28" s="2656"/>
      <c r="O28" s="2656"/>
      <c r="P28" s="2656"/>
      <c r="Q28" s="2656"/>
      <c r="R28" s="2656"/>
      <c r="S28" s="2656"/>
      <c r="T28" s="2656"/>
      <c r="U28" s="2656"/>
      <c r="V28" s="2656"/>
      <c r="W28" s="2656"/>
      <c r="X28" s="2656"/>
      <c r="Y28" s="2656"/>
      <c r="Z28" s="2656"/>
      <c r="AA28" s="2656"/>
      <c r="AB28" s="2656"/>
      <c r="AC28" s="2656"/>
      <c r="AD28" s="2656"/>
      <c r="AE28" s="2656"/>
      <c r="AF28" s="2656"/>
      <c r="AG28" s="2656"/>
      <c r="AH28" s="2656"/>
      <c r="AI28" s="2656"/>
      <c r="AJ28" s="2657"/>
      <c r="AK28" s="541"/>
      <c r="AL28" s="541"/>
      <c r="AM28" s="541"/>
      <c r="AN28" s="536"/>
      <c r="AO28" s="551"/>
    </row>
    <row r="29" spans="1:42" s="537" customFormat="1" ht="12.75" customHeight="1">
      <c r="A29" s="541"/>
      <c r="B29" s="541"/>
      <c r="C29" s="541"/>
      <c r="D29" s="551"/>
      <c r="E29" s="541"/>
      <c r="F29" s="541"/>
      <c r="G29" s="541"/>
      <c r="H29" s="541"/>
      <c r="I29" s="541"/>
      <c r="J29" s="541"/>
      <c r="K29" s="541"/>
      <c r="L29" s="541"/>
      <c r="M29" s="541"/>
      <c r="N29" s="541"/>
      <c r="O29" s="541"/>
      <c r="P29" s="541"/>
      <c r="Q29" s="541"/>
      <c r="R29" s="541"/>
      <c r="S29" s="541"/>
      <c r="T29" s="541"/>
      <c r="U29" s="541"/>
      <c r="V29" s="541"/>
      <c r="W29" s="541"/>
      <c r="X29" s="541"/>
      <c r="Y29" s="541"/>
      <c r="Z29" s="541"/>
      <c r="AA29" s="541"/>
      <c r="AB29" s="541"/>
      <c r="AC29" s="541"/>
      <c r="AD29" s="541"/>
      <c r="AE29" s="541"/>
      <c r="AF29" s="541"/>
      <c r="AG29" s="541"/>
      <c r="AH29" s="541"/>
      <c r="AI29" s="541"/>
      <c r="AJ29" s="541"/>
      <c r="AK29" s="541"/>
      <c r="AL29" s="541"/>
      <c r="AM29" s="541"/>
      <c r="AN29" s="536"/>
      <c r="AO29" s="551"/>
    </row>
    <row r="30" spans="1:42" s="537" customFormat="1" ht="12.75" customHeight="1">
      <c r="A30" s="541"/>
      <c r="B30" s="541"/>
      <c r="C30" s="541"/>
      <c r="D30" s="551"/>
      <c r="E30" s="541"/>
      <c r="F30" s="541"/>
      <c r="G30" s="541"/>
      <c r="H30" s="541"/>
      <c r="I30" s="541"/>
      <c r="J30" s="541"/>
      <c r="K30" s="541"/>
      <c r="L30" s="541"/>
      <c r="M30" s="541"/>
      <c r="N30" s="541"/>
      <c r="O30" s="541"/>
      <c r="P30" s="541"/>
      <c r="Q30" s="541"/>
      <c r="R30" s="541"/>
      <c r="S30" s="541"/>
      <c r="T30" s="541"/>
      <c r="U30" s="541"/>
      <c r="V30" s="541"/>
      <c r="W30" s="541"/>
      <c r="X30" s="541"/>
      <c r="Y30" s="541"/>
      <c r="Z30" s="541"/>
      <c r="AA30" s="541"/>
      <c r="AB30" s="541"/>
      <c r="AC30" s="541"/>
      <c r="AD30" s="541"/>
      <c r="AE30" s="541"/>
      <c r="AF30" s="541"/>
      <c r="AG30" s="541"/>
      <c r="AH30" s="541"/>
      <c r="AI30" s="541"/>
      <c r="AJ30" s="541"/>
      <c r="AK30" s="541"/>
      <c r="AL30" s="541"/>
      <c r="AM30" s="541"/>
      <c r="AN30" s="536"/>
      <c r="AO30" s="551"/>
    </row>
    <row r="31" spans="1:42" s="537" customFormat="1" ht="12.75" customHeight="1">
      <c r="A31" s="541"/>
      <c r="C31" s="545" t="s">
        <v>2008</v>
      </c>
      <c r="E31" s="541"/>
      <c r="F31" s="541"/>
      <c r="G31" s="541"/>
      <c r="H31" s="541"/>
      <c r="I31" s="541"/>
      <c r="J31" s="541"/>
      <c r="K31" s="541"/>
      <c r="L31" s="541"/>
      <c r="M31" s="541"/>
      <c r="N31" s="541"/>
      <c r="O31" s="541"/>
      <c r="P31" s="541"/>
      <c r="Q31" s="541"/>
      <c r="R31" s="541"/>
      <c r="S31" s="541"/>
      <c r="T31" s="541"/>
      <c r="U31" s="541"/>
      <c r="V31" s="541"/>
      <c r="W31" s="541"/>
      <c r="X31" s="541"/>
      <c r="Y31" s="541"/>
      <c r="Z31" s="541"/>
      <c r="AA31" s="541"/>
      <c r="AB31" s="541"/>
      <c r="AC31" s="541"/>
      <c r="AD31" s="541"/>
      <c r="AE31" s="541"/>
      <c r="AF31" s="541"/>
      <c r="AG31" s="541"/>
      <c r="AH31" s="541"/>
      <c r="AI31" s="541"/>
      <c r="AJ31" s="541"/>
      <c r="AK31" s="541"/>
      <c r="AL31" s="541"/>
      <c r="AM31" s="541"/>
      <c r="AN31" s="536"/>
      <c r="AO31" s="551">
        <f>IF(AND(B52="Yes",B56="Yes",B58="Yes"),20,0)</f>
        <v>0</v>
      </c>
    </row>
    <row r="32" spans="1:42" s="537" customFormat="1" ht="12.75" customHeight="1">
      <c r="A32" s="541"/>
      <c r="B32" s="541"/>
      <c r="C32" s="541"/>
      <c r="E32" s="541"/>
      <c r="F32" s="541"/>
      <c r="G32" s="541"/>
      <c r="H32" s="541"/>
      <c r="I32" s="541"/>
      <c r="J32" s="541"/>
      <c r="K32" s="541"/>
      <c r="L32" s="541"/>
      <c r="M32" s="541"/>
      <c r="N32" s="541"/>
      <c r="O32" s="541"/>
      <c r="P32" s="541"/>
      <c r="Q32" s="541"/>
      <c r="R32" s="541"/>
      <c r="S32" s="541"/>
      <c r="T32" s="541"/>
      <c r="U32" s="541"/>
      <c r="V32" s="541"/>
      <c r="W32" s="541"/>
      <c r="X32" s="541"/>
      <c r="Y32" s="541"/>
      <c r="Z32" s="541"/>
      <c r="AA32" s="541"/>
      <c r="AB32" s="541"/>
      <c r="AC32" s="541"/>
      <c r="AD32" s="541"/>
      <c r="AE32" s="541"/>
      <c r="AF32" s="541"/>
      <c r="AG32" s="541"/>
      <c r="AH32" s="541"/>
      <c r="AI32" s="541"/>
      <c r="AJ32" s="541"/>
      <c r="AK32" s="541"/>
      <c r="AL32" s="541"/>
      <c r="AM32" s="541"/>
      <c r="AN32" s="536"/>
      <c r="AO32" s="537">
        <f>IF(AO31&gt;20,20,AO31)</f>
        <v>0</v>
      </c>
      <c r="AP32" s="537" t="s">
        <v>1307</v>
      </c>
    </row>
    <row r="33" spans="1:41" s="537" customFormat="1" ht="12.75" customHeight="1">
      <c r="A33" s="541"/>
      <c r="B33" s="2626" t="s">
        <v>544</v>
      </c>
      <c r="C33" s="2626"/>
      <c r="D33" s="548"/>
      <c r="E33" s="2636" t="s">
        <v>2253</v>
      </c>
      <c r="F33" s="2637"/>
      <c r="G33" s="2637"/>
      <c r="H33" s="2637"/>
      <c r="I33" s="2637"/>
      <c r="J33" s="2637"/>
      <c r="K33" s="2637"/>
      <c r="L33" s="2637"/>
      <c r="M33" s="2637"/>
      <c r="N33" s="2637"/>
      <c r="O33" s="2637"/>
      <c r="P33" s="2637"/>
      <c r="Q33" s="2637"/>
      <c r="R33" s="2637"/>
      <c r="S33" s="2637"/>
      <c r="T33" s="2637"/>
      <c r="U33" s="2637"/>
      <c r="V33" s="2637"/>
      <c r="W33" s="2637"/>
      <c r="X33" s="2637"/>
      <c r="Y33" s="2637"/>
      <c r="Z33" s="2637"/>
      <c r="AA33" s="2637"/>
      <c r="AB33" s="2637"/>
      <c r="AC33" s="2637"/>
      <c r="AD33" s="2637"/>
      <c r="AE33" s="2637"/>
      <c r="AF33" s="2637"/>
      <c r="AG33" s="2637"/>
      <c r="AH33" s="2637"/>
      <c r="AI33" s="2637"/>
      <c r="AJ33" s="2638"/>
      <c r="AK33" s="541"/>
      <c r="AL33" s="541"/>
      <c r="AM33" s="541"/>
      <c r="AN33" s="536"/>
      <c r="AO33" s="551"/>
    </row>
    <row r="34" spans="1:41" s="537" customFormat="1" ht="12.75" customHeight="1">
      <c r="A34" s="541"/>
      <c r="B34" s="541"/>
      <c r="C34" s="541"/>
      <c r="E34" s="2639"/>
      <c r="F34" s="2640"/>
      <c r="G34" s="2640"/>
      <c r="H34" s="2640"/>
      <c r="I34" s="2640"/>
      <c r="J34" s="2640"/>
      <c r="K34" s="2640"/>
      <c r="L34" s="2640"/>
      <c r="M34" s="2640"/>
      <c r="N34" s="2640"/>
      <c r="O34" s="2640"/>
      <c r="P34" s="2640"/>
      <c r="Q34" s="2640"/>
      <c r="R34" s="2640"/>
      <c r="S34" s="2640"/>
      <c r="T34" s="2640"/>
      <c r="U34" s="2640"/>
      <c r="V34" s="2640"/>
      <c r="W34" s="2640"/>
      <c r="X34" s="2640"/>
      <c r="Y34" s="2640"/>
      <c r="Z34" s="2640"/>
      <c r="AA34" s="2640"/>
      <c r="AB34" s="2640"/>
      <c r="AC34" s="2640"/>
      <c r="AD34" s="2640"/>
      <c r="AE34" s="2640"/>
      <c r="AF34" s="2640"/>
      <c r="AG34" s="2640"/>
      <c r="AH34" s="2640"/>
      <c r="AI34" s="2640"/>
      <c r="AJ34" s="2641"/>
      <c r="AK34" s="541"/>
      <c r="AL34" s="541"/>
      <c r="AM34" s="541"/>
      <c r="AN34" s="536"/>
    </row>
    <row r="35" spans="1:41" s="537" customFormat="1" ht="12.75" customHeight="1">
      <c r="A35" s="541"/>
      <c r="B35" s="541"/>
      <c r="C35" s="541"/>
      <c r="F35" s="907"/>
      <c r="G35" s="907"/>
      <c r="H35" s="907"/>
      <c r="I35" s="907"/>
      <c r="J35" s="907"/>
      <c r="K35" s="907"/>
      <c r="L35" s="907"/>
      <c r="M35" s="907"/>
      <c r="N35" s="907"/>
      <c r="O35" s="907"/>
      <c r="P35" s="907"/>
      <c r="Q35" s="907"/>
      <c r="R35" s="907"/>
      <c r="S35" s="907"/>
      <c r="T35" s="907"/>
      <c r="U35" s="907"/>
      <c r="V35" s="907"/>
      <c r="W35" s="907"/>
      <c r="X35" s="907"/>
      <c r="Y35" s="907"/>
      <c r="Z35" s="907"/>
      <c r="AA35" s="907"/>
      <c r="AB35" s="907"/>
      <c r="AC35" s="907"/>
      <c r="AD35" s="907"/>
      <c r="AE35" s="907"/>
      <c r="AF35" s="907"/>
      <c r="AG35" s="907"/>
      <c r="AH35" s="907"/>
      <c r="AI35" s="907"/>
      <c r="AJ35" s="907"/>
      <c r="AK35" s="541"/>
      <c r="AL35" s="541"/>
      <c r="AM35" s="541"/>
      <c r="AN35" s="536"/>
    </row>
    <row r="36" spans="1:41" s="537" customFormat="1" ht="12.75" customHeight="1">
      <c r="A36" s="541"/>
      <c r="B36" s="2626" t="s">
        <v>590</v>
      </c>
      <c r="C36" s="2626"/>
      <c r="D36" s="548"/>
      <c r="E36" s="2553" t="s">
        <v>2254</v>
      </c>
      <c r="F36" s="2554"/>
      <c r="G36" s="2554"/>
      <c r="H36" s="2554"/>
      <c r="I36" s="2554"/>
      <c r="J36" s="2554"/>
      <c r="K36" s="2554"/>
      <c r="L36" s="2554"/>
      <c r="M36" s="2554"/>
      <c r="N36" s="2554"/>
      <c r="O36" s="2554"/>
      <c r="P36" s="2554"/>
      <c r="Q36" s="2554"/>
      <c r="R36" s="2554"/>
      <c r="S36" s="2554"/>
      <c r="T36" s="2554"/>
      <c r="U36" s="2554"/>
      <c r="V36" s="2554"/>
      <c r="W36" s="2554"/>
      <c r="X36" s="2554"/>
      <c r="Y36" s="2554"/>
      <c r="Z36" s="2554"/>
      <c r="AA36" s="2554"/>
      <c r="AB36" s="2554"/>
      <c r="AC36" s="2554"/>
      <c r="AD36" s="2554"/>
      <c r="AE36" s="2554"/>
      <c r="AF36" s="2554"/>
      <c r="AG36" s="2554"/>
      <c r="AH36" s="2554"/>
      <c r="AI36" s="2554"/>
      <c r="AJ36" s="2555"/>
      <c r="AK36" s="541"/>
      <c r="AL36" s="541"/>
      <c r="AM36" s="541"/>
      <c r="AN36" s="536"/>
    </row>
    <row r="37" spans="1:41" s="537" customFormat="1" ht="12.75" customHeight="1">
      <c r="A37" s="541"/>
      <c r="B37" s="541"/>
      <c r="C37" s="541"/>
      <c r="E37" s="2556"/>
      <c r="F37" s="2557"/>
      <c r="G37" s="2557"/>
      <c r="H37" s="2557"/>
      <c r="I37" s="2557"/>
      <c r="J37" s="2557"/>
      <c r="K37" s="2557"/>
      <c r="L37" s="2557"/>
      <c r="M37" s="2557"/>
      <c r="N37" s="2557"/>
      <c r="O37" s="2557"/>
      <c r="P37" s="2557"/>
      <c r="Q37" s="2557"/>
      <c r="R37" s="2557"/>
      <c r="S37" s="2557"/>
      <c r="T37" s="2557"/>
      <c r="U37" s="2557"/>
      <c r="V37" s="2557"/>
      <c r="W37" s="2557"/>
      <c r="X37" s="2557"/>
      <c r="Y37" s="2557"/>
      <c r="Z37" s="2557"/>
      <c r="AA37" s="2557"/>
      <c r="AB37" s="2557"/>
      <c r="AC37" s="2557"/>
      <c r="AD37" s="2557"/>
      <c r="AE37" s="2557"/>
      <c r="AF37" s="2557"/>
      <c r="AG37" s="2557"/>
      <c r="AH37" s="2557"/>
      <c r="AI37" s="2557"/>
      <c r="AJ37" s="2558"/>
      <c r="AK37" s="541"/>
      <c r="AL37" s="541"/>
      <c r="AM37" s="541"/>
      <c r="AN37" s="536"/>
    </row>
    <row r="38" spans="1:41" s="537" customFormat="1" ht="12.75" customHeight="1">
      <c r="A38" s="541"/>
      <c r="B38" s="541"/>
      <c r="C38" s="541"/>
      <c r="E38" s="2578"/>
      <c r="F38" s="2579"/>
      <c r="G38" s="2579"/>
      <c r="H38" s="2579"/>
      <c r="I38" s="2579"/>
      <c r="J38" s="2579"/>
      <c r="K38" s="2579"/>
      <c r="L38" s="2579"/>
      <c r="M38" s="2579"/>
      <c r="N38" s="2579"/>
      <c r="O38" s="2579"/>
      <c r="P38" s="2579"/>
      <c r="Q38" s="2579"/>
      <c r="R38" s="2579"/>
      <c r="S38" s="2579"/>
      <c r="T38" s="2579"/>
      <c r="U38" s="2579"/>
      <c r="V38" s="2579"/>
      <c r="W38" s="2579"/>
      <c r="X38" s="2579"/>
      <c r="Y38" s="2579"/>
      <c r="Z38" s="2579"/>
      <c r="AA38" s="2579"/>
      <c r="AB38" s="2579"/>
      <c r="AC38" s="2579"/>
      <c r="AD38" s="2579"/>
      <c r="AE38" s="2579"/>
      <c r="AF38" s="2579"/>
      <c r="AG38" s="2579"/>
      <c r="AH38" s="2579"/>
      <c r="AI38" s="2579"/>
      <c r="AJ38" s="2580"/>
      <c r="AK38" s="541"/>
      <c r="AL38" s="541"/>
      <c r="AM38" s="541"/>
      <c r="AN38" s="536"/>
    </row>
    <row r="39" spans="1:41" s="537" customFormat="1" ht="12.75" customHeight="1">
      <c r="A39" s="541"/>
      <c r="B39" s="541"/>
      <c r="C39" s="541"/>
      <c r="E39" s="541"/>
      <c r="F39" s="541"/>
      <c r="G39" s="541"/>
      <c r="H39" s="541"/>
      <c r="I39" s="541"/>
      <c r="J39" s="541"/>
      <c r="K39" s="541"/>
      <c r="L39" s="541"/>
      <c r="M39" s="541"/>
      <c r="N39" s="541"/>
      <c r="O39" s="541"/>
      <c r="P39" s="541"/>
      <c r="Q39" s="541"/>
      <c r="R39" s="541"/>
      <c r="S39" s="541"/>
      <c r="T39" s="541"/>
      <c r="U39" s="541"/>
      <c r="V39" s="541"/>
      <c r="W39" s="541"/>
      <c r="X39" s="541"/>
      <c r="Y39" s="541"/>
      <c r="Z39" s="541"/>
      <c r="AA39" s="541"/>
      <c r="AB39" s="541"/>
      <c r="AC39" s="541"/>
      <c r="AD39" s="541"/>
      <c r="AE39" s="541"/>
      <c r="AF39" s="541"/>
      <c r="AG39" s="541"/>
      <c r="AH39" s="541"/>
      <c r="AI39" s="541"/>
      <c r="AJ39" s="541"/>
      <c r="AK39" s="541"/>
      <c r="AL39" s="541"/>
      <c r="AM39" s="541"/>
      <c r="AN39" s="536"/>
      <c r="AO39" s="537">
        <f>MAX(AO18,AO23,AO26,AO32)</f>
        <v>14</v>
      </c>
    </row>
    <row r="40" spans="1:41" s="537" customFormat="1" ht="12.75" customHeight="1">
      <c r="A40" s="541"/>
      <c r="B40" s="2626" t="s">
        <v>590</v>
      </c>
      <c r="C40" s="2626"/>
      <c r="D40" s="548"/>
      <c r="E40" s="2553" t="s">
        <v>2252</v>
      </c>
      <c r="F40" s="2554"/>
      <c r="G40" s="2554"/>
      <c r="H40" s="2554"/>
      <c r="I40" s="2554"/>
      <c r="J40" s="2554"/>
      <c r="K40" s="2554"/>
      <c r="L40" s="2554"/>
      <c r="M40" s="2554"/>
      <c r="N40" s="2554"/>
      <c r="O40" s="2554"/>
      <c r="P40" s="2554"/>
      <c r="Q40" s="2554"/>
      <c r="R40" s="2554"/>
      <c r="S40" s="2554"/>
      <c r="T40" s="2554"/>
      <c r="U40" s="2554"/>
      <c r="V40" s="2554"/>
      <c r="W40" s="2554"/>
      <c r="X40" s="2554"/>
      <c r="Y40" s="2554"/>
      <c r="Z40" s="2554"/>
      <c r="AA40" s="2554"/>
      <c r="AB40" s="2554"/>
      <c r="AC40" s="2554"/>
      <c r="AD40" s="2554"/>
      <c r="AE40" s="2554"/>
      <c r="AF40" s="2554"/>
      <c r="AG40" s="2554"/>
      <c r="AH40" s="2554"/>
      <c r="AI40" s="2554"/>
      <c r="AJ40" s="2555"/>
      <c r="AK40" s="541"/>
      <c r="AL40" s="541"/>
      <c r="AM40" s="541"/>
      <c r="AN40" s="536"/>
    </row>
    <row r="41" spans="1:41" s="537" customFormat="1" ht="12.75" customHeight="1">
      <c r="A41" s="541"/>
      <c r="B41" s="541"/>
      <c r="C41" s="541"/>
      <c r="E41" s="2578"/>
      <c r="F41" s="2579"/>
      <c r="G41" s="2579"/>
      <c r="H41" s="2579"/>
      <c r="I41" s="2579"/>
      <c r="J41" s="2579"/>
      <c r="K41" s="2579"/>
      <c r="L41" s="2579"/>
      <c r="M41" s="2579"/>
      <c r="N41" s="2579"/>
      <c r="O41" s="2579"/>
      <c r="P41" s="2579"/>
      <c r="Q41" s="2579"/>
      <c r="R41" s="2579"/>
      <c r="S41" s="2579"/>
      <c r="T41" s="2579"/>
      <c r="U41" s="2579"/>
      <c r="V41" s="2579"/>
      <c r="W41" s="2579"/>
      <c r="X41" s="2579"/>
      <c r="Y41" s="2579"/>
      <c r="Z41" s="2579"/>
      <c r="AA41" s="2579"/>
      <c r="AB41" s="2579"/>
      <c r="AC41" s="2579"/>
      <c r="AD41" s="2579"/>
      <c r="AE41" s="2579"/>
      <c r="AF41" s="2579"/>
      <c r="AG41" s="2579"/>
      <c r="AH41" s="2579"/>
      <c r="AI41" s="2579"/>
      <c r="AJ41" s="2580"/>
      <c r="AK41" s="541"/>
      <c r="AL41" s="541"/>
      <c r="AM41" s="541"/>
      <c r="AN41" s="536"/>
    </row>
    <row r="42" spans="1:41" s="537" customFormat="1" ht="12.75" customHeight="1">
      <c r="A42" s="541"/>
      <c r="B42" s="541"/>
      <c r="C42" s="541"/>
      <c r="E42" s="541"/>
      <c r="F42" s="541"/>
      <c r="G42" s="541"/>
      <c r="H42" s="541"/>
      <c r="I42" s="541"/>
      <c r="J42" s="541"/>
      <c r="K42" s="541"/>
      <c r="L42" s="541"/>
      <c r="M42" s="541"/>
      <c r="N42" s="541"/>
      <c r="O42" s="541"/>
      <c r="P42" s="541"/>
      <c r="Q42" s="541"/>
      <c r="R42" s="541"/>
      <c r="S42" s="541"/>
      <c r="T42" s="541"/>
      <c r="U42" s="541"/>
      <c r="V42" s="541"/>
      <c r="W42" s="541"/>
      <c r="X42" s="541"/>
      <c r="Y42" s="541"/>
      <c r="Z42" s="541"/>
      <c r="AA42" s="541"/>
      <c r="AB42" s="541"/>
      <c r="AC42" s="541"/>
      <c r="AD42" s="541"/>
      <c r="AE42" s="541"/>
      <c r="AF42" s="541"/>
      <c r="AG42" s="541"/>
      <c r="AH42" s="541"/>
      <c r="AI42" s="541"/>
      <c r="AJ42" s="541"/>
      <c r="AK42" s="541"/>
      <c r="AL42" s="541"/>
      <c r="AM42" s="541"/>
      <c r="AN42" s="536"/>
      <c r="AO42" s="537">
        <f>MAX(AO18,AO23,AO26,AO32)</f>
        <v>14</v>
      </c>
    </row>
    <row r="43" spans="1:41" s="537" customFormat="1" ht="12.75" customHeight="1">
      <c r="A43" s="541"/>
      <c r="C43" s="545" t="s">
        <v>2010</v>
      </c>
      <c r="E43" s="541"/>
      <c r="F43" s="541"/>
      <c r="G43" s="541"/>
      <c r="H43" s="541"/>
      <c r="I43" s="541"/>
      <c r="J43" s="541"/>
      <c r="K43" s="541"/>
      <c r="L43" s="541"/>
      <c r="M43" s="541"/>
      <c r="N43" s="541"/>
      <c r="O43" s="541"/>
      <c r="P43" s="541"/>
      <c r="Q43" s="541"/>
      <c r="R43" s="541"/>
      <c r="S43" s="541"/>
      <c r="T43" s="541"/>
      <c r="U43" s="541"/>
      <c r="V43" s="541"/>
      <c r="W43" s="541"/>
      <c r="X43" s="541"/>
      <c r="Y43" s="541"/>
      <c r="Z43" s="541"/>
      <c r="AA43" s="541"/>
      <c r="AB43" s="541"/>
      <c r="AC43" s="541"/>
      <c r="AD43" s="541"/>
      <c r="AE43" s="541"/>
      <c r="AF43" s="541"/>
      <c r="AG43" s="541"/>
      <c r="AH43" s="541"/>
      <c r="AI43" s="541"/>
      <c r="AJ43" s="541"/>
      <c r="AK43" s="541"/>
      <c r="AL43" s="541"/>
      <c r="AM43" s="541"/>
      <c r="AN43" s="536"/>
    </row>
    <row r="44" spans="1:41" s="537" customFormat="1" ht="12.75" customHeight="1">
      <c r="A44" s="541"/>
      <c r="C44" s="1144"/>
      <c r="D44" s="1144"/>
      <c r="E44" s="1144"/>
      <c r="F44" s="1144"/>
      <c r="G44" s="1144"/>
      <c r="H44" s="1144"/>
      <c r="I44" s="1144"/>
      <c r="J44" s="1144"/>
      <c r="K44" s="1144"/>
      <c r="L44" s="1144"/>
      <c r="M44" s="1144"/>
      <c r="N44" s="1144"/>
      <c r="O44" s="1144"/>
      <c r="P44" s="1144"/>
      <c r="Q44" s="1144"/>
      <c r="R44" s="1144"/>
      <c r="S44" s="1144"/>
      <c r="T44" s="1144"/>
      <c r="U44" s="1144"/>
      <c r="V44" s="1144"/>
      <c r="W44" s="1144"/>
      <c r="X44" s="1144"/>
      <c r="Y44" s="1144"/>
      <c r="Z44" s="1144"/>
      <c r="AA44" s="1144"/>
      <c r="AB44" s="1144"/>
      <c r="AC44" s="1144"/>
      <c r="AD44" s="1144"/>
      <c r="AE44" s="1144"/>
      <c r="AF44" s="1144"/>
      <c r="AG44" s="1144"/>
      <c r="AH44" s="1144"/>
      <c r="AI44" s="1144"/>
      <c r="AJ44" s="1144"/>
      <c r="AK44" s="1144"/>
      <c r="AL44" s="541"/>
      <c r="AM44" s="541"/>
      <c r="AN44" s="536"/>
    </row>
    <row r="45" spans="1:41" s="537" customFormat="1" ht="12.75" customHeight="1">
      <c r="A45" s="541"/>
      <c r="B45" s="2626" t="s">
        <v>590</v>
      </c>
      <c r="C45" s="2626"/>
      <c r="D45" s="1144"/>
      <c r="E45" s="2553" t="s">
        <v>2009</v>
      </c>
      <c r="F45" s="2554"/>
      <c r="G45" s="2554"/>
      <c r="H45" s="2554"/>
      <c r="I45" s="2554"/>
      <c r="J45" s="2554"/>
      <c r="K45" s="2554"/>
      <c r="L45" s="2554"/>
      <c r="M45" s="2554"/>
      <c r="N45" s="2554"/>
      <c r="O45" s="2554"/>
      <c r="P45" s="2554"/>
      <c r="Q45" s="2554"/>
      <c r="R45" s="2554"/>
      <c r="S45" s="2554"/>
      <c r="T45" s="2554"/>
      <c r="U45" s="2554"/>
      <c r="V45" s="2554"/>
      <c r="W45" s="2554"/>
      <c r="X45" s="2554"/>
      <c r="Y45" s="2554"/>
      <c r="Z45" s="2554"/>
      <c r="AA45" s="2554"/>
      <c r="AB45" s="2554"/>
      <c r="AC45" s="2554"/>
      <c r="AD45" s="2554"/>
      <c r="AE45" s="2554"/>
      <c r="AF45" s="2554"/>
      <c r="AG45" s="2554"/>
      <c r="AH45" s="2554"/>
      <c r="AI45" s="2554"/>
      <c r="AJ45" s="2555"/>
      <c r="AK45" s="1144"/>
      <c r="AL45" s="541"/>
      <c r="AM45" s="541"/>
      <c r="AN45" s="536"/>
    </row>
    <row r="46" spans="1:41" s="537" customFormat="1" ht="12.75" customHeight="1">
      <c r="A46" s="541"/>
      <c r="B46" s="541"/>
      <c r="C46" s="541"/>
      <c r="E46" s="2556"/>
      <c r="F46" s="2557"/>
      <c r="G46" s="2557"/>
      <c r="H46" s="2557"/>
      <c r="I46" s="2557"/>
      <c r="J46" s="2557"/>
      <c r="K46" s="2557"/>
      <c r="L46" s="2557"/>
      <c r="M46" s="2557"/>
      <c r="N46" s="2557"/>
      <c r="O46" s="2557"/>
      <c r="P46" s="2557"/>
      <c r="Q46" s="2557"/>
      <c r="R46" s="2557"/>
      <c r="S46" s="2557"/>
      <c r="T46" s="2557"/>
      <c r="U46" s="2557"/>
      <c r="V46" s="2557"/>
      <c r="W46" s="2557"/>
      <c r="X46" s="2557"/>
      <c r="Y46" s="2557"/>
      <c r="Z46" s="2557"/>
      <c r="AA46" s="2557"/>
      <c r="AB46" s="2557"/>
      <c r="AC46" s="2557"/>
      <c r="AD46" s="2557"/>
      <c r="AE46" s="2557"/>
      <c r="AF46" s="2557"/>
      <c r="AG46" s="2557"/>
      <c r="AH46" s="2557"/>
      <c r="AI46" s="2557"/>
      <c r="AJ46" s="2558"/>
      <c r="AK46" s="541"/>
      <c r="AL46" s="541"/>
      <c r="AM46" s="541"/>
      <c r="AN46" s="536"/>
    </row>
    <row r="47" spans="1:41" s="537" customFormat="1" ht="12.75" customHeight="1">
      <c r="A47" s="541"/>
      <c r="D47" s="548"/>
      <c r="E47" s="2578"/>
      <c r="F47" s="2579"/>
      <c r="G47" s="2579"/>
      <c r="H47" s="2579"/>
      <c r="I47" s="2579"/>
      <c r="J47" s="2579"/>
      <c r="K47" s="2579"/>
      <c r="L47" s="2579"/>
      <c r="M47" s="2579"/>
      <c r="N47" s="2579"/>
      <c r="O47" s="2579"/>
      <c r="P47" s="2579"/>
      <c r="Q47" s="2579"/>
      <c r="R47" s="2579"/>
      <c r="S47" s="2579"/>
      <c r="T47" s="2579"/>
      <c r="U47" s="2579"/>
      <c r="V47" s="2579"/>
      <c r="W47" s="2579"/>
      <c r="X47" s="2579"/>
      <c r="Y47" s="2579"/>
      <c r="Z47" s="2579"/>
      <c r="AA47" s="2579"/>
      <c r="AB47" s="2579"/>
      <c r="AC47" s="2579"/>
      <c r="AD47" s="2579"/>
      <c r="AE47" s="2579"/>
      <c r="AF47" s="2579"/>
      <c r="AG47" s="2579"/>
      <c r="AH47" s="2579"/>
      <c r="AI47" s="2579"/>
      <c r="AJ47" s="2580"/>
      <c r="AK47" s="541"/>
      <c r="AL47" s="541"/>
      <c r="AM47" s="541"/>
      <c r="AN47" s="536"/>
      <c r="AO47" s="557"/>
    </row>
    <row r="48" spans="1:41" s="537" customFormat="1" ht="12.75" customHeight="1">
      <c r="A48" s="541"/>
      <c r="B48" s="541"/>
      <c r="C48" s="541"/>
      <c r="E48" s="541"/>
      <c r="F48" s="541"/>
      <c r="G48" s="541"/>
      <c r="H48" s="541"/>
      <c r="I48" s="541"/>
      <c r="J48" s="541"/>
      <c r="K48" s="541"/>
      <c r="L48" s="541"/>
      <c r="M48" s="541"/>
      <c r="N48" s="541"/>
      <c r="O48" s="541"/>
      <c r="P48" s="541"/>
      <c r="Q48" s="541"/>
      <c r="R48" s="541"/>
      <c r="S48" s="541"/>
      <c r="T48" s="541"/>
      <c r="U48" s="541"/>
      <c r="V48" s="541"/>
      <c r="W48" s="541"/>
      <c r="X48" s="541"/>
      <c r="Y48" s="541"/>
      <c r="Z48" s="541"/>
      <c r="AA48" s="541"/>
      <c r="AB48" s="541"/>
      <c r="AC48" s="541"/>
      <c r="AD48" s="541"/>
      <c r="AE48" s="541"/>
      <c r="AF48" s="541"/>
      <c r="AG48" s="541"/>
      <c r="AH48" s="541"/>
      <c r="AI48" s="541"/>
      <c r="AJ48" s="541"/>
      <c r="AK48" s="541"/>
      <c r="AL48" s="541"/>
      <c r="AM48" s="541"/>
      <c r="AN48" s="536"/>
      <c r="AO48" s="557"/>
    </row>
    <row r="49" spans="1:50" s="537" customFormat="1" ht="12.75" customHeight="1">
      <c r="A49" s="540"/>
      <c r="B49" s="540" t="s">
        <v>2012</v>
      </c>
      <c r="C49" s="548"/>
      <c r="D49" s="548"/>
      <c r="E49" s="558"/>
      <c r="F49" s="541"/>
      <c r="G49" s="541"/>
      <c r="H49" s="541"/>
      <c r="I49" s="541"/>
      <c r="J49" s="541"/>
      <c r="K49" s="541"/>
      <c r="L49" s="541"/>
      <c r="M49" s="541"/>
      <c r="N49" s="541"/>
      <c r="O49" s="541"/>
      <c r="P49" s="541"/>
      <c r="Q49" s="541"/>
      <c r="R49" s="541"/>
      <c r="S49" s="541"/>
      <c r="T49" s="541"/>
      <c r="U49" s="541"/>
      <c r="V49" s="541"/>
      <c r="W49" s="541"/>
      <c r="X49" s="541"/>
      <c r="Y49" s="541"/>
      <c r="Z49" s="541"/>
      <c r="AA49" s="541"/>
      <c r="AB49" s="541"/>
      <c r="AC49" s="541"/>
      <c r="AD49" s="541"/>
      <c r="AE49" s="541"/>
      <c r="AF49" s="541"/>
      <c r="AG49" s="541"/>
      <c r="AH49" s="541"/>
      <c r="AI49" s="541"/>
      <c r="AJ49" s="541"/>
      <c r="AK49" s="541"/>
      <c r="AL49" s="541"/>
      <c r="AM49" s="541"/>
      <c r="AN49" s="536"/>
      <c r="AO49" s="557"/>
    </row>
    <row r="50" spans="1:50" s="537" customFormat="1" ht="12.75" customHeight="1">
      <c r="A50" s="541"/>
      <c r="B50" s="541"/>
      <c r="C50" s="1143" t="s">
        <v>2013</v>
      </c>
      <c r="D50" s="541"/>
      <c r="E50" s="541"/>
      <c r="F50" s="541"/>
      <c r="G50" s="541"/>
      <c r="H50" s="541"/>
      <c r="I50" s="541"/>
      <c r="J50" s="541"/>
      <c r="K50" s="541"/>
      <c r="L50" s="541"/>
      <c r="M50" s="541"/>
      <c r="N50" s="541"/>
      <c r="O50" s="541"/>
      <c r="P50" s="541"/>
      <c r="Q50" s="541"/>
      <c r="R50" s="541"/>
      <c r="S50" s="541"/>
      <c r="T50" s="541"/>
      <c r="U50" s="541"/>
      <c r="V50" s="541"/>
      <c r="W50" s="541"/>
      <c r="X50" s="541"/>
      <c r="Y50" s="541"/>
      <c r="Z50" s="541"/>
      <c r="AA50" s="541"/>
      <c r="AB50" s="541"/>
      <c r="AC50" s="541"/>
      <c r="AD50" s="541"/>
      <c r="AE50" s="541"/>
      <c r="AF50" s="541"/>
      <c r="AG50" s="541"/>
      <c r="AH50" s="541"/>
      <c r="AI50" s="541"/>
      <c r="AJ50" s="541"/>
      <c r="AK50" s="541"/>
      <c r="AL50" s="541"/>
      <c r="AM50" s="541"/>
      <c r="AN50" s="536"/>
      <c r="AO50" s="557"/>
    </row>
    <row r="51" spans="1:50" s="537" customFormat="1" ht="12.75" customHeight="1">
      <c r="A51" s="548"/>
      <c r="B51" s="548"/>
      <c r="C51" s="548"/>
      <c r="D51" s="548"/>
      <c r="E51" s="559"/>
      <c r="F51" s="541"/>
      <c r="G51" s="541"/>
      <c r="H51" s="541"/>
      <c r="I51" s="541"/>
      <c r="J51" s="541"/>
      <c r="K51" s="541"/>
      <c r="L51" s="541"/>
      <c r="M51" s="541"/>
      <c r="N51" s="541"/>
      <c r="O51" s="541"/>
      <c r="P51" s="541"/>
      <c r="Q51" s="541"/>
      <c r="R51" s="541"/>
      <c r="S51" s="541"/>
      <c r="T51" s="541"/>
      <c r="U51" s="541"/>
      <c r="V51" s="541"/>
      <c r="W51" s="541"/>
      <c r="X51" s="541"/>
      <c r="Y51" s="541"/>
      <c r="Z51" s="541"/>
      <c r="AA51" s="541"/>
      <c r="AB51" s="541"/>
      <c r="AC51" s="541"/>
      <c r="AD51" s="541"/>
      <c r="AE51" s="541"/>
      <c r="AF51" s="541"/>
      <c r="AG51" s="541"/>
      <c r="AH51" s="541"/>
      <c r="AI51" s="541"/>
      <c r="AJ51" s="541"/>
      <c r="AK51" s="541"/>
      <c r="AL51" s="541"/>
      <c r="AM51" s="541"/>
      <c r="AN51" s="536"/>
      <c r="AO51" s="557"/>
    </row>
    <row r="52" spans="1:50" s="537" customFormat="1" ht="12.75" customHeight="1">
      <c r="A52" s="541"/>
      <c r="B52" s="2626" t="s">
        <v>590</v>
      </c>
      <c r="C52" s="2626"/>
      <c r="D52" s="541"/>
      <c r="E52" s="2553" t="s">
        <v>2014</v>
      </c>
      <c r="F52" s="2554"/>
      <c r="G52" s="2554"/>
      <c r="H52" s="2554"/>
      <c r="I52" s="2554"/>
      <c r="J52" s="2554"/>
      <c r="K52" s="2554"/>
      <c r="L52" s="2554"/>
      <c r="M52" s="2554"/>
      <c r="N52" s="2554"/>
      <c r="O52" s="2554"/>
      <c r="P52" s="2554"/>
      <c r="Q52" s="2554"/>
      <c r="R52" s="2554"/>
      <c r="S52" s="2554"/>
      <c r="T52" s="2554"/>
      <c r="U52" s="2554"/>
      <c r="V52" s="2554"/>
      <c r="W52" s="2554"/>
      <c r="X52" s="2554"/>
      <c r="Y52" s="2554"/>
      <c r="Z52" s="2554"/>
      <c r="AA52" s="2554"/>
      <c r="AB52" s="2554"/>
      <c r="AC52" s="2554"/>
      <c r="AD52" s="2554"/>
      <c r="AE52" s="2554"/>
      <c r="AF52" s="2554"/>
      <c r="AG52" s="2554"/>
      <c r="AH52" s="2554"/>
      <c r="AI52" s="2554"/>
      <c r="AJ52" s="2555"/>
      <c r="AK52" s="541"/>
      <c r="AL52" s="541"/>
      <c r="AM52" s="541"/>
      <c r="AN52" s="536"/>
      <c r="AO52" s="560"/>
    </row>
    <row r="53" spans="1:50" s="537" customFormat="1" ht="12.75" customHeight="1">
      <c r="A53" s="541"/>
      <c r="D53" s="548"/>
      <c r="E53" s="2556"/>
      <c r="F53" s="2557"/>
      <c r="G53" s="2557"/>
      <c r="H53" s="2557"/>
      <c r="I53" s="2557"/>
      <c r="J53" s="2557"/>
      <c r="K53" s="2557"/>
      <c r="L53" s="2557"/>
      <c r="M53" s="2557"/>
      <c r="N53" s="2557"/>
      <c r="O53" s="2557"/>
      <c r="P53" s="2557"/>
      <c r="Q53" s="2557"/>
      <c r="R53" s="2557"/>
      <c r="S53" s="2557"/>
      <c r="T53" s="2557"/>
      <c r="U53" s="2557"/>
      <c r="V53" s="2557"/>
      <c r="W53" s="2557"/>
      <c r="X53" s="2557"/>
      <c r="Y53" s="2557"/>
      <c r="Z53" s="2557"/>
      <c r="AA53" s="2557"/>
      <c r="AB53" s="2557"/>
      <c r="AC53" s="2557"/>
      <c r="AD53" s="2557"/>
      <c r="AE53" s="2557"/>
      <c r="AF53" s="2557"/>
      <c r="AG53" s="2557"/>
      <c r="AH53" s="2557"/>
      <c r="AI53" s="2557"/>
      <c r="AJ53" s="2558"/>
      <c r="AK53" s="541"/>
      <c r="AL53" s="541"/>
      <c r="AM53" s="541"/>
      <c r="AN53" s="536"/>
      <c r="AO53" s="560"/>
    </row>
    <row r="54" spans="1:50" s="537" customFormat="1" ht="12.75" customHeight="1">
      <c r="A54" s="541"/>
      <c r="D54" s="541"/>
      <c r="E54" s="2578"/>
      <c r="F54" s="2579"/>
      <c r="G54" s="2579"/>
      <c r="H54" s="2579"/>
      <c r="I54" s="2579"/>
      <c r="J54" s="2579"/>
      <c r="K54" s="2579"/>
      <c r="L54" s="2579"/>
      <c r="M54" s="2579"/>
      <c r="N54" s="2579"/>
      <c r="O54" s="2579"/>
      <c r="P54" s="2579"/>
      <c r="Q54" s="2579"/>
      <c r="R54" s="2579"/>
      <c r="S54" s="2579"/>
      <c r="T54" s="2579"/>
      <c r="U54" s="2579"/>
      <c r="V54" s="2579"/>
      <c r="W54" s="2579"/>
      <c r="X54" s="2579"/>
      <c r="Y54" s="2579"/>
      <c r="Z54" s="2579"/>
      <c r="AA54" s="2579"/>
      <c r="AB54" s="2579"/>
      <c r="AC54" s="2579"/>
      <c r="AD54" s="2579"/>
      <c r="AE54" s="2579"/>
      <c r="AF54" s="2579"/>
      <c r="AG54" s="2579"/>
      <c r="AH54" s="2579"/>
      <c r="AI54" s="2579"/>
      <c r="AJ54" s="2580"/>
      <c r="AK54" s="541"/>
      <c r="AL54" s="541"/>
      <c r="AM54" s="541"/>
      <c r="AN54" s="536"/>
    </row>
    <row r="55" spans="1:50" s="537" customFormat="1" ht="12.75" customHeight="1">
      <c r="A55" s="541"/>
      <c r="B55" s="541"/>
      <c r="C55" s="541"/>
      <c r="D55" s="548"/>
      <c r="E55" s="559"/>
      <c r="F55" s="557"/>
      <c r="G55" s="557"/>
      <c r="H55" s="541"/>
      <c r="I55" s="541"/>
      <c r="J55" s="541"/>
      <c r="K55" s="541"/>
      <c r="L55" s="541"/>
      <c r="M55" s="541"/>
      <c r="N55" s="541"/>
      <c r="O55" s="541"/>
      <c r="P55" s="541"/>
      <c r="Q55" s="541"/>
      <c r="R55" s="541"/>
      <c r="S55" s="541"/>
      <c r="T55" s="541"/>
      <c r="U55" s="541"/>
      <c r="V55" s="541"/>
      <c r="W55" s="541"/>
      <c r="X55" s="541"/>
      <c r="Y55" s="541"/>
      <c r="Z55" s="541"/>
      <c r="AA55" s="541"/>
      <c r="AB55" s="541"/>
      <c r="AC55" s="541"/>
      <c r="AD55" s="541"/>
      <c r="AE55" s="541"/>
      <c r="AF55" s="541"/>
      <c r="AG55" s="541"/>
      <c r="AH55" s="541"/>
      <c r="AI55" s="541"/>
      <c r="AJ55" s="541"/>
      <c r="AK55" s="541"/>
      <c r="AL55" s="541"/>
      <c r="AM55" s="541"/>
      <c r="AN55" s="536"/>
    </row>
    <row r="56" spans="1:50" s="537" customFormat="1" ht="12.75" customHeight="1">
      <c r="A56" s="541"/>
      <c r="B56" s="2626" t="s">
        <v>590</v>
      </c>
      <c r="C56" s="2626"/>
      <c r="D56" s="541"/>
      <c r="E56" s="2652" t="s">
        <v>2015</v>
      </c>
      <c r="F56" s="2653"/>
      <c r="G56" s="2653"/>
      <c r="H56" s="2653"/>
      <c r="I56" s="2653"/>
      <c r="J56" s="2653"/>
      <c r="K56" s="2653"/>
      <c r="L56" s="2653"/>
      <c r="M56" s="2653"/>
      <c r="N56" s="2653"/>
      <c r="O56" s="2653"/>
      <c r="P56" s="2653"/>
      <c r="Q56" s="2653"/>
      <c r="R56" s="2653"/>
      <c r="S56" s="2653"/>
      <c r="T56" s="2653"/>
      <c r="U56" s="2653"/>
      <c r="V56" s="2653"/>
      <c r="W56" s="2653"/>
      <c r="X56" s="2653"/>
      <c r="Y56" s="2653"/>
      <c r="Z56" s="2653"/>
      <c r="AA56" s="2653"/>
      <c r="AB56" s="2653"/>
      <c r="AC56" s="2653"/>
      <c r="AD56" s="2653"/>
      <c r="AE56" s="2653"/>
      <c r="AF56" s="2653"/>
      <c r="AG56" s="2653"/>
      <c r="AH56" s="2653"/>
      <c r="AI56" s="2653"/>
      <c r="AJ56" s="2654"/>
      <c r="AK56" s="541"/>
      <c r="AL56" s="541"/>
      <c r="AM56" s="541"/>
      <c r="AN56" s="536"/>
    </row>
    <row r="57" spans="1:50" s="537" customFormat="1" ht="12.75" customHeight="1">
      <c r="A57" s="541"/>
      <c r="B57" s="541"/>
      <c r="C57" s="541"/>
      <c r="D57" s="548"/>
      <c r="E57" s="561"/>
      <c r="F57" s="557"/>
      <c r="G57" s="557"/>
      <c r="H57" s="541"/>
      <c r="I57" s="541"/>
      <c r="J57" s="541"/>
      <c r="K57" s="541"/>
      <c r="L57" s="541"/>
      <c r="M57" s="541"/>
      <c r="N57" s="541"/>
      <c r="O57" s="541"/>
      <c r="P57" s="541"/>
      <c r="Q57" s="541"/>
      <c r="R57" s="541"/>
      <c r="S57" s="541"/>
      <c r="T57" s="541"/>
      <c r="U57" s="541"/>
      <c r="V57" s="541"/>
      <c r="W57" s="541"/>
      <c r="X57" s="541"/>
      <c r="Y57" s="541"/>
      <c r="Z57" s="541"/>
      <c r="AA57" s="541"/>
      <c r="AB57" s="541"/>
      <c r="AC57" s="541"/>
      <c r="AD57" s="541"/>
      <c r="AE57" s="541"/>
      <c r="AF57" s="541"/>
      <c r="AG57" s="541"/>
      <c r="AH57" s="541"/>
      <c r="AI57" s="541"/>
      <c r="AJ57" s="541"/>
      <c r="AK57" s="541"/>
      <c r="AL57" s="541"/>
      <c r="AM57" s="541"/>
      <c r="AN57" s="536"/>
    </row>
    <row r="58" spans="1:50" s="537" customFormat="1" ht="12.75" customHeight="1">
      <c r="A58" s="541"/>
      <c r="B58" s="2626" t="s">
        <v>590</v>
      </c>
      <c r="C58" s="2626"/>
      <c r="D58" s="541"/>
      <c r="E58" s="2553" t="s">
        <v>2016</v>
      </c>
      <c r="F58" s="2554"/>
      <c r="G58" s="2554"/>
      <c r="H58" s="2554"/>
      <c r="I58" s="2554"/>
      <c r="J58" s="2554"/>
      <c r="K58" s="2554"/>
      <c r="L58" s="2554"/>
      <c r="M58" s="2554"/>
      <c r="N58" s="2554"/>
      <c r="O58" s="2554"/>
      <c r="P58" s="2554"/>
      <c r="Q58" s="2554"/>
      <c r="R58" s="2554"/>
      <c r="S58" s="2554"/>
      <c r="T58" s="2554"/>
      <c r="U58" s="2554"/>
      <c r="V58" s="2554"/>
      <c r="W58" s="2554"/>
      <c r="X58" s="2554"/>
      <c r="Y58" s="2554"/>
      <c r="Z58" s="2554"/>
      <c r="AA58" s="2554"/>
      <c r="AB58" s="2554"/>
      <c r="AC58" s="2554"/>
      <c r="AD58" s="2554"/>
      <c r="AE58" s="2554"/>
      <c r="AF58" s="2554"/>
      <c r="AG58" s="2554"/>
      <c r="AH58" s="2554"/>
      <c r="AI58" s="2554"/>
      <c r="AJ58" s="2555"/>
      <c r="AK58" s="541"/>
      <c r="AL58" s="541"/>
      <c r="AM58" s="541"/>
      <c r="AN58" s="536"/>
    </row>
    <row r="59" spans="1:50" s="537" customFormat="1" ht="12.75" customHeight="1">
      <c r="A59" s="541"/>
      <c r="B59" s="548"/>
      <c r="C59" s="548"/>
      <c r="D59" s="548"/>
      <c r="E59" s="2578"/>
      <c r="F59" s="2579"/>
      <c r="G59" s="2579"/>
      <c r="H59" s="2579"/>
      <c r="I59" s="2579"/>
      <c r="J59" s="2579"/>
      <c r="K59" s="2579"/>
      <c r="L59" s="2579"/>
      <c r="M59" s="2579"/>
      <c r="N59" s="2579"/>
      <c r="O59" s="2579"/>
      <c r="P59" s="2579"/>
      <c r="Q59" s="2579"/>
      <c r="R59" s="2579"/>
      <c r="S59" s="2579"/>
      <c r="T59" s="2579"/>
      <c r="U59" s="2579"/>
      <c r="V59" s="2579"/>
      <c r="W59" s="2579"/>
      <c r="X59" s="2579"/>
      <c r="Y59" s="2579"/>
      <c r="Z59" s="2579"/>
      <c r="AA59" s="2579"/>
      <c r="AB59" s="2579"/>
      <c r="AC59" s="2579"/>
      <c r="AD59" s="2579"/>
      <c r="AE59" s="2579"/>
      <c r="AF59" s="2579"/>
      <c r="AG59" s="2579"/>
      <c r="AH59" s="2579"/>
      <c r="AI59" s="2579"/>
      <c r="AJ59" s="2580"/>
      <c r="AK59" s="541"/>
      <c r="AL59" s="541"/>
      <c r="AM59" s="541"/>
      <c r="AN59" s="536"/>
      <c r="AX59" s="540"/>
    </row>
    <row r="60" spans="1:50" s="537" customFormat="1" ht="12.75" customHeight="1">
      <c r="A60" s="541"/>
      <c r="B60" s="548"/>
      <c r="C60" s="548"/>
      <c r="D60" s="548"/>
      <c r="E60" s="561"/>
      <c r="F60" s="541"/>
      <c r="G60" s="541"/>
      <c r="H60" s="541"/>
      <c r="I60" s="541"/>
      <c r="J60" s="541"/>
      <c r="K60" s="541"/>
      <c r="L60" s="541"/>
      <c r="M60" s="541"/>
      <c r="N60" s="541"/>
      <c r="O60" s="541"/>
      <c r="P60" s="541"/>
      <c r="Q60" s="541"/>
      <c r="R60" s="541"/>
      <c r="S60" s="541"/>
      <c r="T60" s="541"/>
      <c r="U60" s="541"/>
      <c r="V60" s="541"/>
      <c r="W60" s="541"/>
      <c r="X60" s="541"/>
      <c r="Y60" s="541"/>
      <c r="Z60" s="541"/>
      <c r="AA60" s="541"/>
      <c r="AB60" s="541"/>
      <c r="AC60" s="541"/>
      <c r="AD60" s="541"/>
      <c r="AE60" s="541"/>
      <c r="AF60" s="541"/>
      <c r="AG60" s="541"/>
      <c r="AH60" s="541"/>
      <c r="AI60" s="541"/>
      <c r="AJ60" s="541"/>
      <c r="AK60" s="541"/>
      <c r="AL60" s="541"/>
      <c r="AM60" s="541"/>
      <c r="AN60" s="536"/>
      <c r="AX60" s="540"/>
    </row>
    <row r="61" spans="1:50" s="537" customFormat="1" ht="12.75" customHeight="1">
      <c r="A61" s="541"/>
      <c r="B61" s="541"/>
      <c r="C61" s="541"/>
      <c r="D61" s="541"/>
      <c r="E61" s="541"/>
      <c r="F61" s="541"/>
      <c r="G61" s="541"/>
      <c r="H61" s="541"/>
      <c r="I61" s="541"/>
      <c r="J61" s="541"/>
      <c r="K61" s="541"/>
      <c r="L61" s="541"/>
      <c r="M61" s="541"/>
      <c r="N61" s="541"/>
      <c r="O61" s="541"/>
      <c r="P61" s="541"/>
      <c r="Q61" s="541"/>
      <c r="R61" s="541"/>
      <c r="S61" s="541"/>
      <c r="T61" s="541"/>
      <c r="U61" s="541"/>
      <c r="V61" s="541"/>
      <c r="W61" s="541"/>
      <c r="X61" s="541"/>
      <c r="Y61" s="541"/>
      <c r="Z61" s="541"/>
      <c r="AA61" s="541"/>
      <c r="AB61" s="541"/>
      <c r="AC61" s="541"/>
      <c r="AD61" s="541"/>
      <c r="AE61" s="541"/>
      <c r="AF61" s="541"/>
      <c r="AG61" s="541"/>
      <c r="AH61" s="541"/>
      <c r="AI61" s="541"/>
      <c r="AJ61" s="541"/>
      <c r="AK61" s="541"/>
      <c r="AL61" s="541"/>
      <c r="AM61" s="541"/>
      <c r="AN61" s="536"/>
    </row>
    <row r="62" spans="1:50" s="537" customFormat="1" ht="12.75" customHeight="1">
      <c r="A62" s="562"/>
      <c r="B62" s="563"/>
      <c r="C62" s="563"/>
      <c r="D62" s="563"/>
      <c r="E62" s="563"/>
      <c r="F62" s="563"/>
      <c r="G62" s="564"/>
      <c r="H62" s="565"/>
      <c r="I62" s="565"/>
      <c r="J62" s="565"/>
      <c r="K62" s="565"/>
      <c r="L62" s="565"/>
      <c r="M62" s="565"/>
      <c r="N62" s="565"/>
      <c r="O62" s="565"/>
      <c r="P62" s="565"/>
      <c r="Q62" s="565"/>
      <c r="R62" s="565"/>
      <c r="S62" s="565"/>
      <c r="T62" s="565"/>
      <c r="U62" s="565"/>
      <c r="V62" s="565"/>
      <c r="W62" s="565"/>
      <c r="X62" s="565"/>
      <c r="Y62" s="565"/>
      <c r="Z62" s="565"/>
      <c r="AA62" s="565"/>
      <c r="AB62" s="565"/>
      <c r="AC62" s="565"/>
      <c r="AD62" s="565"/>
      <c r="AE62" s="565"/>
      <c r="AF62" s="565"/>
      <c r="AG62" s="565"/>
      <c r="AH62" s="565"/>
      <c r="AI62" s="566"/>
      <c r="AJ62" s="566" t="s">
        <v>1310</v>
      </c>
      <c r="AK62" s="2599">
        <f>AO39</f>
        <v>14</v>
      </c>
      <c r="AL62" s="2600"/>
      <c r="AM62" s="2601"/>
      <c r="AN62" s="536"/>
    </row>
    <row r="63" spans="1:50" s="537" customFormat="1" ht="12.75" customHeight="1" thickBot="1">
      <c r="A63" s="567"/>
      <c r="B63" s="568"/>
      <c r="C63" s="569"/>
      <c r="D63" s="569"/>
      <c r="E63" s="569"/>
      <c r="F63" s="569"/>
      <c r="G63" s="569"/>
      <c r="H63" s="569"/>
      <c r="I63" s="569"/>
      <c r="J63" s="569"/>
      <c r="K63" s="569"/>
      <c r="L63" s="569"/>
      <c r="M63" s="569"/>
      <c r="N63" s="569"/>
      <c r="O63" s="569"/>
      <c r="P63" s="569"/>
      <c r="Q63" s="569"/>
      <c r="R63" s="569"/>
      <c r="S63" s="569"/>
      <c r="T63" s="569"/>
      <c r="U63" s="569"/>
      <c r="V63" s="569"/>
      <c r="W63" s="569"/>
      <c r="X63" s="569"/>
      <c r="Y63" s="569"/>
      <c r="Z63" s="569"/>
      <c r="AA63" s="569"/>
      <c r="AB63" s="569"/>
      <c r="AC63" s="569"/>
      <c r="AD63" s="569"/>
      <c r="AE63" s="569"/>
      <c r="AF63" s="569"/>
      <c r="AG63" s="569"/>
      <c r="AH63" s="569"/>
      <c r="AI63" s="569"/>
      <c r="AJ63" s="569"/>
      <c r="AK63" s="569"/>
      <c r="AL63" s="569"/>
      <c r="AM63" s="570"/>
      <c r="AN63" s="536"/>
    </row>
    <row r="64" spans="1:50" s="537" customFormat="1" ht="12.75" customHeight="1" thickTop="1">
      <c r="A64" s="571"/>
      <c r="B64" s="572"/>
      <c r="C64" s="573"/>
      <c r="D64" s="573"/>
      <c r="E64" s="573"/>
      <c r="F64" s="573"/>
      <c r="G64" s="573"/>
      <c r="H64" s="573"/>
      <c r="I64" s="574"/>
      <c r="J64" s="574"/>
      <c r="K64" s="574"/>
      <c r="L64" s="574"/>
      <c r="M64" s="574"/>
      <c r="N64" s="574"/>
      <c r="O64" s="574"/>
      <c r="P64" s="574"/>
      <c r="Q64" s="574"/>
      <c r="R64" s="571"/>
      <c r="S64" s="540"/>
      <c r="T64" s="540"/>
      <c r="U64" s="540"/>
      <c r="V64" s="540"/>
      <c r="W64" s="540"/>
      <c r="X64" s="540"/>
      <c r="Y64" s="540"/>
      <c r="Z64" s="540"/>
      <c r="AA64" s="540"/>
      <c r="AB64" s="540"/>
      <c r="AC64" s="540"/>
      <c r="AD64" s="540"/>
      <c r="AE64" s="540"/>
      <c r="AF64" s="571"/>
      <c r="AG64" s="540"/>
      <c r="AH64" s="540"/>
      <c r="AI64" s="540"/>
      <c r="AJ64" s="540"/>
      <c r="AK64" s="551"/>
      <c r="AL64" s="551"/>
      <c r="AM64" s="551"/>
      <c r="AN64" s="536"/>
    </row>
    <row r="65" spans="1:42" s="537" customFormat="1" ht="12.75" customHeight="1">
      <c r="A65" s="539" t="s">
        <v>1311</v>
      </c>
      <c r="B65" s="540" t="s">
        <v>1312</v>
      </c>
      <c r="C65" s="540"/>
      <c r="D65" s="540"/>
      <c r="E65" s="540"/>
      <c r="F65" s="540"/>
      <c r="G65" s="540"/>
      <c r="H65" s="540"/>
      <c r="I65" s="540"/>
      <c r="J65" s="540"/>
      <c r="K65" s="540"/>
      <c r="L65" s="540"/>
      <c r="M65" s="540"/>
      <c r="N65" s="540"/>
      <c r="O65" s="540"/>
      <c r="P65" s="540"/>
      <c r="Q65" s="540"/>
      <c r="R65" s="540"/>
      <c r="S65" s="540"/>
      <c r="T65" s="540"/>
      <c r="U65" s="540"/>
      <c r="V65" s="540"/>
      <c r="W65" s="540"/>
      <c r="X65" s="540"/>
      <c r="Y65" s="540"/>
      <c r="Z65" s="540"/>
      <c r="AA65" s="540"/>
      <c r="AB65" s="540"/>
      <c r="AC65" s="540"/>
      <c r="AD65" s="540"/>
      <c r="AE65" s="2473" t="s">
        <v>1313</v>
      </c>
      <c r="AF65" s="2473"/>
      <c r="AG65" s="2473"/>
      <c r="AH65" s="2473"/>
      <c r="AI65" s="2473"/>
      <c r="AJ65" s="2473"/>
      <c r="AK65" s="2473"/>
      <c r="AL65" s="541"/>
      <c r="AM65" s="541"/>
      <c r="AN65" s="536"/>
    </row>
    <row r="66" spans="1:42" s="537" customFormat="1" ht="12.75" customHeight="1">
      <c r="A66" s="539"/>
      <c r="B66" s="540" t="s">
        <v>1727</v>
      </c>
      <c r="C66" s="540"/>
      <c r="D66" s="540"/>
      <c r="E66" s="540"/>
      <c r="F66" s="540"/>
      <c r="G66" s="540"/>
      <c r="H66" s="540"/>
      <c r="I66" s="540"/>
      <c r="J66" s="540"/>
      <c r="K66" s="540"/>
      <c r="L66" s="540"/>
      <c r="M66" s="540"/>
      <c r="N66" s="540"/>
      <c r="O66" s="540"/>
      <c r="P66" s="540"/>
      <c r="Q66" s="540"/>
      <c r="R66" s="540"/>
      <c r="S66" s="540"/>
      <c r="T66" s="540"/>
      <c r="U66" s="540"/>
      <c r="V66" s="540"/>
      <c r="W66" s="540"/>
      <c r="X66" s="540"/>
      <c r="Y66" s="540"/>
      <c r="Z66" s="540"/>
      <c r="AA66" s="540"/>
      <c r="AB66" s="540"/>
      <c r="AC66" s="540"/>
      <c r="AD66" s="540"/>
      <c r="AE66" s="544"/>
      <c r="AF66" s="544"/>
      <c r="AG66" s="544"/>
      <c r="AH66" s="544"/>
      <c r="AI66" s="544"/>
      <c r="AJ66" s="544"/>
      <c r="AK66" s="544"/>
      <c r="AL66" s="541"/>
      <c r="AM66" s="541"/>
      <c r="AN66" s="536"/>
    </row>
    <row r="67" spans="1:42" s="537" customFormat="1" ht="12.75" customHeight="1">
      <c r="A67" s="539"/>
      <c r="B67" s="540"/>
      <c r="C67" s="540"/>
      <c r="D67" s="540"/>
      <c r="E67" s="540"/>
      <c r="F67" s="540"/>
      <c r="G67" s="540"/>
      <c r="H67" s="540"/>
      <c r="I67" s="540"/>
      <c r="J67" s="540"/>
      <c r="K67" s="540"/>
      <c r="L67" s="540"/>
      <c r="M67" s="540"/>
      <c r="N67" s="540"/>
      <c r="O67" s="540"/>
      <c r="P67" s="540"/>
      <c r="Q67" s="540"/>
      <c r="R67" s="540"/>
      <c r="S67" s="540"/>
      <c r="T67" s="540"/>
      <c r="U67" s="540"/>
      <c r="V67" s="540"/>
      <c r="W67" s="540"/>
      <c r="X67" s="540"/>
      <c r="Y67" s="540"/>
      <c r="Z67" s="540"/>
      <c r="AA67" s="540"/>
      <c r="AB67" s="540"/>
      <c r="AC67" s="540"/>
      <c r="AD67" s="540"/>
      <c r="AE67" s="544"/>
      <c r="AF67" s="544"/>
      <c r="AG67" s="544"/>
      <c r="AH67" s="544"/>
      <c r="AI67" s="544"/>
      <c r="AJ67" s="544"/>
      <c r="AK67" s="544"/>
      <c r="AL67" s="541"/>
      <c r="AM67" s="541"/>
      <c r="AN67" s="536"/>
    </row>
    <row r="68" spans="1:42" s="537" customFormat="1" ht="12.75" customHeight="1">
      <c r="A68" s="539"/>
      <c r="B68" s="2626" t="s">
        <v>590</v>
      </c>
      <c r="C68" s="2626"/>
      <c r="D68" s="548" t="s">
        <v>1314</v>
      </c>
      <c r="E68" s="2618" t="s">
        <v>2017</v>
      </c>
      <c r="F68" s="2619"/>
      <c r="G68" s="2619"/>
      <c r="H68" s="2619"/>
      <c r="I68" s="2619"/>
      <c r="J68" s="2619"/>
      <c r="K68" s="2619"/>
      <c r="L68" s="2619"/>
      <c r="M68" s="2619"/>
      <c r="N68" s="2619"/>
      <c r="O68" s="2619"/>
      <c r="P68" s="2619"/>
      <c r="Q68" s="2619"/>
      <c r="R68" s="2619"/>
      <c r="S68" s="2619"/>
      <c r="T68" s="2619"/>
      <c r="U68" s="2619"/>
      <c r="V68" s="2619"/>
      <c r="W68" s="2619"/>
      <c r="X68" s="2619"/>
      <c r="Y68" s="2619"/>
      <c r="Z68" s="2619"/>
      <c r="AA68" s="2619"/>
      <c r="AB68" s="2619"/>
      <c r="AC68" s="2619"/>
      <c r="AD68" s="2619"/>
      <c r="AE68" s="2619"/>
      <c r="AF68" s="2619"/>
      <c r="AG68" s="2619"/>
      <c r="AH68" s="2619"/>
      <c r="AI68" s="2619"/>
      <c r="AJ68" s="2620"/>
      <c r="AK68" s="544"/>
      <c r="AL68" s="541"/>
      <c r="AM68" s="541"/>
      <c r="AN68" s="536"/>
      <c r="AO68" s="551">
        <f>IF($B68="yes",10,0)</f>
        <v>0</v>
      </c>
    </row>
    <row r="69" spans="1:42" s="537" customFormat="1" ht="12.75" customHeight="1">
      <c r="A69" s="539"/>
      <c r="B69" s="541"/>
      <c r="C69" s="541"/>
      <c r="D69" s="552"/>
      <c r="E69" s="2621"/>
      <c r="F69" s="2622"/>
      <c r="G69" s="2622"/>
      <c r="H69" s="2622"/>
      <c r="I69" s="2622"/>
      <c r="J69" s="2622"/>
      <c r="K69" s="2622"/>
      <c r="L69" s="2622"/>
      <c r="M69" s="2622"/>
      <c r="N69" s="2622"/>
      <c r="O69" s="2622"/>
      <c r="P69" s="2622"/>
      <c r="Q69" s="2622"/>
      <c r="R69" s="2622"/>
      <c r="S69" s="2622"/>
      <c r="T69" s="2622"/>
      <c r="U69" s="2622"/>
      <c r="V69" s="2622"/>
      <c r="W69" s="2622"/>
      <c r="X69" s="2622"/>
      <c r="Y69" s="2622"/>
      <c r="Z69" s="2622"/>
      <c r="AA69" s="2622"/>
      <c r="AB69" s="2622"/>
      <c r="AC69" s="2622"/>
      <c r="AD69" s="2622"/>
      <c r="AE69" s="2622"/>
      <c r="AF69" s="2622"/>
      <c r="AG69" s="2622"/>
      <c r="AH69" s="2622"/>
      <c r="AI69" s="2622"/>
      <c r="AJ69" s="2623"/>
      <c r="AK69" s="544"/>
      <c r="AL69" s="541"/>
      <c r="AM69" s="541"/>
      <c r="AN69" s="536"/>
      <c r="AO69" s="551">
        <f>IF($B74="yes",10,0)</f>
        <v>0</v>
      </c>
    </row>
    <row r="70" spans="1:42" s="537" customFormat="1" ht="12.75" customHeight="1">
      <c r="A70" s="539"/>
      <c r="B70" s="541"/>
      <c r="C70" s="541"/>
      <c r="D70" s="552"/>
      <c r="E70" s="2621"/>
      <c r="F70" s="2622"/>
      <c r="G70" s="2622"/>
      <c r="H70" s="2622"/>
      <c r="I70" s="2622"/>
      <c r="J70" s="2622"/>
      <c r="K70" s="2622"/>
      <c r="L70" s="2622"/>
      <c r="M70" s="2622"/>
      <c r="N70" s="2622"/>
      <c r="O70" s="2622"/>
      <c r="P70" s="2622"/>
      <c r="Q70" s="2622"/>
      <c r="R70" s="2622"/>
      <c r="S70" s="2622"/>
      <c r="T70" s="2622"/>
      <c r="U70" s="2622"/>
      <c r="V70" s="2622"/>
      <c r="W70" s="2622"/>
      <c r="X70" s="2622"/>
      <c r="Y70" s="2622"/>
      <c r="Z70" s="2622"/>
      <c r="AA70" s="2622"/>
      <c r="AB70" s="2622"/>
      <c r="AC70" s="2622"/>
      <c r="AD70" s="2622"/>
      <c r="AE70" s="2622"/>
      <c r="AF70" s="2622"/>
      <c r="AG70" s="2622"/>
      <c r="AH70" s="2622"/>
      <c r="AI70" s="2622"/>
      <c r="AJ70" s="2623"/>
      <c r="AK70" s="544"/>
      <c r="AL70" s="541"/>
      <c r="AM70" s="541"/>
      <c r="AN70" s="536"/>
      <c r="AO70" s="551">
        <f>IF($B81="yes",10,0)</f>
        <v>0</v>
      </c>
    </row>
    <row r="71" spans="1:42" s="537" customFormat="1" ht="12.75" customHeight="1">
      <c r="A71" s="539"/>
      <c r="B71" s="541"/>
      <c r="C71" s="541"/>
      <c r="D71" s="552"/>
      <c r="E71" s="2621"/>
      <c r="F71" s="2622"/>
      <c r="G71" s="2622"/>
      <c r="H71" s="2622"/>
      <c r="I71" s="2622"/>
      <c r="J71" s="2622"/>
      <c r="K71" s="2622"/>
      <c r="L71" s="2622"/>
      <c r="M71" s="2622"/>
      <c r="N71" s="2622"/>
      <c r="O71" s="2622"/>
      <c r="P71" s="2622"/>
      <c r="Q71" s="2622"/>
      <c r="R71" s="2622"/>
      <c r="S71" s="2622"/>
      <c r="T71" s="2622"/>
      <c r="U71" s="2622"/>
      <c r="V71" s="2622"/>
      <c r="W71" s="2622"/>
      <c r="X71" s="2622"/>
      <c r="Y71" s="2622"/>
      <c r="Z71" s="2622"/>
      <c r="AA71" s="2622"/>
      <c r="AB71" s="2622"/>
      <c r="AC71" s="2622"/>
      <c r="AD71" s="2622"/>
      <c r="AE71" s="2622"/>
      <c r="AF71" s="2622"/>
      <c r="AG71" s="2622"/>
      <c r="AH71" s="2622"/>
      <c r="AI71" s="2622"/>
      <c r="AJ71" s="2623"/>
      <c r="AK71" s="544"/>
      <c r="AL71" s="541"/>
      <c r="AM71" s="541"/>
      <c r="AN71" s="536"/>
      <c r="AO71" s="537">
        <f>IF(SUM(AO68:AO70)&gt;10,10,(SUM(AO68:AO70)))</f>
        <v>0</v>
      </c>
      <c r="AP71" s="575" t="s">
        <v>1315</v>
      </c>
    </row>
    <row r="72" spans="1:42" s="537" customFormat="1" ht="12.75" customHeight="1">
      <c r="A72" s="539"/>
      <c r="B72" s="541"/>
      <c r="C72" s="541"/>
      <c r="D72" s="552"/>
      <c r="E72" s="2648"/>
      <c r="F72" s="2649"/>
      <c r="G72" s="2649"/>
      <c r="H72" s="2649"/>
      <c r="I72" s="2649"/>
      <c r="J72" s="2649"/>
      <c r="K72" s="2649"/>
      <c r="L72" s="2649"/>
      <c r="M72" s="2649"/>
      <c r="N72" s="2649"/>
      <c r="O72" s="2649"/>
      <c r="P72" s="2649"/>
      <c r="Q72" s="2649"/>
      <c r="R72" s="2649"/>
      <c r="S72" s="2649"/>
      <c r="T72" s="2649"/>
      <c r="U72" s="2649"/>
      <c r="V72" s="2649"/>
      <c r="W72" s="2649"/>
      <c r="X72" s="2649"/>
      <c r="Y72" s="2649"/>
      <c r="Z72" s="2649"/>
      <c r="AA72" s="2649"/>
      <c r="AB72" s="2649"/>
      <c r="AC72" s="2649"/>
      <c r="AD72" s="2649"/>
      <c r="AE72" s="2649"/>
      <c r="AF72" s="2649"/>
      <c r="AG72" s="2649"/>
      <c r="AH72" s="2649"/>
      <c r="AI72" s="2649"/>
      <c r="AJ72" s="2650"/>
      <c r="AK72" s="544"/>
      <c r="AL72" s="541"/>
      <c r="AM72" s="541"/>
      <c r="AN72" s="536"/>
    </row>
    <row r="73" spans="1:42" s="537" customFormat="1" ht="12.75" customHeight="1">
      <c r="A73" s="539"/>
      <c r="B73" s="541"/>
      <c r="C73" s="541"/>
      <c r="E73" s="541"/>
      <c r="F73" s="541"/>
      <c r="G73" s="541"/>
      <c r="H73" s="541"/>
      <c r="I73" s="541"/>
      <c r="J73" s="541"/>
      <c r="K73" s="541"/>
      <c r="L73" s="541"/>
      <c r="M73" s="541"/>
      <c r="N73" s="541"/>
      <c r="O73" s="541"/>
      <c r="P73" s="541"/>
      <c r="Q73" s="541"/>
      <c r="R73" s="541"/>
      <c r="S73" s="541"/>
      <c r="T73" s="541"/>
      <c r="U73" s="541"/>
      <c r="V73" s="541"/>
      <c r="W73" s="541"/>
      <c r="X73" s="541"/>
      <c r="Y73" s="541"/>
      <c r="Z73" s="541"/>
      <c r="AA73" s="541"/>
      <c r="AB73" s="541"/>
      <c r="AC73" s="541"/>
      <c r="AD73" s="541"/>
      <c r="AE73" s="541"/>
      <c r="AF73" s="541"/>
      <c r="AG73" s="541"/>
      <c r="AH73" s="541"/>
      <c r="AI73" s="541"/>
      <c r="AJ73" s="541"/>
      <c r="AK73" s="544"/>
      <c r="AL73" s="541"/>
      <c r="AM73" s="541"/>
      <c r="AN73" s="536"/>
    </row>
    <row r="74" spans="1:42" s="537" customFormat="1" ht="12.75" customHeight="1">
      <c r="A74" s="539"/>
      <c r="B74" s="2626" t="s">
        <v>590</v>
      </c>
      <c r="C74" s="2626"/>
      <c r="D74" s="548" t="s">
        <v>1316</v>
      </c>
      <c r="E74" s="972" t="s">
        <v>1723</v>
      </c>
      <c r="F74" s="973"/>
      <c r="G74" s="973"/>
      <c r="H74" s="973"/>
      <c r="I74" s="973"/>
      <c r="J74" s="973"/>
      <c r="K74" s="973"/>
      <c r="L74" s="973"/>
      <c r="M74" s="973"/>
      <c r="N74" s="973"/>
      <c r="O74" s="973"/>
      <c r="P74" s="973"/>
      <c r="Q74" s="973"/>
      <c r="R74" s="973"/>
      <c r="S74" s="973"/>
      <c r="T74" s="973"/>
      <c r="U74" s="973"/>
      <c r="V74" s="973"/>
      <c r="W74" s="973"/>
      <c r="X74" s="973"/>
      <c r="Y74" s="973"/>
      <c r="Z74" s="973"/>
      <c r="AA74" s="973"/>
      <c r="AB74" s="973"/>
      <c r="AC74" s="973"/>
      <c r="AD74" s="973"/>
      <c r="AE74" s="973"/>
      <c r="AF74" s="973"/>
      <c r="AG74" s="973"/>
      <c r="AH74" s="973"/>
      <c r="AI74" s="973"/>
      <c r="AJ74" s="974"/>
      <c r="AK74" s="544"/>
      <c r="AL74" s="541"/>
      <c r="AM74" s="541"/>
      <c r="AN74" s="536"/>
    </row>
    <row r="75" spans="1:42" s="537" customFormat="1" ht="12.75" customHeight="1">
      <c r="A75" s="539"/>
      <c r="B75" s="541"/>
      <c r="C75" s="541"/>
      <c r="D75" s="551"/>
      <c r="E75" s="2651" t="s">
        <v>590</v>
      </c>
      <c r="F75" s="2626"/>
      <c r="G75" s="576"/>
      <c r="H75" s="559" t="s">
        <v>1317</v>
      </c>
      <c r="I75" s="909"/>
      <c r="J75" s="576"/>
      <c r="K75" s="576"/>
      <c r="L75" s="576"/>
      <c r="M75" s="576"/>
      <c r="N75" s="576"/>
      <c r="O75" s="576"/>
      <c r="P75" s="576"/>
      <c r="Q75" s="576"/>
      <c r="R75" s="576"/>
      <c r="S75" s="576"/>
      <c r="T75" s="576"/>
      <c r="U75" s="576"/>
      <c r="V75" s="576"/>
      <c r="W75" s="576"/>
      <c r="X75" s="576"/>
      <c r="Y75" s="576"/>
      <c r="Z75" s="576"/>
      <c r="AA75" s="576"/>
      <c r="AB75" s="576"/>
      <c r="AC75" s="576"/>
      <c r="AD75" s="576"/>
      <c r="AE75" s="576"/>
      <c r="AF75" s="576"/>
      <c r="AG75" s="576"/>
      <c r="AH75" s="576"/>
      <c r="AI75" s="576"/>
      <c r="AJ75" s="975"/>
      <c r="AK75" s="544"/>
      <c r="AL75" s="541"/>
      <c r="AM75" s="541"/>
      <c r="AN75" s="536"/>
    </row>
    <row r="76" spans="1:42" s="537" customFormat="1" ht="12.75" customHeight="1">
      <c r="A76" s="539"/>
      <c r="B76" s="541"/>
      <c r="C76" s="541"/>
      <c r="D76" s="551"/>
      <c r="E76" s="2646" t="s">
        <v>590</v>
      </c>
      <c r="F76" s="2647"/>
      <c r="G76" s="576"/>
      <c r="H76" s="559" t="s">
        <v>1318</v>
      </c>
      <c r="I76" s="576"/>
      <c r="J76" s="576"/>
      <c r="K76" s="576"/>
      <c r="L76" s="576"/>
      <c r="M76" s="576"/>
      <c r="N76" s="576"/>
      <c r="O76" s="576"/>
      <c r="P76" s="576"/>
      <c r="Q76" s="576"/>
      <c r="R76" s="576"/>
      <c r="S76" s="576"/>
      <c r="T76" s="576"/>
      <c r="U76" s="576"/>
      <c r="V76" s="576"/>
      <c r="W76" s="576"/>
      <c r="X76" s="576"/>
      <c r="Y76" s="576"/>
      <c r="Z76" s="576"/>
      <c r="AA76" s="576"/>
      <c r="AB76" s="576"/>
      <c r="AC76" s="576"/>
      <c r="AD76" s="576"/>
      <c r="AE76" s="576"/>
      <c r="AF76" s="576"/>
      <c r="AG76" s="576"/>
      <c r="AH76" s="576"/>
      <c r="AI76" s="576"/>
      <c r="AJ76" s="975"/>
      <c r="AK76" s="544"/>
      <c r="AL76" s="541"/>
      <c r="AM76" s="541"/>
      <c r="AN76" s="536"/>
    </row>
    <row r="77" spans="1:42" s="537" customFormat="1" ht="12.75" customHeight="1">
      <c r="A77" s="539"/>
      <c r="B77" s="541"/>
      <c r="C77" s="541"/>
      <c r="D77" s="551"/>
      <c r="E77" s="2646" t="s">
        <v>590</v>
      </c>
      <c r="F77" s="2647"/>
      <c r="G77" s="576"/>
      <c r="H77" s="559" t="s">
        <v>1738</v>
      </c>
      <c r="I77" s="576"/>
      <c r="J77" s="576"/>
      <c r="K77" s="576"/>
      <c r="L77" s="576"/>
      <c r="M77" s="576"/>
      <c r="N77" s="576"/>
      <c r="O77" s="576"/>
      <c r="P77" s="576"/>
      <c r="Q77" s="576"/>
      <c r="R77" s="576"/>
      <c r="S77" s="576"/>
      <c r="T77" s="576"/>
      <c r="U77" s="576"/>
      <c r="V77" s="576"/>
      <c r="W77" s="576"/>
      <c r="X77" s="576"/>
      <c r="Y77" s="576"/>
      <c r="Z77" s="576"/>
      <c r="AA77" s="576"/>
      <c r="AB77" s="576"/>
      <c r="AC77" s="576"/>
      <c r="AD77" s="576"/>
      <c r="AE77" s="576"/>
      <c r="AF77" s="576"/>
      <c r="AG77" s="576"/>
      <c r="AH77" s="576"/>
      <c r="AI77" s="576"/>
      <c r="AJ77" s="975"/>
      <c r="AK77" s="544"/>
      <c r="AL77" s="541"/>
      <c r="AM77" s="541"/>
      <c r="AN77" s="536"/>
    </row>
    <row r="78" spans="1:42" s="537" customFormat="1" ht="12.75" customHeight="1">
      <c r="A78" s="539"/>
      <c r="B78" s="541"/>
      <c r="C78" s="541"/>
      <c r="D78" s="551"/>
      <c r="E78" s="657"/>
      <c r="F78" s="576"/>
      <c r="G78" s="576"/>
      <c r="H78" s="576"/>
      <c r="I78" s="576"/>
      <c r="J78" s="576"/>
      <c r="K78" s="576"/>
      <c r="L78" s="576"/>
      <c r="M78" s="576"/>
      <c r="N78" s="576"/>
      <c r="O78" s="576"/>
      <c r="P78" s="576"/>
      <c r="Q78" s="576"/>
      <c r="R78" s="576"/>
      <c r="S78" s="576"/>
      <c r="T78" s="576"/>
      <c r="U78" s="576"/>
      <c r="V78" s="576"/>
      <c r="W78" s="576"/>
      <c r="X78" s="576"/>
      <c r="Y78" s="576"/>
      <c r="Z78" s="576"/>
      <c r="AA78" s="576"/>
      <c r="AB78" s="576"/>
      <c r="AC78" s="576"/>
      <c r="AD78" s="576"/>
      <c r="AE78" s="576"/>
      <c r="AF78" s="576"/>
      <c r="AG78" s="576"/>
      <c r="AH78" s="576"/>
      <c r="AI78" s="576"/>
      <c r="AJ78" s="975"/>
      <c r="AK78" s="544"/>
      <c r="AL78" s="541"/>
      <c r="AM78" s="541"/>
      <c r="AN78" s="536"/>
    </row>
    <row r="79" spans="1:42" s="537" customFormat="1" ht="12.75" customHeight="1">
      <c r="A79" s="539"/>
      <c r="B79" s="541"/>
      <c r="C79" s="541"/>
      <c r="D79" s="551"/>
      <c r="E79" s="2651" t="s">
        <v>590</v>
      </c>
      <c r="F79" s="2626"/>
      <c r="G79" s="907"/>
      <c r="H79" s="977" t="s">
        <v>1737</v>
      </c>
      <c r="I79" s="907"/>
      <c r="J79" s="907"/>
      <c r="K79" s="907"/>
      <c r="L79" s="907"/>
      <c r="M79" s="907"/>
      <c r="N79" s="907"/>
      <c r="O79" s="907"/>
      <c r="P79" s="907"/>
      <c r="Q79" s="907"/>
      <c r="R79" s="907"/>
      <c r="S79" s="907"/>
      <c r="T79" s="907"/>
      <c r="U79" s="907"/>
      <c r="V79" s="907"/>
      <c r="W79" s="907"/>
      <c r="X79" s="907"/>
      <c r="Y79" s="907"/>
      <c r="Z79" s="907"/>
      <c r="AA79" s="907"/>
      <c r="AB79" s="907"/>
      <c r="AC79" s="907"/>
      <c r="AD79" s="907"/>
      <c r="AE79" s="907"/>
      <c r="AF79" s="907"/>
      <c r="AG79" s="907"/>
      <c r="AH79" s="907"/>
      <c r="AI79" s="907"/>
      <c r="AJ79" s="908"/>
      <c r="AK79" s="544"/>
      <c r="AL79" s="541"/>
      <c r="AM79" s="541"/>
      <c r="AN79" s="536"/>
    </row>
    <row r="80" spans="1:42" s="537" customFormat="1" ht="12.75" customHeight="1">
      <c r="A80" s="539"/>
      <c r="B80" s="541"/>
      <c r="C80" s="541"/>
      <c r="D80" s="552"/>
      <c r="E80" s="541"/>
      <c r="F80" s="541"/>
      <c r="G80" s="541"/>
      <c r="H80" s="541"/>
      <c r="I80" s="541"/>
      <c r="J80" s="541"/>
      <c r="K80" s="541"/>
      <c r="L80" s="541"/>
      <c r="M80" s="541"/>
      <c r="N80" s="541"/>
      <c r="O80" s="541"/>
      <c r="P80" s="541"/>
      <c r="Q80" s="541"/>
      <c r="R80" s="541"/>
      <c r="S80" s="541"/>
      <c r="T80" s="541"/>
      <c r="U80" s="541"/>
      <c r="V80" s="541"/>
      <c r="W80" s="541"/>
      <c r="X80" s="541"/>
      <c r="Y80" s="541"/>
      <c r="Z80" s="541"/>
      <c r="AA80" s="541"/>
      <c r="AB80" s="541"/>
      <c r="AC80" s="541"/>
      <c r="AD80" s="541"/>
      <c r="AE80" s="541"/>
      <c r="AF80" s="541"/>
      <c r="AG80" s="541"/>
      <c r="AH80" s="541"/>
      <c r="AI80" s="541"/>
      <c r="AJ80" s="541"/>
      <c r="AK80" s="544"/>
      <c r="AL80" s="541"/>
      <c r="AM80" s="541"/>
      <c r="AN80" s="536"/>
    </row>
    <row r="81" spans="1:43" s="537" customFormat="1" ht="12.75" customHeight="1">
      <c r="A81" s="539"/>
      <c r="B81" s="2626" t="s">
        <v>590</v>
      </c>
      <c r="C81" s="2626"/>
      <c r="D81" s="548" t="s">
        <v>1319</v>
      </c>
      <c r="E81" s="2553" t="s">
        <v>1739</v>
      </c>
      <c r="F81" s="2554"/>
      <c r="G81" s="2554"/>
      <c r="H81" s="2554"/>
      <c r="I81" s="2554"/>
      <c r="J81" s="2554"/>
      <c r="K81" s="2554"/>
      <c r="L81" s="2554"/>
      <c r="M81" s="2554"/>
      <c r="N81" s="2554"/>
      <c r="O81" s="2554"/>
      <c r="P81" s="2554"/>
      <c r="Q81" s="2554"/>
      <c r="R81" s="2554"/>
      <c r="S81" s="2554"/>
      <c r="T81" s="2554"/>
      <c r="U81" s="2554"/>
      <c r="V81" s="2554"/>
      <c r="W81" s="2554"/>
      <c r="X81" s="2554"/>
      <c r="Y81" s="2554"/>
      <c r="Z81" s="2554"/>
      <c r="AA81" s="2554"/>
      <c r="AB81" s="2554"/>
      <c r="AC81" s="2554"/>
      <c r="AD81" s="2554"/>
      <c r="AE81" s="2554"/>
      <c r="AF81" s="2554"/>
      <c r="AG81" s="2554"/>
      <c r="AH81" s="2554"/>
      <c r="AI81" s="2554"/>
      <c r="AJ81" s="2555"/>
      <c r="AK81" s="544"/>
      <c r="AL81" s="541"/>
      <c r="AM81" s="541"/>
      <c r="AN81" s="536"/>
    </row>
    <row r="82" spans="1:43" s="537" customFormat="1" ht="12.75" customHeight="1">
      <c r="A82" s="539"/>
      <c r="B82" s="541"/>
      <c r="C82" s="541"/>
      <c r="D82" s="551"/>
      <c r="E82" s="2578"/>
      <c r="F82" s="2579"/>
      <c r="G82" s="2579"/>
      <c r="H82" s="2579"/>
      <c r="I82" s="2579"/>
      <c r="J82" s="2579"/>
      <c r="K82" s="2579"/>
      <c r="L82" s="2579"/>
      <c r="M82" s="2579"/>
      <c r="N82" s="2579"/>
      <c r="O82" s="2579"/>
      <c r="P82" s="2579"/>
      <c r="Q82" s="2579"/>
      <c r="R82" s="2579"/>
      <c r="S82" s="2579"/>
      <c r="T82" s="2579"/>
      <c r="U82" s="2579"/>
      <c r="V82" s="2579"/>
      <c r="W82" s="2579"/>
      <c r="X82" s="2579"/>
      <c r="Y82" s="2579"/>
      <c r="Z82" s="2579"/>
      <c r="AA82" s="2579"/>
      <c r="AB82" s="2579"/>
      <c r="AC82" s="2579"/>
      <c r="AD82" s="2579"/>
      <c r="AE82" s="2579"/>
      <c r="AF82" s="2579"/>
      <c r="AG82" s="2579"/>
      <c r="AH82" s="2579"/>
      <c r="AI82" s="2579"/>
      <c r="AJ82" s="2580"/>
      <c r="AK82" s="544"/>
      <c r="AL82" s="541"/>
      <c r="AM82" s="541"/>
      <c r="AN82" s="536"/>
    </row>
    <row r="83" spans="1:43" s="537" customFormat="1" ht="12.75" customHeight="1">
      <c r="A83" s="539"/>
      <c r="B83" s="541"/>
      <c r="C83" s="541"/>
      <c r="D83" s="551"/>
      <c r="E83" s="541"/>
      <c r="F83" s="541"/>
      <c r="G83" s="541"/>
      <c r="H83" s="541"/>
      <c r="I83" s="541"/>
      <c r="J83" s="541"/>
      <c r="K83" s="541"/>
      <c r="L83" s="541"/>
      <c r="M83" s="541"/>
      <c r="N83" s="541"/>
      <c r="O83" s="541"/>
      <c r="P83" s="541"/>
      <c r="Q83" s="541"/>
      <c r="R83" s="541"/>
      <c r="S83" s="541"/>
      <c r="T83" s="541"/>
      <c r="U83" s="541"/>
      <c r="V83" s="541"/>
      <c r="W83" s="541"/>
      <c r="X83" s="541"/>
      <c r="Y83" s="541"/>
      <c r="Z83" s="541"/>
      <c r="AA83" s="541"/>
      <c r="AB83" s="541"/>
      <c r="AC83" s="541"/>
      <c r="AD83" s="541"/>
      <c r="AE83" s="541"/>
      <c r="AF83" s="541"/>
      <c r="AG83" s="541"/>
      <c r="AH83" s="541"/>
      <c r="AI83" s="541"/>
      <c r="AJ83" s="541"/>
      <c r="AK83" s="544"/>
      <c r="AL83" s="541"/>
      <c r="AM83" s="541"/>
      <c r="AN83" s="536"/>
    </row>
    <row r="84" spans="1:43" s="537" customFormat="1" ht="12.75" customHeight="1">
      <c r="A84" s="562"/>
      <c r="B84" s="563"/>
      <c r="C84" s="563"/>
      <c r="D84" s="563"/>
      <c r="E84" s="563"/>
      <c r="F84" s="563"/>
      <c r="G84" s="564"/>
      <c r="H84" s="565"/>
      <c r="I84" s="565"/>
      <c r="J84" s="565"/>
      <c r="K84" s="565"/>
      <c r="L84" s="565"/>
      <c r="M84" s="565"/>
      <c r="N84" s="565"/>
      <c r="O84" s="565"/>
      <c r="P84" s="565"/>
      <c r="Q84" s="565"/>
      <c r="R84" s="565"/>
      <c r="S84" s="565"/>
      <c r="T84" s="565"/>
      <c r="U84" s="565"/>
      <c r="V84" s="565"/>
      <c r="W84" s="565"/>
      <c r="X84" s="565"/>
      <c r="Y84" s="565"/>
      <c r="Z84" s="565"/>
      <c r="AA84" s="565"/>
      <c r="AB84" s="565"/>
      <c r="AC84" s="565"/>
      <c r="AD84" s="565"/>
      <c r="AE84" s="565"/>
      <c r="AF84" s="565"/>
      <c r="AG84" s="565"/>
      <c r="AH84" s="565"/>
      <c r="AI84" s="566"/>
      <c r="AJ84" s="566" t="s">
        <v>1320</v>
      </c>
      <c r="AK84" s="2599">
        <f>IF(AK62&gt;0,0,AO71)</f>
        <v>0</v>
      </c>
      <c r="AL84" s="2600"/>
      <c r="AM84" s="2601"/>
      <c r="AN84" s="536"/>
    </row>
    <row r="85" spans="1:43" s="537" customFormat="1" ht="12.75" customHeight="1" thickBot="1">
      <c r="A85" s="567"/>
      <c r="B85" s="568"/>
      <c r="C85" s="569"/>
      <c r="D85" s="569"/>
      <c r="E85" s="569"/>
      <c r="F85" s="569"/>
      <c r="G85" s="569"/>
      <c r="H85" s="569"/>
      <c r="I85" s="569"/>
      <c r="J85" s="569"/>
      <c r="K85" s="569"/>
      <c r="L85" s="569"/>
      <c r="M85" s="569"/>
      <c r="N85" s="569"/>
      <c r="O85" s="569"/>
      <c r="P85" s="569"/>
      <c r="Q85" s="569"/>
      <c r="R85" s="569"/>
      <c r="S85" s="569"/>
      <c r="T85" s="569"/>
      <c r="U85" s="569"/>
      <c r="V85" s="569"/>
      <c r="W85" s="569"/>
      <c r="X85" s="569"/>
      <c r="Y85" s="569"/>
      <c r="Z85" s="569"/>
      <c r="AA85" s="569"/>
      <c r="AB85" s="569"/>
      <c r="AC85" s="569"/>
      <c r="AD85" s="569"/>
      <c r="AE85" s="569"/>
      <c r="AF85" s="569"/>
      <c r="AG85" s="569"/>
      <c r="AH85" s="569"/>
      <c r="AI85" s="569"/>
      <c r="AJ85" s="569"/>
      <c r="AK85" s="569"/>
      <c r="AL85" s="569"/>
      <c r="AM85" s="570"/>
      <c r="AN85" s="536"/>
    </row>
    <row r="86" spans="1:43" s="537" customFormat="1" ht="12.75" customHeight="1" thickTop="1">
      <c r="A86" s="571"/>
      <c r="B86" s="572"/>
      <c r="C86" s="573"/>
      <c r="D86" s="573"/>
      <c r="E86" s="573"/>
      <c r="F86" s="573"/>
      <c r="G86" s="573"/>
      <c r="H86" s="573"/>
      <c r="I86" s="574"/>
      <c r="J86" s="574"/>
      <c r="K86" s="574"/>
      <c r="L86" s="574"/>
      <c r="M86" s="574"/>
      <c r="N86" s="574"/>
      <c r="O86" s="574"/>
      <c r="P86" s="574"/>
      <c r="Q86" s="574"/>
      <c r="R86" s="571"/>
      <c r="S86" s="540"/>
      <c r="T86" s="540"/>
      <c r="U86" s="540"/>
      <c r="V86" s="540"/>
      <c r="W86" s="540"/>
      <c r="X86" s="540"/>
      <c r="Y86" s="540"/>
      <c r="Z86" s="540"/>
      <c r="AA86" s="540"/>
      <c r="AB86" s="540"/>
      <c r="AC86" s="540"/>
      <c r="AD86" s="540"/>
      <c r="AE86" s="540"/>
      <c r="AF86" s="571"/>
      <c r="AG86" s="540"/>
      <c r="AH86" s="540"/>
      <c r="AI86" s="540"/>
      <c r="AJ86" s="540"/>
      <c r="AK86" s="551"/>
      <c r="AL86" s="551"/>
      <c r="AM86" s="551"/>
      <c r="AN86" s="536"/>
    </row>
    <row r="87" spans="1:43" s="537" customFormat="1" ht="12.75" customHeight="1">
      <c r="A87" s="539" t="s">
        <v>1321</v>
      </c>
      <c r="B87" s="540" t="s">
        <v>1322</v>
      </c>
      <c r="C87" s="540"/>
      <c r="D87" s="540"/>
      <c r="E87" s="540"/>
      <c r="F87" s="540"/>
      <c r="G87" s="540"/>
      <c r="H87" s="540"/>
      <c r="I87" s="540"/>
      <c r="J87" s="540"/>
      <c r="K87" s="540"/>
      <c r="L87" s="540"/>
      <c r="M87" s="540"/>
      <c r="N87" s="540"/>
      <c r="O87" s="540"/>
      <c r="P87" s="540"/>
      <c r="Q87" s="540"/>
      <c r="R87" s="540"/>
      <c r="S87" s="540"/>
      <c r="T87" s="540"/>
      <c r="U87" s="540"/>
      <c r="V87" s="540"/>
      <c r="W87" s="540"/>
      <c r="X87" s="540"/>
      <c r="Y87" s="540"/>
      <c r="Z87" s="540"/>
      <c r="AA87" s="540"/>
      <c r="AB87" s="540"/>
      <c r="AC87" s="540"/>
      <c r="AD87" s="540"/>
      <c r="AE87" s="2473" t="s">
        <v>1304</v>
      </c>
      <c r="AF87" s="2473"/>
      <c r="AG87" s="2473"/>
      <c r="AH87" s="2473"/>
      <c r="AI87" s="2473"/>
      <c r="AJ87" s="2473"/>
      <c r="AK87" s="2473"/>
      <c r="AL87" s="541"/>
      <c r="AM87" s="541"/>
      <c r="AN87" s="536"/>
    </row>
    <row r="88" spans="1:43" s="537" customFormat="1" ht="12.75" customHeight="1">
      <c r="A88" s="539"/>
      <c r="B88" s="540" t="s">
        <v>1323</v>
      </c>
      <c r="C88" s="540"/>
      <c r="D88" s="540"/>
      <c r="E88" s="540"/>
      <c r="F88" s="540"/>
      <c r="G88" s="540"/>
      <c r="H88" s="540"/>
      <c r="I88" s="540"/>
      <c r="J88" s="540"/>
      <c r="K88" s="540"/>
      <c r="L88" s="540"/>
      <c r="M88" s="540"/>
      <c r="N88" s="540"/>
      <c r="O88" s="540"/>
      <c r="P88" s="540"/>
      <c r="Q88" s="540"/>
      <c r="R88" s="540"/>
      <c r="S88" s="540"/>
      <c r="T88" s="540"/>
      <c r="U88" s="540"/>
      <c r="V88" s="540"/>
      <c r="W88" s="540"/>
      <c r="X88" s="540"/>
      <c r="Y88" s="540"/>
      <c r="Z88" s="540"/>
      <c r="AA88" s="540"/>
      <c r="AB88" s="540"/>
      <c r="AC88" s="540"/>
      <c r="AD88" s="540"/>
      <c r="AE88" s="544"/>
      <c r="AF88" s="544"/>
      <c r="AG88" s="544"/>
      <c r="AH88" s="544"/>
      <c r="AI88" s="544"/>
      <c r="AJ88" s="544"/>
      <c r="AK88" s="544"/>
      <c r="AL88" s="541"/>
      <c r="AM88" s="541"/>
      <c r="AN88" s="536"/>
    </row>
    <row r="89" spans="1:43" s="537" customFormat="1" ht="12.75" customHeight="1">
      <c r="A89" s="539"/>
      <c r="B89" s="540"/>
      <c r="C89" s="540"/>
      <c r="D89" s="540"/>
      <c r="E89" s="540"/>
      <c r="F89" s="540"/>
      <c r="G89" s="540"/>
      <c r="H89" s="540"/>
      <c r="I89" s="540"/>
      <c r="J89" s="540"/>
      <c r="K89" s="540"/>
      <c r="L89" s="540"/>
      <c r="M89" s="540"/>
      <c r="N89" s="540"/>
      <c r="O89" s="540"/>
      <c r="P89" s="540"/>
      <c r="Q89" s="540"/>
      <c r="R89" s="540"/>
      <c r="S89" s="540"/>
      <c r="T89" s="540"/>
      <c r="U89" s="540"/>
      <c r="V89" s="540"/>
      <c r="W89" s="540"/>
      <c r="X89" s="540"/>
      <c r="Y89" s="540"/>
      <c r="Z89" s="540"/>
      <c r="AA89" s="540"/>
      <c r="AB89" s="540"/>
      <c r="AC89" s="540"/>
      <c r="AD89" s="540"/>
      <c r="AE89" s="544"/>
      <c r="AF89" s="544"/>
      <c r="AG89" s="544"/>
      <c r="AH89" s="544"/>
      <c r="AI89" s="544"/>
      <c r="AJ89" s="544"/>
      <c r="AK89" s="544"/>
      <c r="AL89" s="541"/>
      <c r="AM89" s="541"/>
      <c r="AN89" s="536"/>
    </row>
    <row r="90" spans="1:43" s="537" customFormat="1" ht="12.75" customHeight="1">
      <c r="A90" s="539"/>
      <c r="B90" s="2626" t="s">
        <v>544</v>
      </c>
      <c r="C90" s="2626"/>
      <c r="D90" s="548" t="s">
        <v>1314</v>
      </c>
      <c r="E90" s="2618" t="s">
        <v>1324</v>
      </c>
      <c r="F90" s="2619"/>
      <c r="G90" s="2619"/>
      <c r="H90" s="2619"/>
      <c r="I90" s="2619"/>
      <c r="J90" s="2619"/>
      <c r="K90" s="2619"/>
      <c r="L90" s="2619"/>
      <c r="M90" s="2619"/>
      <c r="N90" s="2619"/>
      <c r="O90" s="2619"/>
      <c r="P90" s="2619"/>
      <c r="Q90" s="2619"/>
      <c r="R90" s="2619"/>
      <c r="S90" s="2619"/>
      <c r="T90" s="2619"/>
      <c r="U90" s="2619"/>
      <c r="V90" s="2619"/>
      <c r="W90" s="2619"/>
      <c r="X90" s="2619"/>
      <c r="Y90" s="2619"/>
      <c r="Z90" s="2619"/>
      <c r="AA90" s="2619"/>
      <c r="AB90" s="2619"/>
      <c r="AC90" s="2619"/>
      <c r="AD90" s="2619"/>
      <c r="AE90" s="2619"/>
      <c r="AF90" s="2619"/>
      <c r="AG90" s="2619"/>
      <c r="AH90" s="2619"/>
      <c r="AI90" s="2619"/>
      <c r="AJ90" s="2620"/>
      <c r="AK90" s="544"/>
      <c r="AL90" s="541"/>
      <c r="AM90" s="541"/>
      <c r="AN90" s="536"/>
    </row>
    <row r="91" spans="1:43" s="537" customFormat="1" ht="12.75" customHeight="1">
      <c r="A91" s="539"/>
      <c r="B91" s="540"/>
      <c r="C91" s="540"/>
      <c r="D91" s="540"/>
      <c r="E91" s="2621"/>
      <c r="F91" s="2622"/>
      <c r="G91" s="2622"/>
      <c r="H91" s="2622"/>
      <c r="I91" s="2622"/>
      <c r="J91" s="2622"/>
      <c r="K91" s="2622"/>
      <c r="L91" s="2622"/>
      <c r="M91" s="2622"/>
      <c r="N91" s="2622"/>
      <c r="O91" s="2622"/>
      <c r="P91" s="2622"/>
      <c r="Q91" s="2622"/>
      <c r="R91" s="2622"/>
      <c r="S91" s="2622"/>
      <c r="T91" s="2622"/>
      <c r="U91" s="2622"/>
      <c r="V91" s="2622"/>
      <c r="W91" s="2622"/>
      <c r="X91" s="2622"/>
      <c r="Y91" s="2622"/>
      <c r="Z91" s="2622"/>
      <c r="AA91" s="2622"/>
      <c r="AB91" s="2622"/>
      <c r="AC91" s="2622"/>
      <c r="AD91" s="2622"/>
      <c r="AE91" s="2622"/>
      <c r="AF91" s="2622"/>
      <c r="AG91" s="2622"/>
      <c r="AH91" s="2622"/>
      <c r="AI91" s="2622"/>
      <c r="AJ91" s="2623"/>
      <c r="AK91" s="544"/>
      <c r="AL91" s="541"/>
      <c r="AM91" s="541"/>
      <c r="AN91" s="536"/>
    </row>
    <row r="92" spans="1:43" s="537" customFormat="1" ht="12.75" customHeight="1">
      <c r="A92" s="539"/>
      <c r="B92" s="540"/>
      <c r="C92" s="540"/>
      <c r="D92" s="540"/>
      <c r="E92" s="577"/>
      <c r="F92" s="578"/>
      <c r="G92" s="578"/>
      <c r="H92" s="578"/>
      <c r="I92" s="578"/>
      <c r="J92" s="578"/>
      <c r="K92" s="578"/>
      <c r="L92" s="578"/>
      <c r="M92" s="578"/>
      <c r="N92" s="578"/>
      <c r="O92" s="578"/>
      <c r="P92" s="578"/>
      <c r="Q92" s="578"/>
      <c r="R92" s="578"/>
      <c r="S92" s="578"/>
      <c r="T92" s="578"/>
      <c r="U92" s="578"/>
      <c r="V92" s="578"/>
      <c r="W92" s="578"/>
      <c r="X92" s="578"/>
      <c r="Y92" s="578"/>
      <c r="Z92" s="579"/>
      <c r="AA92" s="579"/>
      <c r="AB92" s="579"/>
      <c r="AC92" s="578"/>
      <c r="AD92" s="578"/>
      <c r="AE92" s="578"/>
      <c r="AF92" s="578"/>
      <c r="AG92" s="578"/>
      <c r="AH92" s="578"/>
      <c r="AI92" s="578"/>
      <c r="AJ92" s="580"/>
      <c r="AK92" s="544"/>
      <c r="AL92" s="541"/>
      <c r="AM92" s="541"/>
      <c r="AN92" s="536"/>
    </row>
    <row r="93" spans="1:43" s="537" customFormat="1" ht="12.75" customHeight="1">
      <c r="A93" s="539"/>
      <c r="B93" s="540"/>
      <c r="C93" s="540"/>
      <c r="D93" s="540"/>
      <c r="E93" s="2614">
        <f>Application!AC753</f>
        <v>0.4</v>
      </c>
      <c r="F93" s="2615"/>
      <c r="G93" s="2615"/>
      <c r="H93" s="2615"/>
      <c r="I93" s="578"/>
      <c r="J93" s="581" t="s">
        <v>1325</v>
      </c>
      <c r="K93" s="578"/>
      <c r="L93" s="578"/>
      <c r="M93" s="578"/>
      <c r="N93" s="578"/>
      <c r="O93" s="578"/>
      <c r="P93" s="578"/>
      <c r="Q93" s="578"/>
      <c r="R93" s="578"/>
      <c r="S93" s="578"/>
      <c r="T93" s="578"/>
      <c r="U93" s="578"/>
      <c r="V93" s="578"/>
      <c r="W93" s="578"/>
      <c r="X93" s="578"/>
      <c r="Y93" s="578"/>
      <c r="Z93" s="582"/>
      <c r="AA93" s="582"/>
      <c r="AB93" s="582"/>
      <c r="AC93" s="578"/>
      <c r="AD93" s="578"/>
      <c r="AE93" s="578"/>
      <c r="AF93" s="578"/>
      <c r="AG93" s="578"/>
      <c r="AH93" s="578"/>
      <c r="AI93" s="578"/>
      <c r="AJ93" s="580"/>
      <c r="AK93" s="544"/>
      <c r="AL93" s="541"/>
      <c r="AM93" s="541"/>
      <c r="AN93" s="536"/>
    </row>
    <row r="94" spans="1:43" s="537" customFormat="1" ht="12.75" customHeight="1">
      <c r="A94" s="539"/>
      <c r="B94" s="540"/>
      <c r="C94" s="540"/>
      <c r="D94" s="540"/>
      <c r="E94" s="2645">
        <f>0.6-ROUNDUP(E93,2)</f>
        <v>0.19999999999999996</v>
      </c>
      <c r="F94" s="2420"/>
      <c r="G94" s="2420"/>
      <c r="H94" s="2420"/>
      <c r="I94" s="578"/>
      <c r="J94" s="581" t="s">
        <v>1326</v>
      </c>
      <c r="K94" s="578"/>
      <c r="L94" s="578"/>
      <c r="M94" s="578"/>
      <c r="N94" s="578"/>
      <c r="O94" s="578"/>
      <c r="P94" s="578"/>
      <c r="Q94" s="578"/>
      <c r="R94" s="578"/>
      <c r="S94" s="578"/>
      <c r="T94" s="578"/>
      <c r="U94" s="578"/>
      <c r="V94" s="578"/>
      <c r="W94" s="578"/>
      <c r="X94" s="578"/>
      <c r="Y94" s="578"/>
      <c r="Z94" s="578"/>
      <c r="AA94" s="578"/>
      <c r="AB94" s="578"/>
      <c r="AC94" s="578"/>
      <c r="AD94" s="578"/>
      <c r="AE94" s="578"/>
      <c r="AF94" s="578"/>
      <c r="AG94" s="578"/>
      <c r="AH94" s="578"/>
      <c r="AI94" s="578"/>
      <c r="AJ94" s="580"/>
      <c r="AK94" s="544"/>
      <c r="AL94" s="541"/>
      <c r="AM94" s="541"/>
      <c r="AN94" s="536"/>
    </row>
    <row r="95" spans="1:43" s="537" customFormat="1" ht="12.75" customHeight="1">
      <c r="A95" s="539"/>
      <c r="B95" s="540"/>
      <c r="C95" s="540"/>
      <c r="D95" s="540"/>
      <c r="E95" s="2630">
        <f>IF(E94*200&gt;20,20,E94*200)</f>
        <v>20</v>
      </c>
      <c r="F95" s="2631"/>
      <c r="G95" s="2631"/>
      <c r="H95" s="2631"/>
      <c r="I95" s="578"/>
      <c r="J95" s="581" t="s">
        <v>1327</v>
      </c>
      <c r="K95" s="578"/>
      <c r="L95" s="578"/>
      <c r="M95" s="578"/>
      <c r="N95" s="578"/>
      <c r="O95" s="578"/>
      <c r="P95" s="578"/>
      <c r="Q95" s="578"/>
      <c r="R95" s="578"/>
      <c r="S95" s="578"/>
      <c r="T95" s="578"/>
      <c r="U95" s="578"/>
      <c r="V95" s="578"/>
      <c r="W95" s="578"/>
      <c r="X95" s="578"/>
      <c r="Y95" s="578"/>
      <c r="Z95" s="578"/>
      <c r="AA95" s="578"/>
      <c r="AB95" s="578"/>
      <c r="AC95" s="578"/>
      <c r="AD95" s="578"/>
      <c r="AE95" s="578"/>
      <c r="AF95" s="578"/>
      <c r="AG95" s="578"/>
      <c r="AH95" s="578"/>
      <c r="AI95" s="578"/>
      <c r="AJ95" s="580"/>
      <c r="AK95" s="544"/>
      <c r="AL95" s="541"/>
      <c r="AM95" s="541"/>
      <c r="AN95" s="536"/>
      <c r="AP95" s="537">
        <f>IF(B90="yes",E95,0)</f>
        <v>20</v>
      </c>
      <c r="AQ95" s="537" t="s">
        <v>1307</v>
      </c>
    </row>
    <row r="96" spans="1:43" s="537" customFormat="1" ht="12.75" customHeight="1">
      <c r="A96" s="539"/>
      <c r="B96" s="540"/>
      <c r="C96" s="540"/>
      <c r="D96" s="540"/>
      <c r="E96" s="583"/>
      <c r="F96" s="584"/>
      <c r="G96" s="584"/>
      <c r="H96" s="584"/>
      <c r="I96" s="584"/>
      <c r="J96" s="584"/>
      <c r="K96" s="584"/>
      <c r="L96" s="584"/>
      <c r="M96" s="584"/>
      <c r="N96" s="584"/>
      <c r="O96" s="584"/>
      <c r="P96" s="584"/>
      <c r="Q96" s="584"/>
      <c r="R96" s="584"/>
      <c r="S96" s="584"/>
      <c r="T96" s="584"/>
      <c r="U96" s="584"/>
      <c r="V96" s="584"/>
      <c r="W96" s="584"/>
      <c r="X96" s="584"/>
      <c r="Y96" s="584"/>
      <c r="Z96" s="584"/>
      <c r="AA96" s="584"/>
      <c r="AB96" s="584"/>
      <c r="AC96" s="584"/>
      <c r="AD96" s="584"/>
      <c r="AE96" s="585"/>
      <c r="AF96" s="585"/>
      <c r="AG96" s="585"/>
      <c r="AH96" s="585"/>
      <c r="AI96" s="585"/>
      <c r="AJ96" s="586"/>
      <c r="AK96" s="544"/>
      <c r="AL96" s="541"/>
      <c r="AM96" s="541"/>
      <c r="AN96" s="536"/>
    </row>
    <row r="97" spans="1:47" s="537" customFormat="1" ht="12.75" customHeight="1">
      <c r="A97" s="539"/>
      <c r="B97" s="540"/>
      <c r="C97" s="540"/>
      <c r="D97" s="540"/>
      <c r="E97" s="540"/>
      <c r="F97" s="540"/>
      <c r="G97" s="540"/>
      <c r="H97" s="540"/>
      <c r="I97" s="540"/>
      <c r="J97" s="540"/>
      <c r="K97" s="540"/>
      <c r="L97" s="540"/>
      <c r="M97" s="540"/>
      <c r="N97" s="540"/>
      <c r="O97" s="540"/>
      <c r="P97" s="540"/>
      <c r="Q97" s="540"/>
      <c r="R97" s="540"/>
      <c r="S97" s="540"/>
      <c r="T97" s="540"/>
      <c r="U97" s="540"/>
      <c r="V97" s="540"/>
      <c r="W97" s="540"/>
      <c r="X97" s="540"/>
      <c r="Y97" s="540"/>
      <c r="Z97" s="540"/>
      <c r="AA97" s="540"/>
      <c r="AB97" s="540"/>
      <c r="AC97" s="540"/>
      <c r="AD97" s="540"/>
      <c r="AE97" s="544"/>
      <c r="AF97" s="544"/>
      <c r="AG97" s="544"/>
      <c r="AH97" s="544"/>
      <c r="AI97" s="544"/>
      <c r="AJ97" s="544"/>
      <c r="AK97" s="544"/>
      <c r="AL97" s="541"/>
      <c r="AM97" s="541"/>
      <c r="AN97" s="536"/>
    </row>
    <row r="98" spans="1:47" s="537" customFormat="1" ht="12.75" customHeight="1">
      <c r="A98" s="539"/>
      <c r="B98" s="2626" t="s">
        <v>590</v>
      </c>
      <c r="C98" s="2626"/>
      <c r="D98" s="548" t="s">
        <v>1316</v>
      </c>
      <c r="E98" s="2618" t="s">
        <v>1724</v>
      </c>
      <c r="F98" s="2619"/>
      <c r="G98" s="2619"/>
      <c r="H98" s="2619"/>
      <c r="I98" s="2619"/>
      <c r="J98" s="2619"/>
      <c r="K98" s="2619"/>
      <c r="L98" s="2619"/>
      <c r="M98" s="2619"/>
      <c r="N98" s="2619"/>
      <c r="O98" s="2619"/>
      <c r="P98" s="2619"/>
      <c r="Q98" s="2619"/>
      <c r="R98" s="2619"/>
      <c r="S98" s="2619"/>
      <c r="T98" s="2619"/>
      <c r="U98" s="2619"/>
      <c r="V98" s="2619"/>
      <c r="W98" s="2619"/>
      <c r="X98" s="2619"/>
      <c r="Y98" s="2619"/>
      <c r="Z98" s="2619"/>
      <c r="AA98" s="2619"/>
      <c r="AB98" s="2619"/>
      <c r="AC98" s="2619"/>
      <c r="AD98" s="2619"/>
      <c r="AE98" s="2619"/>
      <c r="AF98" s="2619"/>
      <c r="AG98" s="2619"/>
      <c r="AH98" s="2619"/>
      <c r="AI98" s="2619"/>
      <c r="AJ98" s="2620"/>
      <c r="AK98" s="544"/>
      <c r="AL98" s="541"/>
      <c r="AM98" s="541"/>
      <c r="AN98" s="536"/>
    </row>
    <row r="99" spans="1:47" s="537" customFormat="1" ht="12.75" customHeight="1">
      <c r="A99" s="539"/>
      <c r="B99" s="540"/>
      <c r="C99" s="540"/>
      <c r="D99" s="540"/>
      <c r="E99" s="2621"/>
      <c r="F99" s="2622"/>
      <c r="G99" s="2622"/>
      <c r="H99" s="2622"/>
      <c r="I99" s="2622"/>
      <c r="J99" s="2622"/>
      <c r="K99" s="2622"/>
      <c r="L99" s="2622"/>
      <c r="M99" s="2622"/>
      <c r="N99" s="2622"/>
      <c r="O99" s="2622"/>
      <c r="P99" s="2622"/>
      <c r="Q99" s="2622"/>
      <c r="R99" s="2622"/>
      <c r="S99" s="2622"/>
      <c r="T99" s="2622"/>
      <c r="U99" s="2622"/>
      <c r="V99" s="2622"/>
      <c r="W99" s="2622"/>
      <c r="X99" s="2622"/>
      <c r="Y99" s="2622"/>
      <c r="Z99" s="2622"/>
      <c r="AA99" s="2622"/>
      <c r="AB99" s="2622"/>
      <c r="AC99" s="2622"/>
      <c r="AD99" s="2622"/>
      <c r="AE99" s="2622"/>
      <c r="AF99" s="2622"/>
      <c r="AG99" s="2622"/>
      <c r="AH99" s="2622"/>
      <c r="AI99" s="2622"/>
      <c r="AJ99" s="2623"/>
      <c r="AK99" s="544"/>
      <c r="AL99" s="541"/>
      <c r="AM99" s="541"/>
      <c r="AN99" s="536"/>
    </row>
    <row r="100" spans="1:47" s="537" customFormat="1" ht="12.75" customHeight="1">
      <c r="A100" s="539"/>
      <c r="B100" s="540"/>
      <c r="C100" s="540"/>
      <c r="D100" s="540"/>
      <c r="E100" s="2621"/>
      <c r="F100" s="2622"/>
      <c r="G100" s="2622"/>
      <c r="H100" s="2622"/>
      <c r="I100" s="2622"/>
      <c r="J100" s="2622"/>
      <c r="K100" s="2622"/>
      <c r="L100" s="2622"/>
      <c r="M100" s="2622"/>
      <c r="N100" s="2622"/>
      <c r="O100" s="2622"/>
      <c r="P100" s="2622"/>
      <c r="Q100" s="2622"/>
      <c r="R100" s="2622"/>
      <c r="S100" s="2622"/>
      <c r="T100" s="2622"/>
      <c r="U100" s="2622"/>
      <c r="V100" s="2622"/>
      <c r="W100" s="2622"/>
      <c r="X100" s="2622"/>
      <c r="Y100" s="2622"/>
      <c r="Z100" s="2622"/>
      <c r="AA100" s="2622"/>
      <c r="AB100" s="2622"/>
      <c r="AC100" s="2622"/>
      <c r="AD100" s="2622"/>
      <c r="AE100" s="2622"/>
      <c r="AF100" s="2622"/>
      <c r="AG100" s="2622"/>
      <c r="AH100" s="2622"/>
      <c r="AI100" s="2622"/>
      <c r="AJ100" s="2623"/>
      <c r="AK100" s="544"/>
      <c r="AL100" s="541"/>
      <c r="AM100" s="541"/>
      <c r="AN100" s="536"/>
    </row>
    <row r="101" spans="1:47" s="537" customFormat="1" ht="12.75" customHeight="1">
      <c r="A101" s="539"/>
      <c r="B101" s="540"/>
      <c r="C101" s="540"/>
      <c r="D101" s="540"/>
      <c r="E101" s="2621"/>
      <c r="F101" s="2622"/>
      <c r="G101" s="2622"/>
      <c r="H101" s="2622"/>
      <c r="I101" s="2622"/>
      <c r="J101" s="2622"/>
      <c r="K101" s="2622"/>
      <c r="L101" s="2622"/>
      <c r="M101" s="2622"/>
      <c r="N101" s="2622"/>
      <c r="O101" s="2622"/>
      <c r="P101" s="2622"/>
      <c r="Q101" s="2622"/>
      <c r="R101" s="2622"/>
      <c r="S101" s="2622"/>
      <c r="T101" s="2622"/>
      <c r="U101" s="2622"/>
      <c r="V101" s="2622"/>
      <c r="W101" s="2622"/>
      <c r="X101" s="2622"/>
      <c r="Y101" s="2622"/>
      <c r="Z101" s="2622"/>
      <c r="AA101" s="2622"/>
      <c r="AB101" s="2622"/>
      <c r="AC101" s="2622"/>
      <c r="AD101" s="2622"/>
      <c r="AE101" s="2622"/>
      <c r="AF101" s="2622"/>
      <c r="AG101" s="2622"/>
      <c r="AH101" s="2622"/>
      <c r="AI101" s="2622"/>
      <c r="AJ101" s="2623"/>
      <c r="AK101" s="544"/>
      <c r="AL101" s="541"/>
      <c r="AM101" s="541"/>
      <c r="AN101" s="536"/>
    </row>
    <row r="102" spans="1:47" s="537" customFormat="1" ht="12.75" customHeight="1">
      <c r="A102" s="539"/>
      <c r="B102" s="540"/>
      <c r="C102" s="540"/>
      <c r="D102" s="540"/>
      <c r="E102" s="587"/>
      <c r="F102" s="554"/>
      <c r="G102" s="554"/>
      <c r="H102" s="554"/>
      <c r="I102" s="554"/>
      <c r="J102" s="554"/>
      <c r="K102" s="554"/>
      <c r="L102" s="554"/>
      <c r="M102" s="554"/>
      <c r="N102" s="554"/>
      <c r="O102" s="554"/>
      <c r="P102" s="554"/>
      <c r="Q102" s="554"/>
      <c r="R102" s="554"/>
      <c r="S102" s="554"/>
      <c r="T102" s="554"/>
      <c r="U102" s="554"/>
      <c r="V102" s="554"/>
      <c r="W102" s="554"/>
      <c r="X102" s="554"/>
      <c r="Y102" s="554"/>
      <c r="Z102" s="554"/>
      <c r="AA102" s="554"/>
      <c r="AB102" s="554"/>
      <c r="AC102" s="554"/>
      <c r="AD102" s="554"/>
      <c r="AE102" s="554"/>
      <c r="AF102" s="554"/>
      <c r="AG102" s="554"/>
      <c r="AH102" s="554"/>
      <c r="AI102" s="554"/>
      <c r="AJ102" s="555"/>
      <c r="AK102" s="544"/>
      <c r="AL102" s="541"/>
      <c r="AM102" s="541"/>
      <c r="AN102" s="536"/>
    </row>
    <row r="103" spans="1:47" s="537" customFormat="1" ht="12.75" customHeight="1">
      <c r="A103" s="539"/>
      <c r="B103" s="540"/>
      <c r="C103" s="540"/>
      <c r="D103" s="540"/>
      <c r="E103" s="2614">
        <f>Application!AC753</f>
        <v>0.4</v>
      </c>
      <c r="F103" s="2615"/>
      <c r="G103" s="2615"/>
      <c r="H103" s="2615"/>
      <c r="I103" s="578"/>
      <c r="J103" s="581" t="s">
        <v>1325</v>
      </c>
      <c r="K103" s="578"/>
      <c r="L103" s="578"/>
      <c r="M103" s="578"/>
      <c r="N103" s="578"/>
      <c r="O103" s="578"/>
      <c r="P103" s="578"/>
      <c r="Q103" s="578"/>
      <c r="R103" s="554"/>
      <c r="S103" s="554"/>
      <c r="T103" s="554"/>
      <c r="U103" s="554"/>
      <c r="V103" s="554"/>
      <c r="W103" s="554"/>
      <c r="X103" s="554"/>
      <c r="Y103" s="554"/>
      <c r="Z103" s="554"/>
      <c r="AA103" s="554"/>
      <c r="AB103" s="554"/>
      <c r="AC103" s="554"/>
      <c r="AD103" s="554"/>
      <c r="AE103" s="554"/>
      <c r="AF103" s="554"/>
      <c r="AG103" s="554"/>
      <c r="AH103" s="554"/>
      <c r="AI103" s="554"/>
      <c r="AJ103" s="555"/>
      <c r="AK103" s="544"/>
      <c r="AL103" s="541"/>
      <c r="AM103" s="541"/>
      <c r="AN103" s="536"/>
    </row>
    <row r="104" spans="1:47" s="537" customFormat="1" ht="12.75" customHeight="1">
      <c r="A104" s="539"/>
      <c r="B104" s="540"/>
      <c r="C104" s="540"/>
      <c r="D104" s="540"/>
      <c r="E104" s="2614">
        <f ca="1">SUMIF(Application!AC718:AG752,0.2,Application!G718:J752)/Application!G753+SUMIF(Application!AC718:AG752,0.25,Application!G718:J752)/Application!G753+SUMIF(Application!AC718:AG752,0.3,Application!G718:J752)/Application!G753</f>
        <v>0.5</v>
      </c>
      <c r="F104" s="2615"/>
      <c r="G104" s="2615"/>
      <c r="H104" s="2615"/>
      <c r="I104" s="578"/>
      <c r="J104" s="581" t="s">
        <v>1328</v>
      </c>
      <c r="K104" s="578"/>
      <c r="L104" s="578"/>
      <c r="M104" s="578"/>
      <c r="N104" s="578"/>
      <c r="O104" s="578"/>
      <c r="P104" s="578"/>
      <c r="Q104" s="578"/>
      <c r="R104" s="554"/>
      <c r="S104" s="554"/>
      <c r="T104" s="554"/>
      <c r="U104" s="554"/>
      <c r="V104" s="554"/>
      <c r="W104" s="554"/>
      <c r="X104" s="554"/>
      <c r="Y104" s="554"/>
      <c r="Z104" s="554"/>
      <c r="AA104" s="554"/>
      <c r="AB104" s="554"/>
      <c r="AC104" s="554"/>
      <c r="AD104" s="554"/>
      <c r="AE104" s="554"/>
      <c r="AF104" s="554"/>
      <c r="AG104" s="554"/>
      <c r="AH104" s="554"/>
      <c r="AI104" s="554"/>
      <c r="AJ104" s="555"/>
      <c r="AK104" s="544"/>
      <c r="AL104" s="541"/>
      <c r="AM104" s="541"/>
      <c r="AN104" s="536"/>
      <c r="AU104" s="863"/>
    </row>
    <row r="105" spans="1:47" s="537" customFormat="1" ht="12.75" customHeight="1">
      <c r="A105" s="539"/>
      <c r="B105" s="540"/>
      <c r="C105" s="540"/>
      <c r="D105" s="540"/>
      <c r="E105" s="2614">
        <f ca="1">SUMIF(Application!AC718:AG752,0.35,Application!G718:J752)/Application!G753+SUMIF(Application!AC718:AG752,0.4,Application!G718:J752)/Application!G753+SUMIF(Application!AC718:AG752,0.45,Application!G718:J752)/Application!G753+SUMIF(Application!AC718:AG752,0.5,Application!G718:J752)/Application!G753</f>
        <v>0.5</v>
      </c>
      <c r="F105" s="2615"/>
      <c r="G105" s="2615"/>
      <c r="H105" s="2615"/>
      <c r="I105" s="578"/>
      <c r="J105" s="581" t="s">
        <v>1329</v>
      </c>
      <c r="K105" s="578"/>
      <c r="L105" s="578"/>
      <c r="M105" s="578"/>
      <c r="N105" s="578"/>
      <c r="O105" s="578"/>
      <c r="P105" s="578"/>
      <c r="Q105" s="578"/>
      <c r="R105" s="554"/>
      <c r="S105" s="554"/>
      <c r="T105" s="554"/>
      <c r="U105" s="554"/>
      <c r="V105" s="554"/>
      <c r="W105" s="554"/>
      <c r="X105" s="554"/>
      <c r="Y105" s="554"/>
      <c r="Z105" s="554"/>
      <c r="AA105" s="554"/>
      <c r="AB105" s="554"/>
      <c r="AC105" s="554"/>
      <c r="AD105" s="554"/>
      <c r="AE105" s="554"/>
      <c r="AF105" s="554"/>
      <c r="AG105" s="554"/>
      <c r="AH105" s="554"/>
      <c r="AI105" s="554"/>
      <c r="AJ105" s="555"/>
      <c r="AK105" s="544"/>
      <c r="AL105" s="541"/>
      <c r="AM105" s="541"/>
      <c r="AN105" s="536"/>
      <c r="AU105" s="863"/>
    </row>
    <row r="106" spans="1:47" s="537" customFormat="1" ht="12.75" customHeight="1">
      <c r="A106" s="539"/>
      <c r="B106" s="540"/>
      <c r="C106" s="540"/>
      <c r="D106" s="540"/>
      <c r="E106" s="2612">
        <f ca="1">IF(AND(E103&lt;=0.6,OR(AND(E104&gt;=0.1,E105&gt;=0.1),AND(E104&gt;0.1,(E104+E105)&gt;=0.2))),20,0)</f>
        <v>20</v>
      </c>
      <c r="F106" s="2613"/>
      <c r="G106" s="2613"/>
      <c r="H106" s="2613"/>
      <c r="I106" s="554"/>
      <c r="J106" s="588" t="s">
        <v>1327</v>
      </c>
      <c r="K106" s="554"/>
      <c r="L106" s="554"/>
      <c r="M106" s="554"/>
      <c r="N106" s="554"/>
      <c r="O106" s="554"/>
      <c r="P106" s="554"/>
      <c r="Q106" s="554"/>
      <c r="R106" s="554"/>
      <c r="S106" s="554"/>
      <c r="T106" s="554"/>
      <c r="U106" s="554"/>
      <c r="V106" s="554"/>
      <c r="W106" s="554"/>
      <c r="X106" s="554"/>
      <c r="Y106" s="554"/>
      <c r="Z106" s="554"/>
      <c r="AA106" s="554"/>
      <c r="AB106" s="554"/>
      <c r="AC106" s="554"/>
      <c r="AD106" s="554"/>
      <c r="AE106" s="554"/>
      <c r="AF106" s="554"/>
      <c r="AG106" s="554"/>
      <c r="AH106" s="554"/>
      <c r="AI106" s="554"/>
      <c r="AJ106" s="555"/>
      <c r="AK106" s="544"/>
      <c r="AL106" s="541"/>
      <c r="AM106" s="541"/>
      <c r="AN106" s="536"/>
      <c r="AP106" s="537">
        <f>IF(B98="yes",E106,0)</f>
        <v>0</v>
      </c>
      <c r="AQ106" s="537" t="s">
        <v>1307</v>
      </c>
    </row>
    <row r="107" spans="1:47" s="537" customFormat="1" ht="12.75" customHeight="1">
      <c r="A107" s="539"/>
      <c r="B107" s="540"/>
      <c r="C107" s="540"/>
      <c r="D107" s="540"/>
      <c r="E107" s="583"/>
      <c r="F107" s="584"/>
      <c r="G107" s="584"/>
      <c r="H107" s="584"/>
      <c r="I107" s="584"/>
      <c r="J107" s="584"/>
      <c r="K107" s="584"/>
      <c r="L107" s="584"/>
      <c r="M107" s="584"/>
      <c r="N107" s="584"/>
      <c r="O107" s="584"/>
      <c r="P107" s="584"/>
      <c r="Q107" s="584"/>
      <c r="R107" s="584"/>
      <c r="S107" s="584"/>
      <c r="T107" s="584"/>
      <c r="U107" s="584"/>
      <c r="V107" s="584"/>
      <c r="W107" s="584"/>
      <c r="X107" s="584"/>
      <c r="Y107" s="584"/>
      <c r="Z107" s="584"/>
      <c r="AA107" s="584"/>
      <c r="AB107" s="584"/>
      <c r="AC107" s="584"/>
      <c r="AD107" s="584"/>
      <c r="AE107" s="585"/>
      <c r="AF107" s="585"/>
      <c r="AG107" s="585"/>
      <c r="AH107" s="585"/>
      <c r="AI107" s="585"/>
      <c r="AJ107" s="586"/>
      <c r="AK107" s="544"/>
      <c r="AL107" s="541"/>
      <c r="AM107" s="541"/>
      <c r="AN107" s="536"/>
    </row>
    <row r="108" spans="1:47" s="537" customFormat="1" ht="12.75" customHeight="1">
      <c r="A108" s="539"/>
      <c r="B108" s="540"/>
      <c r="C108" s="540"/>
      <c r="D108" s="540"/>
      <c r="E108" s="540"/>
      <c r="F108" s="540"/>
      <c r="G108" s="540"/>
      <c r="H108" s="540"/>
      <c r="I108" s="540"/>
      <c r="J108" s="540"/>
      <c r="K108" s="540"/>
      <c r="L108" s="540"/>
      <c r="M108" s="540"/>
      <c r="N108" s="540"/>
      <c r="O108" s="540"/>
      <c r="P108" s="540"/>
      <c r="Q108" s="540"/>
      <c r="R108" s="540"/>
      <c r="S108" s="540"/>
      <c r="T108" s="540"/>
      <c r="U108" s="540"/>
      <c r="V108" s="540"/>
      <c r="W108" s="540"/>
      <c r="X108" s="540"/>
      <c r="Y108" s="540"/>
      <c r="Z108" s="540"/>
      <c r="AA108" s="540"/>
      <c r="AB108" s="540"/>
      <c r="AC108" s="540"/>
      <c r="AD108" s="540"/>
      <c r="AE108" s="544"/>
      <c r="AF108" s="544"/>
      <c r="AG108" s="544"/>
      <c r="AH108" s="544"/>
      <c r="AI108" s="544"/>
      <c r="AJ108" s="544"/>
      <c r="AK108" s="544"/>
      <c r="AL108" s="541"/>
      <c r="AM108" s="541"/>
      <c r="AN108" s="536"/>
    </row>
    <row r="109" spans="1:47" s="537" customFormat="1" ht="12.75" customHeight="1">
      <c r="A109" s="562"/>
      <c r="B109" s="563"/>
      <c r="C109" s="563"/>
      <c r="D109" s="563"/>
      <c r="E109" s="563"/>
      <c r="F109" s="563"/>
      <c r="G109" s="564"/>
      <c r="H109" s="565"/>
      <c r="I109" s="565"/>
      <c r="J109" s="565"/>
      <c r="K109" s="565"/>
      <c r="L109" s="565"/>
      <c r="M109" s="565"/>
      <c r="N109" s="565"/>
      <c r="O109" s="565"/>
      <c r="P109" s="565"/>
      <c r="Q109" s="565"/>
      <c r="R109" s="565"/>
      <c r="S109" s="565"/>
      <c r="T109" s="565"/>
      <c r="U109" s="565"/>
      <c r="V109" s="565"/>
      <c r="W109" s="565"/>
      <c r="X109" s="565"/>
      <c r="Y109" s="565"/>
      <c r="Z109" s="565"/>
      <c r="AA109" s="565"/>
      <c r="AB109" s="565"/>
      <c r="AC109" s="565"/>
      <c r="AD109" s="565"/>
      <c r="AE109" s="565"/>
      <c r="AF109" s="565"/>
      <c r="AG109" s="565"/>
      <c r="AH109" s="565"/>
      <c r="AI109" s="566"/>
      <c r="AJ109" s="566" t="s">
        <v>1330</v>
      </c>
      <c r="AK109" s="2599">
        <f>MAX(AP95,AP106)</f>
        <v>20</v>
      </c>
      <c r="AL109" s="2600"/>
      <c r="AM109" s="2601"/>
      <c r="AN109" s="536"/>
    </row>
    <row r="110" spans="1:47" s="537" customFormat="1" ht="12.75" customHeight="1" thickBot="1">
      <c r="A110" s="567"/>
      <c r="B110" s="568"/>
      <c r="C110" s="569"/>
      <c r="D110" s="569"/>
      <c r="E110" s="569"/>
      <c r="F110" s="569"/>
      <c r="G110" s="569"/>
      <c r="H110" s="569"/>
      <c r="I110" s="569"/>
      <c r="J110" s="569"/>
      <c r="K110" s="569"/>
      <c r="L110" s="569"/>
      <c r="M110" s="569"/>
      <c r="N110" s="569"/>
      <c r="O110" s="569"/>
      <c r="P110" s="569"/>
      <c r="Q110" s="569"/>
      <c r="R110" s="569"/>
      <c r="S110" s="569"/>
      <c r="T110" s="569"/>
      <c r="U110" s="569"/>
      <c r="V110" s="569"/>
      <c r="W110" s="569"/>
      <c r="X110" s="569"/>
      <c r="Y110" s="569"/>
      <c r="Z110" s="569"/>
      <c r="AA110" s="569"/>
      <c r="AB110" s="569"/>
      <c r="AC110" s="569"/>
      <c r="AD110" s="569"/>
      <c r="AE110" s="569"/>
      <c r="AF110" s="569"/>
      <c r="AG110" s="569"/>
      <c r="AH110" s="569"/>
      <c r="AI110" s="569"/>
      <c r="AJ110" s="569"/>
      <c r="AK110" s="569"/>
      <c r="AL110" s="569"/>
      <c r="AM110" s="570"/>
      <c r="AN110" s="536"/>
    </row>
    <row r="111" spans="1:47" s="537" customFormat="1" ht="12.75" customHeight="1" thickTop="1">
      <c r="A111" s="571"/>
      <c r="B111" s="572"/>
      <c r="C111" s="573"/>
      <c r="D111" s="573"/>
      <c r="E111" s="573"/>
      <c r="F111" s="573"/>
      <c r="G111" s="573"/>
      <c r="H111" s="573"/>
      <c r="I111" s="574"/>
      <c r="J111" s="574"/>
      <c r="K111" s="574"/>
      <c r="L111" s="574"/>
      <c r="M111" s="574"/>
      <c r="N111" s="574"/>
      <c r="O111" s="574"/>
      <c r="P111" s="574"/>
      <c r="Q111" s="574"/>
      <c r="R111" s="571"/>
      <c r="S111" s="540"/>
      <c r="T111" s="540"/>
      <c r="U111" s="540"/>
      <c r="V111" s="540"/>
      <c r="W111" s="540"/>
      <c r="X111" s="540"/>
      <c r="Y111" s="540"/>
      <c r="Z111" s="540"/>
      <c r="AA111" s="540"/>
      <c r="AB111" s="540"/>
      <c r="AC111" s="540"/>
      <c r="AD111" s="540"/>
      <c r="AE111" s="540"/>
      <c r="AF111" s="571"/>
      <c r="AG111" s="540"/>
      <c r="AH111" s="540"/>
      <c r="AI111" s="540"/>
      <c r="AJ111" s="540"/>
      <c r="AK111" s="551"/>
      <c r="AL111" s="551"/>
      <c r="AM111" s="551"/>
      <c r="AN111" s="536"/>
    </row>
    <row r="112" spans="1:47" s="537" customFormat="1" ht="12.75" customHeight="1">
      <c r="A112" s="539" t="s">
        <v>1331</v>
      </c>
      <c r="B112" s="540" t="s">
        <v>1332</v>
      </c>
      <c r="C112" s="540"/>
      <c r="D112" s="540"/>
      <c r="E112" s="540"/>
      <c r="F112" s="540"/>
      <c r="G112" s="540"/>
      <c r="H112" s="540"/>
      <c r="I112" s="540"/>
      <c r="J112" s="540"/>
      <c r="K112" s="540"/>
      <c r="L112" s="540"/>
      <c r="M112" s="540"/>
      <c r="N112" s="540"/>
      <c r="O112" s="540"/>
      <c r="P112" s="540"/>
      <c r="Q112" s="540"/>
      <c r="R112" s="540"/>
      <c r="S112" s="540"/>
      <c r="T112" s="540"/>
      <c r="U112" s="540"/>
      <c r="V112" s="540"/>
      <c r="W112" s="540"/>
      <c r="X112" s="540"/>
      <c r="Y112" s="540"/>
      <c r="Z112" s="540"/>
      <c r="AA112" s="540"/>
      <c r="AB112" s="540"/>
      <c r="AC112" s="540"/>
      <c r="AD112" s="540"/>
      <c r="AE112" s="2473" t="s">
        <v>1313</v>
      </c>
      <c r="AF112" s="2473"/>
      <c r="AG112" s="2473"/>
      <c r="AH112" s="2473"/>
      <c r="AI112" s="2473"/>
      <c r="AJ112" s="2473"/>
      <c r="AK112" s="2473"/>
      <c r="AL112" s="541"/>
      <c r="AM112" s="541"/>
      <c r="AN112" s="536"/>
      <c r="AO112" s="537" t="str">
        <f>Application!B718</f>
        <v>1 Bedroom</v>
      </c>
      <c r="AQ112" s="537">
        <f>Application!O718</f>
        <v>750</v>
      </c>
    </row>
    <row r="113" spans="1:52" s="537" customFormat="1" ht="12.75" customHeight="1">
      <c r="A113" s="541"/>
      <c r="B113" s="540" t="s">
        <v>1323</v>
      </c>
      <c r="C113" s="540"/>
      <c r="D113" s="540"/>
      <c r="E113" s="540"/>
      <c r="F113" s="540"/>
      <c r="G113" s="540"/>
      <c r="H113" s="540"/>
      <c r="I113" s="540"/>
      <c r="J113" s="540"/>
      <c r="K113" s="540"/>
      <c r="L113" s="540"/>
      <c r="M113" s="540"/>
      <c r="N113" s="540"/>
      <c r="O113" s="540"/>
      <c r="P113" s="540"/>
      <c r="Q113" s="540"/>
      <c r="R113" s="540"/>
      <c r="S113" s="540"/>
      <c r="T113" s="540"/>
      <c r="U113" s="540"/>
      <c r="V113" s="540"/>
      <c r="W113" s="540"/>
      <c r="X113" s="540"/>
      <c r="Y113" s="540"/>
      <c r="Z113" s="540"/>
      <c r="AA113" s="540"/>
      <c r="AB113" s="540"/>
      <c r="AC113" s="540"/>
      <c r="AD113" s="540"/>
      <c r="AE113" s="544"/>
      <c r="AF113" s="544"/>
      <c r="AG113" s="544"/>
      <c r="AH113" s="544"/>
      <c r="AI113" s="544"/>
      <c r="AJ113" s="544"/>
      <c r="AK113" s="541"/>
      <c r="AL113" s="541"/>
      <c r="AM113" s="541"/>
      <c r="AN113" s="536"/>
      <c r="AO113" s="537" t="str">
        <f>Application!B719</f>
        <v>1 Bedroom</v>
      </c>
      <c r="AQ113" s="537">
        <f>Application!O719</f>
        <v>1270</v>
      </c>
    </row>
    <row r="114" spans="1:52" s="537" customFormat="1" ht="12.75" customHeight="1">
      <c r="A114" s="541"/>
      <c r="B114" s="540"/>
      <c r="C114" s="540"/>
      <c r="D114" s="540"/>
      <c r="E114" s="578"/>
      <c r="F114" s="578"/>
      <c r="G114" s="578"/>
      <c r="H114" s="578"/>
      <c r="I114" s="578"/>
      <c r="J114" s="578"/>
      <c r="K114" s="578"/>
      <c r="L114" s="578"/>
      <c r="M114" s="578"/>
      <c r="N114" s="578"/>
      <c r="O114" s="578"/>
      <c r="P114" s="578"/>
      <c r="Q114" s="578"/>
      <c r="R114" s="578"/>
      <c r="S114" s="578"/>
      <c r="T114" s="578"/>
      <c r="U114" s="578"/>
      <c r="V114" s="578"/>
      <c r="W114" s="578"/>
      <c r="X114" s="578"/>
      <c r="Y114" s="578"/>
      <c r="Z114" s="578"/>
      <c r="AA114" s="578"/>
      <c r="AB114" s="578"/>
      <c r="AC114" s="578"/>
      <c r="AD114" s="578"/>
      <c r="AE114" s="578"/>
      <c r="AF114" s="578"/>
      <c r="AG114" s="578"/>
      <c r="AH114" s="578"/>
      <c r="AI114" s="578"/>
      <c r="AJ114" s="578"/>
      <c r="AK114" s="541"/>
      <c r="AL114" s="541"/>
      <c r="AM114" s="541"/>
      <c r="AN114" s="536"/>
      <c r="AO114" s="537">
        <f>Application!B720</f>
        <v>0</v>
      </c>
      <c r="AQ114" s="537">
        <f>Application!O720</f>
        <v>0</v>
      </c>
    </row>
    <row r="115" spans="1:52" s="537" customFormat="1" ht="12.75" customHeight="1">
      <c r="A115" s="541"/>
      <c r="B115" s="2626" t="s">
        <v>544</v>
      </c>
      <c r="C115" s="2626"/>
      <c r="D115" s="548" t="s">
        <v>1314</v>
      </c>
      <c r="E115" s="2618" t="s">
        <v>1857</v>
      </c>
      <c r="F115" s="2619"/>
      <c r="G115" s="2619"/>
      <c r="H115" s="2619"/>
      <c r="I115" s="2619"/>
      <c r="J115" s="2619"/>
      <c r="K115" s="2619"/>
      <c r="L115" s="2619"/>
      <c r="M115" s="2619"/>
      <c r="N115" s="2619"/>
      <c r="O115" s="2619"/>
      <c r="P115" s="2619"/>
      <c r="Q115" s="2619"/>
      <c r="R115" s="2619"/>
      <c r="S115" s="2619"/>
      <c r="T115" s="2619"/>
      <c r="U115" s="2619"/>
      <c r="V115" s="2619"/>
      <c r="W115" s="2619"/>
      <c r="X115" s="2619"/>
      <c r="Y115" s="2619"/>
      <c r="Z115" s="2619"/>
      <c r="AA115" s="2619"/>
      <c r="AB115" s="2619"/>
      <c r="AC115" s="2619"/>
      <c r="AD115" s="2619"/>
      <c r="AE115" s="2619"/>
      <c r="AF115" s="2619"/>
      <c r="AG115" s="2619"/>
      <c r="AH115" s="2619"/>
      <c r="AI115" s="2619"/>
      <c r="AJ115" s="2620"/>
      <c r="AK115" s="541"/>
      <c r="AL115" s="541"/>
      <c r="AM115" s="541"/>
      <c r="AN115" s="536"/>
      <c r="AO115" s="537">
        <f>Application!B721</f>
        <v>0</v>
      </c>
      <c r="AQ115" s="537">
        <f>Application!O721</f>
        <v>0</v>
      </c>
      <c r="AU115" s="537" t="s">
        <v>1839</v>
      </c>
      <c r="AV115" s="596" t="s">
        <v>1840</v>
      </c>
      <c r="AW115" s="537" t="s">
        <v>1841</v>
      </c>
    </row>
    <row r="116" spans="1:52" s="537" customFormat="1" ht="12.75" customHeight="1">
      <c r="A116" s="541"/>
      <c r="B116" s="540"/>
      <c r="C116" s="540"/>
      <c r="D116" s="540"/>
      <c r="E116" s="2621"/>
      <c r="F116" s="2622"/>
      <c r="G116" s="2622"/>
      <c r="H116" s="2622"/>
      <c r="I116" s="2622"/>
      <c r="J116" s="2622"/>
      <c r="K116" s="2622"/>
      <c r="L116" s="2622"/>
      <c r="M116" s="2622"/>
      <c r="N116" s="2622"/>
      <c r="O116" s="2622"/>
      <c r="P116" s="2622"/>
      <c r="Q116" s="2622"/>
      <c r="R116" s="2622"/>
      <c r="S116" s="2622"/>
      <c r="T116" s="2622"/>
      <c r="U116" s="2622"/>
      <c r="V116" s="2622"/>
      <c r="W116" s="2622"/>
      <c r="X116" s="2622"/>
      <c r="Y116" s="2622"/>
      <c r="Z116" s="2622"/>
      <c r="AA116" s="2622"/>
      <c r="AB116" s="2622"/>
      <c r="AC116" s="2622"/>
      <c r="AD116" s="2622"/>
      <c r="AE116" s="2622"/>
      <c r="AF116" s="2622"/>
      <c r="AG116" s="2622"/>
      <c r="AH116" s="2622"/>
      <c r="AI116" s="2622"/>
      <c r="AJ116" s="2623"/>
      <c r="AK116" s="541"/>
      <c r="AL116" s="541"/>
      <c r="AM116" s="541"/>
      <c r="AN116" s="536"/>
      <c r="AO116" s="537">
        <f>Application!B722</f>
        <v>0</v>
      </c>
      <c r="AQ116" s="537">
        <f>Application!O722</f>
        <v>0</v>
      </c>
      <c r="AU116" s="857" t="str">
        <f>E124</f>
        <v>Studio/SRO</v>
      </c>
      <c r="AV116" s="537">
        <f t="array" ref="AV116">SUM(IF(Application!B718:F752="SRO/Studio",Application!G718:J752))</f>
        <v>0</v>
      </c>
      <c r="AW116" s="1012">
        <f>AV116/AV122</f>
        <v>0</v>
      </c>
    </row>
    <row r="117" spans="1:52" s="537" customFormat="1" ht="12.75" customHeight="1">
      <c r="A117" s="541"/>
      <c r="B117" s="540"/>
      <c r="C117" s="540"/>
      <c r="D117" s="540"/>
      <c r="E117" s="2621"/>
      <c r="F117" s="2622"/>
      <c r="G117" s="2622"/>
      <c r="H117" s="2622"/>
      <c r="I117" s="2622"/>
      <c r="J117" s="2622"/>
      <c r="K117" s="2622"/>
      <c r="L117" s="2622"/>
      <c r="M117" s="2622"/>
      <c r="N117" s="2622"/>
      <c r="O117" s="2622"/>
      <c r="P117" s="2622"/>
      <c r="Q117" s="2622"/>
      <c r="R117" s="2622"/>
      <c r="S117" s="2622"/>
      <c r="T117" s="2622"/>
      <c r="U117" s="2622"/>
      <c r="V117" s="2622"/>
      <c r="W117" s="2622"/>
      <c r="X117" s="2622"/>
      <c r="Y117" s="2622"/>
      <c r="Z117" s="2622"/>
      <c r="AA117" s="2622"/>
      <c r="AB117" s="2622"/>
      <c r="AC117" s="2622"/>
      <c r="AD117" s="2622"/>
      <c r="AE117" s="2622"/>
      <c r="AF117" s="2622"/>
      <c r="AG117" s="2622"/>
      <c r="AH117" s="2622"/>
      <c r="AI117" s="2622"/>
      <c r="AJ117" s="2623"/>
      <c r="AK117" s="541"/>
      <c r="AL117" s="541"/>
      <c r="AM117" s="541"/>
      <c r="AN117" s="536"/>
      <c r="AO117" s="537">
        <f>Application!B723</f>
        <v>0</v>
      </c>
      <c r="AQ117" s="537">
        <f>Application!O723</f>
        <v>0</v>
      </c>
      <c r="AU117" s="857" t="str">
        <f>J124</f>
        <v>1-bedroom</v>
      </c>
      <c r="AV117" s="537">
        <f t="array" ref="AV117">SUM(IF(Application!B718:F752="1 Bedroom",Application!G718:J752))</f>
        <v>60</v>
      </c>
      <c r="AW117" s="1012">
        <f>AV117/AV122</f>
        <v>1</v>
      </c>
    </row>
    <row r="118" spans="1:52" s="537" customFormat="1" ht="12.75" customHeight="1">
      <c r="A118" s="541"/>
      <c r="B118" s="540"/>
      <c r="C118" s="540"/>
      <c r="D118" s="540"/>
      <c r="E118" s="2621"/>
      <c r="F118" s="2622"/>
      <c r="G118" s="2622"/>
      <c r="H118" s="2622"/>
      <c r="I118" s="2622"/>
      <c r="J118" s="2622"/>
      <c r="K118" s="2622"/>
      <c r="L118" s="2622"/>
      <c r="M118" s="2622"/>
      <c r="N118" s="2622"/>
      <c r="O118" s="2622"/>
      <c r="P118" s="2622"/>
      <c r="Q118" s="2622"/>
      <c r="R118" s="2622"/>
      <c r="S118" s="2622"/>
      <c r="T118" s="2622"/>
      <c r="U118" s="2622"/>
      <c r="V118" s="2622"/>
      <c r="W118" s="2622"/>
      <c r="X118" s="2622"/>
      <c r="Y118" s="2622"/>
      <c r="Z118" s="2622"/>
      <c r="AA118" s="2622"/>
      <c r="AB118" s="2622"/>
      <c r="AC118" s="2622"/>
      <c r="AD118" s="2622"/>
      <c r="AE118" s="2622"/>
      <c r="AF118" s="2622"/>
      <c r="AG118" s="2622"/>
      <c r="AH118" s="2622"/>
      <c r="AI118" s="2622"/>
      <c r="AJ118" s="2623"/>
      <c r="AK118" s="541"/>
      <c r="AL118" s="541"/>
      <c r="AM118" s="541"/>
      <c r="AN118" s="536"/>
      <c r="AO118" s="537">
        <f>Application!B724</f>
        <v>0</v>
      </c>
      <c r="AQ118" s="537">
        <f>Application!O724</f>
        <v>0</v>
      </c>
      <c r="AU118" s="857" t="str">
        <f>O124</f>
        <v>2-bedroom</v>
      </c>
      <c r="AV118" s="537">
        <f t="array" ref="AV118">SUM(IF(Application!B718:F752="2 Bedrooms",Application!G718:J752))</f>
        <v>0</v>
      </c>
      <c r="AW118" s="1012">
        <f>AV118/AV122</f>
        <v>0</v>
      </c>
    </row>
    <row r="119" spans="1:52" s="537" customFormat="1" ht="12.75" customHeight="1">
      <c r="A119" s="541"/>
      <c r="B119" s="540"/>
      <c r="C119" s="540"/>
      <c r="D119" s="540"/>
      <c r="E119" s="2621"/>
      <c r="F119" s="2622"/>
      <c r="G119" s="2622"/>
      <c r="H119" s="2622"/>
      <c r="I119" s="2622"/>
      <c r="J119" s="2622"/>
      <c r="K119" s="2622"/>
      <c r="L119" s="2622"/>
      <c r="M119" s="2622"/>
      <c r="N119" s="2622"/>
      <c r="O119" s="2622"/>
      <c r="P119" s="2622"/>
      <c r="Q119" s="2622"/>
      <c r="R119" s="2622"/>
      <c r="S119" s="2622"/>
      <c r="T119" s="2622"/>
      <c r="U119" s="2622"/>
      <c r="V119" s="2622"/>
      <c r="W119" s="2622"/>
      <c r="X119" s="2622"/>
      <c r="Y119" s="2622"/>
      <c r="Z119" s="2622"/>
      <c r="AA119" s="2622"/>
      <c r="AB119" s="2622"/>
      <c r="AC119" s="2622"/>
      <c r="AD119" s="2622"/>
      <c r="AE119" s="2622"/>
      <c r="AF119" s="2622"/>
      <c r="AG119" s="2622"/>
      <c r="AH119" s="2622"/>
      <c r="AI119" s="2622"/>
      <c r="AJ119" s="2623"/>
      <c r="AK119" s="541"/>
      <c r="AL119" s="541"/>
      <c r="AM119" s="541"/>
      <c r="AN119" s="536"/>
      <c r="AO119" s="537">
        <f>Application!B725</f>
        <v>0</v>
      </c>
      <c r="AQ119" s="537">
        <f>Application!O725</f>
        <v>0</v>
      </c>
      <c r="AU119" s="857" t="str">
        <f>T124</f>
        <v>3-bedroom</v>
      </c>
      <c r="AV119" s="537">
        <f t="array" ref="AV119">SUM(IF(Application!B718:F752="3 Bedrooms",Application!G718:J752))</f>
        <v>0</v>
      </c>
      <c r="AW119" s="1012">
        <f>AV119/AV122</f>
        <v>0</v>
      </c>
    </row>
    <row r="120" spans="1:52" s="537" customFormat="1" ht="12.75" customHeight="1">
      <c r="A120" s="541"/>
      <c r="B120" s="540"/>
      <c r="C120" s="540"/>
      <c r="D120" s="540"/>
      <c r="E120" s="2621"/>
      <c r="F120" s="2622"/>
      <c r="G120" s="2622"/>
      <c r="H120" s="2622"/>
      <c r="I120" s="2622"/>
      <c r="J120" s="2622"/>
      <c r="K120" s="2622"/>
      <c r="L120" s="2622"/>
      <c r="M120" s="2622"/>
      <c r="N120" s="2622"/>
      <c r="O120" s="2622"/>
      <c r="P120" s="2622"/>
      <c r="Q120" s="2622"/>
      <c r="R120" s="2622"/>
      <c r="S120" s="2622"/>
      <c r="T120" s="2622"/>
      <c r="U120" s="2622"/>
      <c r="V120" s="2622"/>
      <c r="W120" s="2622"/>
      <c r="X120" s="2622"/>
      <c r="Y120" s="2622"/>
      <c r="Z120" s="2622"/>
      <c r="AA120" s="2622"/>
      <c r="AB120" s="2622"/>
      <c r="AC120" s="2622"/>
      <c r="AD120" s="2622"/>
      <c r="AE120" s="2622"/>
      <c r="AF120" s="2622"/>
      <c r="AG120" s="2622"/>
      <c r="AH120" s="2622"/>
      <c r="AI120" s="2622"/>
      <c r="AJ120" s="2623"/>
      <c r="AK120" s="541"/>
      <c r="AL120" s="541"/>
      <c r="AM120" s="541"/>
      <c r="AN120" s="536"/>
      <c r="AO120" s="537">
        <f>Application!B726</f>
        <v>0</v>
      </c>
      <c r="AQ120" s="537">
        <f>Application!O726</f>
        <v>0</v>
      </c>
      <c r="AU120" s="857" t="str">
        <f>Y124</f>
        <v>4-bedroom</v>
      </c>
      <c r="AV120" s="537">
        <f t="array" ref="AV120">SUM(IF(Application!B718:F752="4 Bedrooms",Application!G718:J752))</f>
        <v>0</v>
      </c>
      <c r="AW120" s="1012">
        <f>AV120/AV122</f>
        <v>0</v>
      </c>
    </row>
    <row r="121" spans="1:52" s="537" customFormat="1" ht="12.75" customHeight="1">
      <c r="A121" s="541"/>
      <c r="B121" s="540"/>
      <c r="C121" s="540"/>
      <c r="D121" s="540"/>
      <c r="E121" s="2621"/>
      <c r="F121" s="2622"/>
      <c r="G121" s="2622"/>
      <c r="H121" s="2622"/>
      <c r="I121" s="2622"/>
      <c r="J121" s="2622"/>
      <c r="K121" s="2622"/>
      <c r="L121" s="2622"/>
      <c r="M121" s="2622"/>
      <c r="N121" s="2622"/>
      <c r="O121" s="2622"/>
      <c r="P121" s="2622"/>
      <c r="Q121" s="2622"/>
      <c r="R121" s="2622"/>
      <c r="S121" s="2622"/>
      <c r="T121" s="2622"/>
      <c r="U121" s="2622"/>
      <c r="V121" s="2622"/>
      <c r="W121" s="2622"/>
      <c r="X121" s="2622"/>
      <c r="Y121" s="2622"/>
      <c r="Z121" s="2622"/>
      <c r="AA121" s="2622"/>
      <c r="AB121" s="2622"/>
      <c r="AC121" s="2622"/>
      <c r="AD121" s="2622"/>
      <c r="AE121" s="2622"/>
      <c r="AF121" s="2622"/>
      <c r="AG121" s="2622"/>
      <c r="AH121" s="2622"/>
      <c r="AI121" s="2622"/>
      <c r="AJ121" s="2623"/>
      <c r="AK121" s="541"/>
      <c r="AL121" s="541"/>
      <c r="AM121" s="541"/>
      <c r="AN121" s="536"/>
      <c r="AO121" s="537">
        <f>Application!B727</f>
        <v>0</v>
      </c>
      <c r="AQ121" s="537">
        <f>Application!O727</f>
        <v>0</v>
      </c>
      <c r="AU121" s="857" t="str">
        <f>AD124</f>
        <v>5-bedroom</v>
      </c>
      <c r="AV121" s="537">
        <f t="array" ref="AV121">SUM(IF(Application!B718:F752="5 Bedrooms",Application!G718:J752))</f>
        <v>0</v>
      </c>
      <c r="AW121" s="1012">
        <f>AV121/AV122</f>
        <v>0</v>
      </c>
    </row>
    <row r="122" spans="1:52" s="537" customFormat="1" ht="12.75" customHeight="1">
      <c r="A122" s="541"/>
      <c r="B122" s="540"/>
      <c r="C122" s="540"/>
      <c r="D122" s="540"/>
      <c r="E122" s="2621"/>
      <c r="F122" s="2622"/>
      <c r="G122" s="2622"/>
      <c r="H122" s="2622"/>
      <c r="I122" s="2622"/>
      <c r="J122" s="2622"/>
      <c r="K122" s="2622"/>
      <c r="L122" s="2622"/>
      <c r="M122" s="2622"/>
      <c r="N122" s="2622"/>
      <c r="O122" s="2622"/>
      <c r="P122" s="2622"/>
      <c r="Q122" s="2622"/>
      <c r="R122" s="2622"/>
      <c r="S122" s="2622"/>
      <c r="T122" s="2622"/>
      <c r="U122" s="2622"/>
      <c r="V122" s="2622"/>
      <c r="W122" s="2622"/>
      <c r="X122" s="2622"/>
      <c r="Y122" s="2622"/>
      <c r="Z122" s="2622"/>
      <c r="AA122" s="2622"/>
      <c r="AB122" s="2622"/>
      <c r="AC122" s="2622"/>
      <c r="AD122" s="2622"/>
      <c r="AE122" s="2622"/>
      <c r="AF122" s="2622"/>
      <c r="AG122" s="2622"/>
      <c r="AH122" s="2622"/>
      <c r="AI122" s="2622"/>
      <c r="AJ122" s="2623"/>
      <c r="AK122" s="541"/>
      <c r="AL122" s="541"/>
      <c r="AM122" s="541"/>
      <c r="AN122" s="536"/>
      <c r="AO122" s="537">
        <f>Application!B728</f>
        <v>0</v>
      </c>
      <c r="AQ122" s="537">
        <f>Application!O728</f>
        <v>0</v>
      </c>
      <c r="AV122" s="537">
        <f>SUM(AV116:AV121)</f>
        <v>60</v>
      </c>
      <c r="AW122" s="1012">
        <f>SUM(AW116:AW121)</f>
        <v>1</v>
      </c>
    </row>
    <row r="123" spans="1:52" s="537" customFormat="1" ht="12.75" customHeight="1">
      <c r="A123" s="541"/>
      <c r="B123" s="540"/>
      <c r="C123" s="540"/>
      <c r="D123" s="540"/>
      <c r="E123" s="587"/>
      <c r="F123" s="554"/>
      <c r="G123" s="554"/>
      <c r="H123" s="554"/>
      <c r="I123" s="554"/>
      <c r="J123" s="554"/>
      <c r="K123" s="554"/>
      <c r="L123" s="554"/>
      <c r="M123" s="554"/>
      <c r="N123" s="554"/>
      <c r="O123" s="554"/>
      <c r="P123" s="554"/>
      <c r="Q123" s="554"/>
      <c r="R123" s="554"/>
      <c r="S123" s="554"/>
      <c r="T123" s="554"/>
      <c r="U123" s="554"/>
      <c r="V123" s="554"/>
      <c r="W123" s="554"/>
      <c r="X123" s="554"/>
      <c r="Y123" s="554"/>
      <c r="Z123" s="554"/>
      <c r="AA123" s="554"/>
      <c r="AB123" s="554"/>
      <c r="AC123" s="554"/>
      <c r="AD123" s="554"/>
      <c r="AE123" s="554"/>
      <c r="AF123" s="554"/>
      <c r="AG123" s="554"/>
      <c r="AH123" s="554"/>
      <c r="AI123" s="554"/>
      <c r="AJ123" s="555"/>
      <c r="AK123" s="541"/>
      <c r="AL123" s="541"/>
      <c r="AM123" s="541"/>
      <c r="AN123" s="536"/>
      <c r="AO123" s="537">
        <f>Application!B729</f>
        <v>0</v>
      </c>
      <c r="AQ123" s="537">
        <f>Application!O729</f>
        <v>0</v>
      </c>
    </row>
    <row r="124" spans="1:52" s="537" customFormat="1" ht="12.75" customHeight="1">
      <c r="A124" s="541"/>
      <c r="B124" s="540"/>
      <c r="C124" s="541"/>
      <c r="D124" s="541"/>
      <c r="E124" s="2614" t="s">
        <v>1587</v>
      </c>
      <c r="F124" s="2615"/>
      <c r="G124" s="2615"/>
      <c r="H124" s="2615"/>
      <c r="I124" s="578"/>
      <c r="J124" s="2615" t="s">
        <v>1630</v>
      </c>
      <c r="K124" s="2615"/>
      <c r="L124" s="2615"/>
      <c r="M124" s="2615"/>
      <c r="N124" s="578"/>
      <c r="O124" s="2615" t="s">
        <v>1631</v>
      </c>
      <c r="P124" s="2615"/>
      <c r="Q124" s="2615"/>
      <c r="R124" s="2615"/>
      <c r="S124" s="578"/>
      <c r="T124" s="2615" t="s">
        <v>1333</v>
      </c>
      <c r="U124" s="2615"/>
      <c r="V124" s="2615"/>
      <c r="W124" s="2615"/>
      <c r="X124" s="578"/>
      <c r="Y124" s="2615" t="s">
        <v>1632</v>
      </c>
      <c r="Z124" s="2615"/>
      <c r="AA124" s="2615"/>
      <c r="AB124" s="2615"/>
      <c r="AC124" s="578"/>
      <c r="AD124" s="2615" t="s">
        <v>1633</v>
      </c>
      <c r="AE124" s="2615"/>
      <c r="AF124" s="2615"/>
      <c r="AG124" s="2615"/>
      <c r="AH124" s="578"/>
      <c r="AI124" s="578"/>
      <c r="AJ124" s="580"/>
      <c r="AK124" s="541"/>
      <c r="AL124" s="541"/>
      <c r="AM124" s="541"/>
      <c r="AN124" s="536"/>
      <c r="AO124" s="537">
        <f>Application!B730</f>
        <v>0</v>
      </c>
      <c r="AQ124" s="537">
        <f>Application!O730</f>
        <v>0</v>
      </c>
    </row>
    <row r="125" spans="1:52" s="537" customFormat="1" ht="12.75" customHeight="1">
      <c r="A125" s="541"/>
      <c r="B125" s="540"/>
      <c r="C125" s="541"/>
      <c r="D125" s="541"/>
      <c r="E125" s="866"/>
      <c r="F125" s="864"/>
      <c r="G125" s="864"/>
      <c r="H125" s="864"/>
      <c r="I125" s="578"/>
      <c r="J125" s="864"/>
      <c r="K125" s="864"/>
      <c r="L125" s="864"/>
      <c r="M125" s="864"/>
      <c r="N125" s="578"/>
      <c r="O125" s="864"/>
      <c r="P125" s="864"/>
      <c r="Q125" s="864"/>
      <c r="R125" s="864"/>
      <c r="S125" s="578"/>
      <c r="T125" s="864"/>
      <c r="U125" s="864"/>
      <c r="V125" s="864"/>
      <c r="W125" s="864"/>
      <c r="X125" s="578"/>
      <c r="Y125" s="864"/>
      <c r="Z125" s="864"/>
      <c r="AA125" s="864"/>
      <c r="AB125" s="864"/>
      <c r="AC125" s="578"/>
      <c r="AD125" s="864"/>
      <c r="AE125" s="864"/>
      <c r="AF125" s="864"/>
      <c r="AG125" s="864"/>
      <c r="AH125" s="578"/>
      <c r="AI125" s="578"/>
      <c r="AJ125" s="580"/>
      <c r="AK125" s="541"/>
      <c r="AL125" s="541"/>
      <c r="AM125" s="541"/>
      <c r="AN125" s="536"/>
      <c r="AO125" s="537">
        <f>Application!B731</f>
        <v>0</v>
      </c>
      <c r="AQ125" s="537">
        <f>Application!O731</f>
        <v>0</v>
      </c>
    </row>
    <row r="126" spans="1:52" s="537" customFormat="1" ht="12.75" customHeight="1">
      <c r="A126" s="541"/>
      <c r="B126" s="540"/>
      <c r="C126" s="541"/>
      <c r="D126" s="541"/>
      <c r="E126" s="867" t="s">
        <v>1634</v>
      </c>
      <c r="F126" s="864"/>
      <c r="G126" s="864"/>
      <c r="H126" s="864"/>
      <c r="I126" s="578"/>
      <c r="J126" s="864"/>
      <c r="K126" s="864"/>
      <c r="L126" s="864"/>
      <c r="M126" s="864"/>
      <c r="N126" s="578"/>
      <c r="O126" s="864"/>
      <c r="P126" s="864"/>
      <c r="Q126" s="864"/>
      <c r="R126" s="864"/>
      <c r="S126" s="578"/>
      <c r="T126" s="864"/>
      <c r="U126" s="864"/>
      <c r="V126" s="864"/>
      <c r="W126" s="864"/>
      <c r="X126" s="578"/>
      <c r="Y126" s="864"/>
      <c r="Z126" s="864"/>
      <c r="AA126" s="864"/>
      <c r="AB126" s="864"/>
      <c r="AC126" s="578"/>
      <c r="AD126" s="864"/>
      <c r="AE126" s="864"/>
      <c r="AF126" s="864"/>
      <c r="AG126" s="864"/>
      <c r="AH126" s="578"/>
      <c r="AI126" s="578"/>
      <c r="AJ126" s="580"/>
      <c r="AK126" s="541"/>
      <c r="AL126" s="541"/>
      <c r="AM126" s="541"/>
      <c r="AN126" s="536"/>
      <c r="AO126" s="537">
        <f>Application!B732</f>
        <v>0</v>
      </c>
      <c r="AQ126" s="537">
        <f>Application!O732</f>
        <v>0</v>
      </c>
    </row>
    <row r="127" spans="1:52" s="537" customFormat="1" ht="12.75" customHeight="1">
      <c r="A127" s="541"/>
      <c r="B127" s="540"/>
      <c r="C127" s="541"/>
      <c r="D127" s="541"/>
      <c r="E127" s="2616"/>
      <c r="F127" s="2617"/>
      <c r="G127" s="2617"/>
      <c r="H127" s="2617"/>
      <c r="I127" s="865"/>
      <c r="J127" s="2617">
        <v>1864</v>
      </c>
      <c r="K127" s="2617"/>
      <c r="L127" s="2617"/>
      <c r="M127" s="2617"/>
      <c r="N127" s="865"/>
      <c r="O127" s="2617"/>
      <c r="P127" s="2617"/>
      <c r="Q127" s="2617"/>
      <c r="R127" s="2617"/>
      <c r="S127" s="865"/>
      <c r="T127" s="2617"/>
      <c r="U127" s="2617"/>
      <c r="V127" s="2617"/>
      <c r="W127" s="2617"/>
      <c r="X127" s="865"/>
      <c r="Y127" s="2617"/>
      <c r="Z127" s="2617"/>
      <c r="AA127" s="2617"/>
      <c r="AB127" s="2617"/>
      <c r="AC127" s="865"/>
      <c r="AD127" s="2617"/>
      <c r="AE127" s="2617"/>
      <c r="AF127" s="2617"/>
      <c r="AG127" s="2617"/>
      <c r="AH127" s="578"/>
      <c r="AI127" s="578"/>
      <c r="AJ127" s="580"/>
      <c r="AK127" s="541"/>
      <c r="AL127" s="541"/>
      <c r="AM127" s="541"/>
      <c r="AN127" s="536"/>
      <c r="AO127" s="537">
        <f>Application!B733</f>
        <v>0</v>
      </c>
      <c r="AQ127" s="537">
        <f>Application!O733</f>
        <v>0</v>
      </c>
    </row>
    <row r="128" spans="1:52" s="537" customFormat="1" ht="12.75" customHeight="1">
      <c r="A128" s="541"/>
      <c r="B128" s="540"/>
      <c r="C128" s="541"/>
      <c r="D128" s="541"/>
      <c r="E128" s="866"/>
      <c r="F128" s="864"/>
      <c r="G128" s="864"/>
      <c r="H128" s="864"/>
      <c r="I128" s="578"/>
      <c r="J128" s="864"/>
      <c r="K128" s="864"/>
      <c r="L128" s="864"/>
      <c r="M128" s="864"/>
      <c r="N128" s="578"/>
      <c r="O128" s="864"/>
      <c r="P128" s="864"/>
      <c r="Q128" s="864"/>
      <c r="R128" s="864"/>
      <c r="S128" s="578"/>
      <c r="T128" s="864"/>
      <c r="U128" s="864"/>
      <c r="V128" s="864"/>
      <c r="W128" s="864"/>
      <c r="X128" s="578"/>
      <c r="Y128" s="864"/>
      <c r="Z128" s="864"/>
      <c r="AA128" s="864"/>
      <c r="AB128" s="864"/>
      <c r="AC128" s="578"/>
      <c r="AD128" s="864"/>
      <c r="AE128" s="864"/>
      <c r="AF128" s="864"/>
      <c r="AG128" s="864"/>
      <c r="AH128" s="578"/>
      <c r="AI128" s="578"/>
      <c r="AJ128" s="580"/>
      <c r="AK128" s="541"/>
      <c r="AL128" s="541"/>
      <c r="AM128" s="541"/>
      <c r="AN128" s="536"/>
      <c r="AO128" s="537">
        <f>Application!B734</f>
        <v>0</v>
      </c>
      <c r="AQ128" s="537">
        <f>Application!O734</f>
        <v>0</v>
      </c>
      <c r="AU128" s="1010"/>
      <c r="AV128" s="1010"/>
      <c r="AW128" s="1010"/>
      <c r="AX128" s="1010"/>
      <c r="AY128" s="1010"/>
      <c r="AZ128" s="1010"/>
    </row>
    <row r="129" spans="1:52" s="537" customFormat="1" ht="12.75" customHeight="1">
      <c r="A129" s="541"/>
      <c r="B129" s="540"/>
      <c r="C129" s="541"/>
      <c r="D129" s="541"/>
      <c r="E129" s="867" t="s">
        <v>1843</v>
      </c>
      <c r="F129" s="864"/>
      <c r="G129" s="864"/>
      <c r="H129" s="864"/>
      <c r="I129" s="578"/>
      <c r="J129" s="864"/>
      <c r="K129" s="864"/>
      <c r="L129" s="864"/>
      <c r="M129" s="864"/>
      <c r="N129" s="578"/>
      <c r="O129" s="864"/>
      <c r="P129" s="864"/>
      <c r="Q129" s="864"/>
      <c r="R129" s="864"/>
      <c r="S129" s="578"/>
      <c r="T129" s="864"/>
      <c r="U129" s="864"/>
      <c r="V129" s="864"/>
      <c r="W129" s="864"/>
      <c r="X129" s="578"/>
      <c r="Y129" s="864"/>
      <c r="Z129" s="864"/>
      <c r="AA129" s="864"/>
      <c r="AB129" s="864"/>
      <c r="AC129" s="578"/>
      <c r="AD129" s="864"/>
      <c r="AE129" s="864"/>
      <c r="AF129" s="864"/>
      <c r="AG129" s="864"/>
      <c r="AH129" s="578"/>
      <c r="AI129" s="578"/>
      <c r="AJ129" s="580"/>
      <c r="AK129" s="541"/>
      <c r="AL129" s="541"/>
      <c r="AM129" s="541"/>
      <c r="AN129" s="536"/>
      <c r="AO129" s="537">
        <f>Application!B735</f>
        <v>0</v>
      </c>
      <c r="AQ129" s="537">
        <f>Application!O735</f>
        <v>0</v>
      </c>
      <c r="AU129" s="1010"/>
      <c r="AV129" s="1010"/>
      <c r="AW129" s="1010"/>
      <c r="AX129" s="1010"/>
      <c r="AY129" s="1010"/>
      <c r="AZ129" s="1010"/>
    </row>
    <row r="130" spans="1:52" s="537" customFormat="1" ht="12.75" customHeight="1">
      <c r="A130" s="541"/>
      <c r="B130" s="540"/>
      <c r="C130" s="541"/>
      <c r="D130" s="541"/>
      <c r="E130" s="2624">
        <f>Application!DX670</f>
        <v>0</v>
      </c>
      <c r="F130" s="2625"/>
      <c r="G130" s="2625"/>
      <c r="H130" s="2625"/>
      <c r="I130" s="865"/>
      <c r="J130" s="2625">
        <f>Application!EC670</f>
        <v>1010</v>
      </c>
      <c r="K130" s="2625"/>
      <c r="L130" s="2625"/>
      <c r="M130" s="2625"/>
      <c r="N130" s="865"/>
      <c r="O130" s="2625">
        <f>Application!EH670</f>
        <v>0</v>
      </c>
      <c r="P130" s="2625"/>
      <c r="Q130" s="2625"/>
      <c r="R130" s="2625"/>
      <c r="S130" s="869"/>
      <c r="T130" s="2625">
        <f>Application!EM670</f>
        <v>0</v>
      </c>
      <c r="U130" s="2625"/>
      <c r="V130" s="2625"/>
      <c r="W130" s="2625"/>
      <c r="X130" s="869"/>
      <c r="Y130" s="2625">
        <f>Application!ER670</f>
        <v>0</v>
      </c>
      <c r="Z130" s="2625"/>
      <c r="AA130" s="2625"/>
      <c r="AB130" s="2625"/>
      <c r="AC130" s="869"/>
      <c r="AD130" s="2625">
        <f>Application!EW670</f>
        <v>0</v>
      </c>
      <c r="AE130" s="2625"/>
      <c r="AF130" s="2625"/>
      <c r="AG130" s="2625"/>
      <c r="AH130" s="578"/>
      <c r="AI130" s="578"/>
      <c r="AJ130" s="580"/>
      <c r="AK130" s="541"/>
      <c r="AL130" s="541"/>
      <c r="AM130" s="541"/>
      <c r="AN130" s="536"/>
      <c r="AO130" s="537">
        <f>Application!B736</f>
        <v>0</v>
      </c>
      <c r="AQ130" s="537">
        <f>Application!O736</f>
        <v>0</v>
      </c>
      <c r="AU130" s="1010"/>
      <c r="AV130" s="1010"/>
      <c r="AW130" s="1011"/>
      <c r="AX130" s="1011"/>
      <c r="AY130" s="1010"/>
      <c r="AZ130" s="1010"/>
    </row>
    <row r="131" spans="1:52" s="537" customFormat="1" ht="12.75" customHeight="1">
      <c r="A131" s="541"/>
      <c r="B131" s="540"/>
      <c r="C131" s="541"/>
      <c r="D131" s="541"/>
      <c r="E131" s="868"/>
      <c r="F131" s="864"/>
      <c r="G131" s="864"/>
      <c r="H131" s="864"/>
      <c r="I131" s="578"/>
      <c r="J131" s="581"/>
      <c r="K131" s="578"/>
      <c r="L131" s="578"/>
      <c r="M131" s="578"/>
      <c r="N131" s="578"/>
      <c r="O131" s="578"/>
      <c r="P131" s="578"/>
      <c r="Q131" s="578"/>
      <c r="R131" s="578"/>
      <c r="S131" s="578"/>
      <c r="T131" s="578"/>
      <c r="U131" s="578"/>
      <c r="V131" s="578"/>
      <c r="W131" s="578"/>
      <c r="X131" s="578"/>
      <c r="Y131" s="578"/>
      <c r="Z131" s="578"/>
      <c r="AA131" s="578"/>
      <c r="AB131" s="578"/>
      <c r="AC131" s="578"/>
      <c r="AD131" s="578"/>
      <c r="AE131" s="578"/>
      <c r="AF131" s="578"/>
      <c r="AG131" s="578"/>
      <c r="AH131" s="578"/>
      <c r="AI131" s="578"/>
      <c r="AJ131" s="580"/>
      <c r="AK131" s="541"/>
      <c r="AL131" s="541"/>
      <c r="AM131" s="541"/>
      <c r="AN131" s="536"/>
      <c r="AO131" s="537">
        <f>Application!B737</f>
        <v>0</v>
      </c>
      <c r="AQ131" s="537">
        <f>Application!O737</f>
        <v>0</v>
      </c>
      <c r="AU131" s="1010"/>
      <c r="AV131" s="1010"/>
      <c r="AW131" s="1011"/>
      <c r="AX131" s="1011"/>
      <c r="AY131" s="1010"/>
      <c r="AZ131" s="1010"/>
    </row>
    <row r="132" spans="1:52" s="537" customFormat="1" ht="12.75" customHeight="1">
      <c r="A132" s="541"/>
      <c r="B132" s="540"/>
      <c r="C132" s="541"/>
      <c r="D132" s="541"/>
      <c r="E132" s="867" t="s">
        <v>1844</v>
      </c>
      <c r="F132" s="864"/>
      <c r="G132" s="864"/>
      <c r="H132" s="864"/>
      <c r="I132" s="578"/>
      <c r="J132" s="581"/>
      <c r="K132" s="578"/>
      <c r="L132" s="578"/>
      <c r="M132" s="578"/>
      <c r="N132" s="578"/>
      <c r="O132" s="578"/>
      <c r="P132" s="578"/>
      <c r="Q132" s="578"/>
      <c r="R132" s="578"/>
      <c r="S132" s="578"/>
      <c r="T132" s="578"/>
      <c r="U132" s="578"/>
      <c r="V132" s="578"/>
      <c r="W132" s="578"/>
      <c r="X132" s="578"/>
      <c r="Y132" s="578"/>
      <c r="Z132" s="578"/>
      <c r="AA132" s="578"/>
      <c r="AB132" s="578"/>
      <c r="AC132" s="578"/>
      <c r="AD132" s="578"/>
      <c r="AE132" s="578"/>
      <c r="AF132" s="578"/>
      <c r="AG132" s="578"/>
      <c r="AH132" s="578"/>
      <c r="AI132" s="578"/>
      <c r="AJ132" s="580"/>
      <c r="AK132" s="541"/>
      <c r="AL132" s="541"/>
      <c r="AM132" s="541"/>
      <c r="AN132" s="536"/>
      <c r="AO132" s="537">
        <f>Application!B738</f>
        <v>0</v>
      </c>
      <c r="AQ132" s="537">
        <f>Application!O738</f>
        <v>0</v>
      </c>
      <c r="AU132" s="1010"/>
      <c r="AV132" s="1010"/>
      <c r="AW132" s="1011"/>
      <c r="AX132" s="1011"/>
      <c r="AY132" s="1010"/>
      <c r="AZ132" s="1010"/>
    </row>
    <row r="133" spans="1:52" s="537" customFormat="1" ht="12.75" customHeight="1">
      <c r="A133" s="541"/>
      <c r="B133" s="540"/>
      <c r="C133" s="541"/>
      <c r="D133" s="541"/>
      <c r="E133" s="2419" t="e">
        <f>(E127-E130)/E127</f>
        <v>#DIV/0!</v>
      </c>
      <c r="F133" s="2420"/>
      <c r="G133" s="2420"/>
      <c r="H133" s="2421"/>
      <c r="I133" s="578"/>
      <c r="J133" s="2419">
        <f>(J127-J130)/J127</f>
        <v>0.45815450643776823</v>
      </c>
      <c r="K133" s="2420"/>
      <c r="L133" s="2420"/>
      <c r="M133" s="2421"/>
      <c r="N133" s="578"/>
      <c r="O133" s="2419" t="e">
        <f>(O127-O130)/O127</f>
        <v>#DIV/0!</v>
      </c>
      <c r="P133" s="2420"/>
      <c r="Q133" s="2420"/>
      <c r="R133" s="2421"/>
      <c r="S133" s="578"/>
      <c r="T133" s="2419" t="e">
        <f>(T127-T130)/T127</f>
        <v>#DIV/0!</v>
      </c>
      <c r="U133" s="2420"/>
      <c r="V133" s="2420"/>
      <c r="W133" s="2421"/>
      <c r="X133" s="578"/>
      <c r="Y133" s="2419" t="e">
        <f>(Y127-Y130)/Y127</f>
        <v>#DIV/0!</v>
      </c>
      <c r="Z133" s="2420"/>
      <c r="AA133" s="2420"/>
      <c r="AB133" s="2421"/>
      <c r="AC133" s="578"/>
      <c r="AD133" s="2419" t="e">
        <f>(AD127-AD130)/AD127</f>
        <v>#DIV/0!</v>
      </c>
      <c r="AE133" s="2420"/>
      <c r="AF133" s="2420"/>
      <c r="AG133" s="2421"/>
      <c r="AH133" s="578"/>
      <c r="AI133" s="578"/>
      <c r="AJ133" s="580"/>
      <c r="AK133" s="541"/>
      <c r="AL133" s="541"/>
      <c r="AM133" s="541"/>
      <c r="AN133" s="536"/>
      <c r="AO133" s="537">
        <f>Application!B739</f>
        <v>0</v>
      </c>
      <c r="AQ133" s="537">
        <f>Application!O739</f>
        <v>0</v>
      </c>
      <c r="AU133" s="1010"/>
      <c r="AV133" s="1010"/>
      <c r="AW133" s="1011"/>
      <c r="AX133" s="1011"/>
      <c r="AY133" s="1010"/>
      <c r="AZ133" s="1010"/>
    </row>
    <row r="134" spans="1:52" s="537" customFormat="1" ht="12.75" customHeight="1">
      <c r="A134" s="541"/>
      <c r="B134" s="540"/>
      <c r="C134" s="541"/>
      <c r="D134" s="541"/>
      <c r="E134" s="1005"/>
      <c r="F134" s="1004"/>
      <c r="G134" s="1004"/>
      <c r="H134" s="1004"/>
      <c r="I134" s="578"/>
      <c r="J134" s="1004"/>
      <c r="K134" s="1004"/>
      <c r="L134" s="1004"/>
      <c r="M134" s="1004"/>
      <c r="N134" s="578"/>
      <c r="O134" s="1004"/>
      <c r="P134" s="1004"/>
      <c r="Q134" s="1004"/>
      <c r="R134" s="1004"/>
      <c r="S134" s="578"/>
      <c r="T134" s="1004"/>
      <c r="U134" s="1004"/>
      <c r="V134" s="1004"/>
      <c r="W134" s="1004"/>
      <c r="X134" s="578"/>
      <c r="Y134" s="1004"/>
      <c r="Z134" s="1004"/>
      <c r="AA134" s="1004"/>
      <c r="AB134" s="1004"/>
      <c r="AC134" s="578"/>
      <c r="AD134" s="1004"/>
      <c r="AE134" s="1004"/>
      <c r="AF134" s="1004"/>
      <c r="AG134" s="1004"/>
      <c r="AH134" s="578"/>
      <c r="AI134" s="578"/>
      <c r="AJ134" s="580"/>
      <c r="AK134" s="541"/>
      <c r="AL134" s="541"/>
      <c r="AM134" s="541"/>
      <c r="AN134" s="536"/>
      <c r="AO134" s="537">
        <f>Application!B740</f>
        <v>0</v>
      </c>
      <c r="AQ134" s="537">
        <f>Application!O740</f>
        <v>0</v>
      </c>
      <c r="AU134" s="1010"/>
      <c r="AV134" s="1010"/>
      <c r="AW134" s="1011"/>
      <c r="AX134" s="1011"/>
      <c r="AY134" s="1010"/>
      <c r="AZ134" s="1010"/>
    </row>
    <row r="135" spans="1:52" s="537" customFormat="1" ht="12.75" customHeight="1">
      <c r="A135" s="541"/>
      <c r="B135" s="540"/>
      <c r="C135" s="541"/>
      <c r="D135" s="541"/>
      <c r="E135" s="1006" t="s">
        <v>1845</v>
      </c>
      <c r="F135" s="1004"/>
      <c r="G135" s="1004"/>
      <c r="H135" s="1004"/>
      <c r="I135" s="578"/>
      <c r="J135" s="1004"/>
      <c r="K135" s="1004"/>
      <c r="L135" s="1004"/>
      <c r="M135" s="1004"/>
      <c r="N135" s="578"/>
      <c r="O135" s="1004"/>
      <c r="P135" s="1004"/>
      <c r="Q135" s="1004"/>
      <c r="R135" s="1004"/>
      <c r="S135" s="578"/>
      <c r="T135" s="1004"/>
      <c r="U135" s="1004"/>
      <c r="V135" s="1004"/>
      <c r="W135" s="1004"/>
      <c r="X135" s="578"/>
      <c r="Y135" s="1004"/>
      <c r="Z135" s="1004"/>
      <c r="AA135" s="1004"/>
      <c r="AB135" s="1004"/>
      <c r="AC135" s="578"/>
      <c r="AD135" s="1004"/>
      <c r="AE135" s="1004"/>
      <c r="AF135" s="1004"/>
      <c r="AG135" s="1004"/>
      <c r="AH135" s="578"/>
      <c r="AI135" s="578"/>
      <c r="AJ135" s="580"/>
      <c r="AK135" s="541"/>
      <c r="AL135" s="541"/>
      <c r="AM135" s="541"/>
      <c r="AN135" s="536"/>
      <c r="AO135" s="537">
        <f>Application!B741</f>
        <v>0</v>
      </c>
      <c r="AQ135" s="537">
        <f>Application!O741</f>
        <v>0</v>
      </c>
      <c r="AU135" s="1011"/>
      <c r="AV135" s="1010"/>
      <c r="AW135" s="1011"/>
      <c r="AX135" s="1011"/>
      <c r="AY135" s="1010"/>
      <c r="AZ135" s="1010"/>
    </row>
    <row r="136" spans="1:52" s="537" customFormat="1" ht="12.75" customHeight="1">
      <c r="A136" s="541"/>
      <c r="B136" s="540"/>
      <c r="C136" s="541"/>
      <c r="D136" s="541"/>
      <c r="E136" s="2627" t="e">
        <f>IF(((E133-0.1)*AW116)&gt;0,((E133-0.1)*AW116),0)</f>
        <v>#DIV/0!</v>
      </c>
      <c r="F136" s="2628"/>
      <c r="G136" s="2628"/>
      <c r="H136" s="2629"/>
      <c r="I136" s="578"/>
      <c r="J136" s="2627">
        <f>IF(((J133-0.1)*AW117)&gt;0,((J133-0.1)*AW117),0)</f>
        <v>0.35815450643776825</v>
      </c>
      <c r="K136" s="2628"/>
      <c r="L136" s="2628"/>
      <c r="M136" s="2629"/>
      <c r="N136" s="578"/>
      <c r="O136" s="2627" t="e">
        <f>IF(((O133-0.1)*AW118)&gt;0,((O133-0.1)*AW118),0)</f>
        <v>#DIV/0!</v>
      </c>
      <c r="P136" s="2628"/>
      <c r="Q136" s="2628"/>
      <c r="R136" s="2629"/>
      <c r="S136" s="578"/>
      <c r="T136" s="2627" t="e">
        <f>IF(((T133-0.1)*AW119)&gt;0,((T133-0.1)*AW119),0)</f>
        <v>#DIV/0!</v>
      </c>
      <c r="U136" s="2628"/>
      <c r="V136" s="2628"/>
      <c r="W136" s="2629"/>
      <c r="X136" s="578"/>
      <c r="Y136" s="2627" t="e">
        <f>IF(((Y133-0.1)*AW120)&gt;0,((Y133-0.1)*AW120),0)</f>
        <v>#DIV/0!</v>
      </c>
      <c r="Z136" s="2628"/>
      <c r="AA136" s="2628"/>
      <c r="AB136" s="2629"/>
      <c r="AC136" s="578"/>
      <c r="AD136" s="2627" t="e">
        <f>IF(((AD133-0.1)*AW121)&gt;0,((AD133-0.1)*AW121),0)</f>
        <v>#DIV/0!</v>
      </c>
      <c r="AE136" s="2628"/>
      <c r="AF136" s="2628"/>
      <c r="AG136" s="2629"/>
      <c r="AH136" s="578"/>
      <c r="AI136" s="578"/>
      <c r="AJ136" s="580"/>
      <c r="AK136" s="541"/>
      <c r="AL136" s="541"/>
      <c r="AM136" s="541"/>
      <c r="AN136" s="536"/>
      <c r="AO136" s="537">
        <f>Application!B752</f>
        <v>0</v>
      </c>
      <c r="AQ136" s="537">
        <f>Application!O752</f>
        <v>0</v>
      </c>
      <c r="AU136" s="1010"/>
      <c r="AV136" s="1010"/>
      <c r="AW136" s="1010"/>
      <c r="AX136" s="1011"/>
      <c r="AY136" s="1010"/>
      <c r="AZ136" s="1010"/>
    </row>
    <row r="137" spans="1:52" s="537" customFormat="1" ht="12.75" customHeight="1">
      <c r="A137" s="541"/>
      <c r="B137" s="540"/>
      <c r="C137" s="541"/>
      <c r="D137" s="541"/>
      <c r="E137" s="868"/>
      <c r="F137" s="864"/>
      <c r="G137" s="864"/>
      <c r="H137" s="864"/>
      <c r="I137" s="578"/>
      <c r="J137" s="581"/>
      <c r="K137" s="578"/>
      <c r="L137" s="578"/>
      <c r="M137" s="578"/>
      <c r="N137" s="578"/>
      <c r="O137" s="578"/>
      <c r="P137" s="578"/>
      <c r="Q137" s="578"/>
      <c r="R137" s="578"/>
      <c r="S137" s="578"/>
      <c r="T137" s="578"/>
      <c r="U137" s="578"/>
      <c r="V137" s="578"/>
      <c r="W137" s="578"/>
      <c r="X137" s="578"/>
      <c r="Y137" s="578"/>
      <c r="Z137" s="578"/>
      <c r="AA137" s="578"/>
      <c r="AB137" s="578"/>
      <c r="AC137" s="578"/>
      <c r="AD137" s="578"/>
      <c r="AE137" s="578"/>
      <c r="AF137" s="578"/>
      <c r="AG137" s="578"/>
      <c r="AH137" s="578"/>
      <c r="AI137" s="578"/>
      <c r="AJ137" s="580"/>
      <c r="AK137" s="541"/>
      <c r="AL137" s="541"/>
      <c r="AM137" s="541"/>
      <c r="AN137" s="536"/>
      <c r="AU137" s="1010"/>
      <c r="AV137" s="1010"/>
      <c r="AW137" s="1010"/>
      <c r="AX137" s="1010"/>
      <c r="AY137" s="1010"/>
      <c r="AZ137" s="1010"/>
    </row>
    <row r="138" spans="1:52" s="537" customFormat="1" ht="12.75" customHeight="1">
      <c r="A138" s="541"/>
      <c r="B138" s="540"/>
      <c r="C138" s="541"/>
      <c r="D138" s="541"/>
      <c r="E138" s="2419">
        <f>ROUNDDOWN(SUMIF(E136:AG136,"&gt;0"),2)</f>
        <v>0.35</v>
      </c>
      <c r="F138" s="2420"/>
      <c r="G138" s="2420"/>
      <c r="H138" s="2421"/>
      <c r="I138" s="578"/>
      <c r="J138" s="581" t="s">
        <v>1846</v>
      </c>
      <c r="K138" s="578"/>
      <c r="L138" s="578"/>
      <c r="M138" s="578"/>
      <c r="N138" s="578"/>
      <c r="O138" s="578"/>
      <c r="P138" s="578"/>
      <c r="Q138" s="578"/>
      <c r="R138" s="578"/>
      <c r="S138" s="578"/>
      <c r="T138" s="578"/>
      <c r="U138" s="578"/>
      <c r="V138" s="578"/>
      <c r="W138" s="578"/>
      <c r="X138" s="578"/>
      <c r="Y138" s="578"/>
      <c r="Z138" s="578"/>
      <c r="AA138" s="578"/>
      <c r="AB138" s="578"/>
      <c r="AC138" s="578"/>
      <c r="AD138" s="870"/>
      <c r="AE138" s="870"/>
      <c r="AF138" s="870"/>
      <c r="AG138" s="870"/>
      <c r="AH138" s="578"/>
      <c r="AI138" s="578"/>
      <c r="AJ138" s="580"/>
      <c r="AK138" s="541"/>
      <c r="AL138" s="541"/>
      <c r="AM138" s="541"/>
      <c r="AN138" s="536"/>
      <c r="AU138" s="1010"/>
      <c r="AV138" s="1010"/>
      <c r="AW138" s="1010"/>
      <c r="AX138" s="1011"/>
      <c r="AY138" s="1010"/>
      <c r="AZ138" s="1010"/>
    </row>
    <row r="139" spans="1:52" s="537" customFormat="1" ht="12.75" customHeight="1">
      <c r="A139" s="541"/>
      <c r="B139" s="540"/>
      <c r="C139" s="541"/>
      <c r="D139" s="541"/>
      <c r="E139" s="2599">
        <f>IF((E138*100)&gt;10,10,E138*100)</f>
        <v>10</v>
      </c>
      <c r="F139" s="2600"/>
      <c r="G139" s="2600"/>
      <c r="H139" s="2601"/>
      <c r="I139" s="578"/>
      <c r="J139" s="581" t="s">
        <v>1327</v>
      </c>
      <c r="K139" s="578"/>
      <c r="L139" s="578"/>
      <c r="M139" s="578"/>
      <c r="N139" s="578"/>
      <c r="O139" s="578"/>
      <c r="P139" s="578"/>
      <c r="Q139" s="578"/>
      <c r="R139" s="578"/>
      <c r="S139" s="578"/>
      <c r="T139" s="578"/>
      <c r="U139" s="578"/>
      <c r="V139" s="578"/>
      <c r="W139" s="578"/>
      <c r="X139" s="578"/>
      <c r="Y139" s="578"/>
      <c r="Z139" s="578"/>
      <c r="AA139" s="578"/>
      <c r="AB139" s="578"/>
      <c r="AC139" s="578"/>
      <c r="AD139" s="578"/>
      <c r="AE139" s="578"/>
      <c r="AF139" s="578"/>
      <c r="AG139" s="578"/>
      <c r="AH139" s="578"/>
      <c r="AI139" s="578"/>
      <c r="AJ139" s="580"/>
      <c r="AK139" s="541"/>
      <c r="AL139" s="541"/>
      <c r="AM139" s="541"/>
      <c r="AN139" s="536"/>
      <c r="AU139" s="1010"/>
      <c r="AV139" s="1010"/>
      <c r="AW139" s="1010"/>
      <c r="AX139" s="1010"/>
      <c r="AY139" s="1010"/>
      <c r="AZ139" s="1010"/>
    </row>
    <row r="140" spans="1:52" s="537" customFormat="1" ht="12.75" customHeight="1">
      <c r="A140" s="541"/>
      <c r="B140" s="541"/>
      <c r="C140" s="541"/>
      <c r="D140" s="541"/>
      <c r="E140" s="589"/>
      <c r="F140" s="590"/>
      <c r="G140" s="590"/>
      <c r="H140" s="590"/>
      <c r="I140" s="590"/>
      <c r="J140" s="590"/>
      <c r="K140" s="590"/>
      <c r="L140" s="590"/>
      <c r="M140" s="590"/>
      <c r="N140" s="590"/>
      <c r="O140" s="590"/>
      <c r="P140" s="590"/>
      <c r="Q140" s="590"/>
      <c r="R140" s="590"/>
      <c r="S140" s="590"/>
      <c r="T140" s="590"/>
      <c r="U140" s="590"/>
      <c r="V140" s="590"/>
      <c r="W140" s="590"/>
      <c r="X140" s="590"/>
      <c r="Y140" s="590"/>
      <c r="Z140" s="590"/>
      <c r="AA140" s="590"/>
      <c r="AB140" s="590"/>
      <c r="AC140" s="590"/>
      <c r="AD140" s="590"/>
      <c r="AE140" s="590"/>
      <c r="AF140" s="590"/>
      <c r="AG140" s="590"/>
      <c r="AH140" s="590"/>
      <c r="AI140" s="590"/>
      <c r="AJ140" s="591"/>
      <c r="AK140" s="541"/>
      <c r="AL140" s="541"/>
      <c r="AM140" s="541"/>
      <c r="AN140" s="536"/>
      <c r="AT140" s="1003"/>
      <c r="AU140" s="1010"/>
      <c r="AV140" s="1010"/>
      <c r="AW140" s="1011"/>
      <c r="AX140" s="1010"/>
      <c r="AY140" s="1010"/>
      <c r="AZ140" s="1010"/>
    </row>
    <row r="141" spans="1:52" s="537" customFormat="1" ht="12.75" customHeight="1">
      <c r="A141" s="541"/>
      <c r="B141" s="541"/>
      <c r="C141" s="541"/>
      <c r="D141" s="541"/>
      <c r="E141" s="541"/>
      <c r="F141" s="541"/>
      <c r="G141" s="541"/>
      <c r="H141" s="541"/>
      <c r="I141" s="541"/>
      <c r="J141" s="541"/>
      <c r="K141" s="541"/>
      <c r="L141" s="541"/>
      <c r="M141" s="541"/>
      <c r="N141" s="541"/>
      <c r="O141" s="541"/>
      <c r="P141" s="541"/>
      <c r="Q141" s="541"/>
      <c r="R141" s="541"/>
      <c r="S141" s="541"/>
      <c r="T141" s="541"/>
      <c r="U141" s="541"/>
      <c r="V141" s="541"/>
      <c r="W141" s="541"/>
      <c r="X141" s="541"/>
      <c r="Y141" s="541"/>
      <c r="Z141" s="541"/>
      <c r="AA141" s="541"/>
      <c r="AB141" s="541"/>
      <c r="AC141" s="541"/>
      <c r="AD141" s="541"/>
      <c r="AE141" s="541"/>
      <c r="AF141" s="541"/>
      <c r="AG141" s="541"/>
      <c r="AH141" s="541"/>
      <c r="AI141" s="541"/>
      <c r="AJ141" s="541"/>
      <c r="AK141" s="541"/>
      <c r="AL141" s="541"/>
      <c r="AM141" s="541"/>
      <c r="AN141" s="536"/>
      <c r="AU141" s="1010"/>
      <c r="AV141" s="1010"/>
      <c r="AW141" s="1010"/>
      <c r="AX141" s="1010"/>
      <c r="AY141" s="1010"/>
      <c r="AZ141" s="1010"/>
    </row>
    <row r="142" spans="1:52" s="537" customFormat="1" ht="12.75" customHeight="1">
      <c r="A142" s="541"/>
      <c r="B142" s="541"/>
      <c r="C142" s="541"/>
      <c r="D142" s="541"/>
      <c r="E142" s="541"/>
      <c r="F142" s="541"/>
      <c r="G142" s="541"/>
      <c r="H142" s="541"/>
      <c r="I142" s="541"/>
      <c r="J142" s="541"/>
      <c r="K142" s="541"/>
      <c r="L142" s="541"/>
      <c r="M142" s="541"/>
      <c r="N142" s="541"/>
      <c r="O142" s="541"/>
      <c r="P142" s="541"/>
      <c r="Q142" s="541"/>
      <c r="R142" s="541"/>
      <c r="S142" s="541"/>
      <c r="T142" s="541"/>
      <c r="U142" s="541"/>
      <c r="V142" s="541"/>
      <c r="W142" s="541"/>
      <c r="X142" s="541"/>
      <c r="Y142" s="541"/>
      <c r="Z142" s="541"/>
      <c r="AA142" s="541"/>
      <c r="AB142" s="541"/>
      <c r="AC142" s="541"/>
      <c r="AD142" s="541"/>
      <c r="AE142" s="541"/>
      <c r="AF142" s="541"/>
      <c r="AG142" s="541"/>
      <c r="AH142" s="541"/>
      <c r="AI142" s="541"/>
      <c r="AJ142" s="541"/>
      <c r="AK142" s="541"/>
      <c r="AL142" s="541"/>
      <c r="AM142" s="541"/>
      <c r="AN142" s="536"/>
    </row>
    <row r="143" spans="1:52" s="537" customFormat="1" ht="12.75" customHeight="1">
      <c r="A143" s="562"/>
      <c r="B143" s="563"/>
      <c r="C143" s="563"/>
      <c r="D143" s="563"/>
      <c r="E143" s="563"/>
      <c r="F143" s="563"/>
      <c r="G143" s="564"/>
      <c r="H143" s="565"/>
      <c r="I143" s="565"/>
      <c r="J143" s="565"/>
      <c r="K143" s="565"/>
      <c r="L143" s="565"/>
      <c r="M143" s="565"/>
      <c r="N143" s="565"/>
      <c r="O143" s="565"/>
      <c r="P143" s="565"/>
      <c r="Q143" s="565"/>
      <c r="R143" s="565"/>
      <c r="S143" s="565"/>
      <c r="T143" s="565"/>
      <c r="U143" s="565"/>
      <c r="V143" s="565"/>
      <c r="W143" s="565"/>
      <c r="X143" s="565"/>
      <c r="Y143" s="565"/>
      <c r="Z143" s="565"/>
      <c r="AA143" s="565"/>
      <c r="AB143" s="565"/>
      <c r="AC143" s="565"/>
      <c r="AD143" s="565"/>
      <c r="AE143" s="565"/>
      <c r="AF143" s="565"/>
      <c r="AG143" s="565"/>
      <c r="AH143" s="565"/>
      <c r="AI143" s="566"/>
      <c r="AJ143" s="566" t="s">
        <v>1334</v>
      </c>
      <c r="AK143" s="2599">
        <f>E139</f>
        <v>10</v>
      </c>
      <c r="AL143" s="2600"/>
      <c r="AM143" s="2601"/>
      <c r="AN143" s="536"/>
    </row>
    <row r="144" spans="1:52" s="537" customFormat="1" ht="12.75" customHeight="1" thickBot="1">
      <c r="A144" s="567"/>
      <c r="B144" s="568"/>
      <c r="C144" s="569"/>
      <c r="D144" s="569"/>
      <c r="E144" s="569"/>
      <c r="F144" s="569"/>
      <c r="G144" s="569"/>
      <c r="H144" s="569"/>
      <c r="I144" s="569"/>
      <c r="J144" s="569"/>
      <c r="K144" s="569"/>
      <c r="L144" s="569"/>
      <c r="M144" s="569"/>
      <c r="N144" s="569"/>
      <c r="O144" s="569"/>
      <c r="P144" s="569"/>
      <c r="Q144" s="569"/>
      <c r="R144" s="569"/>
      <c r="S144" s="569"/>
      <c r="T144" s="569"/>
      <c r="U144" s="569"/>
      <c r="V144" s="569"/>
      <c r="W144" s="569"/>
      <c r="X144" s="569"/>
      <c r="Y144" s="569"/>
      <c r="Z144" s="569"/>
      <c r="AA144" s="569"/>
      <c r="AB144" s="569"/>
      <c r="AC144" s="569"/>
      <c r="AD144" s="569"/>
      <c r="AE144" s="569"/>
      <c r="AF144" s="569"/>
      <c r="AG144" s="569"/>
      <c r="AH144" s="569"/>
      <c r="AI144" s="569"/>
      <c r="AJ144" s="569"/>
      <c r="AK144" s="569"/>
      <c r="AL144" s="569"/>
      <c r="AM144" s="570"/>
      <c r="AN144" s="536"/>
    </row>
    <row r="145" spans="1:42" s="537" customFormat="1" ht="12.75" customHeight="1" thickTop="1">
      <c r="A145" s="571"/>
      <c r="B145" s="572"/>
      <c r="C145" s="573"/>
      <c r="D145" s="573"/>
      <c r="E145" s="573"/>
      <c r="F145" s="573"/>
      <c r="G145" s="573"/>
      <c r="H145" s="573"/>
      <c r="I145" s="574"/>
      <c r="J145" s="574"/>
      <c r="K145" s="574"/>
      <c r="L145" s="574"/>
      <c r="M145" s="574"/>
      <c r="N145" s="574"/>
      <c r="O145" s="574"/>
      <c r="P145" s="574"/>
      <c r="Q145" s="574"/>
      <c r="R145" s="571"/>
      <c r="S145" s="540"/>
      <c r="T145" s="540"/>
      <c r="U145" s="540"/>
      <c r="V145" s="540"/>
      <c r="W145" s="540"/>
      <c r="X145" s="540"/>
      <c r="Y145" s="540"/>
      <c r="Z145" s="540"/>
      <c r="AA145" s="540"/>
      <c r="AB145" s="540"/>
      <c r="AC145" s="540"/>
      <c r="AD145" s="540"/>
      <c r="AE145" s="540"/>
      <c r="AF145" s="571"/>
      <c r="AG145" s="540"/>
      <c r="AH145" s="540"/>
      <c r="AI145" s="540"/>
      <c r="AJ145" s="540"/>
      <c r="AK145" s="551"/>
      <c r="AL145" s="551"/>
      <c r="AM145" s="551"/>
      <c r="AN145" s="536"/>
    </row>
    <row r="146" spans="1:42" s="540" customFormat="1" ht="12.75" customHeight="1">
      <c r="A146" s="539" t="s">
        <v>1335</v>
      </c>
      <c r="AE146" s="2473" t="s">
        <v>1313</v>
      </c>
      <c r="AF146" s="2473"/>
      <c r="AG146" s="2473"/>
      <c r="AH146" s="2473"/>
      <c r="AI146" s="2473"/>
      <c r="AJ146" s="2473"/>
      <c r="AK146" s="2473"/>
      <c r="AL146" s="592"/>
      <c r="AN146" s="593"/>
      <c r="AO146" s="537"/>
    </row>
    <row r="147" spans="1:42" s="540" customFormat="1" ht="13" customHeight="1">
      <c r="A147" s="539"/>
      <c r="AE147" s="592"/>
      <c r="AF147" s="592"/>
      <c r="AG147" s="592"/>
      <c r="AH147" s="592"/>
      <c r="AI147" s="592"/>
      <c r="AJ147" s="592"/>
      <c r="AK147" s="592"/>
      <c r="AL147" s="592"/>
      <c r="AN147" s="593"/>
    </row>
    <row r="148" spans="1:42" s="537" customFormat="1" ht="12.75" customHeight="1">
      <c r="A148" s="539"/>
      <c r="B148" s="539" t="s">
        <v>1336</v>
      </c>
      <c r="C148" s="540"/>
      <c r="D148" s="540"/>
      <c r="E148" s="540"/>
      <c r="F148" s="540"/>
      <c r="G148" s="540"/>
      <c r="H148" s="540"/>
      <c r="I148" s="540"/>
      <c r="J148" s="540"/>
      <c r="K148" s="540"/>
      <c r="L148" s="540"/>
      <c r="M148" s="540"/>
      <c r="N148" s="540"/>
      <c r="O148" s="540"/>
      <c r="P148" s="540"/>
      <c r="Q148" s="540"/>
      <c r="R148" s="540"/>
      <c r="S148" s="540"/>
      <c r="T148" s="540"/>
      <c r="U148" s="540"/>
      <c r="V148" s="540"/>
      <c r="W148" s="540"/>
      <c r="X148" s="540"/>
      <c r="Y148" s="540"/>
      <c r="Z148" s="540"/>
      <c r="AA148" s="540"/>
      <c r="AB148" s="540"/>
      <c r="AC148" s="540"/>
      <c r="AD148" s="540"/>
      <c r="AF148" s="2533" t="s">
        <v>1337</v>
      </c>
      <c r="AG148" s="2533"/>
      <c r="AH148" s="2533"/>
      <c r="AI148" s="2533"/>
      <c r="AJ148" s="2533"/>
      <c r="AK148" s="2533"/>
      <c r="AL148" s="2533"/>
      <c r="AM148" s="540"/>
      <c r="AN148" s="536"/>
    </row>
    <row r="149" spans="1:42" s="537" customFormat="1" ht="12.75" customHeight="1">
      <c r="A149" s="539"/>
      <c r="B149" s="539" t="s">
        <v>531</v>
      </c>
      <c r="C149" s="606"/>
      <c r="D149" s="606"/>
      <c r="E149" s="606"/>
      <c r="F149" s="606"/>
      <c r="G149" s="606"/>
      <c r="H149" s="606"/>
      <c r="I149" s="606"/>
      <c r="J149" s="606"/>
      <c r="K149" s="606"/>
      <c r="L149" s="606"/>
      <c r="M149" s="606"/>
      <c r="N149" s="606"/>
      <c r="O149" s="606"/>
      <c r="P149" s="606"/>
      <c r="Q149" s="606"/>
      <c r="R149" s="606"/>
      <c r="S149" s="606"/>
      <c r="T149" s="606"/>
      <c r="U149" s="606"/>
      <c r="V149" s="606"/>
      <c r="W149" s="606"/>
      <c r="X149" s="606"/>
      <c r="Y149" s="606"/>
      <c r="Z149" s="606"/>
      <c r="AA149" s="606"/>
      <c r="AB149" s="606"/>
      <c r="AC149" s="606"/>
      <c r="AD149" s="540"/>
      <c r="AL149" s="595"/>
      <c r="AM149" s="540"/>
      <c r="AN149" s="536"/>
    </row>
    <row r="150" spans="1:42" s="537" customFormat="1" ht="15" customHeight="1">
      <c r="A150" s="539"/>
      <c r="B150" s="2603" t="s">
        <v>2726</v>
      </c>
      <c r="C150" s="2603"/>
      <c r="D150" s="2603"/>
      <c r="E150" s="2603"/>
      <c r="F150" s="2603"/>
      <c r="G150" s="2603"/>
      <c r="H150" s="2603"/>
      <c r="I150" s="2603"/>
      <c r="J150" s="2603"/>
      <c r="K150" s="2603"/>
      <c r="L150" s="2603"/>
      <c r="M150" s="2603"/>
      <c r="N150" s="2603"/>
      <c r="O150" s="2603"/>
      <c r="P150" s="2603"/>
      <c r="Q150" s="2603"/>
      <c r="R150" s="2603"/>
      <c r="S150" s="2603"/>
      <c r="T150" s="2603"/>
      <c r="U150" s="2603"/>
      <c r="V150" s="2603"/>
      <c r="W150" s="2603"/>
      <c r="X150" s="2603"/>
      <c r="Y150" s="2603"/>
      <c r="Z150" s="2603"/>
      <c r="AA150" s="2603"/>
      <c r="AB150" s="2603"/>
      <c r="AC150" s="2603"/>
      <c r="AD150" s="540"/>
      <c r="AE150" s="595"/>
      <c r="AF150" s="595"/>
      <c r="AG150" s="595"/>
      <c r="AH150" s="595"/>
      <c r="AI150" s="595"/>
      <c r="AJ150" s="595"/>
      <c r="AK150" s="595"/>
      <c r="AL150" s="595"/>
      <c r="AM150" s="540"/>
      <c r="AN150" s="536"/>
      <c r="AP150" s="596"/>
    </row>
    <row r="151" spans="1:42" s="537" customFormat="1" ht="12.75" customHeight="1">
      <c r="A151" s="539"/>
      <c r="B151" s="539"/>
      <c r="C151" s="540"/>
      <c r="D151" s="540"/>
      <c r="E151" s="540"/>
      <c r="F151" s="540"/>
      <c r="G151" s="540"/>
      <c r="H151" s="540"/>
      <c r="I151" s="540"/>
      <c r="J151" s="540"/>
      <c r="K151" s="540"/>
      <c r="L151" s="540"/>
      <c r="M151" s="540"/>
      <c r="N151" s="540"/>
      <c r="O151" s="540"/>
      <c r="P151" s="540"/>
      <c r="Q151" s="540"/>
      <c r="R151" s="540"/>
      <c r="S151" s="540"/>
      <c r="T151" s="540"/>
      <c r="U151" s="540"/>
      <c r="V151" s="540"/>
      <c r="W151" s="540"/>
      <c r="X151" s="540"/>
      <c r="Y151" s="540"/>
      <c r="Z151" s="540"/>
      <c r="AA151" s="540"/>
      <c r="AB151" s="540"/>
      <c r="AC151" s="540"/>
      <c r="AD151" s="540"/>
      <c r="AE151" s="595"/>
      <c r="AF151" s="595"/>
      <c r="AG151" s="595"/>
      <c r="AH151" s="595"/>
      <c r="AI151" s="595"/>
      <c r="AJ151" s="595"/>
      <c r="AK151" s="595"/>
      <c r="AL151" s="595"/>
      <c r="AM151" s="540"/>
      <c r="AN151" s="536"/>
      <c r="AO151" s="448" t="s">
        <v>306</v>
      </c>
      <c r="AP151" s="546"/>
    </row>
    <row r="152" spans="1:42" s="537" customFormat="1" ht="12.75" customHeight="1">
      <c r="A152" s="539"/>
      <c r="B152" s="540" t="s">
        <v>1338</v>
      </c>
      <c r="C152" s="540"/>
      <c r="D152" s="540"/>
      <c r="E152" s="540"/>
      <c r="F152" s="540"/>
      <c r="G152" s="540"/>
      <c r="H152" s="540"/>
      <c r="I152" s="540"/>
      <c r="J152" s="540"/>
      <c r="K152" s="540"/>
      <c r="L152" s="540"/>
      <c r="M152" s="540"/>
      <c r="N152" s="540"/>
      <c r="O152" s="540"/>
      <c r="P152" s="540"/>
      <c r="Q152" s="540"/>
      <c r="R152" s="540"/>
      <c r="S152" s="540"/>
      <c r="T152" s="540"/>
      <c r="U152" s="540"/>
      <c r="V152" s="540"/>
      <c r="W152" s="540"/>
      <c r="X152" s="540"/>
      <c r="Y152" s="540"/>
      <c r="Z152" s="540"/>
      <c r="AA152" s="540"/>
      <c r="AB152" s="540"/>
      <c r="AC152" s="540"/>
      <c r="AD152" s="540"/>
      <c r="AE152" s="540"/>
      <c r="AF152" s="540"/>
      <c r="AG152" s="540"/>
      <c r="AH152" s="540"/>
      <c r="AI152" s="540"/>
      <c r="AJ152" s="540"/>
      <c r="AK152" s="540"/>
      <c r="AL152" s="540"/>
      <c r="AM152" s="540"/>
      <c r="AN152" s="536"/>
      <c r="AO152" s="477" t="s">
        <v>1339</v>
      </c>
      <c r="AP152" s="490">
        <v>5</v>
      </c>
    </row>
    <row r="153" spans="1:42" s="537" customFormat="1" ht="12.75" customHeight="1">
      <c r="A153" s="539"/>
      <c r="B153" s="2604" t="s">
        <v>1340</v>
      </c>
      <c r="C153" s="2604"/>
      <c r="D153" s="2604"/>
      <c r="E153" s="2604"/>
      <c r="F153" s="2604"/>
      <c r="G153" s="2604"/>
      <c r="H153" s="2604"/>
      <c r="I153" s="2604"/>
      <c r="J153" s="2604"/>
      <c r="K153" s="2604"/>
      <c r="L153" s="2604"/>
      <c r="M153" s="2604"/>
      <c r="N153" s="2604"/>
      <c r="O153" s="2604"/>
      <c r="P153" s="2604"/>
      <c r="Q153" s="2604"/>
      <c r="R153" s="2604"/>
      <c r="S153" s="2604"/>
      <c r="T153" s="2604"/>
      <c r="U153" s="2604"/>
      <c r="V153" s="2604"/>
      <c r="W153" s="2604"/>
      <c r="X153" s="2604"/>
      <c r="Y153" s="2604"/>
      <c r="Z153" s="2604"/>
      <c r="AA153" s="2604"/>
      <c r="AB153" s="2604"/>
      <c r="AC153" s="2604"/>
      <c r="AD153" s="2604"/>
      <c r="AE153" s="2604"/>
      <c r="AF153" s="2604"/>
      <c r="AG153" s="2604"/>
      <c r="AH153" s="2604"/>
      <c r="AI153" s="2604"/>
      <c r="AM153" s="540"/>
      <c r="AN153" s="536"/>
      <c r="AO153" s="477" t="s">
        <v>1340</v>
      </c>
      <c r="AP153" s="490">
        <v>7</v>
      </c>
    </row>
    <row r="154" spans="1:42" s="537" customFormat="1" ht="13" customHeight="1">
      <c r="A154" s="539"/>
      <c r="B154" s="606"/>
      <c r="C154" s="606"/>
      <c r="D154" s="606"/>
      <c r="E154" s="606"/>
      <c r="F154" s="606"/>
      <c r="G154" s="606"/>
      <c r="H154" s="606"/>
      <c r="I154" s="606"/>
      <c r="J154" s="606"/>
      <c r="K154" s="606"/>
      <c r="L154" s="606"/>
      <c r="M154" s="606"/>
      <c r="N154" s="606"/>
      <c r="O154" s="606"/>
      <c r="P154" s="606"/>
      <c r="Q154" s="606"/>
      <c r="R154" s="606"/>
      <c r="S154" s="606"/>
      <c r="T154" s="606"/>
      <c r="U154" s="606"/>
      <c r="V154" s="606"/>
      <c r="W154" s="606"/>
      <c r="X154" s="606"/>
      <c r="Y154" s="606"/>
      <c r="Z154" s="606"/>
      <c r="AA154" s="606"/>
      <c r="AB154" s="606"/>
      <c r="AC154" s="606"/>
      <c r="AD154" s="592"/>
      <c r="AM154" s="540"/>
      <c r="AN154" s="536"/>
      <c r="AO154" s="477" t="s">
        <v>2255</v>
      </c>
      <c r="AP154" s="490">
        <v>7</v>
      </c>
    </row>
    <row r="155" spans="1:42" s="537" customFormat="1" ht="12.75" customHeight="1">
      <c r="A155" s="539"/>
      <c r="B155" s="540" t="s">
        <v>1341</v>
      </c>
      <c r="AB155" s="2405" t="s">
        <v>590</v>
      </c>
      <c r="AC155" s="2405"/>
      <c r="AD155" s="592"/>
      <c r="AM155" s="540"/>
      <c r="AN155" s="536"/>
      <c r="AO155" s="477"/>
      <c r="AP155" s="477"/>
    </row>
    <row r="156" spans="1:42" s="537" customFormat="1" ht="9" customHeight="1">
      <c r="A156" s="539"/>
      <c r="B156" s="606"/>
      <c r="C156" s="606"/>
      <c r="D156" s="606"/>
      <c r="E156" s="606"/>
      <c r="F156" s="606"/>
      <c r="G156" s="606"/>
      <c r="H156" s="606"/>
      <c r="I156" s="606"/>
      <c r="J156" s="606"/>
      <c r="K156" s="606"/>
      <c r="L156" s="606"/>
      <c r="M156" s="606"/>
      <c r="N156" s="606"/>
      <c r="O156" s="606"/>
      <c r="P156" s="606"/>
      <c r="Q156" s="606"/>
      <c r="R156" s="606"/>
      <c r="S156" s="606"/>
      <c r="T156" s="606"/>
      <c r="U156" s="606"/>
      <c r="V156" s="606"/>
      <c r="W156" s="606"/>
      <c r="X156" s="606"/>
      <c r="Y156" s="606"/>
      <c r="Z156" s="606"/>
      <c r="AA156" s="606"/>
      <c r="AB156" s="606"/>
      <c r="AC156" s="606"/>
      <c r="AD156" s="592"/>
      <c r="AM156" s="540"/>
      <c r="AN156" s="536"/>
      <c r="AO156" s="448" t="s">
        <v>1342</v>
      </c>
      <c r="AP156" s="490"/>
    </row>
    <row r="157" spans="1:42" s="537" customFormat="1" ht="12.75" customHeight="1">
      <c r="A157" s="539"/>
      <c r="B157" s="539" t="s">
        <v>1343</v>
      </c>
      <c r="C157" s="606"/>
      <c r="D157" s="606"/>
      <c r="E157" s="606"/>
      <c r="F157" s="606"/>
      <c r="G157" s="606"/>
      <c r="H157" s="606"/>
      <c r="I157" s="606"/>
      <c r="J157" s="606"/>
      <c r="K157" s="606"/>
      <c r="L157" s="606"/>
      <c r="M157" s="606"/>
      <c r="N157" s="606"/>
      <c r="O157" s="606"/>
      <c r="P157" s="606"/>
      <c r="Q157" s="606"/>
      <c r="R157" s="606"/>
      <c r="S157" s="606"/>
      <c r="T157" s="606"/>
      <c r="U157" s="606"/>
      <c r="V157" s="606"/>
      <c r="W157" s="606"/>
      <c r="X157" s="606"/>
      <c r="Y157" s="606"/>
      <c r="Z157" s="606"/>
      <c r="AA157" s="606"/>
      <c r="AB157" s="606"/>
      <c r="AC157" s="606"/>
      <c r="AD157" s="592"/>
      <c r="AM157" s="540"/>
      <c r="AN157" s="536"/>
      <c r="AO157" s="477" t="s">
        <v>1344</v>
      </c>
      <c r="AP157" s="490">
        <v>5</v>
      </c>
    </row>
    <row r="158" spans="1:42" s="537" customFormat="1" ht="12.75" customHeight="1">
      <c r="A158" s="539"/>
      <c r="B158" s="2604" t="s">
        <v>1342</v>
      </c>
      <c r="C158" s="2604"/>
      <c r="D158" s="2604"/>
      <c r="E158" s="2604"/>
      <c r="F158" s="2604"/>
      <c r="G158" s="2604"/>
      <c r="H158" s="2604"/>
      <c r="I158" s="2604"/>
      <c r="J158" s="2604"/>
      <c r="K158" s="2604"/>
      <c r="L158" s="2604"/>
      <c r="M158" s="2604"/>
      <c r="N158" s="2604"/>
      <c r="O158" s="2604"/>
      <c r="P158" s="2604"/>
      <c r="Q158" s="2604"/>
      <c r="R158" s="2604"/>
      <c r="S158" s="2604"/>
      <c r="T158" s="2604"/>
      <c r="U158" s="2604"/>
      <c r="V158" s="2604"/>
      <c r="W158" s="2604"/>
      <c r="X158" s="2604"/>
      <c r="Y158" s="2604"/>
      <c r="Z158" s="2604"/>
      <c r="AA158" s="2604"/>
      <c r="AB158" s="2604"/>
      <c r="AC158" s="2604"/>
      <c r="AD158" s="2604"/>
      <c r="AE158" s="2604"/>
      <c r="AF158" s="2604"/>
      <c r="AG158" s="2604"/>
      <c r="AH158" s="2604"/>
      <c r="AI158" s="2604"/>
      <c r="AJ158" s="2604"/>
      <c r="AN158" s="536"/>
      <c r="AO158" s="477" t="s">
        <v>1345</v>
      </c>
      <c r="AP158" s="490">
        <v>7</v>
      </c>
    </row>
    <row r="159" spans="1:42" s="537" customFormat="1" ht="12.75" customHeight="1">
      <c r="B159" s="540" t="s">
        <v>1346</v>
      </c>
      <c r="C159" s="606"/>
      <c r="D159" s="606"/>
      <c r="E159" s="606"/>
      <c r="F159" s="606"/>
      <c r="G159" s="606"/>
      <c r="H159" s="606"/>
      <c r="I159" s="606"/>
      <c r="J159" s="606"/>
      <c r="K159" s="606"/>
      <c r="L159" s="606"/>
      <c r="M159" s="606"/>
      <c r="N159" s="606"/>
      <c r="O159" s="606"/>
      <c r="P159" s="606"/>
      <c r="Q159" s="606"/>
      <c r="R159" s="606"/>
      <c r="S159" s="606"/>
      <c r="T159" s="606"/>
      <c r="U159" s="606"/>
      <c r="AM159" s="540"/>
      <c r="AN159" s="536"/>
      <c r="AO159" s="477"/>
      <c r="AP159" s="490"/>
    </row>
    <row r="160" spans="1:42" s="537" customFormat="1" ht="12.75" customHeight="1">
      <c r="B160" s="540"/>
      <c r="C160" s="606"/>
      <c r="D160" s="606"/>
      <c r="E160" s="606"/>
      <c r="F160" s="606"/>
      <c r="G160" s="606"/>
      <c r="H160" s="606"/>
      <c r="I160" s="606"/>
      <c r="J160" s="606"/>
      <c r="K160" s="606"/>
      <c r="L160" s="606"/>
      <c r="M160" s="606"/>
      <c r="N160" s="606"/>
      <c r="O160" s="606"/>
      <c r="P160" s="606"/>
      <c r="Q160" s="606"/>
      <c r="R160" s="606"/>
      <c r="S160" s="606"/>
      <c r="T160" s="606"/>
      <c r="U160" s="606"/>
      <c r="AM160" s="540"/>
      <c r="AN160" s="536"/>
      <c r="AO160" s="477"/>
      <c r="AP160" s="490"/>
    </row>
    <row r="161" spans="1:42" s="537" customFormat="1" ht="12.75" customHeight="1">
      <c r="B161" s="2402" t="s">
        <v>2478</v>
      </c>
      <c r="C161" s="2402"/>
      <c r="D161" s="2402"/>
      <c r="E161" s="2402"/>
      <c r="F161" s="2402"/>
      <c r="G161" s="2402"/>
      <c r="H161" s="2402"/>
      <c r="I161" s="2402"/>
      <c r="J161" s="2402"/>
      <c r="K161" s="2402"/>
      <c r="L161" s="2402"/>
      <c r="M161" s="2402"/>
      <c r="N161" s="2402"/>
      <c r="O161" s="2402"/>
      <c r="P161" s="2402"/>
      <c r="Q161" s="2402"/>
      <c r="R161" s="2402"/>
      <c r="S161" s="2402"/>
      <c r="T161" s="2402"/>
      <c r="U161" s="2402"/>
      <c r="V161" s="2402"/>
      <c r="W161" s="2402"/>
      <c r="X161" s="2402"/>
      <c r="Y161" s="2402"/>
      <c r="Z161" s="2402"/>
      <c r="AA161" s="2402"/>
      <c r="AB161" s="2402"/>
      <c r="AC161" s="2402"/>
      <c r="AD161" s="2402"/>
      <c r="AE161" s="2402"/>
      <c r="AF161" s="2402"/>
      <c r="AG161" s="2402"/>
      <c r="AH161" s="2402"/>
      <c r="AI161" s="2402"/>
      <c r="AJ161" s="2402"/>
      <c r="AK161" s="1182"/>
      <c r="AM161" s="540"/>
      <c r="AN161" s="536"/>
      <c r="AO161" s="477"/>
      <c r="AP161" s="490"/>
    </row>
    <row r="162" spans="1:42" s="537" customFormat="1" ht="12.75" customHeight="1">
      <c r="B162" s="2402"/>
      <c r="C162" s="2402"/>
      <c r="D162" s="2402"/>
      <c r="E162" s="2402"/>
      <c r="F162" s="2402"/>
      <c r="G162" s="2402"/>
      <c r="H162" s="2402"/>
      <c r="I162" s="2402"/>
      <c r="J162" s="2402"/>
      <c r="K162" s="2402"/>
      <c r="L162" s="2402"/>
      <c r="M162" s="2402"/>
      <c r="N162" s="2402"/>
      <c r="O162" s="2402"/>
      <c r="P162" s="2402"/>
      <c r="Q162" s="2402"/>
      <c r="R162" s="2402"/>
      <c r="S162" s="2402"/>
      <c r="T162" s="2402"/>
      <c r="U162" s="2402"/>
      <c r="V162" s="2402"/>
      <c r="W162" s="2402"/>
      <c r="X162" s="2402"/>
      <c r="Y162" s="2402"/>
      <c r="Z162" s="2402"/>
      <c r="AA162" s="2402"/>
      <c r="AB162" s="2402"/>
      <c r="AC162" s="2402"/>
      <c r="AD162" s="2402"/>
      <c r="AE162" s="2402"/>
      <c r="AF162" s="2402"/>
      <c r="AG162" s="2402"/>
      <c r="AH162" s="2402"/>
      <c r="AI162" s="2402"/>
      <c r="AJ162" s="2402"/>
      <c r="AK162" s="1182"/>
      <c r="AM162" s="540"/>
      <c r="AN162" s="536"/>
      <c r="AO162" s="477"/>
      <c r="AP162" s="490"/>
    </row>
    <row r="163" spans="1:42" s="537" customFormat="1" ht="12.75" customHeight="1">
      <c r="C163" s="2403" t="s">
        <v>2479</v>
      </c>
      <c r="D163" s="2403"/>
      <c r="E163" s="2403"/>
      <c r="F163" s="2403"/>
      <c r="G163" s="2403"/>
      <c r="H163" s="2403"/>
      <c r="I163" s="2403"/>
      <c r="J163" s="2403"/>
      <c r="K163" s="2403"/>
      <c r="L163" s="2403"/>
      <c r="M163" s="2403"/>
      <c r="N163" s="2403"/>
      <c r="O163" s="2403"/>
      <c r="P163" s="2403"/>
      <c r="Q163" s="2403"/>
      <c r="R163" s="2403"/>
      <c r="S163" s="2403"/>
      <c r="T163" s="2403"/>
      <c r="U163" s="2403"/>
      <c r="V163" s="2403"/>
      <c r="W163" s="2403"/>
      <c r="X163" s="2403"/>
      <c r="Y163" s="2403"/>
      <c r="Z163" s="2403"/>
      <c r="AA163" s="2403"/>
      <c r="AB163" s="2403"/>
      <c r="AC163" s="2403"/>
      <c r="AD163" s="2403"/>
      <c r="AE163" s="2403"/>
      <c r="AF163" s="2403"/>
      <c r="AG163" s="2403"/>
      <c r="AH163" s="2403"/>
      <c r="AI163" s="2403"/>
      <c r="AJ163" s="2403"/>
      <c r="AK163" s="1182"/>
      <c r="AM163" s="540"/>
      <c r="AN163" s="536"/>
      <c r="AO163" s="477"/>
      <c r="AP163" s="490"/>
    </row>
    <row r="164" spans="1:42" s="537" customFormat="1" ht="12.75" customHeight="1">
      <c r="B164" s="1182"/>
      <c r="C164" s="2404" t="s">
        <v>2477</v>
      </c>
      <c r="D164" s="2404"/>
      <c r="E164" s="2404"/>
      <c r="F164" s="2404"/>
      <c r="G164" s="2404"/>
      <c r="H164" s="2404"/>
      <c r="I164" s="2404"/>
      <c r="J164" s="2404"/>
      <c r="K164" s="2404"/>
      <c r="L164" s="2404"/>
      <c r="M164" s="2404"/>
      <c r="N164" s="2404"/>
      <c r="O164" s="2404"/>
      <c r="P164" s="2404"/>
      <c r="Q164" s="2404"/>
      <c r="R164" s="2404"/>
      <c r="S164" s="2404"/>
      <c r="T164" s="2404"/>
      <c r="U164" s="2404"/>
      <c r="V164" s="2404"/>
      <c r="W164" s="2404"/>
      <c r="X164" s="2404"/>
      <c r="Y164" s="2404"/>
      <c r="Z164" s="2404"/>
      <c r="AA164" s="1172"/>
      <c r="AB164" s="1172"/>
      <c r="AC164" s="1172"/>
      <c r="AD164" s="1172"/>
      <c r="AE164" s="1172"/>
      <c r="AF164" s="1172"/>
      <c r="AG164" s="1172"/>
      <c r="AH164" s="1172"/>
      <c r="AJ164" s="2405" t="s">
        <v>590</v>
      </c>
      <c r="AK164" s="2405"/>
      <c r="AM164" s="540"/>
      <c r="AN164" s="536"/>
      <c r="AO164" s="477"/>
      <c r="AP164" s="490"/>
    </row>
    <row r="165" spans="1:42" s="537" customFormat="1" ht="12.75" customHeight="1">
      <c r="AM165" s="540"/>
      <c r="AN165" s="536"/>
    </row>
    <row r="166" spans="1:42" s="551" customFormat="1" ht="12.75" customHeight="1">
      <c r="A166" s="601"/>
      <c r="B166" s="602"/>
      <c r="C166" s="602"/>
      <c r="D166" s="602"/>
      <c r="E166" s="602"/>
      <c r="F166" s="602"/>
      <c r="G166" s="602"/>
      <c r="H166" s="602"/>
      <c r="I166" s="602"/>
      <c r="J166" s="602"/>
      <c r="K166" s="602"/>
      <c r="L166" s="602"/>
      <c r="M166" s="602"/>
      <c r="N166" s="602"/>
      <c r="O166" s="602"/>
      <c r="P166" s="602"/>
      <c r="Q166" s="602"/>
      <c r="R166" s="602"/>
      <c r="S166" s="602"/>
      <c r="T166" s="602"/>
      <c r="U166" s="602"/>
      <c r="V166" s="602"/>
      <c r="W166" s="602"/>
      <c r="X166" s="602"/>
      <c r="Y166" s="602"/>
      <c r="Z166" s="602"/>
      <c r="AA166" s="602"/>
      <c r="AB166" s="602"/>
      <c r="AC166" s="602"/>
      <c r="AD166" s="602"/>
      <c r="AE166" s="602"/>
      <c r="AF166" s="602"/>
      <c r="AG166" s="602"/>
      <c r="AH166" s="602"/>
      <c r="AI166" s="566" t="s">
        <v>1348</v>
      </c>
      <c r="AJ166" s="2493">
        <f>IF($AB$155="N/A",VLOOKUP($B$153,$AO$151:$AP$154,2,FALSE),VLOOKUP($B$158,$AO$156:$AP$158,2,FALSE))</f>
        <v>7</v>
      </c>
      <c r="AK166" s="2493"/>
      <c r="AL166" s="596"/>
      <c r="AM166" s="537"/>
      <c r="AN166" s="599"/>
    </row>
    <row r="167" spans="1:42" s="551" customFormat="1" ht="12.75" customHeight="1">
      <c r="A167" s="596"/>
      <c r="B167" s="596"/>
      <c r="C167" s="537"/>
      <c r="D167" s="537"/>
      <c r="E167" s="537"/>
      <c r="F167" s="537"/>
      <c r="G167" s="537"/>
      <c r="H167" s="537"/>
      <c r="I167" s="537"/>
      <c r="J167" s="537"/>
      <c r="K167" s="537"/>
      <c r="L167" s="537"/>
      <c r="M167" s="537"/>
      <c r="N167" s="537"/>
      <c r="O167" s="537"/>
      <c r="P167" s="537"/>
      <c r="Q167" s="537"/>
      <c r="R167" s="537"/>
      <c r="S167" s="537"/>
      <c r="T167" s="537"/>
      <c r="U167" s="537"/>
      <c r="V167" s="537"/>
      <c r="W167" s="537"/>
      <c r="X167" s="537"/>
      <c r="Y167" s="537"/>
      <c r="Z167" s="537"/>
      <c r="AA167" s="537"/>
      <c r="AB167" s="537"/>
      <c r="AC167" s="537"/>
      <c r="AD167" s="537"/>
      <c r="AE167" s="537"/>
      <c r="AF167" s="537"/>
      <c r="AG167" s="537"/>
      <c r="AH167" s="537"/>
      <c r="AI167" s="537"/>
      <c r="AJ167" s="537"/>
      <c r="AK167" s="537"/>
      <c r="AL167" s="537"/>
      <c r="AM167" s="537"/>
      <c r="AN167" s="599"/>
    </row>
    <row r="168" spans="1:42" s="551" customFormat="1" ht="12.75" customHeight="1">
      <c r="A168" s="537"/>
      <c r="B168" s="539" t="s">
        <v>1350</v>
      </c>
      <c r="C168" s="540"/>
      <c r="D168" s="537"/>
      <c r="E168" s="643"/>
      <c r="F168" s="643"/>
      <c r="G168" s="643"/>
      <c r="H168" s="643"/>
      <c r="I168" s="643"/>
      <c r="J168" s="643"/>
      <c r="K168" s="643"/>
      <c r="L168" s="643"/>
      <c r="M168" s="643"/>
      <c r="N168" s="643"/>
      <c r="O168" s="643"/>
      <c r="P168" s="643"/>
      <c r="Q168" s="643"/>
      <c r="R168" s="643"/>
      <c r="S168" s="643"/>
      <c r="T168" s="643"/>
      <c r="U168" s="643"/>
      <c r="V168" s="643"/>
      <c r="W168" s="643"/>
      <c r="X168" s="643"/>
      <c r="Y168" s="643"/>
      <c r="Z168" s="643"/>
      <c r="AA168" s="643"/>
      <c r="AB168" s="643"/>
      <c r="AC168" s="643"/>
      <c r="AD168" s="643"/>
      <c r="AE168" s="537"/>
      <c r="AF168" s="2533" t="s">
        <v>1351</v>
      </c>
      <c r="AG168" s="2533"/>
      <c r="AH168" s="2533"/>
      <c r="AI168" s="2533"/>
      <c r="AJ168" s="2533"/>
      <c r="AK168" s="2533"/>
      <c r="AL168" s="2533"/>
      <c r="AM168" s="604"/>
      <c r="AN168" s="599"/>
    </row>
    <row r="169" spans="1:42" s="551" customFormat="1" ht="12.75" customHeight="1">
      <c r="A169" s="537"/>
      <c r="B169" s="540" t="s">
        <v>1352</v>
      </c>
      <c r="C169" s="537"/>
      <c r="D169" s="537"/>
      <c r="E169" s="537"/>
      <c r="F169" s="537"/>
      <c r="G169" s="537"/>
      <c r="H169" s="537"/>
      <c r="I169" s="537"/>
      <c r="J169" s="537"/>
      <c r="K169" s="537"/>
      <c r="L169" s="537"/>
      <c r="M169" s="537"/>
      <c r="N169" s="537"/>
      <c r="O169" s="537"/>
      <c r="P169" s="537"/>
      <c r="Q169" s="537"/>
      <c r="R169" s="537"/>
      <c r="S169" s="537"/>
      <c r="T169" s="537"/>
      <c r="U169" s="537"/>
      <c r="V169" s="537"/>
      <c r="W169" s="537"/>
      <c r="X169" s="537"/>
      <c r="Y169" s="537"/>
      <c r="Z169" s="537"/>
      <c r="AA169" s="540"/>
      <c r="AB169" s="540"/>
      <c r="AC169" s="540"/>
      <c r="AD169" s="540"/>
      <c r="AE169" s="537"/>
      <c r="AF169" s="537"/>
      <c r="AG169" s="537"/>
      <c r="AH169" s="537"/>
      <c r="AI169" s="537"/>
      <c r="AJ169" s="537"/>
      <c r="AK169" s="537"/>
      <c r="AL169" s="537"/>
      <c r="AM169" s="604"/>
      <c r="AN169" s="599"/>
    </row>
    <row r="170" spans="1:42" s="551" customFormat="1" ht="12.75" customHeight="1">
      <c r="A170" s="537"/>
      <c r="B170" s="537"/>
      <c r="C170" s="2604" t="s">
        <v>1349</v>
      </c>
      <c r="D170" s="2604"/>
      <c r="E170" s="2604"/>
      <c r="F170" s="2604"/>
      <c r="G170" s="2604"/>
      <c r="H170" s="2604"/>
      <c r="I170" s="2604"/>
      <c r="J170" s="2604"/>
      <c r="K170" s="2604"/>
      <c r="L170" s="2604"/>
      <c r="M170" s="2604"/>
      <c r="N170" s="2604"/>
      <c r="O170" s="2604"/>
      <c r="P170" s="2604"/>
      <c r="Q170" s="2604"/>
      <c r="R170" s="2604"/>
      <c r="S170" s="2604"/>
      <c r="T170" s="2604"/>
      <c r="U170" s="2604"/>
      <c r="V170" s="2604"/>
      <c r="W170" s="2604"/>
      <c r="X170" s="2604"/>
      <c r="Y170" s="2604"/>
      <c r="Z170" s="2604"/>
      <c r="AA170" s="2604"/>
      <c r="AB170" s="2604"/>
      <c r="AC170" s="2604"/>
      <c r="AD170" s="2604"/>
      <c r="AE170" s="2604"/>
      <c r="AF170" s="2604"/>
      <c r="AG170" s="2604"/>
      <c r="AH170" s="2604"/>
      <c r="AI170" s="2604"/>
      <c r="AJ170" s="537"/>
      <c r="AK170" s="537"/>
      <c r="AL170" s="537"/>
      <c r="AM170" s="604"/>
      <c r="AN170" s="598"/>
      <c r="AO170" s="477" t="s">
        <v>306</v>
      </c>
      <c r="AP170" s="477"/>
    </row>
    <row r="171" spans="1:42" s="551" customFormat="1" ht="13" customHeight="1">
      <c r="A171" s="537"/>
      <c r="B171" s="537"/>
      <c r="C171" s="606"/>
      <c r="D171" s="606"/>
      <c r="E171" s="606"/>
      <c r="F171" s="606"/>
      <c r="G171" s="606"/>
      <c r="H171" s="606"/>
      <c r="I171" s="606"/>
      <c r="J171" s="606"/>
      <c r="K171" s="606"/>
      <c r="L171" s="606"/>
      <c r="M171" s="606"/>
      <c r="N171" s="606"/>
      <c r="O171" s="606"/>
      <c r="P171" s="606"/>
      <c r="Q171" s="606"/>
      <c r="R171" s="606"/>
      <c r="S171" s="606"/>
      <c r="T171" s="606"/>
      <c r="U171" s="606"/>
      <c r="V171" s="606"/>
      <c r="W171" s="606"/>
      <c r="X171" s="606"/>
      <c r="Y171" s="606"/>
      <c r="Z171" s="606"/>
      <c r="AA171" s="606"/>
      <c r="AB171" s="606"/>
      <c r="AC171" s="606"/>
      <c r="AD171" s="606"/>
      <c r="AE171" s="537"/>
      <c r="AF171" s="537"/>
      <c r="AG171" s="537"/>
      <c r="AH171" s="537"/>
      <c r="AI171" s="537"/>
      <c r="AJ171" s="537"/>
      <c r="AK171" s="537"/>
      <c r="AL171" s="537"/>
      <c r="AM171" s="604"/>
      <c r="AN171" s="598"/>
      <c r="AO171" s="477" t="s">
        <v>1347</v>
      </c>
      <c r="AP171" s="600">
        <v>2</v>
      </c>
    </row>
    <row r="172" spans="1:42" s="551" customFormat="1" ht="12.75" customHeight="1">
      <c r="A172" s="537"/>
      <c r="B172" s="537"/>
      <c r="C172" s="540" t="s">
        <v>1354</v>
      </c>
      <c r="D172" s="537"/>
      <c r="E172" s="537"/>
      <c r="F172" s="537"/>
      <c r="G172" s="537"/>
      <c r="H172" s="537"/>
      <c r="I172" s="537"/>
      <c r="J172" s="537"/>
      <c r="K172" s="537"/>
      <c r="L172" s="537"/>
      <c r="M172" s="537"/>
      <c r="N172" s="537"/>
      <c r="O172" s="537"/>
      <c r="P172" s="537"/>
      <c r="Q172" s="537"/>
      <c r="R172" s="537"/>
      <c r="S172" s="537"/>
      <c r="T172" s="537"/>
      <c r="U172" s="537"/>
      <c r="V172" s="537"/>
      <c r="W172" s="537"/>
      <c r="X172" s="537"/>
      <c r="Y172" s="537"/>
      <c r="Z172" s="537"/>
      <c r="AA172" s="537"/>
      <c r="AB172" s="537"/>
      <c r="AE172" s="537"/>
      <c r="AF172" s="2405" t="s">
        <v>590</v>
      </c>
      <c r="AG172" s="2405"/>
      <c r="AH172" s="537"/>
      <c r="AI172" s="537"/>
      <c r="AJ172" s="537"/>
      <c r="AK172" s="537"/>
      <c r="AL172" s="537"/>
      <c r="AM172" s="604"/>
      <c r="AN172" s="598"/>
      <c r="AO172" s="477" t="s">
        <v>1349</v>
      </c>
      <c r="AP172" s="600">
        <v>3</v>
      </c>
    </row>
    <row r="173" spans="1:42" s="551" customFormat="1" ht="9" customHeight="1">
      <c r="A173" s="537"/>
      <c r="B173" s="537"/>
      <c r="C173" s="606"/>
      <c r="D173" s="606"/>
      <c r="E173" s="606"/>
      <c r="F173" s="606"/>
      <c r="G173" s="606"/>
      <c r="H173" s="606"/>
      <c r="I173" s="606"/>
      <c r="J173" s="606"/>
      <c r="K173" s="606"/>
      <c r="L173" s="606"/>
      <c r="M173" s="606"/>
      <c r="N173" s="606"/>
      <c r="O173" s="606"/>
      <c r="P173" s="606"/>
      <c r="Q173" s="606"/>
      <c r="R173" s="606"/>
      <c r="S173" s="606"/>
      <c r="T173" s="606"/>
      <c r="U173" s="606"/>
      <c r="V173" s="606"/>
      <c r="W173" s="606"/>
      <c r="X173" s="606"/>
      <c r="Y173" s="606"/>
      <c r="Z173" s="606"/>
      <c r="AA173" s="606"/>
      <c r="AB173" s="606"/>
      <c r="AC173" s="606"/>
      <c r="AD173" s="606"/>
      <c r="AE173" s="537"/>
      <c r="AF173" s="537"/>
      <c r="AG173" s="537"/>
      <c r="AJ173" s="537"/>
      <c r="AK173" s="537"/>
      <c r="AL173" s="537"/>
      <c r="AM173" s="604"/>
      <c r="AN173" s="598"/>
      <c r="AO173" s="603" t="s">
        <v>2169</v>
      </c>
      <c r="AP173" s="600">
        <v>3</v>
      </c>
    </row>
    <row r="174" spans="1:42" s="551" customFormat="1" ht="12.75" customHeight="1">
      <c r="A174" s="537"/>
      <c r="B174" s="537"/>
      <c r="C174" s="2604" t="s">
        <v>1342</v>
      </c>
      <c r="D174" s="2604"/>
      <c r="E174" s="2604"/>
      <c r="F174" s="2604"/>
      <c r="G174" s="2604"/>
      <c r="H174" s="2604"/>
      <c r="I174" s="2604"/>
      <c r="J174" s="2604"/>
      <c r="K174" s="2604"/>
      <c r="L174" s="2604"/>
      <c r="M174" s="2604"/>
      <c r="N174" s="2604"/>
      <c r="O174" s="2604"/>
      <c r="P174" s="2604"/>
      <c r="Q174" s="2604"/>
      <c r="R174" s="2604"/>
      <c r="S174" s="2604"/>
      <c r="T174" s="2604"/>
      <c r="U174" s="2604"/>
      <c r="V174" s="2604"/>
      <c r="W174" s="2604"/>
      <c r="X174" s="2604"/>
      <c r="Y174" s="2604"/>
      <c r="Z174" s="2604"/>
      <c r="AA174" s="2604"/>
      <c r="AB174" s="2604"/>
      <c r="AC174" s="2604"/>
      <c r="AD174" s="2604"/>
      <c r="AE174" s="537"/>
      <c r="AF174" s="537"/>
      <c r="AG174" s="537"/>
      <c r="AH174" s="537"/>
      <c r="AI174" s="537"/>
      <c r="AJ174" s="537"/>
      <c r="AK174" s="537"/>
      <c r="AL174" s="537"/>
      <c r="AM174" s="604"/>
      <c r="AN174" s="598"/>
      <c r="AO174" s="603"/>
      <c r="AP174" s="600"/>
    </row>
    <row r="175" spans="1:42" s="551" customFormat="1" ht="12.75" customHeight="1">
      <c r="A175" s="537"/>
      <c r="B175" s="537"/>
      <c r="C175" s="540" t="s">
        <v>1346</v>
      </c>
      <c r="D175" s="540"/>
      <c r="E175" s="540"/>
      <c r="F175" s="540"/>
      <c r="G175" s="540"/>
      <c r="H175" s="540"/>
      <c r="I175" s="540"/>
      <c r="J175" s="540"/>
      <c r="K175" s="540"/>
      <c r="L175" s="540"/>
      <c r="M175" s="540"/>
      <c r="N175" s="540"/>
      <c r="O175" s="540"/>
      <c r="P175" s="540"/>
      <c r="Q175" s="540"/>
      <c r="R175" s="540"/>
      <c r="S175" s="540"/>
      <c r="T175" s="540"/>
      <c r="U175" s="540"/>
      <c r="V175" s="540"/>
      <c r="W175" s="540"/>
      <c r="X175" s="540"/>
      <c r="Y175" s="540"/>
      <c r="Z175" s="540"/>
      <c r="AA175" s="540"/>
      <c r="AB175" s="540"/>
      <c r="AC175" s="540"/>
      <c r="AD175" s="540"/>
      <c r="AE175" s="540"/>
      <c r="AF175" s="540"/>
      <c r="AG175" s="540"/>
      <c r="AH175" s="540"/>
      <c r="AI175" s="540"/>
      <c r="AJ175" s="540"/>
      <c r="AK175" s="540"/>
      <c r="AL175" s="537"/>
      <c r="AM175" s="604"/>
      <c r="AN175" s="598"/>
      <c r="AO175" s="605"/>
      <c r="AP175" s="605"/>
    </row>
    <row r="176" spans="1:42" s="551" customFormat="1" ht="12.75" customHeight="1">
      <c r="A176" s="537"/>
      <c r="B176" s="537"/>
      <c r="C176" s="537"/>
      <c r="D176" s="537"/>
      <c r="E176" s="537"/>
      <c r="F176" s="537"/>
      <c r="G176" s="537"/>
      <c r="H176" s="537"/>
      <c r="I176" s="537"/>
      <c r="J176" s="537"/>
      <c r="K176" s="537"/>
      <c r="L176" s="537"/>
      <c r="M176" s="537"/>
      <c r="N176" s="537"/>
      <c r="O176" s="537"/>
      <c r="P176" s="537"/>
      <c r="Q176" s="537"/>
      <c r="R176" s="537"/>
      <c r="S176" s="537"/>
      <c r="T176" s="537"/>
      <c r="U176" s="537"/>
      <c r="V176" s="537"/>
      <c r="W176" s="537"/>
      <c r="X176" s="537"/>
      <c r="Y176" s="537"/>
      <c r="Z176" s="537"/>
      <c r="AA176" s="537"/>
      <c r="AB176" s="537"/>
      <c r="AC176" s="537"/>
      <c r="AD176" s="537"/>
      <c r="AE176" s="537"/>
      <c r="AF176" s="537"/>
      <c r="AG176" s="537"/>
      <c r="AH176" s="537"/>
      <c r="AI176" s="537"/>
      <c r="AJ176" s="537"/>
      <c r="AK176" s="537"/>
      <c r="AL176" s="537"/>
      <c r="AM176" s="604"/>
      <c r="AN176" s="598"/>
    </row>
    <row r="177" spans="1:73" s="551" customFormat="1" ht="12.75" customHeight="1">
      <c r="A177" s="537"/>
      <c r="B177" s="537"/>
      <c r="C177" s="539" t="s">
        <v>1356</v>
      </c>
      <c r="D177" s="606"/>
      <c r="E177" s="606"/>
      <c r="F177" s="606"/>
      <c r="G177" s="606"/>
      <c r="H177" s="606"/>
      <c r="I177" s="606"/>
      <c r="J177" s="606"/>
      <c r="K177" s="606"/>
      <c r="L177" s="606"/>
      <c r="M177" s="606"/>
      <c r="N177" s="606"/>
      <c r="O177" s="606"/>
      <c r="P177" s="606"/>
      <c r="Q177" s="606"/>
      <c r="R177" s="606"/>
      <c r="S177" s="606"/>
      <c r="T177" s="606"/>
      <c r="U177" s="606"/>
      <c r="V177" s="606"/>
      <c r="W177" s="606"/>
      <c r="X177" s="606"/>
      <c r="Y177" s="606"/>
      <c r="Z177" s="606"/>
      <c r="AA177" s="606"/>
      <c r="AB177" s="606"/>
      <c r="AC177" s="606"/>
      <c r="AD177" s="606"/>
      <c r="AE177" s="537"/>
      <c r="AF177" s="537"/>
      <c r="AG177" s="537"/>
      <c r="AH177" s="537"/>
      <c r="AI177" s="537"/>
      <c r="AJ177" s="537"/>
      <c r="AK177" s="537"/>
      <c r="AL177" s="537"/>
      <c r="AM177" s="604"/>
      <c r="AN177" s="598"/>
      <c r="AO177" s="477" t="s">
        <v>1342</v>
      </c>
      <c r="AP177" s="477"/>
    </row>
    <row r="178" spans="1:73" s="551" customFormat="1" ht="12.75" customHeight="1">
      <c r="A178" s="537"/>
      <c r="B178" s="537"/>
      <c r="C178" s="2605" t="str">
        <f>Application!AA335</f>
        <v>HumanGood Affordable Housing</v>
      </c>
      <c r="D178" s="2605"/>
      <c r="E178" s="2605"/>
      <c r="F178" s="2605"/>
      <c r="G178" s="2605"/>
      <c r="H178" s="2605"/>
      <c r="I178" s="2605"/>
      <c r="J178" s="2605"/>
      <c r="K178" s="2605"/>
      <c r="L178" s="2605"/>
      <c r="M178" s="2605"/>
      <c r="N178" s="2605"/>
      <c r="O178" s="2605"/>
      <c r="P178" s="2605"/>
      <c r="Q178" s="2605"/>
      <c r="R178" s="2605"/>
      <c r="S178" s="2605"/>
      <c r="T178" s="2605"/>
      <c r="U178" s="2605"/>
      <c r="V178" s="2605"/>
      <c r="W178" s="2605"/>
      <c r="X178" s="2605"/>
      <c r="Y178" s="2605"/>
      <c r="Z178" s="2605"/>
      <c r="AA178" s="2605"/>
      <c r="AB178" s="2605"/>
      <c r="AC178" s="2605"/>
      <c r="AD178" s="2605"/>
      <c r="AE178" s="537"/>
      <c r="AF178" s="537"/>
      <c r="AG178" s="537"/>
      <c r="AH178" s="537"/>
      <c r="AI178" s="537"/>
      <c r="AJ178" s="537"/>
      <c r="AK178" s="537"/>
      <c r="AL178" s="537"/>
      <c r="AM178" s="604"/>
      <c r="AN178" s="598"/>
      <c r="AO178" s="477" t="s">
        <v>1353</v>
      </c>
      <c r="AP178" s="600">
        <v>2</v>
      </c>
    </row>
    <row r="179" spans="1:73" s="551" customFormat="1" ht="12.75" customHeight="1">
      <c r="A179" s="537"/>
      <c r="B179" s="537"/>
      <c r="C179" s="606"/>
      <c r="D179" s="606"/>
      <c r="E179" s="606"/>
      <c r="F179" s="606"/>
      <c r="G179" s="606"/>
      <c r="H179" s="606"/>
      <c r="I179" s="606"/>
      <c r="J179" s="606"/>
      <c r="K179" s="606"/>
      <c r="L179" s="606"/>
      <c r="M179" s="606"/>
      <c r="N179" s="606"/>
      <c r="O179" s="606"/>
      <c r="P179" s="606"/>
      <c r="Q179" s="606"/>
      <c r="R179" s="606"/>
      <c r="S179" s="606"/>
      <c r="T179" s="606"/>
      <c r="U179" s="606"/>
      <c r="V179" s="606"/>
      <c r="W179" s="606"/>
      <c r="X179" s="606"/>
      <c r="Y179" s="606"/>
      <c r="Z179" s="606"/>
      <c r="AA179" s="606"/>
      <c r="AB179" s="606"/>
      <c r="AC179" s="606"/>
      <c r="AD179" s="606"/>
      <c r="AE179" s="537"/>
      <c r="AF179" s="537"/>
      <c r="AG179" s="537"/>
      <c r="AH179" s="537"/>
      <c r="AI179" s="537"/>
      <c r="AJ179" s="537"/>
      <c r="AK179" s="537"/>
      <c r="AL179" s="537"/>
      <c r="AM179" s="604"/>
      <c r="AN179" s="598"/>
      <c r="AO179" s="477" t="s">
        <v>1355</v>
      </c>
      <c r="AP179" s="600">
        <v>3</v>
      </c>
    </row>
    <row r="180" spans="1:73" s="551" customFormat="1" ht="12.75" customHeight="1">
      <c r="A180" s="607"/>
      <c r="B180" s="565"/>
      <c r="C180" s="565"/>
      <c r="D180" s="564"/>
      <c r="E180" s="565"/>
      <c r="F180" s="565"/>
      <c r="G180" s="565"/>
      <c r="H180" s="565"/>
      <c r="I180" s="565"/>
      <c r="J180" s="565"/>
      <c r="K180" s="565"/>
      <c r="L180" s="565"/>
      <c r="M180" s="565"/>
      <c r="N180" s="565"/>
      <c r="O180" s="565"/>
      <c r="P180" s="565"/>
      <c r="Q180" s="602"/>
      <c r="R180" s="608"/>
      <c r="S180" s="565"/>
      <c r="T180" s="565"/>
      <c r="U180" s="565"/>
      <c r="V180" s="565"/>
      <c r="W180" s="565"/>
      <c r="X180" s="565"/>
      <c r="Y180" s="565"/>
      <c r="Z180" s="565"/>
      <c r="AA180" s="565"/>
      <c r="AB180" s="565"/>
      <c r="AC180" s="565"/>
      <c r="AD180" s="565"/>
      <c r="AE180" s="565"/>
      <c r="AF180" s="565"/>
      <c r="AG180" s="565"/>
      <c r="AH180" s="565"/>
      <c r="AI180" s="566" t="s">
        <v>1357</v>
      </c>
      <c r="AJ180" s="2492">
        <f>IF($AF$172="N/A",VLOOKUP($C$170,$AO$170:$AP$173,2,FALSE),VLOOKUP($C$174,$AO$177:$AP$179,2,FALSE))</f>
        <v>3</v>
      </c>
      <c r="AK180" s="2492"/>
      <c r="AL180" s="609"/>
      <c r="AM180" s="610"/>
      <c r="AN180" s="598"/>
      <c r="AO180" s="603"/>
      <c r="AP180" s="600"/>
    </row>
    <row r="181" spans="1:73" s="551" customFormat="1" ht="12.75" customHeight="1">
      <c r="A181" s="537"/>
      <c r="B181" s="611"/>
      <c r="R181" s="537"/>
      <c r="S181" s="611"/>
      <c r="AN181" s="598"/>
    </row>
    <row r="182" spans="1:73" s="551" customFormat="1" ht="12.75" customHeight="1">
      <c r="A182" s="612"/>
      <c r="B182" s="604"/>
      <c r="C182" s="604"/>
      <c r="D182" s="604"/>
      <c r="E182" s="604"/>
      <c r="F182" s="604"/>
      <c r="G182" s="604"/>
      <c r="H182" s="604"/>
      <c r="I182" s="604"/>
      <c r="J182" s="604"/>
      <c r="K182" s="604"/>
      <c r="L182" s="604"/>
      <c r="M182" s="604"/>
      <c r="N182" s="604"/>
      <c r="O182" s="604"/>
      <c r="P182" s="604"/>
      <c r="Q182" s="604"/>
      <c r="R182" s="604"/>
      <c r="S182" s="604"/>
      <c r="T182" s="604"/>
      <c r="U182" s="604"/>
      <c r="V182" s="604"/>
      <c r="W182" s="604"/>
      <c r="X182" s="604"/>
      <c r="Y182" s="604"/>
      <c r="Z182" s="604"/>
      <c r="AA182" s="604"/>
      <c r="AB182" s="604"/>
      <c r="AC182" s="604"/>
      <c r="AD182" s="604"/>
      <c r="AE182" s="604"/>
      <c r="AF182" s="604"/>
      <c r="AG182" s="604"/>
      <c r="AH182" s="604"/>
      <c r="AI182" s="604"/>
      <c r="AJ182" s="604"/>
      <c r="AK182" s="604"/>
      <c r="AL182" s="604"/>
      <c r="AM182" s="604"/>
      <c r="AN182" s="598"/>
    </row>
    <row r="183" spans="1:73" s="551" customFormat="1" ht="12.75" customHeight="1">
      <c r="A183" s="562"/>
      <c r="B183" s="563"/>
      <c r="C183" s="563"/>
      <c r="D183" s="563"/>
      <c r="E183" s="563"/>
      <c r="F183" s="563"/>
      <c r="G183" s="564"/>
      <c r="H183" s="565"/>
      <c r="I183" s="565"/>
      <c r="J183" s="565"/>
      <c r="K183" s="565"/>
      <c r="L183" s="565"/>
      <c r="M183" s="565"/>
      <c r="N183" s="565"/>
      <c r="O183" s="565"/>
      <c r="P183" s="565"/>
      <c r="Q183" s="565"/>
      <c r="R183" s="565"/>
      <c r="S183" s="565"/>
      <c r="T183" s="565"/>
      <c r="U183" s="565"/>
      <c r="V183" s="565"/>
      <c r="W183" s="565"/>
      <c r="X183" s="565"/>
      <c r="Y183" s="565"/>
      <c r="Z183" s="565"/>
      <c r="AA183" s="565"/>
      <c r="AB183" s="565"/>
      <c r="AC183" s="565"/>
      <c r="AD183" s="565"/>
      <c r="AE183" s="565"/>
      <c r="AF183" s="565"/>
      <c r="AG183" s="565"/>
      <c r="AH183" s="565"/>
      <c r="AI183" s="566"/>
      <c r="AJ183" s="566" t="s">
        <v>1358</v>
      </c>
      <c r="AK183" s="2599">
        <f>$AJ$166+$AJ$180</f>
        <v>10</v>
      </c>
      <c r="AL183" s="2600"/>
      <c r="AM183" s="2601"/>
      <c r="AN183" s="598"/>
    </row>
    <row r="184" spans="1:73" s="551" customFormat="1" ht="12.75" customHeight="1" thickBot="1">
      <c r="A184" s="567"/>
      <c r="B184" s="568"/>
      <c r="C184" s="569"/>
      <c r="D184" s="569"/>
      <c r="E184" s="569"/>
      <c r="F184" s="569"/>
      <c r="G184" s="569"/>
      <c r="H184" s="569"/>
      <c r="I184" s="569"/>
      <c r="J184" s="569"/>
      <c r="K184" s="569"/>
      <c r="L184" s="569"/>
      <c r="M184" s="569"/>
      <c r="N184" s="569"/>
      <c r="O184" s="569"/>
      <c r="P184" s="569"/>
      <c r="Q184" s="569"/>
      <c r="R184" s="569"/>
      <c r="S184" s="569"/>
      <c r="T184" s="569"/>
      <c r="U184" s="569"/>
      <c r="V184" s="569"/>
      <c r="W184" s="569"/>
      <c r="X184" s="569"/>
      <c r="Y184" s="569"/>
      <c r="Z184" s="569"/>
      <c r="AA184" s="569"/>
      <c r="AB184" s="569"/>
      <c r="AC184" s="569"/>
      <c r="AD184" s="569"/>
      <c r="AE184" s="569"/>
      <c r="AF184" s="569"/>
      <c r="AG184" s="569"/>
      <c r="AH184" s="569"/>
      <c r="AI184" s="569"/>
      <c r="AJ184" s="569"/>
      <c r="AK184" s="569"/>
      <c r="AL184" s="569"/>
      <c r="AM184" s="570"/>
      <c r="AN184" s="598"/>
      <c r="AO184" s="569"/>
      <c r="AR184" s="569"/>
      <c r="AS184" s="569"/>
      <c r="AT184" s="569"/>
      <c r="AU184" s="569"/>
      <c r="AV184" s="569"/>
      <c r="AW184" s="569"/>
      <c r="AX184" s="569"/>
      <c r="AY184" s="569"/>
      <c r="AZ184" s="569"/>
      <c r="BA184" s="569"/>
      <c r="BB184" s="569"/>
      <c r="BC184" s="569"/>
      <c r="BD184" s="569"/>
      <c r="BE184" s="569"/>
      <c r="BF184" s="569"/>
      <c r="BG184" s="569"/>
      <c r="BH184" s="569"/>
      <c r="BI184" s="569"/>
      <c r="BJ184" s="569"/>
      <c r="BK184" s="569"/>
      <c r="BL184" s="569"/>
      <c r="BM184" s="569"/>
      <c r="BN184" s="569"/>
      <c r="BO184" s="569"/>
      <c r="BP184" s="569"/>
      <c r="BQ184" s="569"/>
      <c r="BR184" s="569"/>
      <c r="BS184" s="569"/>
      <c r="BT184" s="569"/>
      <c r="BU184" s="569"/>
    </row>
    <row r="185" spans="1:73" s="551" customFormat="1" ht="12.75" customHeight="1" thickTop="1">
      <c r="A185" s="571"/>
      <c r="B185" s="572"/>
      <c r="C185" s="573"/>
      <c r="D185" s="573"/>
      <c r="E185" s="573"/>
      <c r="F185" s="573"/>
      <c r="G185" s="573"/>
      <c r="H185" s="573"/>
      <c r="I185" s="574"/>
      <c r="J185" s="574"/>
      <c r="K185" s="574"/>
      <c r="L185" s="574"/>
      <c r="M185" s="574"/>
      <c r="N185" s="574"/>
      <c r="O185" s="574"/>
      <c r="P185" s="574"/>
      <c r="Q185" s="574"/>
      <c r="R185" s="571"/>
      <c r="S185" s="540"/>
      <c r="T185" s="540"/>
      <c r="U185" s="540"/>
      <c r="V185" s="540"/>
      <c r="W185" s="540"/>
      <c r="X185" s="540"/>
      <c r="Y185" s="540"/>
      <c r="Z185" s="540"/>
      <c r="AA185" s="540"/>
      <c r="AB185" s="540"/>
      <c r="AC185" s="540"/>
      <c r="AD185" s="540"/>
      <c r="AE185" s="540"/>
      <c r="AF185" s="571"/>
      <c r="AG185" s="540"/>
      <c r="AH185" s="540"/>
      <c r="AI185" s="540"/>
      <c r="AJ185" s="540"/>
      <c r="AN185" s="598"/>
      <c r="AP185" s="613" t="s">
        <v>1359</v>
      </c>
      <c r="AQ185" s="613">
        <v>0</v>
      </c>
    </row>
    <row r="186" spans="1:73" s="551" customFormat="1" ht="12.75" customHeight="1">
      <c r="A186" s="539" t="s">
        <v>1360</v>
      </c>
      <c r="B186" s="539" t="s">
        <v>1726</v>
      </c>
      <c r="C186" s="614"/>
      <c r="D186" s="615"/>
      <c r="E186" s="615"/>
      <c r="F186" s="615"/>
      <c r="G186" s="615"/>
      <c r="H186" s="615"/>
      <c r="I186" s="615"/>
      <c r="J186" s="615"/>
      <c r="K186" s="537"/>
      <c r="L186" s="537"/>
      <c r="M186" s="537"/>
      <c r="N186" s="537"/>
      <c r="O186" s="537"/>
      <c r="P186" s="537"/>
      <c r="Q186" s="537"/>
      <c r="R186" s="537"/>
      <c r="S186" s="537"/>
      <c r="T186" s="537"/>
      <c r="U186" s="537"/>
      <c r="V186" s="537"/>
      <c r="W186" s="537"/>
      <c r="X186" s="537"/>
      <c r="Y186" s="616"/>
      <c r="Z186" s="616"/>
      <c r="AA186" s="616"/>
      <c r="AB186" s="616"/>
      <c r="AC186" s="537"/>
      <c r="AD186" s="537"/>
      <c r="AE186" s="2473" t="s">
        <v>1313</v>
      </c>
      <c r="AF186" s="2473"/>
      <c r="AG186" s="2473"/>
      <c r="AH186" s="2473"/>
      <c r="AI186" s="2473"/>
      <c r="AJ186" s="2473"/>
      <c r="AK186" s="2473"/>
      <c r="AL186" s="592"/>
      <c r="AN186" s="598"/>
      <c r="AP186" s="551" t="s">
        <v>1040</v>
      </c>
      <c r="AQ186" s="551">
        <v>10</v>
      </c>
    </row>
    <row r="187" spans="1:73" s="551" customFormat="1" ht="12.75" customHeight="1">
      <c r="A187" s="539"/>
      <c r="B187" s="617"/>
      <c r="C187" s="618"/>
      <c r="D187" s="615"/>
      <c r="E187" s="615"/>
      <c r="F187" s="615"/>
      <c r="G187" s="615"/>
      <c r="H187" s="537"/>
      <c r="I187" s="537"/>
      <c r="J187" s="537"/>
      <c r="K187" s="537"/>
      <c r="L187" s="537"/>
      <c r="M187" s="537"/>
      <c r="N187" s="537"/>
      <c r="O187" s="537"/>
      <c r="P187" s="537"/>
      <c r="Q187" s="537"/>
      <c r="R187" s="616"/>
      <c r="S187" s="616"/>
      <c r="T187" s="616"/>
      <c r="U187" s="616"/>
      <c r="V187" s="616"/>
      <c r="W187" s="616"/>
      <c r="X187" s="616"/>
      <c r="Y187" s="616"/>
      <c r="Z187" s="616"/>
      <c r="AA187" s="616"/>
      <c r="AB187" s="616"/>
      <c r="AC187" s="592"/>
      <c r="AD187" s="592"/>
      <c r="AE187" s="537"/>
      <c r="AF187" s="537"/>
      <c r="AG187" s="537"/>
      <c r="AH187" s="537"/>
      <c r="AI187" s="537"/>
      <c r="AJ187" s="537"/>
      <c r="AK187" s="537"/>
      <c r="AL187" s="537"/>
      <c r="AN187" s="598"/>
      <c r="AP187" s="551" t="s">
        <v>1361</v>
      </c>
      <c r="AQ187" s="551">
        <v>10</v>
      </c>
    </row>
    <row r="188" spans="1:73" s="551" customFormat="1" ht="12.75" customHeight="1">
      <c r="A188" s="537"/>
      <c r="B188" s="2602" t="s">
        <v>1359</v>
      </c>
      <c r="C188" s="2602"/>
      <c r="D188" s="2602"/>
      <c r="E188" s="2602"/>
      <c r="F188" s="2602"/>
      <c r="G188" s="2602"/>
      <c r="H188" s="2602"/>
      <c r="I188" s="2602"/>
      <c r="J188" s="2602"/>
      <c r="K188" s="2602"/>
      <c r="L188" s="2602"/>
      <c r="M188" s="2602"/>
      <c r="N188" s="2602"/>
      <c r="O188" s="2602"/>
      <c r="P188" s="2602"/>
      <c r="Q188" s="2602"/>
      <c r="R188" s="2602"/>
      <c r="S188" s="2602"/>
      <c r="T188" s="2602"/>
      <c r="U188" s="2602"/>
      <c r="V188" s="2602"/>
      <c r="W188" s="2602"/>
      <c r="X188" s="2602"/>
      <c r="Y188" s="2602"/>
      <c r="Z188" s="2602"/>
      <c r="AA188" s="2602"/>
      <c r="AB188" s="2602"/>
      <c r="AC188" s="2602"/>
      <c r="AD188" s="537"/>
      <c r="AE188" s="537"/>
      <c r="AF188" s="2533" t="s">
        <v>1362</v>
      </c>
      <c r="AG188" s="2533"/>
      <c r="AH188" s="2533"/>
      <c r="AI188" s="2533"/>
      <c r="AJ188" s="2533"/>
      <c r="AK188" s="2533"/>
      <c r="AL188" s="2533"/>
      <c r="AN188" s="598"/>
      <c r="AP188" s="551" t="s">
        <v>1042</v>
      </c>
      <c r="AQ188" s="551">
        <v>10</v>
      </c>
    </row>
    <row r="189" spans="1:73" s="551" customFormat="1" ht="12.75" customHeight="1">
      <c r="A189" s="537"/>
      <c r="B189" s="2404" t="s">
        <v>1725</v>
      </c>
      <c r="C189" s="2404"/>
      <c r="D189" s="2404"/>
      <c r="E189" s="2404"/>
      <c r="F189" s="2404"/>
      <c r="G189" s="2404"/>
      <c r="H189" s="2404"/>
      <c r="I189" s="2404"/>
      <c r="J189" s="2404"/>
      <c r="K189" s="2404"/>
      <c r="L189" s="2404"/>
      <c r="M189" s="2404"/>
      <c r="N189" s="2404"/>
      <c r="O189" s="2404"/>
      <c r="P189" s="2404"/>
      <c r="Q189" s="2404"/>
      <c r="R189" s="2404"/>
      <c r="S189" s="2404"/>
      <c r="T189" s="2603" t="s">
        <v>590</v>
      </c>
      <c r="U189" s="2603"/>
      <c r="V189" s="2603"/>
      <c r="W189" s="2603"/>
      <c r="X189" s="2603"/>
      <c r="Y189" s="2603"/>
      <c r="Z189" s="2603"/>
      <c r="AA189" s="2603"/>
      <c r="AB189" s="2603"/>
      <c r="AC189" s="2603"/>
      <c r="AD189" s="537"/>
      <c r="AE189" s="537"/>
      <c r="AF189" s="537"/>
      <c r="AG189" s="537"/>
      <c r="AH189" s="537"/>
      <c r="AI189" s="537"/>
      <c r="AJ189" s="544"/>
      <c r="AK189" s="596"/>
      <c r="AL189" s="596"/>
      <c r="AM189" s="596"/>
      <c r="AN189" s="598"/>
      <c r="AP189" s="551" t="s">
        <v>1363</v>
      </c>
      <c r="AQ189" s="551">
        <v>10</v>
      </c>
      <c r="AS189" s="551" t="s">
        <v>590</v>
      </c>
    </row>
    <row r="190" spans="1:73" s="551" customFormat="1" ht="12.75" customHeight="1">
      <c r="A190" s="537"/>
      <c r="B190" s="606"/>
      <c r="C190" s="606"/>
      <c r="D190" s="606"/>
      <c r="E190" s="606"/>
      <c r="F190" s="606"/>
      <c r="G190" s="606"/>
      <c r="H190" s="606"/>
      <c r="I190" s="606"/>
      <c r="J190" s="606"/>
      <c r="K190" s="606"/>
      <c r="L190" s="606"/>
      <c r="M190" s="606"/>
      <c r="N190" s="606"/>
      <c r="O190" s="606"/>
      <c r="P190" s="606"/>
      <c r="Q190" s="606"/>
      <c r="R190" s="606"/>
      <c r="S190" s="606"/>
      <c r="T190" s="606"/>
      <c r="U190" s="606"/>
      <c r="V190" s="606"/>
      <c r="W190" s="606"/>
      <c r="X190" s="606"/>
      <c r="Y190" s="606"/>
      <c r="Z190" s="606"/>
      <c r="AA190" s="606"/>
      <c r="AB190" s="606"/>
      <c r="AC190" s="606"/>
      <c r="AD190" s="606"/>
      <c r="AE190" s="537"/>
      <c r="AF190" s="537"/>
      <c r="AG190" s="537"/>
      <c r="AH190" s="537"/>
      <c r="AI190" s="537"/>
      <c r="AJ190" s="544"/>
      <c r="AK190" s="596"/>
      <c r="AL190" s="596"/>
      <c r="AM190" s="619"/>
      <c r="AP190" s="551" t="s">
        <v>1366</v>
      </c>
      <c r="AQ190" s="551">
        <v>10</v>
      </c>
      <c r="AS190" s="551" t="s">
        <v>1364</v>
      </c>
    </row>
    <row r="191" spans="1:73" s="551" customFormat="1" ht="12.75" customHeight="1">
      <c r="A191" s="607"/>
      <c r="B191" s="565"/>
      <c r="C191" s="565"/>
      <c r="D191" s="565"/>
      <c r="E191" s="565"/>
      <c r="F191" s="565"/>
      <c r="G191" s="565"/>
      <c r="H191" s="565"/>
      <c r="I191" s="565"/>
      <c r="J191" s="565"/>
      <c r="K191" s="565"/>
      <c r="L191" s="565"/>
      <c r="M191" s="565"/>
      <c r="N191" s="565"/>
      <c r="O191" s="565"/>
      <c r="P191" s="565"/>
      <c r="Q191" s="565"/>
      <c r="R191" s="565"/>
      <c r="S191" s="565"/>
      <c r="T191" s="565"/>
      <c r="U191" s="565"/>
      <c r="V191" s="565"/>
      <c r="W191" s="565"/>
      <c r="X191" s="565"/>
      <c r="Y191" s="565"/>
      <c r="Z191" s="565"/>
      <c r="AA191" s="565"/>
      <c r="AB191" s="565"/>
      <c r="AC191" s="565"/>
      <c r="AD191" s="565"/>
      <c r="AE191" s="565"/>
      <c r="AF191" s="565"/>
      <c r="AG191" s="565"/>
      <c r="AH191" s="565"/>
      <c r="AI191" s="566"/>
      <c r="AJ191" s="566" t="s">
        <v>1365</v>
      </c>
      <c r="AK191" s="2440">
        <f>IF(AK84&gt;0,VLOOKUP($B$188,AP185:AQ191,2,FALSE),0)</f>
        <v>0</v>
      </c>
      <c r="AL191" s="2441"/>
      <c r="AM191" s="2442"/>
      <c r="AN191" s="536"/>
      <c r="AP191" s="551" t="s">
        <v>1368</v>
      </c>
      <c r="AQ191" s="551">
        <v>10</v>
      </c>
      <c r="AS191" s="551" t="s">
        <v>1367</v>
      </c>
    </row>
    <row r="192" spans="1:73" s="551" customFormat="1" ht="12.75" customHeight="1" thickBot="1">
      <c r="A192" s="620"/>
      <c r="B192" s="620"/>
      <c r="C192" s="621"/>
      <c r="D192" s="622"/>
      <c r="E192" s="622"/>
      <c r="F192" s="622"/>
      <c r="G192" s="622"/>
      <c r="H192" s="622"/>
      <c r="I192" s="622"/>
      <c r="J192" s="622"/>
      <c r="K192" s="622"/>
      <c r="L192" s="622"/>
      <c r="M192" s="622"/>
      <c r="N192" s="622"/>
      <c r="O192" s="622"/>
      <c r="P192" s="622"/>
      <c r="Q192" s="622"/>
      <c r="R192" s="622"/>
      <c r="S192" s="622"/>
      <c r="T192" s="622"/>
      <c r="U192" s="622"/>
      <c r="V192" s="622"/>
      <c r="W192" s="622"/>
      <c r="X192" s="622"/>
      <c r="Y192" s="622"/>
      <c r="Z192" s="622"/>
      <c r="AA192" s="622"/>
      <c r="AB192" s="622"/>
      <c r="AC192" s="622"/>
      <c r="AD192" s="622"/>
      <c r="AE192" s="622"/>
      <c r="AF192" s="622"/>
      <c r="AG192" s="622"/>
      <c r="AH192" s="622"/>
      <c r="AI192" s="622"/>
      <c r="AJ192" s="622"/>
      <c r="AK192" s="622"/>
      <c r="AL192" s="622"/>
      <c r="AM192" s="622"/>
      <c r="AN192" s="598"/>
    </row>
    <row r="193" spans="1:40" s="551" customFormat="1" ht="12.75" customHeight="1" thickTop="1">
      <c r="A193" s="571"/>
      <c r="B193" s="572"/>
      <c r="C193" s="573"/>
      <c r="D193" s="573"/>
      <c r="E193" s="573"/>
      <c r="F193" s="573"/>
      <c r="G193" s="573"/>
      <c r="H193" s="573"/>
      <c r="I193" s="574"/>
      <c r="J193" s="574"/>
      <c r="K193" s="574"/>
      <c r="L193" s="574"/>
      <c r="M193" s="574"/>
      <c r="N193" s="574"/>
      <c r="O193" s="574"/>
      <c r="P193" s="574"/>
      <c r="Q193" s="574"/>
      <c r="R193" s="571"/>
      <c r="S193" s="540"/>
      <c r="T193" s="540"/>
      <c r="U193" s="540"/>
      <c r="V193" s="540"/>
      <c r="W193" s="540"/>
      <c r="X193" s="540"/>
      <c r="Y193" s="540"/>
      <c r="Z193" s="540"/>
      <c r="AA193" s="540"/>
      <c r="AB193" s="540"/>
      <c r="AC193" s="540"/>
      <c r="AD193" s="540"/>
      <c r="AE193" s="540"/>
      <c r="AF193" s="571"/>
      <c r="AG193" s="540"/>
      <c r="AH193" s="540"/>
      <c r="AI193" s="540"/>
      <c r="AJ193" s="540"/>
      <c r="AN193" s="598"/>
    </row>
    <row r="194" spans="1:40" ht="13">
      <c r="A194" s="539" t="s">
        <v>1369</v>
      </c>
      <c r="B194" s="539" t="s">
        <v>1370</v>
      </c>
      <c r="C194" s="614"/>
      <c r="D194" s="615"/>
      <c r="E194" s="615"/>
      <c r="F194" s="615"/>
      <c r="G194" s="615"/>
      <c r="H194" s="615"/>
      <c r="I194" s="615"/>
      <c r="J194" s="615"/>
      <c r="K194" s="551"/>
      <c r="L194" s="551"/>
      <c r="M194" s="551"/>
      <c r="N194" s="551"/>
      <c r="O194" s="551"/>
      <c r="P194" s="551"/>
      <c r="Q194" s="551"/>
      <c r="R194" s="551"/>
      <c r="S194" s="551"/>
      <c r="T194" s="551"/>
      <c r="U194" s="551"/>
      <c r="V194" s="551"/>
      <c r="W194" s="551"/>
      <c r="X194" s="551"/>
      <c r="Y194" s="616"/>
      <c r="Z194" s="616"/>
      <c r="AA194" s="616"/>
      <c r="AB194" s="616"/>
      <c r="AC194" s="551"/>
      <c r="AD194" s="551"/>
      <c r="AE194" s="2473" t="s">
        <v>1371</v>
      </c>
      <c r="AF194" s="2473"/>
      <c r="AG194" s="2473"/>
      <c r="AH194" s="2473"/>
      <c r="AI194" s="2473"/>
      <c r="AJ194" s="2473"/>
      <c r="AK194" s="2473"/>
    </row>
    <row r="195" spans="1:40" ht="13">
      <c r="A195" s="539"/>
      <c r="B195" s="539"/>
      <c r="C195" s="614"/>
      <c r="D195" s="615"/>
      <c r="E195" s="615"/>
      <c r="F195" s="615"/>
      <c r="G195" s="615"/>
      <c r="H195" s="615"/>
      <c r="I195" s="615"/>
      <c r="J195" s="615"/>
      <c r="K195" s="537"/>
      <c r="L195" s="537"/>
      <c r="M195" s="537"/>
      <c r="N195" s="537"/>
      <c r="O195" s="537"/>
      <c r="P195" s="537"/>
      <c r="Q195" s="537"/>
      <c r="R195" s="537"/>
      <c r="S195" s="537"/>
      <c r="T195" s="537"/>
      <c r="U195" s="537"/>
      <c r="V195" s="537"/>
      <c r="W195" s="537"/>
      <c r="X195" s="537"/>
      <c r="Y195" s="616"/>
      <c r="Z195" s="616"/>
      <c r="AA195" s="616"/>
      <c r="AB195" s="616"/>
      <c r="AC195" s="537"/>
      <c r="AD195" s="537"/>
      <c r="AE195" s="544"/>
      <c r="AF195" s="544"/>
      <c r="AG195" s="544"/>
      <c r="AH195" s="544"/>
      <c r="AI195" s="544"/>
      <c r="AJ195" s="544"/>
      <c r="AK195" s="544"/>
    </row>
    <row r="196" spans="1:40" ht="13">
      <c r="A196" s="539"/>
      <c r="B196" s="845" t="s">
        <v>1588</v>
      </c>
      <c r="C196" s="614"/>
      <c r="D196" s="615"/>
      <c r="E196" s="615"/>
      <c r="F196" s="615"/>
      <c r="G196" s="615"/>
      <c r="H196" s="615"/>
      <c r="I196" s="615"/>
      <c r="J196" s="615"/>
      <c r="K196" s="537"/>
      <c r="L196" s="537"/>
      <c r="M196" s="537"/>
      <c r="N196" s="537"/>
      <c r="O196" s="537"/>
      <c r="P196" s="537"/>
      <c r="Q196" s="537"/>
      <c r="R196" s="537"/>
      <c r="S196" s="537"/>
      <c r="T196" s="537"/>
      <c r="U196" s="537"/>
      <c r="V196" s="537"/>
      <c r="W196" s="537"/>
      <c r="X196" s="537"/>
      <c r="Y196" s="616"/>
      <c r="Z196" s="616"/>
      <c r="AA196" s="616"/>
      <c r="AB196" s="616"/>
      <c r="AC196" s="537"/>
      <c r="AD196" s="537"/>
      <c r="AE196" s="544"/>
      <c r="AF196" s="544"/>
      <c r="AG196" s="544"/>
      <c r="AH196" s="544"/>
      <c r="AI196" s="544"/>
      <c r="AJ196" s="544"/>
      <c r="AK196" s="544"/>
    </row>
    <row r="197" spans="1:40">
      <c r="A197" s="606"/>
      <c r="C197" s="664"/>
      <c r="D197" s="828"/>
      <c r="E197" s="828"/>
      <c r="F197" s="828"/>
      <c r="G197" s="828"/>
      <c r="H197" s="828"/>
      <c r="I197" s="828"/>
      <c r="J197" s="828"/>
      <c r="K197" s="537"/>
      <c r="L197" s="537"/>
      <c r="M197" s="537"/>
      <c r="N197" s="537"/>
      <c r="O197" s="537"/>
      <c r="P197" s="537"/>
      <c r="Q197" s="537"/>
      <c r="R197" s="537"/>
      <c r="S197" s="537"/>
      <c r="T197" s="537"/>
      <c r="U197" s="537"/>
      <c r="V197" s="537"/>
      <c r="W197" s="537"/>
      <c r="X197" s="537"/>
      <c r="Y197" s="644"/>
      <c r="Z197" s="644"/>
      <c r="AA197" s="644"/>
      <c r="AB197" s="644"/>
      <c r="AC197" s="537"/>
      <c r="AD197" s="537"/>
      <c r="AE197" s="611"/>
      <c r="AF197" s="611"/>
      <c r="AG197" s="611"/>
      <c r="AH197" s="611"/>
      <c r="AI197" s="611"/>
      <c r="AJ197" s="611"/>
      <c r="AK197" s="611"/>
    </row>
    <row r="198" spans="1:40">
      <c r="A198" s="606"/>
      <c r="B198" s="846" t="s">
        <v>1624</v>
      </c>
      <c r="C198" s="664"/>
      <c r="D198" s="828"/>
      <c r="E198" s="828"/>
      <c r="F198" s="828"/>
      <c r="G198" s="828"/>
      <c r="H198" s="828"/>
      <c r="I198" s="828"/>
      <c r="J198" s="828"/>
      <c r="K198" s="537"/>
      <c r="L198" s="537"/>
      <c r="M198" s="537"/>
      <c r="N198" s="537"/>
      <c r="O198" s="537"/>
      <c r="P198" s="537"/>
      <c r="Q198" s="537"/>
      <c r="R198" s="537"/>
      <c r="S198" s="537"/>
      <c r="T198" s="537"/>
      <c r="U198" s="537"/>
      <c r="V198" s="537"/>
      <c r="W198" s="537"/>
      <c r="X198" s="537"/>
      <c r="Y198" s="644"/>
      <c r="Z198" s="644"/>
      <c r="AA198" s="644"/>
      <c r="AB198" s="644"/>
      <c r="AC198" s="537"/>
      <c r="AD198" s="537"/>
      <c r="AE198" s="611"/>
      <c r="AF198" s="611"/>
      <c r="AG198" s="611"/>
      <c r="AH198" s="611"/>
      <c r="AI198" s="611"/>
      <c r="AJ198" s="611"/>
      <c r="AK198" s="611"/>
    </row>
    <row r="199" spans="1:40">
      <c r="A199" s="606"/>
      <c r="B199" s="2596"/>
      <c r="C199" s="2596"/>
      <c r="D199" s="2596"/>
      <c r="E199" s="2596"/>
      <c r="F199" s="2596"/>
      <c r="G199" s="2596"/>
      <c r="H199" s="2596"/>
      <c r="I199" s="2596"/>
      <c r="J199" s="2596"/>
      <c r="K199" s="2596"/>
      <c r="L199" s="2596"/>
      <c r="M199" s="2596"/>
      <c r="N199" s="2596"/>
      <c r="O199" s="2596"/>
      <c r="P199" s="2596"/>
      <c r="Q199" s="2596"/>
      <c r="R199" s="2596"/>
      <c r="S199" s="2596"/>
      <c r="T199" s="2596"/>
      <c r="U199" s="2596"/>
      <c r="V199" s="2596"/>
      <c r="W199" s="2596"/>
      <c r="X199" s="2596"/>
      <c r="Y199" s="2596"/>
      <c r="Z199" s="2596"/>
      <c r="AA199" s="2596"/>
      <c r="AB199" s="2596"/>
      <c r="AC199" s="847"/>
      <c r="AD199" s="2586"/>
      <c r="AE199" s="2586"/>
      <c r="AF199" s="2586"/>
      <c r="AG199" s="2586"/>
      <c r="AH199" s="2586"/>
      <c r="AI199" s="2586"/>
      <c r="AJ199" s="2586"/>
      <c r="AK199" s="611"/>
    </row>
    <row r="200" spans="1:40">
      <c r="A200" s="606"/>
      <c r="B200" s="2596"/>
      <c r="C200" s="2596"/>
      <c r="D200" s="2596"/>
      <c r="E200" s="2596"/>
      <c r="F200" s="2596"/>
      <c r="G200" s="2596"/>
      <c r="H200" s="2596"/>
      <c r="I200" s="2596"/>
      <c r="J200" s="2596"/>
      <c r="K200" s="2596"/>
      <c r="L200" s="2596"/>
      <c r="M200" s="2596"/>
      <c r="N200" s="2596"/>
      <c r="O200" s="2596"/>
      <c r="P200" s="2596"/>
      <c r="Q200" s="2596"/>
      <c r="R200" s="2596"/>
      <c r="S200" s="2596"/>
      <c r="T200" s="2596"/>
      <c r="U200" s="2596"/>
      <c r="V200" s="2596"/>
      <c r="W200" s="2596"/>
      <c r="X200" s="2596"/>
      <c r="Y200" s="2596"/>
      <c r="Z200" s="2596"/>
      <c r="AA200" s="2596"/>
      <c r="AB200" s="2596"/>
      <c r="AC200" s="847"/>
      <c r="AD200" s="2586"/>
      <c r="AE200" s="2586"/>
      <c r="AF200" s="2586"/>
      <c r="AG200" s="2586"/>
      <c r="AH200" s="2586"/>
      <c r="AI200" s="2586"/>
      <c r="AJ200" s="2586"/>
      <c r="AK200" s="611"/>
    </row>
    <row r="201" spans="1:40">
      <c r="A201" s="606"/>
      <c r="B201" s="2596"/>
      <c r="C201" s="2596"/>
      <c r="D201" s="2596"/>
      <c r="E201" s="2596"/>
      <c r="F201" s="2596"/>
      <c r="G201" s="2596"/>
      <c r="H201" s="2596"/>
      <c r="I201" s="2596"/>
      <c r="J201" s="2596"/>
      <c r="K201" s="2596"/>
      <c r="L201" s="2596"/>
      <c r="M201" s="2596"/>
      <c r="N201" s="2596"/>
      <c r="O201" s="2596"/>
      <c r="P201" s="2596"/>
      <c r="Q201" s="2596"/>
      <c r="R201" s="2596"/>
      <c r="S201" s="2596"/>
      <c r="T201" s="2596"/>
      <c r="U201" s="2596"/>
      <c r="V201" s="2596"/>
      <c r="W201" s="2596"/>
      <c r="X201" s="2596"/>
      <c r="Y201" s="2596"/>
      <c r="Z201" s="2596"/>
      <c r="AA201" s="2596"/>
      <c r="AB201" s="2596"/>
      <c r="AC201" s="847"/>
      <c r="AD201" s="2586"/>
      <c r="AE201" s="2586"/>
      <c r="AF201" s="2586"/>
      <c r="AG201" s="2586"/>
      <c r="AH201" s="2586"/>
      <c r="AI201" s="2586"/>
      <c r="AJ201" s="2586"/>
      <c r="AK201" s="611"/>
    </row>
    <row r="202" spans="1:40">
      <c r="A202" s="606"/>
      <c r="B202" s="2596"/>
      <c r="C202" s="2596"/>
      <c r="D202" s="2596"/>
      <c r="E202" s="2596"/>
      <c r="F202" s="2596"/>
      <c r="G202" s="2596"/>
      <c r="H202" s="2596"/>
      <c r="I202" s="2596"/>
      <c r="J202" s="2596"/>
      <c r="K202" s="2596"/>
      <c r="L202" s="2596"/>
      <c r="M202" s="2596"/>
      <c r="N202" s="2596"/>
      <c r="O202" s="2596"/>
      <c r="P202" s="2596"/>
      <c r="Q202" s="2596"/>
      <c r="R202" s="2596"/>
      <c r="S202" s="2596"/>
      <c r="T202" s="2596"/>
      <c r="U202" s="2596"/>
      <c r="V202" s="2596"/>
      <c r="W202" s="2596"/>
      <c r="X202" s="2596"/>
      <c r="Y202" s="2596"/>
      <c r="Z202" s="2596"/>
      <c r="AA202" s="2596"/>
      <c r="AB202" s="2596"/>
      <c r="AC202" s="847"/>
      <c r="AD202" s="2586"/>
      <c r="AE202" s="2586"/>
      <c r="AF202" s="2586"/>
      <c r="AG202" s="2586"/>
      <c r="AH202" s="2586"/>
      <c r="AI202" s="2586"/>
      <c r="AJ202" s="2586"/>
      <c r="AK202" s="611"/>
    </row>
    <row r="203" spans="1:40">
      <c r="A203" s="606"/>
      <c r="B203" s="2596"/>
      <c r="C203" s="2596"/>
      <c r="D203" s="2596"/>
      <c r="E203" s="2596"/>
      <c r="F203" s="2596"/>
      <c r="G203" s="2596"/>
      <c r="H203" s="2596"/>
      <c r="I203" s="2596"/>
      <c r="J203" s="2596"/>
      <c r="K203" s="2596"/>
      <c r="L203" s="2596"/>
      <c r="M203" s="2596"/>
      <c r="N203" s="2596"/>
      <c r="O203" s="2596"/>
      <c r="P203" s="2596"/>
      <c r="Q203" s="2596"/>
      <c r="R203" s="2596"/>
      <c r="S203" s="2596"/>
      <c r="T203" s="2596"/>
      <c r="U203" s="2596"/>
      <c r="V203" s="2596"/>
      <c r="W203" s="2596"/>
      <c r="X203" s="2596"/>
      <c r="Y203" s="2596"/>
      <c r="Z203" s="2596"/>
      <c r="AA203" s="2596"/>
      <c r="AB203" s="2596"/>
      <c r="AC203" s="847"/>
      <c r="AD203" s="2586"/>
      <c r="AE203" s="2586"/>
      <c r="AF203" s="2586"/>
      <c r="AG203" s="2586"/>
      <c r="AH203" s="2586"/>
      <c r="AI203" s="2586"/>
      <c r="AJ203" s="2586"/>
      <c r="AK203" s="611"/>
    </row>
    <row r="204" spans="1:40">
      <c r="A204" s="606"/>
      <c r="B204" s="2596"/>
      <c r="C204" s="2596"/>
      <c r="D204" s="2596"/>
      <c r="E204" s="2596"/>
      <c r="F204" s="2596"/>
      <c r="G204" s="2596"/>
      <c r="H204" s="2596"/>
      <c r="I204" s="2596"/>
      <c r="J204" s="2596"/>
      <c r="K204" s="2596"/>
      <c r="L204" s="2596"/>
      <c r="M204" s="2596"/>
      <c r="N204" s="2596"/>
      <c r="O204" s="2596"/>
      <c r="P204" s="2596"/>
      <c r="Q204" s="2596"/>
      <c r="R204" s="2596"/>
      <c r="S204" s="2596"/>
      <c r="T204" s="2596"/>
      <c r="U204" s="2596"/>
      <c r="V204" s="2596"/>
      <c r="W204" s="2596"/>
      <c r="X204" s="2596"/>
      <c r="Y204" s="2596"/>
      <c r="Z204" s="2596"/>
      <c r="AA204" s="2596"/>
      <c r="AB204" s="2596"/>
      <c r="AC204" s="847"/>
      <c r="AD204" s="2586"/>
      <c r="AE204" s="2586"/>
      <c r="AF204" s="2586"/>
      <c r="AG204" s="2586"/>
      <c r="AH204" s="2586"/>
      <c r="AI204" s="2586"/>
      <c r="AJ204" s="2586"/>
      <c r="AK204" s="611"/>
    </row>
    <row r="205" spans="1:40">
      <c r="A205" s="606"/>
      <c r="B205" s="2596"/>
      <c r="C205" s="2596"/>
      <c r="D205" s="2596"/>
      <c r="E205" s="2596"/>
      <c r="F205" s="2596"/>
      <c r="G205" s="2596"/>
      <c r="H205" s="2596"/>
      <c r="I205" s="2596"/>
      <c r="J205" s="2596"/>
      <c r="K205" s="2596"/>
      <c r="L205" s="2596"/>
      <c r="M205" s="2596"/>
      <c r="N205" s="2596"/>
      <c r="O205" s="2596"/>
      <c r="P205" s="2596"/>
      <c r="Q205" s="2596"/>
      <c r="R205" s="2596"/>
      <c r="S205" s="2596"/>
      <c r="T205" s="2596"/>
      <c r="U205" s="2596"/>
      <c r="V205" s="2596"/>
      <c r="W205" s="2596"/>
      <c r="X205" s="2596"/>
      <c r="Y205" s="2596"/>
      <c r="Z205" s="2596"/>
      <c r="AA205" s="2596"/>
      <c r="AB205" s="2596"/>
      <c r="AC205" s="847"/>
      <c r="AD205" s="2586"/>
      <c r="AE205" s="2586"/>
      <c r="AF205" s="2586"/>
      <c r="AG205" s="2586"/>
      <c r="AH205" s="2586"/>
      <c r="AI205" s="2586"/>
      <c r="AJ205" s="2586"/>
      <c r="AK205" s="611"/>
    </row>
    <row r="206" spans="1:40">
      <c r="A206" s="606"/>
      <c r="B206" s="2596"/>
      <c r="C206" s="2596"/>
      <c r="D206" s="2596"/>
      <c r="E206" s="2596"/>
      <c r="F206" s="2596"/>
      <c r="G206" s="2596"/>
      <c r="H206" s="2596"/>
      <c r="I206" s="2596"/>
      <c r="J206" s="2596"/>
      <c r="K206" s="2596"/>
      <c r="L206" s="2596"/>
      <c r="M206" s="2596"/>
      <c r="N206" s="2596"/>
      <c r="O206" s="2596"/>
      <c r="P206" s="2596"/>
      <c r="Q206" s="2596"/>
      <c r="R206" s="2596"/>
      <c r="S206" s="2596"/>
      <c r="T206" s="2596"/>
      <c r="U206" s="2596"/>
      <c r="V206" s="2596"/>
      <c r="W206" s="2596"/>
      <c r="X206" s="2596"/>
      <c r="Y206" s="2596"/>
      <c r="Z206" s="2596"/>
      <c r="AA206" s="2596"/>
      <c r="AB206" s="2596"/>
      <c r="AC206" s="847"/>
      <c r="AD206" s="2586"/>
      <c r="AE206" s="2586"/>
      <c r="AF206" s="2586"/>
      <c r="AG206" s="2586"/>
      <c r="AH206" s="2586"/>
      <c r="AI206" s="2586"/>
      <c r="AJ206" s="2586"/>
      <c r="AK206" s="611"/>
    </row>
    <row r="207" spans="1:40">
      <c r="A207" s="606"/>
      <c r="B207" s="2596"/>
      <c r="C207" s="2596"/>
      <c r="D207" s="2596"/>
      <c r="E207" s="2596"/>
      <c r="F207" s="2596"/>
      <c r="G207" s="2596"/>
      <c r="H207" s="2596"/>
      <c r="I207" s="2596"/>
      <c r="J207" s="2596"/>
      <c r="K207" s="2596"/>
      <c r="L207" s="2596"/>
      <c r="M207" s="2596"/>
      <c r="N207" s="2596"/>
      <c r="O207" s="2596"/>
      <c r="P207" s="2596"/>
      <c r="Q207" s="2596"/>
      <c r="R207" s="2596"/>
      <c r="S207" s="2596"/>
      <c r="T207" s="2596"/>
      <c r="U207" s="2596"/>
      <c r="V207" s="2596"/>
      <c r="W207" s="2596"/>
      <c r="X207" s="2596"/>
      <c r="Y207" s="2596"/>
      <c r="Z207" s="2596"/>
      <c r="AA207" s="2596"/>
      <c r="AB207" s="2596"/>
      <c r="AC207" s="847"/>
      <c r="AD207" s="2586"/>
      <c r="AE207" s="2586"/>
      <c r="AF207" s="2586"/>
      <c r="AG207" s="2586"/>
      <c r="AH207" s="2586"/>
      <c r="AI207" s="2586"/>
      <c r="AJ207" s="2586"/>
      <c r="AK207" s="611"/>
    </row>
    <row r="208" spans="1:40">
      <c r="A208" s="606"/>
      <c r="B208" s="2596"/>
      <c r="C208" s="2596"/>
      <c r="D208" s="2596"/>
      <c r="E208" s="2596"/>
      <c r="F208" s="2596"/>
      <c r="G208" s="2596"/>
      <c r="H208" s="2596"/>
      <c r="I208" s="2596"/>
      <c r="J208" s="2596"/>
      <c r="K208" s="2596"/>
      <c r="L208" s="2596"/>
      <c r="M208" s="2596"/>
      <c r="N208" s="2596"/>
      <c r="O208" s="2596"/>
      <c r="P208" s="2596"/>
      <c r="Q208" s="2596"/>
      <c r="R208" s="2596"/>
      <c r="S208" s="2596"/>
      <c r="T208" s="2596"/>
      <c r="U208" s="2596"/>
      <c r="V208" s="2596"/>
      <c r="W208" s="2596"/>
      <c r="X208" s="2596"/>
      <c r="Y208" s="2596"/>
      <c r="Z208" s="2596"/>
      <c r="AA208" s="2596"/>
      <c r="AB208" s="2596"/>
      <c r="AC208" s="847"/>
      <c r="AD208" s="2586"/>
      <c r="AE208" s="2586"/>
      <c r="AF208" s="2586"/>
      <c r="AG208" s="2586"/>
      <c r="AH208" s="2586"/>
      <c r="AI208" s="2586"/>
      <c r="AJ208" s="2586"/>
      <c r="AK208" s="611"/>
    </row>
    <row r="209" spans="1:37">
      <c r="A209" s="606"/>
      <c r="B209" s="2611" t="s">
        <v>1626</v>
      </c>
      <c r="C209" s="2611"/>
      <c r="D209" s="2611"/>
      <c r="E209" s="2611"/>
      <c r="F209" s="2611"/>
      <c r="G209" s="2611"/>
      <c r="H209" s="2611"/>
      <c r="I209" s="2611"/>
      <c r="J209" s="2611"/>
      <c r="K209" s="2611"/>
      <c r="L209" s="2611"/>
      <c r="M209" s="2611"/>
      <c r="N209" s="2611"/>
      <c r="O209" s="2611"/>
      <c r="P209" s="2611"/>
      <c r="Q209" s="2611"/>
      <c r="R209" s="2611"/>
      <c r="S209" s="2611"/>
      <c r="T209" s="2611"/>
      <c r="U209" s="2611"/>
      <c r="V209" s="2611"/>
      <c r="W209" s="2611"/>
      <c r="X209" s="2611"/>
      <c r="Y209" s="2611"/>
      <c r="Z209" s="2611"/>
      <c r="AA209" s="2611"/>
      <c r="AB209" s="2611"/>
      <c r="AC209" s="537"/>
      <c r="AD209" s="2584">
        <f>AB260</f>
        <v>8248719.5608120635</v>
      </c>
      <c r="AE209" s="2584"/>
      <c r="AF209" s="2584"/>
      <c r="AG209" s="2584"/>
      <c r="AH209" s="2584"/>
      <c r="AI209" s="2584"/>
      <c r="AJ209" s="2584"/>
      <c r="AK209" s="611"/>
    </row>
    <row r="210" spans="1:37">
      <c r="A210" s="606"/>
      <c r="B210" s="2458" t="s">
        <v>1589</v>
      </c>
      <c r="C210" s="2458"/>
      <c r="D210" s="2458"/>
      <c r="E210" s="2458"/>
      <c r="F210" s="2458"/>
      <c r="G210" s="2458"/>
      <c r="H210" s="2458"/>
      <c r="I210" s="2458"/>
      <c r="J210" s="2458"/>
      <c r="K210" s="2458"/>
      <c r="L210" s="2458"/>
      <c r="M210" s="2458"/>
      <c r="N210" s="2458"/>
      <c r="O210" s="2458"/>
      <c r="P210" s="2458"/>
      <c r="Q210" s="2458"/>
      <c r="R210" s="2458"/>
      <c r="S210" s="2458"/>
      <c r="T210" s="2458"/>
      <c r="U210" s="2458"/>
      <c r="V210" s="2458"/>
      <c r="W210" s="2458"/>
      <c r="X210" s="2458"/>
      <c r="Y210" s="2458"/>
      <c r="Z210" s="2458"/>
      <c r="AA210" s="2458"/>
      <c r="AB210" s="2458"/>
      <c r="AC210" s="847"/>
      <c r="AD210" s="2585">
        <f>'Sources and Uses Budget'!B15</f>
        <v>0</v>
      </c>
      <c r="AE210" s="2585"/>
      <c r="AF210" s="2585"/>
      <c r="AG210" s="2585"/>
      <c r="AH210" s="2585"/>
      <c r="AI210" s="2585"/>
      <c r="AJ210" s="2585"/>
      <c r="AK210" s="611"/>
    </row>
    <row r="211" spans="1:37" ht="13">
      <c r="A211" s="606"/>
      <c r="B211" s="448"/>
      <c r="C211" s="448"/>
      <c r="D211" s="448"/>
      <c r="E211" s="448"/>
      <c r="F211" s="448"/>
      <c r="G211" s="448"/>
      <c r="H211" s="448"/>
      <c r="I211" s="448"/>
      <c r="J211" s="448"/>
      <c r="K211" s="448"/>
      <c r="L211" s="448"/>
      <c r="M211" s="448"/>
      <c r="N211" s="448"/>
      <c r="O211" s="448"/>
      <c r="P211" s="448"/>
      <c r="Q211" s="448"/>
      <c r="R211" s="448"/>
      <c r="S211" s="448"/>
      <c r="T211" s="448"/>
      <c r="U211" s="448"/>
      <c r="V211" s="448"/>
      <c r="W211" s="448"/>
      <c r="X211" s="448"/>
      <c r="Y211" s="448"/>
      <c r="Z211" s="448"/>
      <c r="AA211" s="448"/>
      <c r="AB211" s="624" t="s">
        <v>898</v>
      </c>
      <c r="AC211" s="537"/>
      <c r="AD211" s="2590">
        <f>SUM(AD199:AJ209)-AD210</f>
        <v>8248719.5608120635</v>
      </c>
      <c r="AE211" s="2590"/>
      <c r="AF211" s="2590"/>
      <c r="AG211" s="2590"/>
      <c r="AH211" s="2590"/>
      <c r="AI211" s="2590"/>
      <c r="AJ211" s="2590"/>
      <c r="AK211" s="611"/>
    </row>
    <row r="212" spans="1:37">
      <c r="A212" s="606"/>
      <c r="B212" s="606"/>
      <c r="C212" s="664"/>
      <c r="D212" s="828"/>
      <c r="E212" s="828"/>
      <c r="F212" s="828"/>
      <c r="G212" s="828"/>
      <c r="H212" s="828"/>
      <c r="I212" s="828"/>
      <c r="J212" s="828"/>
      <c r="K212" s="537"/>
      <c r="L212" s="537"/>
      <c r="M212" s="537"/>
      <c r="N212" s="537"/>
      <c r="O212" s="537"/>
      <c r="P212" s="537"/>
      <c r="Q212" s="537"/>
      <c r="R212" s="537"/>
      <c r="S212" s="537"/>
      <c r="T212" s="537"/>
      <c r="U212" s="537"/>
      <c r="V212" s="537"/>
      <c r="W212" s="537"/>
      <c r="X212" s="537"/>
      <c r="Y212" s="644"/>
      <c r="Z212" s="644"/>
      <c r="AA212" s="644"/>
      <c r="AB212" s="644"/>
      <c r="AC212" s="537"/>
      <c r="AD212" s="537"/>
      <c r="AE212" s="611"/>
      <c r="AF212" s="611"/>
      <c r="AG212" s="611"/>
      <c r="AH212" s="611"/>
      <c r="AI212" s="611"/>
      <c r="AJ212" s="611"/>
      <c r="AK212" s="611"/>
    </row>
    <row r="213" spans="1:37" ht="13">
      <c r="A213" s="606"/>
      <c r="B213" s="499" t="s">
        <v>1594</v>
      </c>
      <c r="C213" s="664"/>
      <c r="D213" s="828"/>
      <c r="E213" s="828"/>
      <c r="F213" s="828"/>
      <c r="G213" s="828"/>
      <c r="H213" s="828"/>
      <c r="I213" s="828"/>
      <c r="J213" s="828"/>
      <c r="K213" s="537"/>
      <c r="L213" s="537"/>
      <c r="M213" s="537"/>
      <c r="N213" s="537"/>
      <c r="O213" s="537"/>
      <c r="P213" s="537"/>
      <c r="Q213" s="537"/>
      <c r="R213" s="537"/>
      <c r="S213" s="537"/>
      <c r="T213" s="537"/>
      <c r="U213" s="537"/>
      <c r="V213" s="537"/>
      <c r="W213" s="537"/>
      <c r="X213" s="537"/>
      <c r="Y213" s="644"/>
      <c r="Z213" s="644"/>
      <c r="AA213" s="644"/>
      <c r="AB213" s="644"/>
      <c r="AC213" s="537"/>
      <c r="AD213" s="537"/>
      <c r="AE213" s="611"/>
      <c r="AF213" s="611"/>
      <c r="AG213" s="611"/>
      <c r="AH213" s="611"/>
      <c r="AI213" s="611"/>
      <c r="AJ213" s="611"/>
      <c r="AK213" s="611"/>
    </row>
    <row r="214" spans="1:37">
      <c r="A214" s="606"/>
      <c r="B214" s="477" t="s">
        <v>1625</v>
      </c>
      <c r="C214" s="664"/>
      <c r="D214" s="828"/>
      <c r="E214" s="828"/>
      <c r="F214" s="828"/>
      <c r="G214" s="828"/>
      <c r="H214" s="828"/>
      <c r="I214" s="828"/>
      <c r="J214" s="828"/>
      <c r="K214" s="537"/>
      <c r="L214" s="537"/>
      <c r="M214" s="537"/>
      <c r="N214" s="537"/>
      <c r="O214" s="537"/>
      <c r="P214" s="537"/>
      <c r="Q214" s="537"/>
      <c r="R214" s="537"/>
      <c r="S214" s="537"/>
      <c r="T214" s="537"/>
      <c r="U214" s="537"/>
      <c r="V214" s="537"/>
      <c r="W214" s="537"/>
      <c r="X214" s="537"/>
      <c r="Y214" s="644"/>
      <c r="Z214" s="644"/>
      <c r="AA214" s="644"/>
      <c r="AB214" s="644"/>
      <c r="AC214" s="537"/>
      <c r="AD214" s="537"/>
      <c r="AE214" s="611"/>
      <c r="AF214" s="611"/>
      <c r="AG214" s="611"/>
      <c r="AH214" s="611"/>
      <c r="AI214" s="611"/>
      <c r="AJ214" s="611"/>
      <c r="AK214" s="611"/>
    </row>
    <row r="215" spans="1:37">
      <c r="A215" s="855"/>
      <c r="B215" s="878" t="s">
        <v>1596</v>
      </c>
      <c r="C215" s="879"/>
      <c r="D215" s="880"/>
      <c r="E215" s="880"/>
      <c r="F215" s="880"/>
      <c r="G215" s="880"/>
      <c r="H215" s="880"/>
      <c r="I215" s="880"/>
      <c r="J215" s="880"/>
      <c r="K215" s="881"/>
      <c r="L215" s="881"/>
      <c r="M215" s="881"/>
      <c r="N215" s="881"/>
      <c r="O215" s="881"/>
      <c r="P215" s="881"/>
      <c r="Q215" s="881"/>
      <c r="R215" s="881"/>
      <c r="S215" s="745"/>
      <c r="T215" s="745"/>
      <c r="U215" s="745"/>
      <c r="V215" s="745"/>
      <c r="W215" s="745"/>
      <c r="X215" s="745"/>
      <c r="Y215" s="829"/>
      <c r="Z215" s="829"/>
      <c r="AA215" s="829"/>
      <c r="AB215" s="829"/>
      <c r="AC215" s="745"/>
      <c r="AD215" s="745"/>
      <c r="AE215" s="830"/>
      <c r="AF215" s="830"/>
      <c r="AG215" s="830"/>
      <c r="AH215" s="830"/>
      <c r="AI215" s="830"/>
      <c r="AJ215" s="831"/>
      <c r="AK215" s="611"/>
    </row>
    <row r="216" spans="1:37">
      <c r="A216" s="855"/>
      <c r="B216" s="882" t="s">
        <v>1597</v>
      </c>
      <c r="C216" s="883"/>
      <c r="D216" s="884"/>
      <c r="E216" s="884"/>
      <c r="F216" s="884"/>
      <c r="G216" s="884"/>
      <c r="H216" s="884"/>
      <c r="I216" s="884"/>
      <c r="J216" s="884"/>
      <c r="K216" s="885"/>
      <c r="L216" s="885"/>
      <c r="M216" s="885"/>
      <c r="N216" s="885"/>
      <c r="O216" s="885"/>
      <c r="P216" s="885"/>
      <c r="Q216" s="885"/>
      <c r="R216" s="885"/>
      <c r="S216" s="537"/>
      <c r="T216" s="537"/>
      <c r="U216" s="537"/>
      <c r="V216" s="537"/>
      <c r="W216" s="537"/>
      <c r="X216" s="537"/>
      <c r="Y216" s="644"/>
      <c r="Z216" s="644"/>
      <c r="AA216" s="644"/>
      <c r="AB216" s="644"/>
      <c r="AC216" s="537"/>
      <c r="AD216" s="537"/>
      <c r="AE216" s="611"/>
      <c r="AF216" s="611"/>
      <c r="AG216" s="611"/>
      <c r="AH216" s="611"/>
      <c r="AI216" s="611"/>
      <c r="AJ216" s="832"/>
      <c r="AK216" s="611"/>
    </row>
    <row r="217" spans="1:37">
      <c r="A217" s="855"/>
      <c r="B217" s="882" t="s">
        <v>2024</v>
      </c>
      <c r="C217" s="883"/>
      <c r="D217" s="884"/>
      <c r="E217" s="884"/>
      <c r="F217" s="884"/>
      <c r="G217" s="884"/>
      <c r="H217" s="884"/>
      <c r="I217" s="884"/>
      <c r="J217" s="884"/>
      <c r="K217" s="885"/>
      <c r="L217" s="885"/>
      <c r="M217" s="885"/>
      <c r="N217" s="885"/>
      <c r="O217" s="885"/>
      <c r="P217" s="885"/>
      <c r="Q217" s="885"/>
      <c r="R217" s="885"/>
      <c r="S217" s="537"/>
      <c r="T217" s="537"/>
      <c r="U217" s="537"/>
      <c r="V217" s="537"/>
      <c r="W217" s="537"/>
      <c r="X217" s="537"/>
      <c r="Y217" s="644"/>
      <c r="Z217" s="644"/>
      <c r="AA217" s="644"/>
      <c r="AB217" s="644"/>
      <c r="AC217" s="537"/>
      <c r="AD217" s="537"/>
      <c r="AE217" s="611"/>
      <c r="AF217" s="611"/>
      <c r="AG217" s="611"/>
      <c r="AH217" s="611"/>
      <c r="AI217" s="611"/>
      <c r="AJ217" s="832"/>
      <c r="AK217" s="611"/>
    </row>
    <row r="218" spans="1:37">
      <c r="A218" s="855"/>
      <c r="B218" s="882" t="s">
        <v>1598</v>
      </c>
      <c r="C218" s="883"/>
      <c r="D218" s="884"/>
      <c r="E218" s="884"/>
      <c r="F218" s="884"/>
      <c r="G218" s="884"/>
      <c r="H218" s="884"/>
      <c r="I218" s="884"/>
      <c r="J218" s="884"/>
      <c r="K218" s="885"/>
      <c r="L218" s="885"/>
      <c r="M218" s="885"/>
      <c r="N218" s="885"/>
      <c r="O218" s="885"/>
      <c r="P218" s="885"/>
      <c r="Q218" s="885"/>
      <c r="R218" s="885"/>
      <c r="S218" s="537"/>
      <c r="T218" s="537"/>
      <c r="U218" s="537"/>
      <c r="V218" s="537"/>
      <c r="W218" s="537"/>
      <c r="X218" s="537"/>
      <c r="Y218" s="644"/>
      <c r="Z218" s="644"/>
      <c r="AA218" s="644"/>
      <c r="AB218" s="644"/>
      <c r="AC218" s="537"/>
      <c r="AD218" s="537"/>
      <c r="AE218" s="611"/>
      <c r="AF218" s="611"/>
      <c r="AG218" s="611"/>
      <c r="AH218" s="611"/>
      <c r="AI218" s="611"/>
      <c r="AJ218" s="832"/>
      <c r="AK218" s="611"/>
    </row>
    <row r="219" spans="1:37">
      <c r="A219" s="855"/>
      <c r="B219" s="886" t="s">
        <v>1599</v>
      </c>
      <c r="C219" s="883"/>
      <c r="D219" s="884"/>
      <c r="E219" s="884"/>
      <c r="F219" s="884"/>
      <c r="G219" s="884"/>
      <c r="H219" s="884"/>
      <c r="I219" s="884"/>
      <c r="J219" s="884"/>
      <c r="K219" s="885"/>
      <c r="L219" s="885"/>
      <c r="M219" s="885"/>
      <c r="N219" s="885"/>
      <c r="O219" s="885"/>
      <c r="P219" s="885"/>
      <c r="Q219" s="885"/>
      <c r="R219" s="885"/>
      <c r="S219" s="537"/>
      <c r="T219" s="537"/>
      <c r="U219" s="537"/>
      <c r="V219" s="537"/>
      <c r="W219" s="537"/>
      <c r="X219" s="537"/>
      <c r="Y219" s="644"/>
      <c r="Z219" s="644"/>
      <c r="AA219" s="644"/>
      <c r="AB219" s="644"/>
      <c r="AC219" s="537"/>
      <c r="AD219" s="537"/>
      <c r="AE219" s="611"/>
      <c r="AF219" s="611"/>
      <c r="AG219" s="611"/>
      <c r="AH219" s="611"/>
      <c r="AI219" s="611"/>
      <c r="AJ219" s="832"/>
      <c r="AK219" s="611"/>
    </row>
    <row r="220" spans="1:37" ht="13">
      <c r="A220" s="855"/>
      <c r="B220" s="887" t="s">
        <v>1635</v>
      </c>
      <c r="C220" s="888"/>
      <c r="D220" s="889"/>
      <c r="E220" s="889"/>
      <c r="F220" s="889"/>
      <c r="G220" s="889"/>
      <c r="H220" s="889"/>
      <c r="I220" s="889"/>
      <c r="J220" s="889"/>
      <c r="K220" s="890"/>
      <c r="L220" s="890"/>
      <c r="M220" s="890"/>
      <c r="N220" s="890"/>
      <c r="O220" s="890"/>
      <c r="P220" s="890"/>
      <c r="Q220" s="890"/>
      <c r="R220" s="890"/>
      <c r="S220" s="738"/>
      <c r="T220" s="738"/>
      <c r="U220" s="738"/>
      <c r="V220" s="738"/>
      <c r="W220" s="738"/>
      <c r="X220" s="738"/>
      <c r="Y220" s="833"/>
      <c r="Z220" s="833"/>
      <c r="AA220" s="833"/>
      <c r="AB220" s="833"/>
      <c r="AC220" s="738"/>
      <c r="AD220" s="738"/>
      <c r="AE220" s="834"/>
      <c r="AF220" s="834"/>
      <c r="AG220" s="834"/>
      <c r="AH220" s="834"/>
      <c r="AI220" s="834"/>
      <c r="AJ220" s="835"/>
      <c r="AK220" s="611"/>
    </row>
    <row r="221" spans="1:37">
      <c r="A221" s="606"/>
      <c r="B221" s="606"/>
      <c r="C221" s="664"/>
      <c r="D221" s="828"/>
      <c r="E221" s="828"/>
      <c r="F221" s="828"/>
      <c r="G221" s="828"/>
      <c r="H221" s="828"/>
      <c r="I221" s="828"/>
      <c r="J221" s="828"/>
      <c r="K221" s="537"/>
      <c r="L221" s="537"/>
      <c r="M221" s="537"/>
      <c r="N221" s="537"/>
      <c r="O221" s="537"/>
      <c r="P221" s="537"/>
      <c r="Q221" s="537"/>
      <c r="R221" s="537"/>
      <c r="S221" s="537"/>
      <c r="T221" s="537"/>
      <c r="U221" s="537"/>
      <c r="V221" s="537"/>
      <c r="W221" s="537"/>
      <c r="X221" s="537"/>
      <c r="Y221" s="644"/>
      <c r="Z221" s="644"/>
      <c r="AA221" s="644"/>
      <c r="AB221" s="644"/>
      <c r="AC221" s="537"/>
      <c r="AD221" s="537"/>
      <c r="AE221" s="611"/>
      <c r="AF221" s="611"/>
      <c r="AG221" s="611"/>
      <c r="AH221" s="611"/>
      <c r="AI221" s="611"/>
      <c r="AJ221" s="611"/>
      <c r="AK221" s="611"/>
    </row>
    <row r="222" spans="1:37">
      <c r="A222" s="606"/>
      <c r="B222" s="849"/>
      <c r="C222" s="477"/>
      <c r="D222" s="477"/>
      <c r="I222" s="2609" t="s">
        <v>1606</v>
      </c>
      <c r="J222" s="2609"/>
      <c r="K222" s="2609"/>
      <c r="L222" s="537"/>
      <c r="M222" s="537"/>
      <c r="N222" s="537"/>
      <c r="O222" s="537"/>
      <c r="P222" s="537"/>
      <c r="Q222" s="537"/>
      <c r="R222" s="537"/>
      <c r="S222" s="537"/>
      <c r="T222" s="2424" t="s">
        <v>1600</v>
      </c>
      <c r="U222" s="2424"/>
      <c r="V222" s="2424"/>
      <c r="W222" s="2424"/>
      <c r="X222" s="2424"/>
      <c r="Y222" s="2424"/>
      <c r="Z222" s="850"/>
      <c r="AA222" s="490"/>
      <c r="AB222" s="2606" t="s">
        <v>1601</v>
      </c>
      <c r="AC222" s="2606"/>
      <c r="AD222" s="2606"/>
      <c r="AE222" s="2606"/>
      <c r="AF222" s="2606"/>
      <c r="AG222" s="2606"/>
      <c r="AH222" s="828"/>
      <c r="AI222" s="828"/>
      <c r="AJ222" s="828"/>
      <c r="AK222" s="611"/>
    </row>
    <row r="223" spans="1:37">
      <c r="A223" s="606"/>
      <c r="B223" s="2607" t="s">
        <v>1586</v>
      </c>
      <c r="C223" s="2607"/>
      <c r="D223" s="2607"/>
      <c r="E223" s="2607"/>
      <c r="F223" s="2607"/>
      <c r="G223" s="2607"/>
      <c r="I223" s="2608" t="s">
        <v>1607</v>
      </c>
      <c r="J223" s="2608"/>
      <c r="K223" s="2608"/>
      <c r="L223" s="1009"/>
      <c r="N223" s="2459" t="s">
        <v>1602</v>
      </c>
      <c r="O223" s="2459"/>
      <c r="P223" s="2459"/>
      <c r="Q223" s="2459"/>
      <c r="R223" s="2459"/>
      <c r="T223" s="2459" t="s">
        <v>1603</v>
      </c>
      <c r="U223" s="2459"/>
      <c r="V223" s="2459"/>
      <c r="W223" s="2459"/>
      <c r="X223" s="2459"/>
      <c r="Y223" s="2459"/>
      <c r="Z223" s="851"/>
      <c r="AA223" s="490"/>
      <c r="AB223" s="2474" t="s">
        <v>1604</v>
      </c>
      <c r="AC223" s="2474"/>
      <c r="AD223" s="2474"/>
      <c r="AE223" s="2474"/>
      <c r="AF223" s="2474"/>
      <c r="AG223" s="2474"/>
      <c r="AH223" s="828"/>
      <c r="AI223" s="828"/>
      <c r="AJ223" s="828"/>
      <c r="AK223" s="611"/>
    </row>
    <row r="224" spans="1:37">
      <c r="A224" s="606"/>
      <c r="B224" s="2475" t="s">
        <v>2727</v>
      </c>
      <c r="C224" s="2475"/>
      <c r="D224" s="2475"/>
      <c r="E224" s="2475"/>
      <c r="F224" s="2475"/>
      <c r="G224" s="2475"/>
      <c r="H224" s="853"/>
      <c r="I224" s="2428">
        <v>30</v>
      </c>
      <c r="J224" s="2428"/>
      <c r="K224" s="2428"/>
      <c r="L224" s="1009"/>
      <c r="N224" s="2426">
        <v>1040</v>
      </c>
      <c r="O224" s="2426"/>
      <c r="P224" s="2426"/>
      <c r="Q224" s="2426"/>
      <c r="R224" s="2426"/>
      <c r="T224" s="2425">
        <v>2271</v>
      </c>
      <c r="U224" s="2425"/>
      <c r="V224" s="2425"/>
      <c r="W224" s="2425"/>
      <c r="X224" s="2425"/>
      <c r="Y224" s="2425"/>
      <c r="Z224" s="852"/>
      <c r="AA224" s="852"/>
      <c r="AB224" s="2423">
        <f t="shared" ref="AB224:AB233" si="0">MAX(($T224-$N224)*$I224*12,0)</f>
        <v>443160</v>
      </c>
      <c r="AC224" s="2423"/>
      <c r="AD224" s="2423"/>
      <c r="AE224" s="2423"/>
      <c r="AF224" s="2423"/>
      <c r="AG224" s="2423"/>
      <c r="AH224" s="828"/>
      <c r="AI224" s="828"/>
      <c r="AJ224" s="828"/>
      <c r="AK224" s="611"/>
    </row>
    <row r="225" spans="1:37">
      <c r="A225" s="606"/>
      <c r="B225" s="2475" t="s">
        <v>2727</v>
      </c>
      <c r="C225" s="2475"/>
      <c r="D225" s="2475"/>
      <c r="E225" s="2475"/>
      <c r="F225" s="2475"/>
      <c r="G225" s="2475"/>
      <c r="I225" s="2428">
        <v>30</v>
      </c>
      <c r="J225" s="2428"/>
      <c r="K225" s="2428"/>
      <c r="L225" s="1009"/>
      <c r="N225" s="2426">
        <v>1040</v>
      </c>
      <c r="O225" s="2426"/>
      <c r="P225" s="2426"/>
      <c r="Q225" s="2426"/>
      <c r="R225" s="2426"/>
      <c r="T225" s="2425">
        <v>2271</v>
      </c>
      <c r="U225" s="2425"/>
      <c r="V225" s="2425"/>
      <c r="W225" s="2425"/>
      <c r="X225" s="2425"/>
      <c r="Y225" s="2425"/>
      <c r="Z225" s="852"/>
      <c r="AA225" s="852"/>
      <c r="AB225" s="2423">
        <f t="shared" si="0"/>
        <v>443160</v>
      </c>
      <c r="AC225" s="2423"/>
      <c r="AD225" s="2423"/>
      <c r="AE225" s="2423"/>
      <c r="AF225" s="2423"/>
      <c r="AG225" s="2423"/>
      <c r="AH225" s="828"/>
      <c r="AI225" s="828"/>
      <c r="AJ225" s="828"/>
      <c r="AK225" s="611"/>
    </row>
    <row r="226" spans="1:37">
      <c r="A226" s="606"/>
      <c r="B226" s="2475" t="s">
        <v>1183</v>
      </c>
      <c r="C226" s="2475"/>
      <c r="D226" s="2475"/>
      <c r="E226" s="2475"/>
      <c r="F226" s="2475"/>
      <c r="G226" s="2475"/>
      <c r="I226" s="2428"/>
      <c r="J226" s="2428"/>
      <c r="K226" s="2428"/>
      <c r="L226" s="1009"/>
      <c r="N226" s="2426"/>
      <c r="O226" s="2426"/>
      <c r="P226" s="2426"/>
      <c r="Q226" s="2426"/>
      <c r="R226" s="2426"/>
      <c r="T226" s="2425"/>
      <c r="U226" s="2425"/>
      <c r="V226" s="2425"/>
      <c r="W226" s="2425"/>
      <c r="X226" s="2425"/>
      <c r="Y226" s="2425"/>
      <c r="Z226" s="852"/>
      <c r="AA226" s="852"/>
      <c r="AB226" s="2423">
        <f t="shared" si="0"/>
        <v>0</v>
      </c>
      <c r="AC226" s="2423"/>
      <c r="AD226" s="2423"/>
      <c r="AE226" s="2423"/>
      <c r="AF226" s="2423"/>
      <c r="AG226" s="2423"/>
      <c r="AH226" s="828"/>
      <c r="AI226" s="828"/>
      <c r="AJ226" s="828"/>
      <c r="AK226" s="611"/>
    </row>
    <row r="227" spans="1:37">
      <c r="A227" s="606"/>
      <c r="B227" s="2475" t="s">
        <v>1183</v>
      </c>
      <c r="C227" s="2475"/>
      <c r="D227" s="2475"/>
      <c r="E227" s="2475"/>
      <c r="F227" s="2475"/>
      <c r="G227" s="2475"/>
      <c r="I227" s="2428"/>
      <c r="J227" s="2428"/>
      <c r="K227" s="2428"/>
      <c r="L227" s="1009"/>
      <c r="N227" s="2426"/>
      <c r="O227" s="2426"/>
      <c r="P227" s="2426"/>
      <c r="Q227" s="2426"/>
      <c r="R227" s="2426"/>
      <c r="T227" s="2425"/>
      <c r="U227" s="2425"/>
      <c r="V227" s="2425"/>
      <c r="W227" s="2425"/>
      <c r="X227" s="2425"/>
      <c r="Y227" s="2425"/>
      <c r="Z227" s="852"/>
      <c r="AA227" s="852"/>
      <c r="AB227" s="2423">
        <f t="shared" si="0"/>
        <v>0</v>
      </c>
      <c r="AC227" s="2423"/>
      <c r="AD227" s="2423"/>
      <c r="AE227" s="2423"/>
      <c r="AF227" s="2423"/>
      <c r="AG227" s="2423"/>
      <c r="AH227" s="828"/>
      <c r="AI227" s="828"/>
      <c r="AJ227" s="828"/>
      <c r="AK227" s="611"/>
    </row>
    <row r="228" spans="1:37">
      <c r="A228" s="606"/>
      <c r="B228" s="2475" t="s">
        <v>1183</v>
      </c>
      <c r="C228" s="2475"/>
      <c r="D228" s="2475"/>
      <c r="E228" s="2475"/>
      <c r="F228" s="2475"/>
      <c r="G228" s="2475"/>
      <c r="I228" s="2428"/>
      <c r="J228" s="2428"/>
      <c r="K228" s="2428"/>
      <c r="L228" s="1016"/>
      <c r="N228" s="2426"/>
      <c r="O228" s="2426"/>
      <c r="P228" s="2426"/>
      <c r="Q228" s="2426"/>
      <c r="R228" s="2426"/>
      <c r="T228" s="2425"/>
      <c r="U228" s="2425"/>
      <c r="V228" s="2425"/>
      <c r="W228" s="2425"/>
      <c r="X228" s="2425"/>
      <c r="Y228" s="2425"/>
      <c r="Z228" s="852"/>
      <c r="AA228" s="852"/>
      <c r="AB228" s="2423">
        <f t="shared" si="0"/>
        <v>0</v>
      </c>
      <c r="AC228" s="2423"/>
      <c r="AD228" s="2423"/>
      <c r="AE228" s="2423"/>
      <c r="AF228" s="2423"/>
      <c r="AG228" s="2423"/>
      <c r="AH228" s="828"/>
      <c r="AI228" s="828"/>
      <c r="AJ228" s="828"/>
      <c r="AK228" s="611"/>
    </row>
    <row r="229" spans="1:37">
      <c r="A229" s="606"/>
      <c r="B229" s="2475" t="s">
        <v>1183</v>
      </c>
      <c r="C229" s="2475"/>
      <c r="D229" s="2475"/>
      <c r="E229" s="2475"/>
      <c r="F229" s="2475"/>
      <c r="G229" s="2475"/>
      <c r="I229" s="2428"/>
      <c r="J229" s="2428"/>
      <c r="K229" s="2428"/>
      <c r="L229" s="1016"/>
      <c r="N229" s="2426"/>
      <c r="O229" s="2426"/>
      <c r="P229" s="2426"/>
      <c r="Q229" s="2426"/>
      <c r="R229" s="2426"/>
      <c r="T229" s="2425"/>
      <c r="U229" s="2425"/>
      <c r="V229" s="2425"/>
      <c r="W229" s="2425"/>
      <c r="X229" s="2425"/>
      <c r="Y229" s="2425"/>
      <c r="Z229" s="852"/>
      <c r="AA229" s="852"/>
      <c r="AB229" s="2423">
        <f t="shared" si="0"/>
        <v>0</v>
      </c>
      <c r="AC229" s="2423"/>
      <c r="AD229" s="2423"/>
      <c r="AE229" s="2423"/>
      <c r="AF229" s="2423"/>
      <c r="AG229" s="2423"/>
      <c r="AH229" s="828"/>
      <c r="AI229" s="828"/>
      <c r="AJ229" s="828"/>
      <c r="AK229" s="611"/>
    </row>
    <row r="230" spans="1:37">
      <c r="A230" s="606"/>
      <c r="B230" s="2475" t="s">
        <v>1183</v>
      </c>
      <c r="C230" s="2475"/>
      <c r="D230" s="2475"/>
      <c r="E230" s="2475"/>
      <c r="F230" s="2475"/>
      <c r="G230" s="2475"/>
      <c r="I230" s="2428"/>
      <c r="J230" s="2428"/>
      <c r="K230" s="2428"/>
      <c r="L230" s="1016"/>
      <c r="N230" s="2426"/>
      <c r="O230" s="2426"/>
      <c r="P230" s="2426"/>
      <c r="Q230" s="2426"/>
      <c r="R230" s="2426"/>
      <c r="T230" s="2425"/>
      <c r="U230" s="2425"/>
      <c r="V230" s="2425"/>
      <c r="W230" s="2425"/>
      <c r="X230" s="2425"/>
      <c r="Y230" s="2425"/>
      <c r="Z230" s="852"/>
      <c r="AA230" s="852"/>
      <c r="AB230" s="2423">
        <f t="shared" si="0"/>
        <v>0</v>
      </c>
      <c r="AC230" s="2423"/>
      <c r="AD230" s="2423"/>
      <c r="AE230" s="2423"/>
      <c r="AF230" s="2423"/>
      <c r="AG230" s="2423"/>
      <c r="AH230" s="828"/>
      <c r="AI230" s="828"/>
      <c r="AJ230" s="828"/>
      <c r="AK230" s="611"/>
    </row>
    <row r="231" spans="1:37">
      <c r="A231" s="606"/>
      <c r="B231" s="2475" t="s">
        <v>1183</v>
      </c>
      <c r="C231" s="2475"/>
      <c r="D231" s="2475"/>
      <c r="E231" s="2475"/>
      <c r="F231" s="2475"/>
      <c r="G231" s="2475"/>
      <c r="I231" s="2428"/>
      <c r="J231" s="2428"/>
      <c r="K231" s="2428"/>
      <c r="L231" s="1016"/>
      <c r="N231" s="2426"/>
      <c r="O231" s="2426"/>
      <c r="P231" s="2426"/>
      <c r="Q231" s="2426"/>
      <c r="R231" s="2426"/>
      <c r="T231" s="2425"/>
      <c r="U231" s="2425"/>
      <c r="V231" s="2425"/>
      <c r="W231" s="2425"/>
      <c r="X231" s="2425"/>
      <c r="Y231" s="2425"/>
      <c r="Z231" s="852"/>
      <c r="AA231" s="852"/>
      <c r="AB231" s="2423">
        <f t="shared" si="0"/>
        <v>0</v>
      </c>
      <c r="AC231" s="2423"/>
      <c r="AD231" s="2423"/>
      <c r="AE231" s="2423"/>
      <c r="AF231" s="2423"/>
      <c r="AG231" s="2423"/>
      <c r="AH231" s="828"/>
      <c r="AI231" s="828"/>
      <c r="AJ231" s="828"/>
      <c r="AK231" s="611"/>
    </row>
    <row r="232" spans="1:37">
      <c r="A232" s="606"/>
      <c r="B232" s="2475" t="s">
        <v>1183</v>
      </c>
      <c r="C232" s="2475"/>
      <c r="D232" s="2475"/>
      <c r="E232" s="2475"/>
      <c r="F232" s="2475"/>
      <c r="G232" s="2475"/>
      <c r="I232" s="2428"/>
      <c r="J232" s="2428"/>
      <c r="K232" s="2428"/>
      <c r="L232" s="1016"/>
      <c r="N232" s="2426"/>
      <c r="O232" s="2426"/>
      <c r="P232" s="2426"/>
      <c r="Q232" s="2426"/>
      <c r="R232" s="2426"/>
      <c r="T232" s="2425"/>
      <c r="U232" s="2425"/>
      <c r="V232" s="2425"/>
      <c r="W232" s="2425"/>
      <c r="X232" s="2425"/>
      <c r="Y232" s="2425"/>
      <c r="Z232" s="852"/>
      <c r="AA232" s="852"/>
      <c r="AB232" s="2423">
        <f t="shared" si="0"/>
        <v>0</v>
      </c>
      <c r="AC232" s="2423"/>
      <c r="AD232" s="2423"/>
      <c r="AE232" s="2423"/>
      <c r="AF232" s="2423"/>
      <c r="AG232" s="2423"/>
      <c r="AH232" s="828"/>
      <c r="AI232" s="828"/>
      <c r="AJ232" s="828"/>
      <c r="AK232" s="611"/>
    </row>
    <row r="233" spans="1:37">
      <c r="A233" s="606"/>
      <c r="B233" s="2475" t="s">
        <v>1183</v>
      </c>
      <c r="C233" s="2475"/>
      <c r="D233" s="2475"/>
      <c r="E233" s="2475"/>
      <c r="F233" s="2475"/>
      <c r="G233" s="2475"/>
      <c r="I233" s="2610"/>
      <c r="J233" s="2610"/>
      <c r="K233" s="2610"/>
      <c r="L233" s="1016"/>
      <c r="N233" s="2426"/>
      <c r="O233" s="2426"/>
      <c r="P233" s="2426"/>
      <c r="Q233" s="2426"/>
      <c r="R233" s="2426"/>
      <c r="T233" s="2425"/>
      <c r="U233" s="2425"/>
      <c r="V233" s="2425"/>
      <c r="W233" s="2425"/>
      <c r="X233" s="2425"/>
      <c r="Y233" s="2425"/>
      <c r="Z233" s="852"/>
      <c r="AA233" s="852"/>
      <c r="AB233" s="2429">
        <f t="shared" si="0"/>
        <v>0</v>
      </c>
      <c r="AC233" s="2429"/>
      <c r="AD233" s="2429"/>
      <c r="AE233" s="2429"/>
      <c r="AF233" s="2429"/>
      <c r="AG233" s="2429"/>
      <c r="AH233" s="828"/>
      <c r="AI233" s="828"/>
      <c r="AJ233" s="828"/>
      <c r="AK233" s="611"/>
    </row>
    <row r="234" spans="1:37">
      <c r="A234" s="606"/>
      <c r="B234" s="477"/>
      <c r="C234" s="853"/>
      <c r="D234" s="477"/>
      <c r="K234" s="537"/>
      <c r="L234" s="537"/>
      <c r="M234" s="537"/>
      <c r="N234" s="537"/>
      <c r="O234" s="537"/>
      <c r="P234" s="537"/>
      <c r="Q234" s="537"/>
      <c r="R234" s="537"/>
      <c r="S234" s="537"/>
      <c r="T234" s="537"/>
      <c r="U234" s="537"/>
      <c r="V234" s="537"/>
      <c r="W234" s="537"/>
      <c r="X234" s="537"/>
      <c r="Y234" s="854" t="s">
        <v>1605</v>
      </c>
      <c r="AA234" s="854"/>
      <c r="AB234" s="2423">
        <f>SUM(AB224:AB233)</f>
        <v>886320</v>
      </c>
      <c r="AC234" s="2423"/>
      <c r="AD234" s="2423"/>
      <c r="AE234" s="2423"/>
      <c r="AF234" s="2423"/>
      <c r="AG234" s="2423"/>
      <c r="AH234" s="828"/>
      <c r="AI234" s="828"/>
      <c r="AJ234" s="828"/>
      <c r="AK234" s="611"/>
    </row>
    <row r="235" spans="1:37">
      <c r="A235" s="606"/>
      <c r="B235" s="606"/>
      <c r="C235" s="664"/>
      <c r="D235" s="828"/>
      <c r="E235" s="828"/>
      <c r="F235" s="828"/>
      <c r="G235" s="828"/>
      <c r="H235" s="828"/>
      <c r="I235" s="828"/>
      <c r="J235" s="828"/>
      <c r="K235" s="551"/>
      <c r="L235" s="551"/>
      <c r="M235" s="551"/>
      <c r="N235" s="551"/>
      <c r="O235" s="551"/>
      <c r="P235" s="551"/>
      <c r="Q235" s="551"/>
      <c r="R235" s="551"/>
      <c r="S235" s="551"/>
      <c r="T235" s="551"/>
      <c r="U235" s="551"/>
      <c r="V235" s="551"/>
      <c r="W235" s="551"/>
      <c r="X235" s="551"/>
      <c r="Y235" s="644"/>
      <c r="Z235" s="644"/>
      <c r="AA235" s="644"/>
      <c r="AB235" s="644"/>
      <c r="AC235" s="551"/>
      <c r="AD235" s="551"/>
      <c r="AE235" s="611"/>
      <c r="AF235" s="611"/>
      <c r="AG235" s="611"/>
      <c r="AH235" s="611"/>
      <c r="AI235" s="611"/>
      <c r="AJ235" s="611"/>
      <c r="AK235" s="611"/>
    </row>
    <row r="236" spans="1:37" ht="13">
      <c r="A236" s="1138" t="s">
        <v>1595</v>
      </c>
      <c r="C236" s="664"/>
      <c r="D236" s="828"/>
      <c r="E236" s="828"/>
      <c r="F236" s="828"/>
      <c r="G236" s="828"/>
      <c r="H236" s="828"/>
      <c r="I236" s="828"/>
      <c r="J236" s="828"/>
      <c r="K236" s="537"/>
      <c r="L236" s="537"/>
      <c r="M236" s="537"/>
      <c r="N236" s="537"/>
      <c r="O236" s="537"/>
      <c r="P236" s="537"/>
      <c r="Q236" s="537"/>
      <c r="R236" s="537"/>
      <c r="S236" s="537"/>
      <c r="T236" s="537"/>
      <c r="U236" s="537"/>
      <c r="V236" s="537"/>
      <c r="W236" s="537"/>
      <c r="X236" s="537"/>
      <c r="Y236" s="644"/>
      <c r="Z236" s="644"/>
      <c r="AA236" s="644"/>
      <c r="AB236" s="644"/>
      <c r="AC236" s="537"/>
      <c r="AD236" s="537"/>
      <c r="AE236" s="611"/>
      <c r="AF236" s="611"/>
      <c r="AG236" s="611"/>
      <c r="AH236" s="611"/>
      <c r="AI236" s="611"/>
      <c r="AJ236" s="611"/>
      <c r="AK236" s="611"/>
    </row>
    <row r="237" spans="1:37">
      <c r="A237" s="606"/>
      <c r="B237" s="477" t="s">
        <v>1623</v>
      </c>
      <c r="C237" s="664"/>
      <c r="D237" s="828"/>
      <c r="E237" s="828"/>
      <c r="F237" s="828"/>
      <c r="G237" s="828"/>
      <c r="H237" s="828"/>
      <c r="I237" s="828"/>
      <c r="J237" s="828"/>
      <c r="K237" s="537"/>
      <c r="L237" s="537"/>
      <c r="M237" s="537"/>
      <c r="N237" s="537"/>
      <c r="O237" s="537"/>
      <c r="P237" s="537"/>
      <c r="Q237" s="537"/>
      <c r="R237" s="537"/>
      <c r="S237" s="537"/>
      <c r="T237" s="537"/>
      <c r="U237" s="537"/>
      <c r="V237" s="537"/>
      <c r="W237" s="537"/>
      <c r="X237" s="537"/>
      <c r="Y237" s="644"/>
      <c r="Z237" s="644"/>
      <c r="AA237" s="644"/>
      <c r="AB237" s="644"/>
      <c r="AC237" s="537"/>
      <c r="AD237" s="537"/>
      <c r="AE237" s="611"/>
      <c r="AF237" s="611"/>
      <c r="AG237" s="611"/>
      <c r="AH237" s="611"/>
      <c r="AI237" s="611"/>
      <c r="AJ237" s="611"/>
      <c r="AK237" s="611"/>
    </row>
    <row r="238" spans="1:37">
      <c r="A238" s="606"/>
      <c r="B238" s="477"/>
      <c r="C238" s="664"/>
      <c r="D238" s="828"/>
      <c r="E238" s="828"/>
      <c r="F238" s="828"/>
      <c r="G238" s="828"/>
      <c r="H238" s="828"/>
      <c r="I238" s="828"/>
      <c r="J238" s="828"/>
      <c r="K238" s="537"/>
      <c r="L238" s="537"/>
      <c r="M238" s="537"/>
      <c r="N238" s="537"/>
      <c r="O238" s="537"/>
      <c r="P238" s="537"/>
      <c r="Q238" s="537"/>
      <c r="R238" s="537"/>
      <c r="S238" s="537"/>
      <c r="T238" s="537"/>
      <c r="U238" s="537"/>
      <c r="V238" s="537"/>
      <c r="W238" s="537"/>
      <c r="X238" s="537"/>
      <c r="Y238" s="644"/>
      <c r="Z238" s="644"/>
      <c r="AA238" s="644"/>
      <c r="AB238" s="644"/>
      <c r="AC238" s="537"/>
      <c r="AD238" s="537"/>
      <c r="AE238" s="611"/>
      <c r="AF238" s="611"/>
      <c r="AG238" s="611"/>
      <c r="AH238" s="611"/>
      <c r="AI238" s="611"/>
      <c r="AJ238" s="611"/>
      <c r="AK238" s="611"/>
    </row>
    <row r="239" spans="1:37">
      <c r="A239" s="606"/>
      <c r="B239" s="837" t="s">
        <v>1621</v>
      </c>
      <c r="C239" s="664"/>
      <c r="D239" s="828"/>
      <c r="E239" s="828"/>
      <c r="F239" s="828"/>
      <c r="G239" s="828"/>
      <c r="H239" s="828"/>
      <c r="I239" s="828"/>
      <c r="J239" s="828"/>
      <c r="K239" s="537"/>
      <c r="L239" s="537"/>
      <c r="M239" s="537"/>
      <c r="N239" s="537"/>
      <c r="O239" s="537"/>
      <c r="P239" s="537"/>
      <c r="Q239" s="537"/>
      <c r="R239" s="537"/>
      <c r="S239" s="537"/>
      <c r="T239" s="537"/>
      <c r="U239" s="537"/>
      <c r="V239" s="537"/>
      <c r="W239" s="537"/>
      <c r="X239" s="537"/>
      <c r="Y239" s="644"/>
      <c r="Z239" s="644"/>
      <c r="AA239" s="644"/>
      <c r="AB239" s="644"/>
      <c r="AC239" s="537"/>
      <c r="AD239" s="537"/>
      <c r="AE239" s="611"/>
      <c r="AF239" s="611"/>
      <c r="AG239" s="611"/>
      <c r="AH239" s="611"/>
      <c r="AI239" s="611"/>
      <c r="AJ239" s="611"/>
      <c r="AK239" s="611"/>
    </row>
    <row r="240" spans="1:37">
      <c r="A240" s="606"/>
      <c r="B240" s="837" t="s">
        <v>1615</v>
      </c>
      <c r="C240" s="664"/>
      <c r="D240" s="828"/>
      <c r="E240" s="828"/>
      <c r="F240" s="828"/>
      <c r="G240" s="828"/>
      <c r="H240" s="828"/>
      <c r="I240" s="828"/>
      <c r="J240" s="828"/>
      <c r="K240" s="537"/>
      <c r="L240" s="537"/>
      <c r="M240" s="537"/>
      <c r="N240" s="537"/>
      <c r="O240" s="537"/>
      <c r="P240" s="537"/>
      <c r="Q240" s="537"/>
      <c r="R240" s="537"/>
      <c r="S240" s="537"/>
      <c r="T240" s="537"/>
      <c r="U240" s="537"/>
      <c r="V240" s="537"/>
      <c r="W240" s="537"/>
      <c r="X240" s="537"/>
      <c r="Y240" s="644"/>
      <c r="Z240" s="644"/>
      <c r="AA240" s="644"/>
      <c r="AB240" s="2460"/>
      <c r="AC240" s="2460"/>
      <c r="AD240" s="2460"/>
      <c r="AE240" s="2460"/>
      <c r="AF240" s="2460"/>
      <c r="AG240" s="2460"/>
      <c r="AH240" s="611"/>
      <c r="AI240" s="611"/>
      <c r="AJ240" s="611"/>
      <c r="AK240" s="611"/>
    </row>
    <row r="241" spans="1:37" ht="13">
      <c r="A241" s="606"/>
      <c r="B241" s="838" t="s">
        <v>1620</v>
      </c>
      <c r="C241" s="617"/>
      <c r="D241" s="836"/>
      <c r="E241" s="828"/>
      <c r="F241" s="828"/>
      <c r="G241" s="828"/>
      <c r="H241" s="828"/>
      <c r="I241" s="828"/>
      <c r="J241" s="828"/>
      <c r="K241" s="537"/>
      <c r="L241" s="537"/>
      <c r="M241" s="537"/>
      <c r="N241" s="537"/>
      <c r="O241" s="537"/>
      <c r="P241" s="537"/>
      <c r="Q241" s="537"/>
      <c r="R241" s="537"/>
      <c r="S241" s="537"/>
      <c r="T241" s="537"/>
      <c r="U241" s="537"/>
      <c r="V241" s="537"/>
      <c r="W241" s="537"/>
      <c r="X241" s="537"/>
      <c r="Y241" s="644"/>
      <c r="Z241" s="644"/>
      <c r="AA241" s="644"/>
      <c r="AB241" s="644"/>
      <c r="AC241" s="537"/>
      <c r="AD241" s="537"/>
      <c r="AE241" s="611"/>
      <c r="AF241" s="611"/>
      <c r="AG241" s="611"/>
      <c r="AH241" s="611"/>
      <c r="AI241" s="611"/>
      <c r="AJ241" s="611"/>
      <c r="AK241" s="611"/>
    </row>
    <row r="242" spans="1:37">
      <c r="A242" s="606"/>
      <c r="B242" s="839" t="s">
        <v>1622</v>
      </c>
      <c r="C242" s="664"/>
      <c r="D242" s="828"/>
      <c r="E242" s="828"/>
      <c r="F242" s="828"/>
      <c r="G242" s="828"/>
      <c r="H242" s="828"/>
      <c r="I242" s="828"/>
      <c r="J242" s="828"/>
      <c r="K242" s="537"/>
      <c r="L242" s="537"/>
      <c r="M242" s="537"/>
      <c r="N242" s="537"/>
      <c r="O242" s="537"/>
      <c r="P242" s="537"/>
      <c r="Q242" s="537"/>
      <c r="R242" s="537"/>
      <c r="S242" s="537"/>
      <c r="T242" s="537"/>
      <c r="U242" s="537"/>
      <c r="V242" s="537"/>
      <c r="W242" s="537"/>
      <c r="X242" s="537"/>
      <c r="Y242" s="644"/>
      <c r="Z242" s="644"/>
      <c r="AA242" s="644"/>
      <c r="AB242" s="644"/>
      <c r="AC242" s="537"/>
      <c r="AD242" s="537"/>
      <c r="AE242" s="611"/>
      <c r="AF242" s="611"/>
      <c r="AG242" s="611"/>
      <c r="AH242" s="611"/>
      <c r="AI242" s="611"/>
      <c r="AJ242" s="611"/>
      <c r="AK242" s="611"/>
    </row>
    <row r="243" spans="1:37">
      <c r="A243" s="606"/>
      <c r="B243" s="839" t="s">
        <v>1616</v>
      </c>
      <c r="C243" s="664"/>
      <c r="D243" s="828"/>
      <c r="E243" s="828"/>
      <c r="F243" s="828"/>
      <c r="G243" s="828"/>
      <c r="H243" s="828"/>
      <c r="I243" s="828"/>
      <c r="J243" s="828"/>
      <c r="K243" s="537"/>
      <c r="L243" s="537"/>
      <c r="M243" s="537"/>
      <c r="N243" s="537"/>
      <c r="O243" s="537"/>
      <c r="P243" s="537"/>
      <c r="Q243" s="537"/>
      <c r="R243" s="537"/>
      <c r="S243" s="537"/>
      <c r="T243" s="537"/>
      <c r="U243" s="537"/>
      <c r="V243" s="537"/>
      <c r="W243" s="537"/>
      <c r="X243" s="537"/>
      <c r="Y243" s="644"/>
      <c r="Z243" s="644"/>
      <c r="AA243" s="644"/>
      <c r="AB243" s="2460"/>
      <c r="AC243" s="2460"/>
      <c r="AD243" s="2460"/>
      <c r="AE243" s="2460"/>
      <c r="AF243" s="2460"/>
      <c r="AG243" s="2460"/>
      <c r="AH243" s="611"/>
      <c r="AI243" s="611"/>
      <c r="AJ243" s="611"/>
      <c r="AK243" s="611"/>
    </row>
    <row r="244" spans="1:37">
      <c r="A244" s="606"/>
      <c r="B244" s="839" t="s">
        <v>1617</v>
      </c>
      <c r="C244" s="664"/>
      <c r="D244" s="828"/>
      <c r="E244" s="828"/>
      <c r="F244" s="828"/>
      <c r="G244" s="828"/>
      <c r="H244" s="828"/>
      <c r="I244" s="828"/>
      <c r="J244" s="828"/>
      <c r="K244" s="537"/>
      <c r="L244" s="537"/>
      <c r="M244" s="537"/>
      <c r="N244" s="537"/>
      <c r="O244" s="537"/>
      <c r="P244" s="537"/>
      <c r="Q244" s="537"/>
      <c r="R244" s="537"/>
      <c r="S244" s="537"/>
      <c r="T244" s="537"/>
      <c r="U244" s="537"/>
      <c r="V244" s="537"/>
      <c r="W244" s="537"/>
      <c r="X244" s="537"/>
      <c r="Y244" s="644"/>
      <c r="Z244" s="644"/>
      <c r="AA244" s="644"/>
      <c r="AB244" s="2422"/>
      <c r="AC244" s="2422"/>
      <c r="AD244" s="2422"/>
      <c r="AE244" s="2422"/>
      <c r="AF244" s="2422"/>
      <c r="AG244" s="2422"/>
      <c r="AH244" s="611"/>
      <c r="AI244" s="611"/>
      <c r="AJ244" s="611"/>
      <c r="AK244" s="611"/>
    </row>
    <row r="245" spans="1:37">
      <c r="A245" s="606"/>
      <c r="B245" s="839" t="s">
        <v>1618</v>
      </c>
      <c r="C245" s="664"/>
      <c r="D245" s="828"/>
      <c r="E245" s="828"/>
      <c r="F245" s="828"/>
      <c r="G245" s="828"/>
      <c r="H245" s="828"/>
      <c r="I245" s="828"/>
      <c r="J245" s="828"/>
      <c r="K245" s="537"/>
      <c r="L245" s="537"/>
      <c r="M245" s="537"/>
      <c r="N245" s="537"/>
      <c r="O245" s="537"/>
      <c r="P245" s="537"/>
      <c r="Q245" s="537"/>
      <c r="R245" s="537"/>
      <c r="S245" s="537"/>
      <c r="T245" s="537"/>
      <c r="U245" s="537"/>
      <c r="V245" s="537"/>
      <c r="W245" s="537"/>
      <c r="X245" s="537"/>
      <c r="Y245" s="644"/>
      <c r="Z245" s="644"/>
      <c r="AA245" s="644"/>
      <c r="AB245" s="2430">
        <f>IFERROR(AB243/AB244,0)</f>
        <v>0</v>
      </c>
      <c r="AC245" s="2430"/>
      <c r="AD245" s="2430"/>
      <c r="AE245" s="2430"/>
      <c r="AF245" s="2430"/>
      <c r="AG245" s="2430"/>
      <c r="AH245" s="611"/>
      <c r="AI245" s="611"/>
      <c r="AJ245" s="611"/>
      <c r="AK245" s="611"/>
    </row>
    <row r="246" spans="1:37">
      <c r="A246" s="606"/>
      <c r="B246" s="477"/>
      <c r="C246" s="664"/>
      <c r="D246" s="828"/>
      <c r="E246" s="828"/>
      <c r="F246" s="828"/>
      <c r="G246" s="828"/>
      <c r="H246" s="828"/>
      <c r="I246" s="828"/>
      <c r="J246" s="828"/>
      <c r="K246" s="537"/>
      <c r="L246" s="537"/>
      <c r="M246" s="537"/>
      <c r="N246" s="537"/>
      <c r="O246" s="537"/>
      <c r="P246" s="537"/>
      <c r="Q246" s="537"/>
      <c r="R246" s="537"/>
      <c r="S246" s="537"/>
      <c r="T246" s="537"/>
      <c r="U246" s="537"/>
      <c r="V246" s="537"/>
      <c r="W246" s="537"/>
      <c r="X246" s="537"/>
      <c r="Y246" s="644"/>
      <c r="Z246" s="644"/>
      <c r="AA246" s="644"/>
      <c r="AB246" s="644"/>
      <c r="AC246" s="537"/>
      <c r="AD246" s="537"/>
      <c r="AE246" s="611"/>
      <c r="AF246" s="611"/>
      <c r="AG246" s="611"/>
      <c r="AH246" s="611"/>
      <c r="AI246" s="611"/>
      <c r="AJ246" s="611"/>
      <c r="AK246" s="611"/>
    </row>
    <row r="247" spans="1:37">
      <c r="A247" s="606"/>
      <c r="B247" s="477" t="s">
        <v>1619</v>
      </c>
      <c r="C247" s="664"/>
      <c r="D247" s="828"/>
      <c r="E247" s="828"/>
      <c r="F247" s="828"/>
      <c r="G247" s="828"/>
      <c r="H247" s="828"/>
      <c r="I247" s="828"/>
      <c r="J247" s="828"/>
      <c r="K247" s="537"/>
      <c r="L247" s="537"/>
      <c r="M247" s="537"/>
      <c r="N247" s="537"/>
      <c r="O247" s="537"/>
      <c r="P247" s="537"/>
      <c r="Q247" s="537"/>
      <c r="R247" s="537"/>
      <c r="S247" s="537"/>
      <c r="T247" s="537"/>
      <c r="U247" s="537"/>
      <c r="V247" s="537"/>
      <c r="W247" s="537"/>
      <c r="X247" s="537"/>
      <c r="Y247" s="644"/>
      <c r="Z247" s="644"/>
      <c r="AA247" s="644"/>
      <c r="AB247" s="2429">
        <f>MAX(AB240,AB245)</f>
        <v>0</v>
      </c>
      <c r="AC247" s="2429"/>
      <c r="AD247" s="2429"/>
      <c r="AE247" s="2429"/>
      <c r="AF247" s="2429"/>
      <c r="AG247" s="2429"/>
      <c r="AH247" s="611"/>
      <c r="AI247" s="611"/>
      <c r="AJ247" s="611"/>
      <c r="AK247" s="611"/>
    </row>
    <row r="248" spans="1:37">
      <c r="A248" s="606"/>
      <c r="B248" s="477"/>
      <c r="C248" s="664"/>
      <c r="D248" s="828"/>
      <c r="E248" s="828"/>
      <c r="F248" s="828"/>
      <c r="G248" s="828"/>
      <c r="H248" s="828"/>
      <c r="I248" s="828"/>
      <c r="J248" s="828"/>
      <c r="K248" s="537"/>
      <c r="L248" s="537"/>
      <c r="M248" s="537"/>
      <c r="N248" s="537"/>
      <c r="O248" s="537"/>
      <c r="P248" s="537"/>
      <c r="Q248" s="537"/>
      <c r="R248" s="537"/>
      <c r="S248" s="537"/>
      <c r="T248" s="537"/>
      <c r="U248" s="537"/>
      <c r="V248" s="537"/>
      <c r="W248" s="537"/>
      <c r="X248" s="537"/>
      <c r="Y248" s="644"/>
      <c r="Z248" s="644"/>
      <c r="AA248" s="644"/>
      <c r="AB248" s="644"/>
      <c r="AC248" s="537"/>
      <c r="AD248" s="537"/>
      <c r="AE248" s="611"/>
      <c r="AF248" s="611"/>
      <c r="AG248" s="611"/>
      <c r="AH248" s="611"/>
      <c r="AI248" s="611"/>
      <c r="AJ248" s="611"/>
      <c r="AK248" s="611"/>
    </row>
    <row r="249" spans="1:37">
      <c r="A249" s="606"/>
      <c r="B249" s="477"/>
      <c r="C249" s="664"/>
      <c r="D249" s="828"/>
      <c r="E249" s="828"/>
      <c r="F249" s="828"/>
      <c r="G249" s="828"/>
      <c r="H249" s="828"/>
      <c r="I249" s="828"/>
      <c r="J249" s="828"/>
      <c r="K249" s="537"/>
      <c r="L249" s="537"/>
      <c r="M249" s="537"/>
      <c r="N249" s="537"/>
      <c r="O249" s="537"/>
      <c r="P249" s="537"/>
      <c r="Q249" s="537"/>
      <c r="R249" s="537"/>
      <c r="S249" s="537"/>
      <c r="T249" s="537"/>
      <c r="U249" s="537"/>
      <c r="V249" s="537"/>
      <c r="W249" s="537"/>
      <c r="X249" s="537"/>
      <c r="Y249" s="644"/>
      <c r="Z249" s="644"/>
      <c r="AA249" s="644"/>
      <c r="AB249" s="644"/>
      <c r="AC249" s="537"/>
      <c r="AD249" s="537"/>
      <c r="AE249" s="611"/>
      <c r="AF249" s="611"/>
      <c r="AG249" s="611"/>
      <c r="AH249" s="611"/>
      <c r="AI249" s="611"/>
      <c r="AJ249" s="611"/>
      <c r="AK249" s="611"/>
    </row>
    <row r="250" spans="1:37">
      <c r="A250" s="606"/>
      <c r="B250" s="477" t="s">
        <v>1608</v>
      </c>
      <c r="C250" s="664"/>
      <c r="D250" s="828"/>
      <c r="E250" s="828"/>
      <c r="F250" s="828"/>
      <c r="G250" s="828"/>
      <c r="H250" s="828"/>
      <c r="I250" s="828"/>
      <c r="J250" s="828"/>
      <c r="K250" s="537"/>
      <c r="L250" s="537"/>
      <c r="M250" s="537"/>
      <c r="N250" s="537"/>
      <c r="O250" s="537"/>
      <c r="P250" s="537"/>
      <c r="Q250" s="537"/>
      <c r="R250" s="537"/>
      <c r="S250" s="537"/>
      <c r="U250" s="840"/>
      <c r="V250" s="840"/>
      <c r="W250" s="840"/>
      <c r="X250" s="840"/>
      <c r="Y250" s="840"/>
      <c r="Z250" s="644"/>
      <c r="AA250" s="644"/>
      <c r="AB250" s="2423">
        <f>AB234+AB247</f>
        <v>886320</v>
      </c>
      <c r="AC250" s="2423"/>
      <c r="AD250" s="2423"/>
      <c r="AE250" s="2423"/>
      <c r="AF250" s="2423"/>
      <c r="AG250" s="2423"/>
      <c r="AH250" s="611"/>
      <c r="AI250" s="611"/>
      <c r="AJ250" s="611"/>
      <c r="AK250" s="611"/>
    </row>
    <row r="251" spans="1:37">
      <c r="A251" s="606"/>
      <c r="B251" s="477" t="s">
        <v>837</v>
      </c>
      <c r="C251" s="664"/>
      <c r="D251" s="828"/>
      <c r="E251" s="828"/>
      <c r="F251" s="828"/>
      <c r="G251" s="828"/>
      <c r="H251" s="828"/>
      <c r="I251" s="828"/>
      <c r="J251" s="828"/>
      <c r="K251" s="537"/>
      <c r="L251" s="537"/>
      <c r="M251" s="537"/>
      <c r="N251" s="537"/>
      <c r="O251" s="537"/>
      <c r="P251" s="537"/>
      <c r="Q251" s="537"/>
      <c r="R251" s="537"/>
      <c r="S251" s="537"/>
      <c r="U251" s="841"/>
      <c r="V251" s="841"/>
      <c r="W251" s="841"/>
      <c r="X251" s="841"/>
      <c r="Y251" s="841"/>
      <c r="Z251" s="644"/>
      <c r="AA251" s="644"/>
      <c r="AB251" s="2594">
        <v>0.05</v>
      </c>
      <c r="AC251" s="2594"/>
      <c r="AD251" s="2594"/>
      <c r="AE251" s="2594"/>
      <c r="AF251" s="2594"/>
      <c r="AG251" s="2594"/>
      <c r="AH251" s="611"/>
      <c r="AI251" s="611"/>
      <c r="AJ251" s="611"/>
      <c r="AK251" s="611"/>
    </row>
    <row r="252" spans="1:37">
      <c r="A252" s="606"/>
      <c r="B252" s="477" t="s">
        <v>1609</v>
      </c>
      <c r="C252" s="664"/>
      <c r="D252" s="828"/>
      <c r="E252" s="828"/>
      <c r="F252" s="828"/>
      <c r="G252" s="828"/>
      <c r="H252" s="828"/>
      <c r="I252" s="828"/>
      <c r="J252" s="828"/>
      <c r="K252" s="537"/>
      <c r="L252" s="537"/>
      <c r="M252" s="537"/>
      <c r="N252" s="537"/>
      <c r="O252" s="537"/>
      <c r="P252" s="537"/>
      <c r="Q252" s="537"/>
      <c r="R252" s="537"/>
      <c r="S252" s="537"/>
      <c r="U252" s="840"/>
      <c r="V252" s="840"/>
      <c r="W252" s="840"/>
      <c r="X252" s="840"/>
      <c r="Y252" s="840"/>
      <c r="Z252" s="644"/>
      <c r="AA252" s="644"/>
      <c r="AB252" s="2595">
        <f>AB250-(AB250*AB251)</f>
        <v>842004</v>
      </c>
      <c r="AC252" s="2595"/>
      <c r="AD252" s="2595"/>
      <c r="AE252" s="2595"/>
      <c r="AF252" s="2595"/>
      <c r="AG252" s="2595"/>
      <c r="AH252" s="611"/>
      <c r="AI252" s="611"/>
      <c r="AJ252" s="611"/>
      <c r="AK252" s="611"/>
    </row>
    <row r="253" spans="1:37">
      <c r="A253" s="606"/>
      <c r="B253" s="477" t="s">
        <v>1610</v>
      </c>
      <c r="C253" s="664"/>
      <c r="D253" s="828"/>
      <c r="E253" s="828"/>
      <c r="F253" s="828"/>
      <c r="G253" s="828"/>
      <c r="H253" s="828"/>
      <c r="I253" s="828"/>
      <c r="J253" s="828"/>
      <c r="K253" s="537"/>
      <c r="L253" s="537"/>
      <c r="M253" s="537"/>
      <c r="N253" s="537"/>
      <c r="O253" s="537"/>
      <c r="P253" s="537"/>
      <c r="Q253" s="537"/>
      <c r="R253" s="537"/>
      <c r="S253" s="537"/>
      <c r="U253" s="537"/>
      <c r="V253" s="537"/>
      <c r="W253" s="537"/>
      <c r="X253" s="537"/>
      <c r="Y253" s="842"/>
      <c r="Z253" s="644"/>
      <c r="AA253" s="644"/>
      <c r="AB253" s="537"/>
      <c r="AC253" s="537"/>
      <c r="AD253" s="537"/>
      <c r="AE253" s="611"/>
      <c r="AF253" s="611"/>
      <c r="AG253" s="611"/>
      <c r="AH253" s="611"/>
      <c r="AI253" s="611"/>
      <c r="AJ253" s="611"/>
      <c r="AK253" s="611"/>
    </row>
    <row r="254" spans="1:37">
      <c r="A254" s="606"/>
      <c r="B254" s="477" t="s">
        <v>1611</v>
      </c>
      <c r="C254" s="664"/>
      <c r="D254" s="828"/>
      <c r="E254" s="828"/>
      <c r="F254" s="828"/>
      <c r="G254" s="828"/>
      <c r="H254" s="828"/>
      <c r="I254" s="828"/>
      <c r="J254" s="828"/>
      <c r="K254" s="537"/>
      <c r="L254" s="537"/>
      <c r="M254" s="537"/>
      <c r="N254" s="537"/>
      <c r="O254" s="537"/>
      <c r="P254" s="537"/>
      <c r="Q254" s="537"/>
      <c r="R254" s="537"/>
      <c r="S254" s="537"/>
      <c r="U254" s="840"/>
      <c r="V254" s="840"/>
      <c r="W254" s="840"/>
      <c r="X254" s="840"/>
      <c r="Y254" s="840"/>
      <c r="Z254" s="644"/>
      <c r="AA254" s="644"/>
      <c r="AB254" s="2423">
        <f>AB252/AB258</f>
        <v>732177.3913043479</v>
      </c>
      <c r="AC254" s="2423"/>
      <c r="AD254" s="2423"/>
      <c r="AE254" s="2423"/>
      <c r="AF254" s="2423"/>
      <c r="AG254" s="2423"/>
      <c r="AH254" s="611"/>
      <c r="AI254" s="611"/>
      <c r="AJ254" s="611"/>
      <c r="AK254" s="611"/>
    </row>
    <row r="255" spans="1:37">
      <c r="A255" s="606"/>
      <c r="B255" s="477"/>
      <c r="C255" s="664"/>
      <c r="D255" s="828"/>
      <c r="E255" s="828"/>
      <c r="F255" s="828"/>
      <c r="G255" s="828"/>
      <c r="H255" s="828"/>
      <c r="I255" s="828"/>
      <c r="J255" s="828"/>
      <c r="K255" s="537"/>
      <c r="L255" s="537"/>
      <c r="M255" s="537"/>
      <c r="N255" s="537"/>
      <c r="O255" s="537"/>
      <c r="P255" s="537"/>
      <c r="Q255" s="537"/>
      <c r="R255" s="537"/>
      <c r="S255" s="537"/>
      <c r="U255" s="537"/>
      <c r="V255" s="537"/>
      <c r="W255" s="537"/>
      <c r="X255" s="537"/>
      <c r="Y255" s="477"/>
      <c r="Z255" s="644"/>
      <c r="AA255" s="644"/>
      <c r="AB255" s="537"/>
      <c r="AC255" s="537"/>
      <c r="AD255" s="537"/>
      <c r="AE255" s="611"/>
      <c r="AF255" s="611"/>
      <c r="AG255" s="611"/>
      <c r="AH255" s="611"/>
      <c r="AI255" s="611"/>
      <c r="AJ255" s="611"/>
      <c r="AK255" s="611"/>
    </row>
    <row r="256" spans="1:37">
      <c r="A256" s="606"/>
      <c r="B256" s="477" t="s">
        <v>1612</v>
      </c>
      <c r="C256" s="664"/>
      <c r="D256" s="828"/>
      <c r="E256" s="828"/>
      <c r="F256" s="828"/>
      <c r="G256" s="828"/>
      <c r="H256" s="828"/>
      <c r="I256" s="828"/>
      <c r="J256" s="828"/>
      <c r="K256" s="537"/>
      <c r="L256" s="537"/>
      <c r="M256" s="537"/>
      <c r="N256" s="537"/>
      <c r="O256" s="537"/>
      <c r="P256" s="537"/>
      <c r="Q256" s="537"/>
      <c r="R256" s="537"/>
      <c r="S256" s="537"/>
      <c r="U256" s="477"/>
      <c r="V256" s="477"/>
      <c r="W256" s="477"/>
      <c r="X256" s="477"/>
      <c r="Y256" s="477"/>
      <c r="Z256" s="644"/>
      <c r="AA256" s="644"/>
      <c r="AB256" s="2606">
        <v>15</v>
      </c>
      <c r="AC256" s="2606"/>
      <c r="AD256" s="2606"/>
      <c r="AE256" s="2606"/>
      <c r="AF256" s="2606"/>
      <c r="AG256" s="2606"/>
      <c r="AH256" s="611"/>
      <c r="AI256" s="611"/>
      <c r="AJ256" s="611"/>
      <c r="AK256" s="611"/>
    </row>
    <row r="257" spans="1:37">
      <c r="A257" s="606"/>
      <c r="B257" s="477" t="s">
        <v>1613</v>
      </c>
      <c r="C257" s="664"/>
      <c r="D257" s="828"/>
      <c r="E257" s="828"/>
      <c r="F257" s="828"/>
      <c r="G257" s="828"/>
      <c r="H257" s="828"/>
      <c r="I257" s="828"/>
      <c r="J257" s="828"/>
      <c r="K257" s="537"/>
      <c r="L257" s="537"/>
      <c r="M257" s="537"/>
      <c r="N257" s="537"/>
      <c r="O257" s="537"/>
      <c r="P257" s="537"/>
      <c r="Q257" s="537"/>
      <c r="R257" s="537"/>
      <c r="S257" s="537"/>
      <c r="U257" s="841"/>
      <c r="V257" s="841"/>
      <c r="W257" s="841"/>
      <c r="X257" s="841"/>
      <c r="Y257" s="841"/>
      <c r="Z257" s="644"/>
      <c r="AA257" s="644"/>
      <c r="AB257" s="2597">
        <v>0.04</v>
      </c>
      <c r="AC257" s="2597"/>
      <c r="AD257" s="2597"/>
      <c r="AE257" s="2597"/>
      <c r="AF257" s="2597"/>
      <c r="AG257" s="2597"/>
      <c r="AH257" s="611"/>
      <c r="AI257" s="611"/>
      <c r="AJ257" s="611"/>
      <c r="AK257" s="611"/>
    </row>
    <row r="258" spans="1:37">
      <c r="A258" s="606"/>
      <c r="B258" s="477" t="s">
        <v>849</v>
      </c>
      <c r="C258" s="664"/>
      <c r="D258" s="828"/>
      <c r="E258" s="828"/>
      <c r="F258" s="828"/>
      <c r="G258" s="828"/>
      <c r="H258" s="828"/>
      <c r="I258" s="828"/>
      <c r="J258" s="828"/>
      <c r="K258" s="537"/>
      <c r="L258" s="537"/>
      <c r="M258" s="537"/>
      <c r="N258" s="537"/>
      <c r="O258" s="537"/>
      <c r="P258" s="537"/>
      <c r="Q258" s="537"/>
      <c r="R258" s="537"/>
      <c r="S258" s="537"/>
      <c r="U258" s="843"/>
      <c r="V258" s="843"/>
      <c r="W258" s="843"/>
      <c r="X258" s="843"/>
      <c r="Y258" s="843"/>
      <c r="Z258" s="644"/>
      <c r="AA258" s="644"/>
      <c r="AB258" s="2598">
        <v>1.1499999999999999</v>
      </c>
      <c r="AC258" s="2598"/>
      <c r="AD258" s="2598"/>
      <c r="AE258" s="2598"/>
      <c r="AF258" s="2598"/>
      <c r="AG258" s="2598"/>
      <c r="AH258" s="611"/>
      <c r="AI258" s="611"/>
      <c r="AJ258" s="611"/>
      <c r="AK258" s="611"/>
    </row>
    <row r="259" spans="1:37">
      <c r="A259" s="606"/>
      <c r="B259" s="477"/>
      <c r="C259" s="664"/>
      <c r="D259" s="828"/>
      <c r="E259" s="828"/>
      <c r="F259" s="828"/>
      <c r="G259" s="828"/>
      <c r="H259" s="828"/>
      <c r="I259" s="828"/>
      <c r="J259" s="828"/>
      <c r="K259" s="537"/>
      <c r="L259" s="537"/>
      <c r="M259" s="537"/>
      <c r="N259" s="537"/>
      <c r="O259" s="537"/>
      <c r="P259" s="537"/>
      <c r="Q259" s="537"/>
      <c r="R259" s="537"/>
      <c r="S259" s="537"/>
      <c r="U259" s="537"/>
      <c r="V259" s="537"/>
      <c r="W259" s="537"/>
      <c r="X259" s="537"/>
      <c r="Y259" s="490"/>
      <c r="Z259" s="644"/>
      <c r="AA259" s="644"/>
      <c r="AB259" s="537"/>
      <c r="AC259" s="537"/>
      <c r="AD259" s="537"/>
      <c r="AE259" s="611"/>
      <c r="AF259" s="611"/>
      <c r="AG259" s="611"/>
      <c r="AH259" s="611"/>
      <c r="AI259" s="611"/>
      <c r="AJ259" s="611"/>
      <c r="AK259" s="611"/>
    </row>
    <row r="260" spans="1:37" ht="13">
      <c r="A260" s="606"/>
      <c r="B260" s="845" t="s">
        <v>1614</v>
      </c>
      <c r="C260" s="664"/>
      <c r="D260" s="828"/>
      <c r="E260" s="828"/>
      <c r="F260" s="828"/>
      <c r="G260" s="828"/>
      <c r="H260" s="828"/>
      <c r="I260" s="828"/>
      <c r="J260" s="828"/>
      <c r="K260" s="537"/>
      <c r="L260" s="537"/>
      <c r="M260" s="537"/>
      <c r="N260" s="537"/>
      <c r="O260" s="537"/>
      <c r="P260" s="537"/>
      <c r="Q260" s="537"/>
      <c r="R260" s="537"/>
      <c r="S260" s="537"/>
      <c r="U260" s="844"/>
      <c r="V260" s="844"/>
      <c r="W260" s="844"/>
      <c r="X260" s="844"/>
      <c r="Y260" s="844"/>
      <c r="Z260" s="644"/>
      <c r="AA260" s="644"/>
      <c r="AB260" s="2587">
        <f>PV(AB257/12,AB256*12,-AB254/12, ,0)</f>
        <v>8248719.5608120635</v>
      </c>
      <c r="AC260" s="2588"/>
      <c r="AD260" s="2588"/>
      <c r="AE260" s="2588"/>
      <c r="AF260" s="2588"/>
      <c r="AG260" s="2589"/>
      <c r="AH260" s="611"/>
      <c r="AI260" s="611"/>
      <c r="AJ260" s="611"/>
      <c r="AK260" s="611"/>
    </row>
    <row r="261" spans="1:37" ht="13">
      <c r="A261" s="606"/>
      <c r="B261" s="845"/>
      <c r="C261" s="664"/>
      <c r="D261" s="828"/>
      <c r="E261" s="828"/>
      <c r="F261" s="828"/>
      <c r="G261" s="828"/>
      <c r="H261" s="828"/>
      <c r="I261" s="828"/>
      <c r="J261" s="828"/>
      <c r="K261" s="537"/>
      <c r="L261" s="537"/>
      <c r="M261" s="537"/>
      <c r="N261" s="537"/>
      <c r="O261" s="537"/>
      <c r="P261" s="537"/>
      <c r="Q261" s="537"/>
      <c r="R261" s="537"/>
      <c r="S261" s="537"/>
      <c r="U261" s="844"/>
      <c r="V261" s="844"/>
      <c r="W261" s="844"/>
      <c r="X261" s="844"/>
      <c r="Y261" s="844"/>
      <c r="Z261" s="644"/>
      <c r="AA261" s="644"/>
      <c r="AB261" s="856"/>
      <c r="AC261" s="856"/>
      <c r="AD261" s="856"/>
      <c r="AE261" s="856"/>
      <c r="AF261" s="856"/>
      <c r="AG261" s="856"/>
      <c r="AH261" s="611"/>
      <c r="AI261" s="611"/>
      <c r="AJ261" s="611"/>
      <c r="AK261" s="611"/>
    </row>
    <row r="262" spans="1:37" ht="13">
      <c r="A262" s="606"/>
      <c r="B262" s="845"/>
      <c r="C262" s="664"/>
      <c r="D262" s="828"/>
      <c r="E262" s="828"/>
      <c r="F262" s="828"/>
      <c r="G262" s="828"/>
      <c r="H262" s="828"/>
      <c r="I262" s="828"/>
      <c r="J262" s="828"/>
      <c r="K262" s="537"/>
      <c r="L262" s="537"/>
      <c r="M262" s="537"/>
      <c r="N262" s="537"/>
      <c r="O262" s="537"/>
      <c r="P262" s="537"/>
      <c r="Q262" s="537"/>
      <c r="R262" s="537"/>
      <c r="S262" s="537"/>
      <c r="U262" s="844"/>
      <c r="V262" s="844"/>
      <c r="W262" s="844"/>
      <c r="X262" s="844"/>
      <c r="Y262" s="844"/>
      <c r="Z262" s="644"/>
      <c r="AA262" s="644"/>
      <c r="AB262" s="856"/>
      <c r="AC262" s="856"/>
      <c r="AD262" s="856"/>
      <c r="AE262" s="856"/>
      <c r="AF262" s="856"/>
      <c r="AG262" s="856"/>
      <c r="AH262" s="611"/>
      <c r="AI262" s="611"/>
      <c r="AJ262" s="611"/>
      <c r="AK262" s="611"/>
    </row>
    <row r="263" spans="1:37" ht="13">
      <c r="A263" s="606"/>
      <c r="B263" s="848" t="s">
        <v>1590</v>
      </c>
      <c r="C263" s="848"/>
      <c r="D263" s="828"/>
      <c r="E263" s="828"/>
      <c r="F263" s="828"/>
      <c r="G263" s="828"/>
      <c r="H263" s="828"/>
      <c r="I263" s="828"/>
      <c r="J263" s="828"/>
      <c r="K263" s="537"/>
      <c r="L263" s="537"/>
      <c r="M263" s="537"/>
      <c r="N263" s="537"/>
      <c r="O263" s="537"/>
      <c r="P263" s="537"/>
      <c r="Q263" s="537"/>
      <c r="R263" s="537"/>
      <c r="S263" s="537"/>
      <c r="T263" s="537"/>
      <c r="U263" s="537"/>
      <c r="V263" s="537"/>
      <c r="W263" s="537"/>
      <c r="X263" s="537"/>
      <c r="Y263" s="644"/>
      <c r="Z263" s="644"/>
      <c r="AA263" s="644"/>
      <c r="AB263" s="644"/>
      <c r="AC263" s="537"/>
      <c r="AD263" s="537"/>
      <c r="AE263" s="611"/>
      <c r="AF263" s="611"/>
      <c r="AG263" s="611"/>
      <c r="AH263" s="611"/>
      <c r="AI263" s="611"/>
      <c r="AJ263" s="611"/>
      <c r="AK263" s="611"/>
    </row>
    <row r="264" spans="1:37">
      <c r="A264" s="606"/>
      <c r="B264" s="606" t="s">
        <v>1593</v>
      </c>
      <c r="C264" s="664"/>
      <c r="D264" s="828"/>
      <c r="E264" s="828"/>
      <c r="F264" s="828"/>
      <c r="G264" s="828"/>
      <c r="H264" s="828"/>
      <c r="I264" s="828"/>
      <c r="J264" s="828"/>
      <c r="K264" s="537"/>
      <c r="L264" s="537"/>
      <c r="M264" s="537"/>
      <c r="N264" s="537"/>
      <c r="O264" s="537"/>
      <c r="P264" s="537"/>
      <c r="Q264" s="537"/>
      <c r="R264" s="537"/>
      <c r="S264" s="537"/>
      <c r="T264" s="537"/>
      <c r="U264" s="537"/>
      <c r="V264" s="537"/>
      <c r="W264" s="537"/>
      <c r="X264" s="537"/>
      <c r="Y264" s="644"/>
      <c r="Z264" s="644"/>
      <c r="AA264" s="644"/>
      <c r="AB264" s="644"/>
      <c r="AC264" s="537"/>
      <c r="AD264" s="537"/>
      <c r="AE264" s="611"/>
      <c r="AF264" s="611"/>
      <c r="AG264" s="611"/>
      <c r="AH264" s="611"/>
      <c r="AI264" s="611"/>
      <c r="AJ264" s="611"/>
      <c r="AK264" s="611"/>
    </row>
    <row r="265" spans="1:37">
      <c r="A265" s="606"/>
      <c r="B265" s="606" t="s">
        <v>1592</v>
      </c>
      <c r="C265" s="664"/>
      <c r="D265" s="828"/>
      <c r="E265" s="828"/>
      <c r="F265" s="828"/>
      <c r="G265" s="828"/>
      <c r="H265" s="828"/>
      <c r="I265" s="828"/>
      <c r="J265" s="828"/>
      <c r="K265" s="537"/>
      <c r="L265" s="537"/>
      <c r="M265" s="537"/>
      <c r="N265" s="537"/>
      <c r="O265" s="537"/>
      <c r="P265" s="537"/>
      <c r="Q265" s="537"/>
      <c r="R265" s="537"/>
      <c r="S265" s="537"/>
      <c r="T265" s="537"/>
      <c r="U265" s="537"/>
      <c r="V265" s="537"/>
      <c r="W265" s="537"/>
      <c r="X265" s="537"/>
      <c r="Y265" s="644"/>
      <c r="Z265" s="644"/>
      <c r="AA265" s="644"/>
      <c r="AB265" s="644"/>
      <c r="AC265" s="537"/>
      <c r="AD265" s="537"/>
      <c r="AE265" s="611"/>
      <c r="AF265" s="611"/>
      <c r="AG265" s="611"/>
      <c r="AH265" s="611"/>
      <c r="AI265" s="611"/>
      <c r="AJ265" s="611"/>
      <c r="AK265" s="611"/>
    </row>
    <row r="266" spans="1:37">
      <c r="A266" s="606"/>
      <c r="B266" s="606" t="s">
        <v>1591</v>
      </c>
      <c r="C266" s="664"/>
      <c r="D266" s="828"/>
      <c r="E266" s="828"/>
      <c r="F266" s="828"/>
      <c r="G266" s="828"/>
      <c r="H266" s="828"/>
      <c r="I266" s="828"/>
      <c r="J266" s="828"/>
      <c r="K266" s="537"/>
      <c r="L266" s="537"/>
      <c r="M266" s="537"/>
      <c r="N266" s="537"/>
      <c r="O266" s="537"/>
      <c r="P266" s="537"/>
      <c r="Q266" s="537"/>
      <c r="R266" s="537"/>
      <c r="S266" s="537"/>
      <c r="T266" s="537"/>
      <c r="U266" s="537"/>
      <c r="V266" s="537"/>
      <c r="W266" s="537"/>
      <c r="X266" s="537"/>
      <c r="Y266" s="644"/>
      <c r="Z266" s="644"/>
      <c r="AA266" s="644"/>
      <c r="AB266" s="2591">
        <f>IFERROR(('Sources and Uses Budget'!D105/'Sources and Uses Budget'!B105),0)</f>
        <v>0</v>
      </c>
      <c r="AC266" s="2592"/>
      <c r="AD266" s="2592"/>
      <c r="AE266" s="2592"/>
      <c r="AF266" s="2592"/>
      <c r="AG266" s="2593"/>
      <c r="AH266" s="857"/>
      <c r="AI266" s="857"/>
      <c r="AJ266" s="857"/>
      <c r="AK266" s="611"/>
    </row>
    <row r="267" spans="1:37">
      <c r="A267" s="606"/>
      <c r="B267" s="477"/>
      <c r="C267" s="664"/>
      <c r="D267" s="828"/>
      <c r="E267" s="828"/>
      <c r="F267" s="828"/>
      <c r="G267" s="828"/>
      <c r="H267" s="828"/>
      <c r="I267" s="828"/>
      <c r="J267" s="828"/>
      <c r="K267" s="537"/>
      <c r="L267" s="537"/>
      <c r="M267" s="537"/>
      <c r="N267" s="537"/>
      <c r="O267" s="537"/>
      <c r="P267" s="537"/>
      <c r="Q267" s="537"/>
      <c r="R267" s="537"/>
      <c r="S267" s="537"/>
      <c r="T267" s="537"/>
      <c r="U267" s="537"/>
      <c r="V267" s="537"/>
      <c r="W267" s="537"/>
      <c r="X267" s="537"/>
      <c r="Y267" s="644"/>
      <c r="Z267" s="644"/>
      <c r="AA267" s="644"/>
      <c r="AB267" s="644"/>
      <c r="AC267" s="537"/>
      <c r="AD267" s="537"/>
      <c r="AE267" s="611"/>
      <c r="AF267" s="611"/>
      <c r="AG267" s="611"/>
      <c r="AH267" s="611"/>
      <c r="AI267" s="611"/>
      <c r="AJ267" s="611"/>
      <c r="AK267" s="611"/>
    </row>
    <row r="268" spans="1:37" ht="13">
      <c r="A268" s="623"/>
      <c r="B268" s="448" t="s">
        <v>1372</v>
      </c>
      <c r="C268" s="624"/>
      <c r="D268" s="624"/>
      <c r="E268" s="624"/>
      <c r="F268" s="624"/>
      <c r="H268" s="625"/>
      <c r="I268" s="625"/>
      <c r="J268" s="625"/>
      <c r="K268" s="625"/>
      <c r="L268" s="625"/>
      <c r="M268" s="625"/>
      <c r="N268" s="625"/>
      <c r="O268" s="625"/>
      <c r="P268" s="625"/>
      <c r="Q268" s="625"/>
      <c r="R268" s="625"/>
      <c r="Y268" s="625"/>
      <c r="Z268" s="625"/>
      <c r="AA268" s="625"/>
      <c r="AB268" s="623"/>
      <c r="AC268" s="623"/>
      <c r="AD268" s="623"/>
      <c r="AE268" s="623"/>
      <c r="AG268" s="2437">
        <f>AD211*(1-AB266)</f>
        <v>8248719.5608120635</v>
      </c>
      <c r="AH268" s="2437"/>
      <c r="AI268" s="2437"/>
      <c r="AJ268" s="2437"/>
      <c r="AK268" s="2437"/>
    </row>
    <row r="269" spans="1:37">
      <c r="A269" s="623"/>
      <c r="B269" s="626" t="s">
        <v>1373</v>
      </c>
      <c r="C269" s="627"/>
      <c r="D269" s="625"/>
      <c r="E269" s="625"/>
      <c r="F269" s="627"/>
      <c r="G269" s="627"/>
      <c r="H269" s="627"/>
      <c r="I269" s="627"/>
      <c r="J269" s="627"/>
      <c r="K269" s="627"/>
      <c r="L269" s="627"/>
      <c r="M269" s="625"/>
      <c r="N269" s="627"/>
      <c r="O269" s="627"/>
      <c r="P269" s="627"/>
      <c r="Q269" s="627"/>
      <c r="R269" s="627"/>
      <c r="Y269" s="625"/>
      <c r="Z269" s="625"/>
      <c r="AA269" s="625"/>
      <c r="AB269" s="623"/>
      <c r="AC269" s="623"/>
      <c r="AD269" s="623"/>
      <c r="AE269" s="623"/>
      <c r="AG269" s="2437">
        <f>'Sources and Uses Budget'!C105</f>
        <v>35051792</v>
      </c>
      <c r="AH269" s="2437"/>
      <c r="AI269" s="2437"/>
      <c r="AJ269" s="2437"/>
      <c r="AK269" s="2437"/>
    </row>
    <row r="270" spans="1:37">
      <c r="A270" s="623"/>
      <c r="B270" s="625" t="s">
        <v>13</v>
      </c>
      <c r="C270" s="625"/>
      <c r="D270" s="625"/>
      <c r="E270" s="625"/>
      <c r="F270" s="625"/>
      <c r="G270" s="625"/>
      <c r="H270" s="625"/>
      <c r="I270" s="625"/>
      <c r="J270" s="625"/>
      <c r="K270" s="625"/>
      <c r="L270" s="625"/>
      <c r="M270" s="625"/>
      <c r="N270" s="625"/>
      <c r="O270" s="625"/>
      <c r="P270" s="625"/>
      <c r="Q270" s="625"/>
      <c r="R270" s="625"/>
      <c r="Y270" s="625"/>
      <c r="Z270" s="625"/>
      <c r="AA270" s="625"/>
      <c r="AB270" s="623"/>
      <c r="AC270" s="623"/>
      <c r="AD270" s="623"/>
      <c r="AE270" s="623"/>
      <c r="AG270" s="2583">
        <f>ROUNDDOWN(IF(AND(C292="Yes",AK84=10),((AG268*2)/AG269),AG268/AG269),2)</f>
        <v>0.23</v>
      </c>
      <c r="AH270" s="2583"/>
      <c r="AI270" s="2583"/>
      <c r="AJ270" s="2583"/>
      <c r="AK270" s="2583"/>
    </row>
    <row r="271" spans="1:37" ht="13">
      <c r="A271" s="623"/>
      <c r="B271" s="979" t="s">
        <v>1740</v>
      </c>
      <c r="C271" s="625"/>
      <c r="D271" s="625"/>
      <c r="E271" s="625"/>
      <c r="F271" s="625"/>
      <c r="G271" s="625"/>
      <c r="H271" s="625"/>
      <c r="I271" s="625"/>
      <c r="J271" s="625"/>
      <c r="K271" s="625"/>
      <c r="L271" s="625"/>
      <c r="M271" s="625"/>
      <c r="N271" s="625"/>
      <c r="O271" s="625"/>
      <c r="P271" s="625"/>
      <c r="Q271" s="625"/>
      <c r="R271" s="625"/>
      <c r="Y271" s="625"/>
      <c r="Z271" s="625"/>
      <c r="AA271" s="625"/>
      <c r="AB271" s="623"/>
      <c r="AC271" s="623"/>
      <c r="AD271" s="623"/>
      <c r="AE271" s="623"/>
      <c r="AG271" s="978"/>
      <c r="AH271" s="978"/>
      <c r="AI271" s="978"/>
      <c r="AJ271" s="978"/>
      <c r="AK271" s="978"/>
    </row>
    <row r="272" spans="1:37">
      <c r="A272" s="628"/>
      <c r="B272" s="628"/>
      <c r="C272" s="628"/>
      <c r="D272" s="628"/>
      <c r="E272" s="628"/>
      <c r="F272" s="628"/>
      <c r="G272" s="628"/>
      <c r="H272" s="628"/>
      <c r="I272" s="628"/>
      <c r="J272" s="628"/>
      <c r="K272" s="628"/>
      <c r="L272" s="628"/>
      <c r="M272" s="628"/>
      <c r="N272" s="628"/>
      <c r="O272" s="628"/>
      <c r="P272" s="628"/>
      <c r="Q272" s="628"/>
      <c r="R272" s="628"/>
      <c r="S272" s="628"/>
      <c r="T272" s="628"/>
      <c r="U272" s="628"/>
      <c r="V272" s="628"/>
      <c r="W272" s="628"/>
      <c r="X272" s="628"/>
      <c r="Y272" s="628"/>
      <c r="Z272" s="628"/>
      <c r="AA272" s="628"/>
      <c r="AB272" s="628"/>
      <c r="AC272" s="628"/>
      <c r="AD272" s="628"/>
      <c r="AE272" s="628"/>
      <c r="AF272" s="628"/>
      <c r="AG272" s="628"/>
      <c r="AH272" s="628"/>
      <c r="AI272" s="628"/>
      <c r="AJ272" s="628"/>
    </row>
    <row r="273" spans="1:52" ht="13">
      <c r="A273" s="629"/>
      <c r="B273" s="629"/>
      <c r="C273" s="629"/>
      <c r="D273" s="629"/>
      <c r="E273" s="629"/>
      <c r="F273" s="629"/>
      <c r="G273" s="629"/>
      <c r="H273" s="629"/>
      <c r="I273" s="629"/>
      <c r="J273" s="629"/>
      <c r="K273" s="629"/>
      <c r="L273" s="629"/>
      <c r="M273" s="629"/>
      <c r="N273" s="629"/>
      <c r="O273" s="629"/>
      <c r="P273" s="629"/>
      <c r="Q273" s="629"/>
      <c r="R273" s="629"/>
      <c r="S273" s="629"/>
      <c r="T273" s="629"/>
      <c r="U273" s="629"/>
      <c r="V273" s="629"/>
      <c r="W273" s="629"/>
      <c r="X273" s="629"/>
      <c r="Y273" s="629"/>
      <c r="Z273" s="629"/>
      <c r="AA273" s="629"/>
      <c r="AB273" s="629"/>
      <c r="AC273" s="629"/>
      <c r="AD273" s="629"/>
      <c r="AE273" s="629"/>
      <c r="AF273" s="629"/>
      <c r="AG273" s="629"/>
      <c r="AH273" s="630"/>
      <c r="AI273" s="566"/>
      <c r="AJ273" s="566" t="s">
        <v>1374</v>
      </c>
      <c r="AK273" s="2572">
        <f>IFERROR(IF(AG270=0,0,IF((AG270*100)&gt;8,8,(AG270*100))),0)</f>
        <v>8</v>
      </c>
      <c r="AL273" s="2572"/>
      <c r="AM273" s="2573"/>
    </row>
    <row r="274" spans="1:52" ht="13" thickBot="1"/>
    <row r="275" spans="1:52" s="551" customFormat="1" ht="12.75" customHeight="1" thickTop="1">
      <c r="A275" s="613"/>
      <c r="B275" s="631"/>
      <c r="C275" s="631"/>
      <c r="D275" s="631"/>
      <c r="E275" s="631"/>
      <c r="F275" s="631"/>
      <c r="G275" s="631"/>
      <c r="H275" s="631"/>
      <c r="I275" s="631"/>
      <c r="J275" s="631"/>
      <c r="K275" s="631"/>
      <c r="L275" s="631"/>
      <c r="M275" s="631"/>
      <c r="N275" s="631"/>
      <c r="O275" s="631"/>
      <c r="P275" s="631"/>
      <c r="Q275" s="631"/>
      <c r="R275" s="631"/>
      <c r="S275" s="631"/>
      <c r="T275" s="631"/>
      <c r="U275" s="631"/>
      <c r="V275" s="631"/>
      <c r="W275" s="631"/>
      <c r="X275" s="631"/>
      <c r="Y275" s="631"/>
      <c r="Z275" s="631"/>
      <c r="AA275" s="631"/>
      <c r="AB275" s="631"/>
      <c r="AC275" s="632"/>
      <c r="AD275" s="631"/>
      <c r="AE275" s="631"/>
      <c r="AF275" s="631"/>
      <c r="AG275" s="631"/>
      <c r="AH275" s="613"/>
      <c r="AI275" s="633"/>
      <c r="AJ275" s="633"/>
      <c r="AK275" s="634"/>
      <c r="AL275" s="634"/>
      <c r="AM275" s="635"/>
      <c r="AN275" s="598"/>
      <c r="AP275" s="537"/>
      <c r="AQ275" s="537"/>
      <c r="AR275" s="537"/>
      <c r="AS275" s="537"/>
      <c r="AT275" s="537"/>
      <c r="AU275" s="537"/>
      <c r="AV275" s="537"/>
      <c r="AW275" s="537"/>
      <c r="AX275" s="537"/>
      <c r="AY275" s="537"/>
      <c r="AZ275" s="537"/>
    </row>
    <row r="276" spans="1:52" ht="13">
      <c r="A276" s="539" t="s">
        <v>1375</v>
      </c>
      <c r="B276" s="539" t="s">
        <v>1376</v>
      </c>
      <c r="C276" s="540"/>
      <c r="D276" s="551"/>
      <c r="E276" s="551"/>
      <c r="F276" s="551"/>
      <c r="G276" s="551"/>
      <c r="H276" s="551"/>
      <c r="I276" s="551"/>
      <c r="J276" s="551"/>
      <c r="K276" s="551"/>
      <c r="L276" s="551"/>
      <c r="M276" s="551"/>
      <c r="N276" s="551"/>
      <c r="O276" s="551"/>
      <c r="P276" s="551"/>
      <c r="Q276" s="551"/>
      <c r="R276" s="551"/>
      <c r="S276" s="551"/>
      <c r="T276" s="551"/>
      <c r="U276" s="551"/>
      <c r="V276" s="551"/>
      <c r="W276" s="551"/>
      <c r="X276" s="551"/>
      <c r="Y276" s="551"/>
      <c r="Z276" s="551"/>
      <c r="AA276" s="551"/>
      <c r="AB276" s="551"/>
      <c r="AC276" s="551"/>
      <c r="AD276" s="551"/>
      <c r="AE276" s="551"/>
      <c r="AF276" s="551"/>
      <c r="AG276" s="551"/>
      <c r="AH276" s="592" t="s">
        <v>1313</v>
      </c>
      <c r="AI276" s="551"/>
      <c r="AJ276" s="551"/>
      <c r="AK276" s="551"/>
      <c r="AL276" s="551"/>
      <c r="AM276" s="551"/>
      <c r="AO276" s="551"/>
    </row>
    <row r="277" spans="1:52" ht="14.25" customHeight="1">
      <c r="A277" s="592"/>
      <c r="AI277" s="552"/>
      <c r="AJ277" s="551"/>
      <c r="AK277" s="551"/>
      <c r="AL277" s="551"/>
      <c r="AM277" s="551"/>
      <c r="AO277" s="551"/>
    </row>
    <row r="278" spans="1:52" ht="13.75" customHeight="1">
      <c r="A278" s="551"/>
      <c r="B278" s="597"/>
      <c r="C278" s="2454" t="s">
        <v>544</v>
      </c>
      <c r="D278" s="2454"/>
      <c r="E278" s="548"/>
      <c r="F278" s="2406" t="s">
        <v>2025</v>
      </c>
      <c r="G278" s="2407"/>
      <c r="H278" s="2407"/>
      <c r="I278" s="2407"/>
      <c r="J278" s="2407"/>
      <c r="K278" s="2407"/>
      <c r="L278" s="2407"/>
      <c r="M278" s="2407"/>
      <c r="N278" s="2407"/>
      <c r="O278" s="2407"/>
      <c r="P278" s="2407"/>
      <c r="Q278" s="2407"/>
      <c r="R278" s="2407"/>
      <c r="S278" s="2407"/>
      <c r="T278" s="2407"/>
      <c r="U278" s="2407"/>
      <c r="V278" s="2407"/>
      <c r="W278" s="2407"/>
      <c r="X278" s="2407"/>
      <c r="Y278" s="2407"/>
      <c r="Z278" s="2407"/>
      <c r="AA278" s="2407"/>
      <c r="AB278" s="2407"/>
      <c r="AC278" s="2407"/>
      <c r="AD278" s="2408"/>
      <c r="AE278" s="551"/>
      <c r="AF278" s="636"/>
      <c r="AG278" s="2581" t="s">
        <v>1362</v>
      </c>
      <c r="AH278" s="2581"/>
      <c r="AI278" s="2581"/>
      <c r="AJ278" s="2581"/>
      <c r="AK278" s="551"/>
      <c r="AL278" s="551"/>
      <c r="AM278" s="551"/>
      <c r="AO278" s="551"/>
    </row>
    <row r="279" spans="1:52" ht="13.75" customHeight="1">
      <c r="A279" s="551"/>
      <c r="B279" s="597"/>
      <c r="C279" s="637"/>
      <c r="D279" s="551"/>
      <c r="E279" s="548"/>
      <c r="F279" s="2409"/>
      <c r="G279" s="2410"/>
      <c r="H279" s="2410"/>
      <c r="I279" s="2410"/>
      <c r="J279" s="2410"/>
      <c r="K279" s="2410"/>
      <c r="L279" s="2410"/>
      <c r="M279" s="2410"/>
      <c r="N279" s="2410"/>
      <c r="O279" s="2410"/>
      <c r="P279" s="2410"/>
      <c r="Q279" s="2410"/>
      <c r="R279" s="2410"/>
      <c r="S279" s="2410"/>
      <c r="T279" s="2410"/>
      <c r="U279" s="2410"/>
      <c r="V279" s="2410"/>
      <c r="W279" s="2410"/>
      <c r="X279" s="2410"/>
      <c r="Y279" s="2410"/>
      <c r="Z279" s="2410"/>
      <c r="AA279" s="2410"/>
      <c r="AB279" s="2410"/>
      <c r="AC279" s="2410"/>
      <c r="AD279" s="2411"/>
      <c r="AE279" s="551"/>
      <c r="AF279" s="636"/>
      <c r="AG279" s="636"/>
      <c r="AH279" s="636"/>
      <c r="AI279" s="636"/>
      <c r="AJ279" s="551"/>
      <c r="AK279" s="551"/>
      <c r="AL279" s="551"/>
      <c r="AM279" s="551"/>
      <c r="AO279" s="551"/>
    </row>
    <row r="280" spans="1:52">
      <c r="A280" s="551"/>
      <c r="B280" s="597"/>
      <c r="C280" s="637"/>
      <c r="D280" s="551"/>
      <c r="E280" s="548"/>
      <c r="F280" s="2409"/>
      <c r="G280" s="2410"/>
      <c r="H280" s="2410"/>
      <c r="I280" s="2410"/>
      <c r="J280" s="2410"/>
      <c r="K280" s="2410"/>
      <c r="L280" s="2410"/>
      <c r="M280" s="2410"/>
      <c r="N280" s="2410"/>
      <c r="O280" s="2410"/>
      <c r="P280" s="2410"/>
      <c r="Q280" s="2410"/>
      <c r="R280" s="2410"/>
      <c r="S280" s="2410"/>
      <c r="T280" s="2410"/>
      <c r="U280" s="2410"/>
      <c r="V280" s="2410"/>
      <c r="W280" s="2410"/>
      <c r="X280" s="2410"/>
      <c r="Y280" s="2410"/>
      <c r="Z280" s="2410"/>
      <c r="AA280" s="2410"/>
      <c r="AB280" s="2410"/>
      <c r="AC280" s="2410"/>
      <c r="AD280" s="2411"/>
      <c r="AE280" s="551"/>
      <c r="AF280" s="636"/>
      <c r="AG280" s="636"/>
      <c r="AH280" s="636"/>
      <c r="AI280" s="636"/>
      <c r="AJ280" s="551"/>
      <c r="AK280" s="551"/>
      <c r="AL280" s="551"/>
      <c r="AM280" s="551"/>
      <c r="AO280" s="551"/>
      <c r="AP280" s="638"/>
    </row>
    <row r="281" spans="1:52">
      <c r="A281" s="551"/>
      <c r="B281" s="597"/>
      <c r="C281" s="637"/>
      <c r="D281" s="551"/>
      <c r="E281" s="548"/>
      <c r="F281" s="2409"/>
      <c r="G281" s="2410"/>
      <c r="H281" s="2410"/>
      <c r="I281" s="2410"/>
      <c r="J281" s="2410"/>
      <c r="K281" s="2410"/>
      <c r="L281" s="2410"/>
      <c r="M281" s="2410"/>
      <c r="N281" s="2410"/>
      <c r="O281" s="2410"/>
      <c r="P281" s="2410"/>
      <c r="Q281" s="2410"/>
      <c r="R281" s="2410"/>
      <c r="S281" s="2410"/>
      <c r="T281" s="2410"/>
      <c r="U281" s="2410"/>
      <c r="V281" s="2410"/>
      <c r="W281" s="2410"/>
      <c r="X281" s="2410"/>
      <c r="Y281" s="2410"/>
      <c r="Z281" s="2410"/>
      <c r="AA281" s="2410"/>
      <c r="AB281" s="2410"/>
      <c r="AC281" s="2410"/>
      <c r="AD281" s="2411"/>
      <c r="AE281" s="551"/>
      <c r="AF281" s="636"/>
      <c r="AG281" s="636"/>
      <c r="AH281" s="636"/>
      <c r="AI281" s="636"/>
      <c r="AJ281" s="551"/>
      <c r="AK281" s="551"/>
      <c r="AL281" s="551"/>
      <c r="AM281" s="551"/>
      <c r="AO281" s="551"/>
      <c r="AP281" s="638"/>
    </row>
    <row r="282" spans="1:52" ht="13.75" customHeight="1">
      <c r="A282" s="551"/>
      <c r="B282" s="597"/>
      <c r="C282" s="2582"/>
      <c r="D282" s="2582"/>
      <c r="E282" s="548"/>
      <c r="F282" s="2412"/>
      <c r="G282" s="2413"/>
      <c r="H282" s="2413"/>
      <c r="I282" s="2413"/>
      <c r="J282" s="2413"/>
      <c r="K282" s="2413"/>
      <c r="L282" s="2413"/>
      <c r="M282" s="2413"/>
      <c r="N282" s="2413"/>
      <c r="O282" s="2413"/>
      <c r="P282" s="2413"/>
      <c r="Q282" s="2413"/>
      <c r="R282" s="2413"/>
      <c r="S282" s="2413"/>
      <c r="T282" s="2413"/>
      <c r="U282" s="2413"/>
      <c r="V282" s="2413"/>
      <c r="W282" s="2413"/>
      <c r="X282" s="2413"/>
      <c r="Y282" s="2413"/>
      <c r="Z282" s="2413"/>
      <c r="AA282" s="2413"/>
      <c r="AB282" s="2413"/>
      <c r="AC282" s="2413"/>
      <c r="AD282" s="2414"/>
      <c r="AE282" s="551"/>
      <c r="AF282" s="636"/>
      <c r="AG282" s="2581"/>
      <c r="AH282" s="2581"/>
      <c r="AI282" s="2581"/>
      <c r="AJ282" s="2581"/>
      <c r="AK282" s="551"/>
      <c r="AL282" s="551"/>
      <c r="AM282" s="551"/>
    </row>
    <row r="283" spans="1:52" ht="13.75" hidden="1" customHeight="1">
      <c r="A283" s="551"/>
      <c r="C283" s="604"/>
      <c r="D283" s="604"/>
      <c r="E283" s="604"/>
      <c r="F283" s="1024"/>
      <c r="G283" s="1025"/>
      <c r="H283" s="1025"/>
      <c r="I283" s="1025"/>
      <c r="J283" s="1025"/>
      <c r="K283" s="1025"/>
      <c r="L283" s="1025"/>
      <c r="M283" s="1025"/>
      <c r="N283" s="1025"/>
      <c r="O283" s="1025"/>
      <c r="P283" s="1025"/>
      <c r="Q283" s="1025"/>
      <c r="R283" s="1025"/>
      <c r="S283" s="1025"/>
      <c r="T283" s="1025"/>
      <c r="U283" s="1025"/>
      <c r="V283" s="1025"/>
      <c r="W283" s="1025"/>
      <c r="X283" s="1025"/>
      <c r="Y283" s="1025"/>
      <c r="Z283" s="1025"/>
      <c r="AA283" s="1025"/>
      <c r="AB283" s="1025"/>
      <c r="AC283" s="1025"/>
      <c r="AD283" s="1026"/>
      <c r="AE283" s="604"/>
      <c r="AF283" s="604"/>
      <c r="AG283" s="604"/>
      <c r="AH283" s="604"/>
      <c r="AI283" s="636"/>
      <c r="AJ283" s="551"/>
      <c r="AK283" s="551"/>
      <c r="AL283" s="551"/>
      <c r="AM283" s="551"/>
    </row>
    <row r="284" spans="1:52">
      <c r="A284" s="551"/>
      <c r="B284" s="604"/>
      <c r="C284" s="604"/>
      <c r="D284" s="604"/>
      <c r="E284" s="604"/>
      <c r="F284" s="604"/>
      <c r="G284" s="604"/>
      <c r="H284" s="604"/>
      <c r="I284" s="604"/>
      <c r="J284" s="604"/>
      <c r="K284" s="604"/>
      <c r="L284" s="604"/>
      <c r="M284" s="604"/>
      <c r="N284" s="604"/>
      <c r="O284" s="604"/>
      <c r="P284" s="604"/>
      <c r="Q284" s="604"/>
      <c r="R284" s="604"/>
      <c r="S284" s="604"/>
      <c r="T284" s="604"/>
      <c r="U284" s="604"/>
      <c r="V284" s="604"/>
      <c r="W284" s="604"/>
      <c r="X284" s="604"/>
      <c r="Y284" s="604"/>
      <c r="Z284" s="604"/>
      <c r="AA284" s="604"/>
      <c r="AB284" s="604"/>
      <c r="AC284" s="604"/>
      <c r="AD284" s="604"/>
      <c r="AE284" s="604"/>
      <c r="AF284" s="604"/>
      <c r="AG284" s="604"/>
      <c r="AH284" s="604"/>
      <c r="AI284" s="604"/>
      <c r="AJ284" s="604"/>
      <c r="AK284" s="604"/>
      <c r="AL284" s="551"/>
      <c r="AM284" s="551"/>
      <c r="AN284" s="73"/>
    </row>
    <row r="285" spans="1:52" ht="13">
      <c r="A285" s="607"/>
      <c r="B285" s="565"/>
      <c r="C285" s="565"/>
      <c r="D285" s="565"/>
      <c r="E285" s="565"/>
      <c r="F285" s="565"/>
      <c r="G285" s="565"/>
      <c r="H285" s="565"/>
      <c r="I285" s="565"/>
      <c r="J285" s="565"/>
      <c r="K285" s="565"/>
      <c r="L285" s="565"/>
      <c r="M285" s="565"/>
      <c r="N285" s="565"/>
      <c r="O285" s="565"/>
      <c r="P285" s="565"/>
      <c r="Q285" s="565"/>
      <c r="R285" s="565"/>
      <c r="S285" s="565"/>
      <c r="T285" s="565"/>
      <c r="U285" s="565"/>
      <c r="V285" s="565"/>
      <c r="W285" s="565"/>
      <c r="X285" s="565"/>
      <c r="Y285" s="565"/>
      <c r="Z285" s="565"/>
      <c r="AA285" s="565"/>
      <c r="AB285" s="565"/>
      <c r="AC285" s="565"/>
      <c r="AD285" s="565"/>
      <c r="AE285" s="565"/>
      <c r="AF285" s="565"/>
      <c r="AG285" s="565"/>
      <c r="AH285" s="565"/>
      <c r="AI285" s="566"/>
      <c r="AJ285" s="566" t="s">
        <v>1378</v>
      </c>
      <c r="AK285" s="2572">
        <f>IF($C$278="yes",10,0)</f>
        <v>10</v>
      </c>
      <c r="AL285" s="2572"/>
      <c r="AM285" s="2573"/>
      <c r="AN285" s="73"/>
    </row>
    <row r="286" spans="1:52" ht="13" thickBot="1"/>
    <row r="287" spans="1:52" ht="13" thickTop="1">
      <c r="A287" s="639"/>
      <c r="B287" s="639"/>
      <c r="C287" s="639"/>
      <c r="D287" s="639"/>
      <c r="E287" s="639"/>
      <c r="F287" s="639"/>
      <c r="G287" s="639"/>
      <c r="H287" s="639"/>
      <c r="I287" s="639"/>
      <c r="J287" s="639"/>
      <c r="K287" s="639"/>
      <c r="L287" s="639"/>
      <c r="M287" s="639"/>
      <c r="N287" s="639"/>
      <c r="O287" s="639"/>
      <c r="P287" s="639"/>
      <c r="Q287" s="639"/>
      <c r="R287" s="639"/>
      <c r="S287" s="639"/>
      <c r="T287" s="639"/>
      <c r="U287" s="639"/>
      <c r="V287" s="639"/>
      <c r="W287" s="639"/>
      <c r="X287" s="639"/>
      <c r="Y287" s="639"/>
      <c r="Z287" s="639"/>
      <c r="AA287" s="639"/>
      <c r="AB287" s="639"/>
      <c r="AC287" s="639"/>
      <c r="AD287" s="639"/>
      <c r="AE287" s="639"/>
      <c r="AF287" s="639"/>
      <c r="AG287" s="639"/>
      <c r="AH287" s="639"/>
      <c r="AI287" s="639"/>
      <c r="AJ287" s="639"/>
      <c r="AK287" s="639"/>
      <c r="AL287" s="639"/>
      <c r="AM287" s="640"/>
    </row>
    <row r="288" spans="1:52" ht="13">
      <c r="A288" s="539" t="s">
        <v>1379</v>
      </c>
      <c r="B288" s="539" t="s">
        <v>1853</v>
      </c>
      <c r="AH288" s="592" t="s">
        <v>1313</v>
      </c>
    </row>
    <row r="289" spans="1:49" ht="15" customHeight="1">
      <c r="B289" s="540"/>
    </row>
    <row r="290" spans="1:49" ht="15" customHeight="1">
      <c r="B290" s="540" t="s">
        <v>1727</v>
      </c>
    </row>
    <row r="291" spans="1:49" ht="13">
      <c r="B291" s="551"/>
      <c r="C291" s="641"/>
      <c r="D291" s="551"/>
      <c r="E291" s="551"/>
      <c r="F291" s="551"/>
      <c r="G291" s="551"/>
      <c r="H291" s="551"/>
      <c r="I291" s="551"/>
      <c r="J291" s="551"/>
      <c r="K291" s="551"/>
      <c r="L291" s="551"/>
      <c r="M291" s="551"/>
      <c r="N291" s="551"/>
      <c r="O291" s="551"/>
      <c r="P291" s="551"/>
      <c r="Q291" s="551"/>
      <c r="R291" s="551"/>
      <c r="S291" s="551"/>
      <c r="T291" s="551"/>
      <c r="U291" s="551"/>
      <c r="V291" s="551"/>
      <c r="W291" s="551"/>
      <c r="X291" s="551"/>
      <c r="Y291" s="551"/>
      <c r="Z291" s="551"/>
      <c r="AA291" s="551"/>
      <c r="AB291" s="551"/>
      <c r="AC291" s="551"/>
      <c r="AD291" s="551"/>
      <c r="AG291" s="551"/>
      <c r="AI291" s="551"/>
      <c r="AJ291" s="551"/>
      <c r="AK291" s="551"/>
      <c r="AL291" s="551"/>
      <c r="AM291" s="551"/>
      <c r="AN291" s="73"/>
      <c r="AO291" s="14"/>
      <c r="AP291" s="571"/>
      <c r="AQ291" s="642"/>
      <c r="AR291" s="571"/>
      <c r="AS291" s="571"/>
      <c r="AT291" s="571"/>
      <c r="AU291" s="571"/>
      <c r="AV291" s="32"/>
      <c r="AW291" s="32"/>
    </row>
    <row r="292" spans="1:49" ht="12.75" customHeight="1">
      <c r="A292" s="1656" t="s">
        <v>1381</v>
      </c>
      <c r="B292" s="1656"/>
      <c r="C292" s="2405" t="s">
        <v>590</v>
      </c>
      <c r="D292" s="2454"/>
      <c r="E292" s="548"/>
      <c r="F292" s="2574" t="s">
        <v>1382</v>
      </c>
      <c r="G292" s="2575"/>
      <c r="H292" s="2575"/>
      <c r="I292" s="2575"/>
      <c r="J292" s="2575"/>
      <c r="K292" s="2575"/>
      <c r="L292" s="2575"/>
      <c r="M292" s="2575"/>
      <c r="N292" s="2575"/>
      <c r="O292" s="2575"/>
      <c r="P292" s="2575"/>
      <c r="Q292" s="2575"/>
      <c r="R292" s="2575"/>
      <c r="S292" s="2575"/>
      <c r="T292" s="2575"/>
      <c r="U292" s="2575"/>
      <c r="V292" s="2575"/>
      <c r="W292" s="2575"/>
      <c r="X292" s="2575"/>
      <c r="Y292" s="2575"/>
      <c r="Z292" s="2575"/>
      <c r="AA292" s="2575"/>
      <c r="AB292" s="2575"/>
      <c r="AC292" s="2575"/>
      <c r="AD292" s="2576"/>
      <c r="AE292" s="643"/>
      <c r="AF292" s="551"/>
      <c r="AG292" s="2577" t="s">
        <v>2018</v>
      </c>
      <c r="AH292" s="2577"/>
      <c r="AI292" s="2577"/>
      <c r="AJ292" s="2577"/>
      <c r="AK292" s="2577"/>
      <c r="AL292" s="551"/>
      <c r="AM292" s="551"/>
      <c r="AN292" s="73"/>
      <c r="AO292" s="14"/>
      <c r="AP292" s="30"/>
      <c r="AS292" s="571"/>
      <c r="AT292" s="571"/>
      <c r="AU292" s="571"/>
      <c r="AV292" s="32"/>
      <c r="AW292" s="32"/>
    </row>
    <row r="293" spans="1:49" ht="13">
      <c r="A293" s="641"/>
      <c r="B293" s="597"/>
      <c r="F293" s="2432"/>
      <c r="G293" s="2433"/>
      <c r="H293" s="2433"/>
      <c r="I293" s="2433"/>
      <c r="J293" s="2433"/>
      <c r="K293" s="2433"/>
      <c r="L293" s="2433"/>
      <c r="M293" s="2433"/>
      <c r="N293" s="2433"/>
      <c r="O293" s="2433"/>
      <c r="P293" s="2433"/>
      <c r="Q293" s="2433"/>
      <c r="R293" s="2433"/>
      <c r="S293" s="2433"/>
      <c r="T293" s="2433"/>
      <c r="U293" s="2433"/>
      <c r="V293" s="2433"/>
      <c r="W293" s="2433"/>
      <c r="X293" s="2433"/>
      <c r="Y293" s="2433"/>
      <c r="Z293" s="2433"/>
      <c r="AA293" s="2433"/>
      <c r="AB293" s="2433"/>
      <c r="AC293" s="2433"/>
      <c r="AD293" s="2434"/>
      <c r="AE293" s="643"/>
      <c r="AF293" s="552"/>
      <c r="AH293" s="552"/>
      <c r="AI293" s="552"/>
      <c r="AJ293" s="551"/>
      <c r="AK293" s="551"/>
      <c r="AL293" s="551"/>
      <c r="AM293" s="551"/>
      <c r="AN293" s="73"/>
      <c r="AO293" s="14"/>
      <c r="AP293" s="551">
        <f>IF($C$292="yes",10,IF(C292="50% Met",9,0))</f>
        <v>0</v>
      </c>
      <c r="AS293" s="571"/>
      <c r="AT293" s="571"/>
      <c r="AU293" s="571"/>
      <c r="AV293" s="32"/>
      <c r="AW293" s="32"/>
    </row>
    <row r="294" spans="1:49" ht="15" customHeight="1">
      <c r="A294" s="641"/>
      <c r="B294" s="597"/>
      <c r="F294" s="2432"/>
      <c r="G294" s="2433"/>
      <c r="H294" s="2433"/>
      <c r="I294" s="2433"/>
      <c r="J294" s="2433"/>
      <c r="K294" s="2433"/>
      <c r="L294" s="2433"/>
      <c r="M294" s="2433"/>
      <c r="N294" s="2433"/>
      <c r="O294" s="2433"/>
      <c r="P294" s="2433"/>
      <c r="Q294" s="2433"/>
      <c r="R294" s="2433"/>
      <c r="S294" s="2433"/>
      <c r="T294" s="2433"/>
      <c r="U294" s="2433"/>
      <c r="V294" s="2433"/>
      <c r="W294" s="2433"/>
      <c r="X294" s="2433"/>
      <c r="Y294" s="2433"/>
      <c r="Z294" s="2433"/>
      <c r="AA294" s="2433"/>
      <c r="AB294" s="2433"/>
      <c r="AC294" s="2433"/>
      <c r="AD294" s="2434"/>
      <c r="AE294" s="643"/>
      <c r="AF294" s="552"/>
      <c r="AH294" s="552"/>
      <c r="AI294" s="552"/>
      <c r="AJ294" s="551"/>
      <c r="AK294" s="551"/>
      <c r="AL294" s="551"/>
      <c r="AM294" s="551"/>
      <c r="AN294" s="73"/>
      <c r="AO294" s="14"/>
      <c r="AP294" s="551">
        <f>IF($C$302="yes",9,0)</f>
        <v>0</v>
      </c>
      <c r="AS294" s="571"/>
      <c r="AT294" s="571"/>
      <c r="AU294" s="571"/>
      <c r="AV294" s="32"/>
      <c r="AW294" s="32"/>
    </row>
    <row r="295" spans="1:49" ht="12.75" customHeight="1">
      <c r="A295" s="641"/>
      <c r="B295" s="597"/>
      <c r="F295" s="2432" t="s">
        <v>2026</v>
      </c>
      <c r="G295" s="2433"/>
      <c r="H295" s="2433"/>
      <c r="I295" s="2433"/>
      <c r="J295" s="2433"/>
      <c r="K295" s="2433"/>
      <c r="L295" s="2433"/>
      <c r="M295" s="2433"/>
      <c r="N295" s="2433"/>
      <c r="O295" s="2433"/>
      <c r="P295" s="2433"/>
      <c r="Q295" s="2433"/>
      <c r="R295" s="2433"/>
      <c r="S295" s="2433"/>
      <c r="T295" s="2433"/>
      <c r="U295" s="2433"/>
      <c r="V295" s="2433"/>
      <c r="W295" s="2433"/>
      <c r="X295" s="2433"/>
      <c r="Y295" s="2433"/>
      <c r="Z295" s="2433"/>
      <c r="AA295" s="2433"/>
      <c r="AB295" s="2433"/>
      <c r="AC295" s="2433"/>
      <c r="AD295" s="2434"/>
      <c r="AE295" s="643"/>
      <c r="AF295" s="552"/>
      <c r="AH295" s="552"/>
      <c r="AI295" s="552"/>
      <c r="AJ295" s="551"/>
      <c r="AK295" s="551"/>
      <c r="AL295" s="551"/>
      <c r="AM295" s="551"/>
      <c r="AN295" s="73"/>
      <c r="AO295" s="14"/>
      <c r="AP295" s="612">
        <f>MAX(AP293,AP294)</f>
        <v>0</v>
      </c>
      <c r="AQ295" s="575" t="s">
        <v>1315</v>
      </c>
      <c r="AS295" s="571"/>
      <c r="AT295" s="571"/>
      <c r="AU295" s="571"/>
      <c r="AV295" s="32"/>
      <c r="AW295" s="32"/>
    </row>
    <row r="296" spans="1:49" ht="13">
      <c r="A296" s="641"/>
      <c r="B296" s="597"/>
      <c r="F296" s="2432"/>
      <c r="G296" s="2433"/>
      <c r="H296" s="2433"/>
      <c r="I296" s="2433"/>
      <c r="J296" s="2433"/>
      <c r="K296" s="2433"/>
      <c r="L296" s="2433"/>
      <c r="M296" s="2433"/>
      <c r="N296" s="2433"/>
      <c r="O296" s="2433"/>
      <c r="P296" s="2433"/>
      <c r="Q296" s="2433"/>
      <c r="R296" s="2433"/>
      <c r="S296" s="2433"/>
      <c r="T296" s="2433"/>
      <c r="U296" s="2433"/>
      <c r="V296" s="2433"/>
      <c r="W296" s="2433"/>
      <c r="X296" s="2433"/>
      <c r="Y296" s="2433"/>
      <c r="Z296" s="2433"/>
      <c r="AA296" s="2433"/>
      <c r="AB296" s="2433"/>
      <c r="AC296" s="2433"/>
      <c r="AD296" s="2434"/>
      <c r="AE296" s="643"/>
      <c r="AF296" s="552"/>
      <c r="AH296" s="552"/>
      <c r="AI296" s="552"/>
      <c r="AJ296" s="551"/>
      <c r="AK296" s="551"/>
      <c r="AL296" s="551"/>
      <c r="AM296" s="551"/>
      <c r="AN296" s="73"/>
      <c r="AO296" s="14"/>
      <c r="AP296" s="551"/>
      <c r="AS296" s="571"/>
      <c r="AT296" s="571"/>
      <c r="AU296" s="571"/>
      <c r="AV296" s="32"/>
      <c r="AW296" s="32"/>
    </row>
    <row r="297" spans="1:49" ht="12.75" customHeight="1">
      <c r="A297" s="551"/>
      <c r="B297" s="552"/>
      <c r="C297" s="551"/>
      <c r="D297" s="552"/>
      <c r="E297" s="551"/>
      <c r="F297" s="2432" t="s">
        <v>1383</v>
      </c>
      <c r="G297" s="2433"/>
      <c r="H297" s="2433"/>
      <c r="I297" s="2433"/>
      <c r="J297" s="2433"/>
      <c r="K297" s="2433"/>
      <c r="L297" s="2433"/>
      <c r="M297" s="2433"/>
      <c r="N297" s="2433"/>
      <c r="O297" s="2433"/>
      <c r="P297" s="2433"/>
      <c r="Q297" s="2433"/>
      <c r="R297" s="2433"/>
      <c r="S297" s="2433"/>
      <c r="T297" s="2433"/>
      <c r="U297" s="2433"/>
      <c r="V297" s="2433"/>
      <c r="W297" s="2433"/>
      <c r="X297" s="2433"/>
      <c r="Y297" s="2433"/>
      <c r="Z297" s="2433"/>
      <c r="AA297" s="2433"/>
      <c r="AB297" s="2433"/>
      <c r="AC297" s="2433"/>
      <c r="AD297" s="2434"/>
      <c r="AE297" s="643"/>
      <c r="AF297" s="552"/>
      <c r="AG297" s="552"/>
      <c r="AH297" s="552"/>
      <c r="AI297" s="552"/>
      <c r="AJ297" s="551"/>
      <c r="AK297" s="551"/>
      <c r="AL297" s="551"/>
      <c r="AM297" s="551"/>
      <c r="AN297" s="73"/>
      <c r="AO297" s="14"/>
      <c r="AS297" s="571"/>
      <c r="AT297" s="571"/>
      <c r="AU297" s="571"/>
      <c r="AV297" s="32"/>
      <c r="AW297" s="32"/>
    </row>
    <row r="298" spans="1:49" ht="15" customHeight="1">
      <c r="A298" s="551"/>
      <c r="B298" s="552"/>
      <c r="C298" s="552"/>
      <c r="D298" s="552"/>
      <c r="E298" s="552"/>
      <c r="F298" s="2432"/>
      <c r="G298" s="2433"/>
      <c r="H298" s="2433"/>
      <c r="I298" s="2433"/>
      <c r="J298" s="2433"/>
      <c r="K298" s="2433"/>
      <c r="L298" s="2433"/>
      <c r="M298" s="2433"/>
      <c r="N298" s="2433"/>
      <c r="O298" s="2433"/>
      <c r="P298" s="2433"/>
      <c r="Q298" s="2433"/>
      <c r="R298" s="2433"/>
      <c r="S298" s="2433"/>
      <c r="T298" s="2433"/>
      <c r="U298" s="2433"/>
      <c r="V298" s="2433"/>
      <c r="W298" s="2433"/>
      <c r="X298" s="2433"/>
      <c r="Y298" s="2433"/>
      <c r="Z298" s="2433"/>
      <c r="AA298" s="2433"/>
      <c r="AB298" s="2433"/>
      <c r="AC298" s="2433"/>
      <c r="AD298" s="2434"/>
      <c r="AE298" s="643"/>
      <c r="AF298" s="552"/>
      <c r="AG298" s="552"/>
      <c r="AH298" s="552"/>
      <c r="AI298" s="552"/>
      <c r="AJ298" s="551"/>
      <c r="AK298" s="551"/>
      <c r="AL298" s="551"/>
      <c r="AM298" s="551"/>
      <c r="AN298" s="73"/>
      <c r="AO298" s="14"/>
      <c r="AS298" s="571"/>
      <c r="AT298" s="571"/>
      <c r="AU298" s="571"/>
      <c r="AV298" s="32"/>
      <c r="AW298" s="32"/>
    </row>
    <row r="299" spans="1:49" ht="12.75" customHeight="1">
      <c r="A299" s="551"/>
      <c r="B299" s="552"/>
      <c r="C299" s="552"/>
      <c r="D299" s="552"/>
      <c r="E299" s="552"/>
      <c r="F299" s="2432" t="s">
        <v>1384</v>
      </c>
      <c r="G299" s="2433"/>
      <c r="H299" s="2433"/>
      <c r="I299" s="2433"/>
      <c r="J299" s="2433"/>
      <c r="K299" s="2433"/>
      <c r="L299" s="2433"/>
      <c r="M299" s="2433"/>
      <c r="N299" s="2433"/>
      <c r="O299" s="2433"/>
      <c r="P299" s="2433"/>
      <c r="Q299" s="2433"/>
      <c r="R299" s="2433"/>
      <c r="S299" s="2433"/>
      <c r="T299" s="2433"/>
      <c r="U299" s="2433"/>
      <c r="V299" s="2433"/>
      <c r="W299" s="2433"/>
      <c r="X299" s="2433"/>
      <c r="Y299" s="2433"/>
      <c r="Z299" s="2433"/>
      <c r="AA299" s="2433"/>
      <c r="AB299" s="2433"/>
      <c r="AC299" s="2433"/>
      <c r="AD299" s="2434"/>
      <c r="AE299" s="644"/>
      <c r="AF299" s="552"/>
      <c r="AG299" s="552"/>
      <c r="AH299" s="552"/>
      <c r="AI299" s="552"/>
      <c r="AJ299" s="551"/>
      <c r="AK299" s="551"/>
      <c r="AL299" s="551"/>
      <c r="AM299" s="551"/>
      <c r="AN299" s="73"/>
      <c r="AO299" s="14"/>
      <c r="AP299" s="551"/>
      <c r="AS299" s="571"/>
      <c r="AT299" s="571"/>
      <c r="AU299" s="571"/>
      <c r="AV299" s="32"/>
      <c r="AW299" s="32"/>
    </row>
    <row r="300" spans="1:49">
      <c r="A300" s="551"/>
      <c r="B300" s="552"/>
      <c r="C300" s="552"/>
      <c r="D300" s="552"/>
      <c r="E300" s="552"/>
      <c r="F300" s="2435"/>
      <c r="G300" s="2436"/>
      <c r="H300" s="2436"/>
      <c r="I300" s="2436"/>
      <c r="J300" s="2436"/>
      <c r="K300" s="2436"/>
      <c r="L300" s="2436"/>
      <c r="M300" s="2436"/>
      <c r="N300" s="2436"/>
      <c r="O300" s="2436"/>
      <c r="P300" s="2436"/>
      <c r="Q300" s="2436"/>
      <c r="R300" s="2436"/>
      <c r="S300" s="2436"/>
      <c r="T300" s="2436"/>
      <c r="U300" s="2436"/>
      <c r="V300" s="2436"/>
      <c r="W300" s="2436"/>
      <c r="X300" s="2436"/>
      <c r="Y300" s="2436"/>
      <c r="Z300" s="2436"/>
      <c r="AA300" s="2436"/>
      <c r="AB300" s="2436"/>
      <c r="AC300" s="2436"/>
      <c r="AD300" s="2571"/>
      <c r="AE300" s="644"/>
      <c r="AF300" s="552"/>
      <c r="AG300" s="552"/>
      <c r="AH300" s="552"/>
      <c r="AI300" s="552"/>
      <c r="AJ300" s="551"/>
      <c r="AK300" s="551"/>
      <c r="AL300" s="551"/>
      <c r="AM300" s="551"/>
      <c r="AN300" s="73"/>
      <c r="AO300" s="14"/>
      <c r="AP300" s="551"/>
      <c r="AS300" s="571"/>
      <c r="AT300" s="571"/>
      <c r="AU300" s="571"/>
      <c r="AV300" s="32"/>
      <c r="AW300" s="32"/>
    </row>
    <row r="301" spans="1:49">
      <c r="A301" s="551"/>
      <c r="B301" s="552"/>
      <c r="C301" s="552"/>
      <c r="D301" s="552"/>
      <c r="E301" s="552"/>
      <c r="F301" s="644"/>
      <c r="G301" s="644"/>
      <c r="H301" s="644"/>
      <c r="I301" s="644"/>
      <c r="J301" s="644"/>
      <c r="K301" s="644"/>
      <c r="L301" s="644"/>
      <c r="M301" s="644"/>
      <c r="N301" s="644"/>
      <c r="O301" s="644"/>
      <c r="P301" s="644"/>
      <c r="Q301" s="644"/>
      <c r="R301" s="644"/>
      <c r="S301" s="644"/>
      <c r="T301" s="644"/>
      <c r="U301" s="644"/>
      <c r="V301" s="644"/>
      <c r="W301" s="644"/>
      <c r="X301" s="644"/>
      <c r="Y301" s="644"/>
      <c r="Z301" s="644"/>
      <c r="AA301" s="644"/>
      <c r="AB301" s="644"/>
      <c r="AC301" s="644"/>
      <c r="AD301" s="644"/>
      <c r="AE301" s="552"/>
      <c r="AF301" s="552"/>
      <c r="AG301" s="552"/>
      <c r="AH301" s="552"/>
      <c r="AI301" s="552"/>
      <c r="AJ301" s="551"/>
      <c r="AK301" s="551"/>
      <c r="AL301" s="551"/>
      <c r="AM301" s="551"/>
      <c r="AN301" s="73"/>
      <c r="AO301" s="14"/>
      <c r="AS301" s="571"/>
      <c r="AT301" s="571"/>
      <c r="AU301" s="571"/>
      <c r="AV301" s="32"/>
      <c r="AW301" s="32"/>
    </row>
    <row r="302" spans="1:49" ht="15" customHeight="1">
      <c r="A302" s="1656" t="s">
        <v>1385</v>
      </c>
      <c r="B302" s="1656"/>
      <c r="C302" s="2454" t="s">
        <v>590</v>
      </c>
      <c r="D302" s="2454"/>
      <c r="E302" s="548"/>
      <c r="F302" s="645" t="s">
        <v>2019</v>
      </c>
      <c r="G302" s="646"/>
      <c r="H302" s="646"/>
      <c r="I302" s="646"/>
      <c r="J302" s="646"/>
      <c r="K302" s="646"/>
      <c r="L302" s="646"/>
      <c r="M302" s="646"/>
      <c r="N302" s="646"/>
      <c r="O302" s="646"/>
      <c r="P302" s="646"/>
      <c r="Q302" s="646"/>
      <c r="R302" s="646"/>
      <c r="S302" s="646"/>
      <c r="T302" s="646"/>
      <c r="U302" s="646"/>
      <c r="V302" s="646"/>
      <c r="W302" s="646"/>
      <c r="X302" s="646"/>
      <c r="Y302" s="646"/>
      <c r="Z302" s="646"/>
      <c r="AA302" s="646"/>
      <c r="AB302" s="646"/>
      <c r="AC302" s="646"/>
      <c r="AD302" s="647"/>
      <c r="AE302" s="552"/>
      <c r="AF302" s="552"/>
      <c r="AG302" s="540" t="s">
        <v>1387</v>
      </c>
      <c r="AH302" s="552"/>
      <c r="AI302" s="552"/>
      <c r="AJ302" s="551"/>
      <c r="AK302" s="551"/>
      <c r="AL302" s="551"/>
      <c r="AM302" s="551"/>
      <c r="AN302" s="648"/>
      <c r="AO302" s="14"/>
    </row>
    <row r="303" spans="1:49">
      <c r="A303" s="551"/>
      <c r="B303" s="552"/>
      <c r="C303" s="551"/>
      <c r="D303" s="552"/>
      <c r="E303" s="551"/>
      <c r="F303" s="2556" t="s">
        <v>2020</v>
      </c>
      <c r="G303" s="2557"/>
      <c r="H303" s="2557"/>
      <c r="I303" s="2557"/>
      <c r="J303" s="2557"/>
      <c r="K303" s="2557"/>
      <c r="L303" s="2557"/>
      <c r="M303" s="2557"/>
      <c r="N303" s="2557"/>
      <c r="O303" s="2557"/>
      <c r="P303" s="2557"/>
      <c r="Q303" s="2557"/>
      <c r="R303" s="2557"/>
      <c r="S303" s="2557"/>
      <c r="T303" s="2557"/>
      <c r="U303" s="2557"/>
      <c r="V303" s="2557"/>
      <c r="W303" s="2557"/>
      <c r="X303" s="2557"/>
      <c r="Y303" s="2557"/>
      <c r="Z303" s="2557"/>
      <c r="AA303" s="2557"/>
      <c r="AB303" s="2557"/>
      <c r="AC303" s="2557"/>
      <c r="AD303" s="2558"/>
      <c r="AE303" s="552"/>
      <c r="AF303" s="552"/>
      <c r="AG303" s="552"/>
      <c r="AH303" s="552"/>
      <c r="AI303" s="552"/>
      <c r="AJ303" s="551"/>
      <c r="AK303" s="551"/>
      <c r="AL303" s="551"/>
      <c r="AM303" s="551"/>
      <c r="AR303" s="649"/>
    </row>
    <row r="304" spans="1:49" ht="15" customHeight="1">
      <c r="A304" s="551"/>
      <c r="B304" s="552"/>
      <c r="C304" s="551"/>
      <c r="D304" s="552"/>
      <c r="E304" s="551"/>
      <c r="F304" s="2556"/>
      <c r="G304" s="2557"/>
      <c r="H304" s="2557"/>
      <c r="I304" s="2557"/>
      <c r="J304" s="2557"/>
      <c r="K304" s="2557"/>
      <c r="L304" s="2557"/>
      <c r="M304" s="2557"/>
      <c r="N304" s="2557"/>
      <c r="O304" s="2557"/>
      <c r="P304" s="2557"/>
      <c r="Q304" s="2557"/>
      <c r="R304" s="2557"/>
      <c r="S304" s="2557"/>
      <c r="T304" s="2557"/>
      <c r="U304" s="2557"/>
      <c r="V304" s="2557"/>
      <c r="W304" s="2557"/>
      <c r="X304" s="2557"/>
      <c r="Y304" s="2557"/>
      <c r="Z304" s="2557"/>
      <c r="AA304" s="2557"/>
      <c r="AB304" s="2557"/>
      <c r="AC304" s="2557"/>
      <c r="AD304" s="2558"/>
      <c r="AE304" s="552"/>
      <c r="AF304" s="552"/>
      <c r="AG304" s="552"/>
      <c r="AH304" s="552"/>
      <c r="AI304" s="552"/>
      <c r="AJ304" s="551"/>
      <c r="AK304" s="551"/>
      <c r="AL304" s="551"/>
      <c r="AM304" s="551"/>
      <c r="AR304" s="649"/>
    </row>
    <row r="305" spans="1:44">
      <c r="A305" s="551"/>
      <c r="B305" s="552"/>
      <c r="C305" s="551"/>
      <c r="D305" s="552"/>
      <c r="E305" s="551"/>
      <c r="F305" s="2556"/>
      <c r="G305" s="2557"/>
      <c r="H305" s="2557"/>
      <c r="I305" s="2557"/>
      <c r="J305" s="2557"/>
      <c r="K305" s="2557"/>
      <c r="L305" s="2557"/>
      <c r="M305" s="2557"/>
      <c r="N305" s="2557"/>
      <c r="O305" s="2557"/>
      <c r="P305" s="2557"/>
      <c r="Q305" s="2557"/>
      <c r="R305" s="2557"/>
      <c r="S305" s="2557"/>
      <c r="T305" s="2557"/>
      <c r="U305" s="2557"/>
      <c r="V305" s="2557"/>
      <c r="W305" s="2557"/>
      <c r="X305" s="2557"/>
      <c r="Y305" s="2557"/>
      <c r="Z305" s="2557"/>
      <c r="AA305" s="2557"/>
      <c r="AB305" s="2557"/>
      <c r="AC305" s="2557"/>
      <c r="AD305" s="2558"/>
      <c r="AE305" s="552"/>
      <c r="AF305" s="552"/>
      <c r="AG305" s="552"/>
      <c r="AH305" s="552"/>
      <c r="AI305" s="552"/>
      <c r="AJ305" s="551"/>
      <c r="AK305" s="551"/>
      <c r="AL305" s="551"/>
      <c r="AM305" s="551"/>
      <c r="AP305" s="612"/>
      <c r="AQ305" s="575"/>
      <c r="AR305" s="649"/>
    </row>
    <row r="306" spans="1:44" ht="15" customHeight="1">
      <c r="A306" s="551"/>
      <c r="B306" s="552"/>
      <c r="C306" s="551"/>
      <c r="D306" s="552"/>
      <c r="E306" s="551"/>
      <c r="F306" s="2578"/>
      <c r="G306" s="2579"/>
      <c r="H306" s="2579"/>
      <c r="I306" s="2579"/>
      <c r="J306" s="2579"/>
      <c r="K306" s="2579"/>
      <c r="L306" s="2579"/>
      <c r="M306" s="2579"/>
      <c r="N306" s="2579"/>
      <c r="O306" s="2579"/>
      <c r="P306" s="2579"/>
      <c r="Q306" s="2579"/>
      <c r="R306" s="2579"/>
      <c r="S306" s="2579"/>
      <c r="T306" s="2579"/>
      <c r="U306" s="2579"/>
      <c r="V306" s="2579"/>
      <c r="W306" s="2579"/>
      <c r="X306" s="2579"/>
      <c r="Y306" s="2579"/>
      <c r="Z306" s="2579"/>
      <c r="AA306" s="2579"/>
      <c r="AB306" s="2579"/>
      <c r="AC306" s="2579"/>
      <c r="AD306" s="2580"/>
      <c r="AE306" s="552"/>
      <c r="AF306" s="552"/>
      <c r="AG306" s="552"/>
      <c r="AH306" s="552"/>
      <c r="AI306" s="552"/>
      <c r="AJ306" s="551"/>
      <c r="AK306" s="551"/>
      <c r="AL306" s="551"/>
      <c r="AM306" s="551"/>
      <c r="AP306" s="612"/>
      <c r="AQ306" s="575"/>
      <c r="AR306" s="649"/>
    </row>
    <row r="307" spans="1:44">
      <c r="A307" s="551"/>
      <c r="B307" s="552"/>
      <c r="C307" s="552"/>
      <c r="D307" s="552"/>
      <c r="E307" s="552"/>
      <c r="F307" s="552"/>
      <c r="G307" s="552"/>
      <c r="H307" s="552"/>
      <c r="I307" s="552"/>
      <c r="J307" s="552"/>
      <c r="K307" s="552"/>
      <c r="L307" s="552"/>
      <c r="M307" s="552"/>
      <c r="N307" s="552"/>
      <c r="O307" s="552"/>
      <c r="P307" s="552"/>
      <c r="Q307" s="552"/>
      <c r="R307" s="552"/>
      <c r="S307" s="552"/>
      <c r="T307" s="552"/>
      <c r="U307" s="552"/>
      <c r="V307" s="552"/>
      <c r="W307" s="552"/>
      <c r="X307" s="552"/>
      <c r="Y307" s="552"/>
      <c r="Z307" s="552"/>
      <c r="AA307" s="552"/>
      <c r="AB307" s="552"/>
      <c r="AC307" s="552"/>
      <c r="AD307" s="552"/>
      <c r="AE307" s="552"/>
      <c r="AF307" s="552"/>
      <c r="AG307" s="552"/>
      <c r="AH307" s="552"/>
      <c r="AI307" s="552"/>
      <c r="AJ307" s="551"/>
      <c r="AK307" s="551"/>
      <c r="AL307" s="551"/>
      <c r="AM307" s="551"/>
      <c r="AP307" s="612"/>
      <c r="AQ307" s="575"/>
      <c r="AR307" s="649"/>
    </row>
    <row r="308" spans="1:44" hidden="1">
      <c r="A308" s="551"/>
      <c r="B308" s="552"/>
      <c r="C308" s="552"/>
      <c r="D308" s="552"/>
      <c r="E308" s="552"/>
      <c r="F308" s="552"/>
      <c r="G308" s="552"/>
      <c r="H308" s="552"/>
      <c r="I308" s="552"/>
      <c r="J308" s="552"/>
      <c r="K308" s="552"/>
      <c r="L308" s="552"/>
      <c r="M308" s="552"/>
      <c r="N308" s="552"/>
      <c r="O308" s="552"/>
      <c r="P308" s="552"/>
      <c r="Q308" s="552"/>
      <c r="R308" s="552"/>
      <c r="S308" s="552"/>
      <c r="T308" s="552"/>
      <c r="U308" s="552"/>
      <c r="V308" s="552"/>
      <c r="W308" s="552"/>
      <c r="X308" s="552"/>
      <c r="Y308" s="552"/>
      <c r="Z308" s="552"/>
      <c r="AA308" s="552"/>
      <c r="AB308" s="552"/>
      <c r="AC308" s="552"/>
      <c r="AD308" s="552"/>
      <c r="AE308" s="552"/>
      <c r="AF308" s="552"/>
      <c r="AG308" s="552"/>
      <c r="AH308" s="552"/>
      <c r="AI308" s="552"/>
      <c r="AJ308" s="551"/>
      <c r="AK308" s="551"/>
      <c r="AL308" s="551"/>
      <c r="AM308" s="551"/>
      <c r="AP308" s="612"/>
      <c r="AQ308" s="575"/>
      <c r="AR308" s="649"/>
    </row>
    <row r="309" spans="1:44" hidden="1">
      <c r="A309" s="551"/>
      <c r="B309" s="552"/>
      <c r="C309" s="552"/>
      <c r="D309" s="552"/>
      <c r="E309" s="552"/>
      <c r="F309" s="552"/>
      <c r="G309" s="552"/>
      <c r="H309" s="552"/>
      <c r="I309" s="552"/>
      <c r="J309" s="552"/>
      <c r="K309" s="552"/>
      <c r="L309" s="552"/>
      <c r="M309" s="552"/>
      <c r="N309" s="552"/>
      <c r="O309" s="552"/>
      <c r="P309" s="552"/>
      <c r="Q309" s="552"/>
      <c r="R309" s="552"/>
      <c r="S309" s="552"/>
      <c r="T309" s="552"/>
      <c r="U309" s="552"/>
      <c r="V309" s="552"/>
      <c r="W309" s="552"/>
      <c r="X309" s="552"/>
      <c r="Y309" s="552"/>
      <c r="Z309" s="552"/>
      <c r="AA309" s="552"/>
      <c r="AB309" s="552"/>
      <c r="AC309" s="552"/>
      <c r="AD309" s="552"/>
      <c r="AE309" s="552"/>
      <c r="AF309" s="552"/>
      <c r="AG309" s="552"/>
      <c r="AH309" s="552"/>
      <c r="AI309" s="552"/>
      <c r="AJ309" s="551"/>
      <c r="AK309" s="551"/>
      <c r="AL309" s="551"/>
      <c r="AM309" s="551"/>
      <c r="AN309" s="73"/>
      <c r="AO309" s="14"/>
    </row>
    <row r="310" spans="1:44" ht="13" hidden="1">
      <c r="A310" s="1656" t="s">
        <v>1388</v>
      </c>
      <c r="B310" s="1656"/>
      <c r="C310" s="2454" t="s">
        <v>590</v>
      </c>
      <c r="D310" s="2454"/>
      <c r="E310" s="548"/>
      <c r="F310" s="645" t="s">
        <v>1386</v>
      </c>
      <c r="G310" s="650"/>
      <c r="H310" s="650"/>
      <c r="I310" s="650"/>
      <c r="J310" s="650"/>
      <c r="K310" s="650"/>
      <c r="L310" s="650"/>
      <c r="M310" s="650"/>
      <c r="N310" s="650"/>
      <c r="O310" s="650"/>
      <c r="P310" s="650"/>
      <c r="Q310" s="650"/>
      <c r="R310" s="650"/>
      <c r="S310" s="650"/>
      <c r="T310" s="650"/>
      <c r="U310" s="650"/>
      <c r="V310" s="650"/>
      <c r="W310" s="650"/>
      <c r="X310" s="650"/>
      <c r="Y310" s="650"/>
      <c r="Z310" s="650"/>
      <c r="AA310" s="650"/>
      <c r="AB310" s="650"/>
      <c r="AC310" s="650"/>
      <c r="AD310" s="651"/>
      <c r="AE310" s="552"/>
      <c r="AF310" s="552"/>
      <c r="AG310" s="540" t="s">
        <v>1387</v>
      </c>
      <c r="AH310" s="552"/>
      <c r="AI310" s="552"/>
      <c r="AJ310" s="551"/>
      <c r="AK310" s="551"/>
      <c r="AL310" s="551"/>
      <c r="AM310" s="551"/>
      <c r="AN310" s="73"/>
      <c r="AO310" s="14"/>
    </row>
    <row r="311" spans="1:44" ht="13" hidden="1">
      <c r="A311" s="89"/>
      <c r="B311" s="89"/>
      <c r="C311" s="731"/>
      <c r="D311" s="731"/>
      <c r="E311" s="548"/>
      <c r="F311" s="2432" t="s">
        <v>2027</v>
      </c>
      <c r="G311" s="2433"/>
      <c r="H311" s="2433"/>
      <c r="I311" s="2433"/>
      <c r="J311" s="2433"/>
      <c r="K311" s="2433"/>
      <c r="L311" s="2433"/>
      <c r="M311" s="2433"/>
      <c r="N311" s="2433"/>
      <c r="O311" s="2433"/>
      <c r="P311" s="2433"/>
      <c r="Q311" s="2433"/>
      <c r="R311" s="2433"/>
      <c r="S311" s="2433"/>
      <c r="T311" s="2433"/>
      <c r="U311" s="2433"/>
      <c r="V311" s="2433"/>
      <c r="W311" s="2433"/>
      <c r="X311" s="2433"/>
      <c r="Y311" s="2433"/>
      <c r="Z311" s="2433"/>
      <c r="AA311" s="2433"/>
      <c r="AB311" s="2433"/>
      <c r="AC311" s="2433"/>
      <c r="AD311" s="2434"/>
      <c r="AE311" s="552"/>
      <c r="AF311" s="552"/>
      <c r="AG311" s="540"/>
      <c r="AH311" s="552"/>
      <c r="AI311" s="552"/>
      <c r="AJ311" s="551"/>
      <c r="AK311" s="551"/>
      <c r="AL311" s="551"/>
      <c r="AM311" s="551"/>
      <c r="AN311" s="73"/>
      <c r="AO311" s="14"/>
      <c r="AP311" s="558" t="s">
        <v>1183</v>
      </c>
    </row>
    <row r="312" spans="1:44" hidden="1">
      <c r="F312" s="2432"/>
      <c r="G312" s="2433"/>
      <c r="H312" s="2433"/>
      <c r="I312" s="2433"/>
      <c r="J312" s="2433"/>
      <c r="K312" s="2433"/>
      <c r="L312" s="2433"/>
      <c r="M312" s="2433"/>
      <c r="N312" s="2433"/>
      <c r="O312" s="2433"/>
      <c r="P312" s="2433"/>
      <c r="Q312" s="2433"/>
      <c r="R312" s="2433"/>
      <c r="S312" s="2433"/>
      <c r="T312" s="2433"/>
      <c r="U312" s="2433"/>
      <c r="V312" s="2433"/>
      <c r="W312" s="2433"/>
      <c r="X312" s="2433"/>
      <c r="Y312" s="2433"/>
      <c r="Z312" s="2433"/>
      <c r="AA312" s="2433"/>
      <c r="AB312" s="2433"/>
      <c r="AC312" s="2433"/>
      <c r="AD312" s="2434"/>
      <c r="AE312" s="552"/>
      <c r="AF312" s="552"/>
      <c r="AH312" s="552"/>
      <c r="AI312" s="552"/>
      <c r="AJ312" s="551"/>
      <c r="AK312" s="551"/>
      <c r="AL312" s="551"/>
      <c r="AM312" s="551"/>
      <c r="AN312" s="73"/>
      <c r="AO312" s="14"/>
      <c r="AP312" s="558" t="s">
        <v>1729</v>
      </c>
    </row>
    <row r="313" spans="1:44" ht="13" hidden="1">
      <c r="A313" s="551"/>
      <c r="B313" s="552"/>
      <c r="C313" s="731"/>
      <c r="D313" s="731"/>
      <c r="E313" s="548"/>
      <c r="F313" s="653" t="s">
        <v>1389</v>
      </c>
      <c r="G313" s="664"/>
      <c r="H313" s="664"/>
      <c r="I313" s="664"/>
      <c r="J313" s="664"/>
      <c r="K313" s="664"/>
      <c r="L313" s="664"/>
      <c r="M313" s="664"/>
      <c r="N313" s="664"/>
      <c r="O313" s="664"/>
      <c r="P313" s="664"/>
      <c r="Q313" s="664"/>
      <c r="R313" s="664"/>
      <c r="S313" s="664"/>
      <c r="T313" s="664"/>
      <c r="U313" s="664"/>
      <c r="V313" s="664"/>
      <c r="W313" s="664"/>
      <c r="X313" s="664"/>
      <c r="Y313" s="664"/>
      <c r="Z313" s="664"/>
      <c r="AA313" s="664"/>
      <c r="AB313" s="664"/>
      <c r="AC313" s="664"/>
      <c r="AD313" s="1021"/>
      <c r="AE313" s="552"/>
      <c r="AF313" s="552"/>
      <c r="AG313" s="540"/>
      <c r="AH313" s="552"/>
      <c r="AI313" s="552"/>
      <c r="AJ313" s="551"/>
      <c r="AK313" s="551"/>
      <c r="AL313" s="551"/>
      <c r="AM313" s="551"/>
      <c r="AN313" s="73"/>
      <c r="AO313" s="14"/>
      <c r="AP313" s="558" t="s">
        <v>1731</v>
      </c>
    </row>
    <row r="314" spans="1:44" ht="13" hidden="1">
      <c r="A314" s="551"/>
      <c r="B314" s="552"/>
      <c r="C314" s="731"/>
      <c r="D314" s="731"/>
      <c r="E314" s="548"/>
      <c r="F314" s="653"/>
      <c r="G314" s="664"/>
      <c r="H314" s="664"/>
      <c r="I314" s="664"/>
      <c r="J314" s="664"/>
      <c r="K314" s="664"/>
      <c r="L314" s="664"/>
      <c r="M314" s="664"/>
      <c r="N314" s="664"/>
      <c r="O314" s="664"/>
      <c r="P314" s="664"/>
      <c r="Q314" s="664"/>
      <c r="R314" s="664"/>
      <c r="S314" s="664"/>
      <c r="T314" s="664"/>
      <c r="U314" s="664"/>
      <c r="V314" s="664"/>
      <c r="W314" s="664"/>
      <c r="X314" s="664"/>
      <c r="Y314" s="664"/>
      <c r="Z314" s="664"/>
      <c r="AA314" s="664"/>
      <c r="AB314" s="664"/>
      <c r="AC314" s="664"/>
      <c r="AD314" s="1021"/>
      <c r="AE314" s="552"/>
      <c r="AF314" s="552"/>
      <c r="AG314" s="540"/>
      <c r="AH314" s="552"/>
      <c r="AI314" s="552"/>
      <c r="AJ314" s="551"/>
      <c r="AK314" s="551"/>
      <c r="AL314" s="551"/>
      <c r="AM314" s="551"/>
      <c r="AN314" s="73"/>
      <c r="AO314" s="14"/>
      <c r="AP314" s="558" t="s">
        <v>1855</v>
      </c>
    </row>
    <row r="315" spans="1:44" ht="12.75" hidden="1" customHeight="1">
      <c r="A315" s="551"/>
      <c r="B315" s="552"/>
      <c r="C315" s="731"/>
      <c r="D315" s="731"/>
      <c r="E315" s="548"/>
      <c r="F315" s="653"/>
      <c r="G315" s="643"/>
      <c r="H315" s="643"/>
      <c r="I315" s="643"/>
      <c r="J315" s="643"/>
      <c r="K315" s="643"/>
      <c r="L315" s="643"/>
      <c r="M315" s="643"/>
      <c r="N315" s="643"/>
      <c r="O315" s="643"/>
      <c r="P315" s="643"/>
      <c r="Q315" s="643"/>
      <c r="R315" s="643"/>
      <c r="S315" s="643"/>
      <c r="T315" s="643"/>
      <c r="U315" s="643"/>
      <c r="V315" s="643"/>
      <c r="W315" s="643"/>
      <c r="X315" s="643"/>
      <c r="Y315" s="643"/>
      <c r="Z315" s="643"/>
      <c r="AA315" s="643"/>
      <c r="AB315" s="643"/>
      <c r="AC315" s="643"/>
      <c r="AD315" s="654"/>
      <c r="AE315" s="552"/>
      <c r="AF315" s="552"/>
      <c r="AG315" s="540"/>
      <c r="AH315" s="552"/>
      <c r="AI315" s="552"/>
      <c r="AJ315" s="551"/>
      <c r="AK315" s="551"/>
      <c r="AL315" s="551"/>
      <c r="AM315" s="551"/>
      <c r="AN315" s="73"/>
      <c r="AO315" s="14"/>
      <c r="AP315" s="30"/>
    </row>
    <row r="316" spans="1:44" ht="12.75" hidden="1" customHeight="1">
      <c r="A316" s="551"/>
      <c r="B316" s="552"/>
      <c r="C316" s="731"/>
      <c r="D316" s="731"/>
      <c r="E316" s="548"/>
      <c r="F316" s="2559" t="s">
        <v>1183</v>
      </c>
      <c r="G316" s="2560"/>
      <c r="H316" s="2560"/>
      <c r="I316" s="2560"/>
      <c r="J316" s="2560"/>
      <c r="K316" s="2560"/>
      <c r="L316" s="2560"/>
      <c r="M316" s="2560"/>
      <c r="N316" s="2560"/>
      <c r="O316" s="2560"/>
      <c r="P316" s="2560"/>
      <c r="Q316" s="2560"/>
      <c r="R316" s="2560"/>
      <c r="S316" s="2560"/>
      <c r="T316" s="2560"/>
      <c r="U316" s="2560"/>
      <c r="V316" s="2560"/>
      <c r="W316" s="2560"/>
      <c r="X316" s="2560"/>
      <c r="Y316" s="2560"/>
      <c r="Z316" s="2560"/>
      <c r="AA316" s="2560"/>
      <c r="AB316" s="2560"/>
      <c r="AC316" s="2560"/>
      <c r="AD316" s="2561"/>
      <c r="AE316" s="643"/>
      <c r="AF316" s="643"/>
      <c r="AG316" s="643"/>
      <c r="AH316" s="643"/>
      <c r="AI316" s="643"/>
      <c r="AJ316" s="643"/>
      <c r="AK316" s="643"/>
      <c r="AL316" s="551"/>
      <c r="AM316" s="551"/>
      <c r="AN316" s="73"/>
      <c r="AO316" s="14"/>
      <c r="AP316" s="30"/>
    </row>
    <row r="317" spans="1:44" ht="13" hidden="1">
      <c r="A317" s="551"/>
      <c r="B317" s="552"/>
      <c r="C317" s="731"/>
      <c r="D317" s="731"/>
      <c r="E317" s="548"/>
      <c r="F317" s="2559"/>
      <c r="G317" s="2560"/>
      <c r="H317" s="2560"/>
      <c r="I317" s="2560"/>
      <c r="J317" s="2560"/>
      <c r="K317" s="2560"/>
      <c r="L317" s="2560"/>
      <c r="M317" s="2560"/>
      <c r="N317" s="2560"/>
      <c r="O317" s="2560"/>
      <c r="P317" s="2560"/>
      <c r="Q317" s="2560"/>
      <c r="R317" s="2560"/>
      <c r="S317" s="2560"/>
      <c r="T317" s="2560"/>
      <c r="U317" s="2560"/>
      <c r="V317" s="2560"/>
      <c r="W317" s="2560"/>
      <c r="X317" s="2560"/>
      <c r="Y317" s="2560"/>
      <c r="Z317" s="2560"/>
      <c r="AA317" s="2560"/>
      <c r="AB317" s="2560"/>
      <c r="AC317" s="2560"/>
      <c r="AD317" s="2561"/>
      <c r="AE317" s="552"/>
      <c r="AF317" s="552"/>
      <c r="AG317" s="540"/>
      <c r="AH317" s="552"/>
      <c r="AI317" s="552"/>
      <c r="AJ317" s="551"/>
      <c r="AK317" s="551"/>
      <c r="AL317" s="551"/>
      <c r="AM317" s="551"/>
      <c r="AN317" s="73"/>
      <c r="AO317" s="14"/>
      <c r="AP317" s="30"/>
    </row>
    <row r="318" spans="1:44" ht="13" hidden="1">
      <c r="A318" s="551"/>
      <c r="B318" s="552"/>
      <c r="C318" s="731"/>
      <c r="D318" s="731"/>
      <c r="E318" s="548"/>
      <c r="F318" s="2559"/>
      <c r="G318" s="2560"/>
      <c r="H318" s="2560"/>
      <c r="I318" s="2560"/>
      <c r="J318" s="2560"/>
      <c r="K318" s="2560"/>
      <c r="L318" s="2560"/>
      <c r="M318" s="2560"/>
      <c r="N318" s="2560"/>
      <c r="O318" s="2560"/>
      <c r="P318" s="2560"/>
      <c r="Q318" s="2560"/>
      <c r="R318" s="2560"/>
      <c r="S318" s="2560"/>
      <c r="T318" s="2560"/>
      <c r="U318" s="2560"/>
      <c r="V318" s="2560"/>
      <c r="W318" s="2560"/>
      <c r="X318" s="2560"/>
      <c r="Y318" s="2560"/>
      <c r="Z318" s="2560"/>
      <c r="AA318" s="2560"/>
      <c r="AB318" s="2560"/>
      <c r="AC318" s="2560"/>
      <c r="AD318" s="2561"/>
      <c r="AE318" s="552"/>
      <c r="AF318" s="552"/>
      <c r="AG318" s="540"/>
      <c r="AH318" s="552"/>
      <c r="AI318" s="552"/>
      <c r="AJ318" s="551"/>
      <c r="AK318" s="551"/>
      <c r="AL318" s="551"/>
      <c r="AM318" s="551"/>
      <c r="AN318" s="73"/>
      <c r="AO318" s="14"/>
      <c r="AP318" s="30"/>
    </row>
    <row r="319" spans="1:44" ht="13" hidden="1">
      <c r="A319" s="551"/>
      <c r="B319" s="552"/>
      <c r="C319" s="731"/>
      <c r="D319" s="731"/>
      <c r="E319" s="548"/>
      <c r="F319" s="2559"/>
      <c r="G319" s="2560"/>
      <c r="H319" s="2560"/>
      <c r="I319" s="2560"/>
      <c r="J319" s="2560"/>
      <c r="K319" s="2560"/>
      <c r="L319" s="2560"/>
      <c r="M319" s="2560"/>
      <c r="N319" s="2560"/>
      <c r="O319" s="2560"/>
      <c r="P319" s="2560"/>
      <c r="Q319" s="2560"/>
      <c r="R319" s="2560"/>
      <c r="S319" s="2560"/>
      <c r="T319" s="2560"/>
      <c r="U319" s="2560"/>
      <c r="V319" s="2560"/>
      <c r="W319" s="2560"/>
      <c r="X319" s="2560"/>
      <c r="Y319" s="2560"/>
      <c r="Z319" s="2560"/>
      <c r="AA319" s="2560"/>
      <c r="AB319" s="2560"/>
      <c r="AC319" s="2560"/>
      <c r="AD319" s="2561"/>
      <c r="AE319" s="552"/>
      <c r="AF319" s="552"/>
      <c r="AG319" s="540"/>
      <c r="AH319" s="552"/>
      <c r="AI319" s="552"/>
      <c r="AJ319" s="551"/>
      <c r="AK319" s="551"/>
      <c r="AL319" s="551"/>
      <c r="AM319" s="551"/>
      <c r="AN319" s="73"/>
      <c r="AO319" s="14"/>
      <c r="AP319" s="30"/>
    </row>
    <row r="320" spans="1:44" ht="13" hidden="1">
      <c r="A320" s="551"/>
      <c r="B320" s="552"/>
      <c r="C320" s="731"/>
      <c r="D320" s="731"/>
      <c r="E320" s="548"/>
      <c r="F320" s="2562"/>
      <c r="G320" s="2563"/>
      <c r="H320" s="2563"/>
      <c r="I320" s="2563"/>
      <c r="J320" s="2563"/>
      <c r="K320" s="2563"/>
      <c r="L320" s="2563"/>
      <c r="M320" s="2563"/>
      <c r="N320" s="2563"/>
      <c r="O320" s="2563"/>
      <c r="P320" s="2563"/>
      <c r="Q320" s="2563"/>
      <c r="R320" s="2563"/>
      <c r="S320" s="2563"/>
      <c r="T320" s="2563"/>
      <c r="U320" s="2563"/>
      <c r="V320" s="2563"/>
      <c r="W320" s="2563"/>
      <c r="X320" s="2563"/>
      <c r="Y320" s="2563"/>
      <c r="Z320" s="2563"/>
      <c r="AA320" s="2563"/>
      <c r="AB320" s="2563"/>
      <c r="AC320" s="2563"/>
      <c r="AD320" s="2564"/>
      <c r="AE320" s="552"/>
      <c r="AF320" s="552"/>
      <c r="AG320" s="540"/>
      <c r="AH320" s="552"/>
      <c r="AI320" s="552"/>
      <c r="AJ320" s="551"/>
      <c r="AK320" s="551"/>
      <c r="AL320" s="551"/>
      <c r="AM320" s="551"/>
      <c r="AN320" s="73"/>
      <c r="AO320" s="14"/>
      <c r="AP320" s="30"/>
    </row>
    <row r="321" spans="1:42" ht="13" hidden="1">
      <c r="A321" s="551"/>
      <c r="B321" s="552"/>
      <c r="C321" s="731"/>
      <c r="D321" s="731"/>
      <c r="E321" s="548"/>
      <c r="F321" s="976"/>
      <c r="G321" s="643"/>
      <c r="H321" s="643"/>
      <c r="I321" s="643"/>
      <c r="J321" s="643"/>
      <c r="K321" s="643"/>
      <c r="L321" s="643"/>
      <c r="M321" s="643"/>
      <c r="N321" s="643"/>
      <c r="O321" s="643"/>
      <c r="P321" s="643"/>
      <c r="Q321" s="643"/>
      <c r="R321" s="643"/>
      <c r="S321" s="643"/>
      <c r="T321" s="643"/>
      <c r="U321" s="643"/>
      <c r="V321" s="643"/>
      <c r="W321" s="643"/>
      <c r="X321" s="643"/>
      <c r="Y321" s="643"/>
      <c r="Z321" s="643"/>
      <c r="AA321" s="643"/>
      <c r="AB321" s="643"/>
      <c r="AC321" s="643"/>
      <c r="AD321" s="654"/>
      <c r="AE321" s="552"/>
      <c r="AF321" s="552"/>
      <c r="AG321" s="540"/>
      <c r="AH321" s="552"/>
      <c r="AI321" s="552"/>
      <c r="AJ321" s="551"/>
      <c r="AK321" s="551"/>
      <c r="AL321" s="551"/>
      <c r="AM321" s="551"/>
      <c r="AN321" s="73"/>
      <c r="AO321" s="14"/>
      <c r="AP321" s="30"/>
    </row>
    <row r="322" spans="1:42" ht="13" hidden="1">
      <c r="A322" s="551"/>
      <c r="B322" s="552"/>
      <c r="C322" s="731"/>
      <c r="D322" s="731"/>
      <c r="E322" s="548"/>
      <c r="F322" s="655" t="s">
        <v>1730</v>
      </c>
      <c r="G322" s="552"/>
      <c r="H322" s="552"/>
      <c r="I322" s="552"/>
      <c r="J322" s="552"/>
      <c r="K322" s="552"/>
      <c r="L322" s="552"/>
      <c r="M322" s="552"/>
      <c r="N322" s="552"/>
      <c r="O322" s="552"/>
      <c r="P322" s="552"/>
      <c r="Q322" s="552"/>
      <c r="R322" s="552"/>
      <c r="S322" s="552"/>
      <c r="T322" s="552"/>
      <c r="U322" s="552"/>
      <c r="V322" s="552"/>
      <c r="W322" s="552"/>
      <c r="X322" s="552"/>
      <c r="Y322" s="552"/>
      <c r="Z322" s="552"/>
      <c r="AA322" s="552"/>
      <c r="AB322" s="552"/>
      <c r="AC322" s="552"/>
      <c r="AD322" s="656"/>
      <c r="AE322" s="552"/>
      <c r="AF322" s="552"/>
      <c r="AG322" s="540"/>
      <c r="AH322" s="552"/>
      <c r="AI322" s="552"/>
      <c r="AJ322" s="551"/>
      <c r="AK322" s="551"/>
      <c r="AL322" s="551"/>
      <c r="AM322" s="551"/>
      <c r="AN322" s="73"/>
      <c r="AO322" s="14"/>
      <c r="AP322" s="30"/>
    </row>
    <row r="323" spans="1:42" ht="13" hidden="1">
      <c r="A323" s="551"/>
      <c r="B323" s="552"/>
      <c r="C323" s="731"/>
      <c r="D323" s="731"/>
      <c r="E323" s="548"/>
      <c r="F323" s="655"/>
      <c r="G323" s="552"/>
      <c r="H323" s="552"/>
      <c r="I323" s="552"/>
      <c r="J323" s="552"/>
      <c r="K323" s="552"/>
      <c r="L323" s="552"/>
      <c r="M323" s="552"/>
      <c r="N323" s="552"/>
      <c r="O323" s="552"/>
      <c r="P323" s="552"/>
      <c r="Q323" s="552"/>
      <c r="R323" s="552"/>
      <c r="S323" s="552"/>
      <c r="T323" s="552"/>
      <c r="U323" s="552"/>
      <c r="V323" s="552"/>
      <c r="W323" s="552"/>
      <c r="X323" s="552"/>
      <c r="Y323" s="552"/>
      <c r="Z323" s="552"/>
      <c r="AA323" s="552"/>
      <c r="AB323" s="552"/>
      <c r="AC323" s="552"/>
      <c r="AD323" s="656"/>
      <c r="AE323" s="552"/>
      <c r="AF323" s="552"/>
      <c r="AG323" s="540"/>
      <c r="AH323" s="552"/>
      <c r="AI323" s="552"/>
      <c r="AJ323" s="551"/>
      <c r="AK323" s="551"/>
      <c r="AL323" s="551"/>
      <c r="AM323" s="551"/>
      <c r="AN323" s="73"/>
      <c r="AO323" s="14"/>
      <c r="AP323" s="558" t="s">
        <v>1183</v>
      </c>
    </row>
    <row r="324" spans="1:42" ht="12.75" hidden="1" customHeight="1">
      <c r="A324" s="551"/>
      <c r="B324" s="552"/>
      <c r="C324" s="731"/>
      <c r="D324" s="731"/>
      <c r="E324" s="548"/>
      <c r="F324" s="657"/>
      <c r="G324" s="576" t="s">
        <v>686</v>
      </c>
      <c r="H324" s="576"/>
      <c r="I324" s="2565" t="s">
        <v>1183</v>
      </c>
      <c r="J324" s="2565"/>
      <c r="K324" s="2565"/>
      <c r="L324" s="2565"/>
      <c r="M324" s="2565"/>
      <c r="N324" s="2565"/>
      <c r="O324" s="2565"/>
      <c r="P324" s="2565"/>
      <c r="Q324" s="2565"/>
      <c r="R324" s="2565"/>
      <c r="S324" s="2565"/>
      <c r="T324" s="2565"/>
      <c r="U324" s="2565"/>
      <c r="V324" s="2565"/>
      <c r="W324" s="2565"/>
      <c r="X324" s="2565"/>
      <c r="Y324" s="2565"/>
      <c r="Z324" s="2565"/>
      <c r="AA324" s="2565"/>
      <c r="AB324" s="2565"/>
      <c r="AC324" s="2565"/>
      <c r="AD324" s="2566"/>
      <c r="AE324" s="552"/>
      <c r="AF324" s="552"/>
      <c r="AG324" s="540"/>
      <c r="AH324" s="552"/>
      <c r="AI324" s="552"/>
      <c r="AJ324" s="551"/>
      <c r="AK324" s="551"/>
      <c r="AL324" s="551"/>
      <c r="AM324" s="551"/>
      <c r="AN324" s="73"/>
      <c r="AO324" s="14"/>
      <c r="AP324" s="558" t="s">
        <v>1636</v>
      </c>
    </row>
    <row r="325" spans="1:42" ht="13" hidden="1">
      <c r="A325" s="551"/>
      <c r="B325" s="552"/>
      <c r="C325" s="731"/>
      <c r="D325" s="731"/>
      <c r="E325" s="548"/>
      <c r="F325" s="657"/>
      <c r="G325" s="576"/>
      <c r="H325" s="576"/>
      <c r="I325" s="2565"/>
      <c r="J325" s="2565"/>
      <c r="K325" s="2565"/>
      <c r="L325" s="2565"/>
      <c r="M325" s="2565"/>
      <c r="N325" s="2565"/>
      <c r="O325" s="2565"/>
      <c r="P325" s="2565"/>
      <c r="Q325" s="2565"/>
      <c r="R325" s="2565"/>
      <c r="S325" s="2565"/>
      <c r="T325" s="2565"/>
      <c r="U325" s="2565"/>
      <c r="V325" s="2565"/>
      <c r="W325" s="2565"/>
      <c r="X325" s="2565"/>
      <c r="Y325" s="2565"/>
      <c r="Z325" s="2565"/>
      <c r="AA325" s="2565"/>
      <c r="AB325" s="2565"/>
      <c r="AC325" s="2565"/>
      <c r="AD325" s="2566"/>
      <c r="AE325" s="552"/>
      <c r="AF325" s="552"/>
      <c r="AG325" s="540"/>
      <c r="AH325" s="552"/>
      <c r="AI325" s="552"/>
      <c r="AJ325" s="551"/>
      <c r="AK325" s="551"/>
      <c r="AL325" s="551"/>
      <c r="AM325" s="551"/>
      <c r="AN325" s="73"/>
      <c r="AO325" s="14"/>
      <c r="AP325" s="558" t="s">
        <v>1732</v>
      </c>
    </row>
    <row r="326" spans="1:42" ht="13" hidden="1">
      <c r="A326" s="551"/>
      <c r="B326" s="552"/>
      <c r="C326" s="652"/>
      <c r="D326" s="652"/>
      <c r="E326" s="548"/>
      <c r="F326" s="657"/>
      <c r="G326" s="576"/>
      <c r="H326" s="576"/>
      <c r="I326" s="2565"/>
      <c r="J326" s="2565"/>
      <c r="K326" s="2565"/>
      <c r="L326" s="2565"/>
      <c r="M326" s="2565"/>
      <c r="N326" s="2565"/>
      <c r="O326" s="2565"/>
      <c r="P326" s="2565"/>
      <c r="Q326" s="2565"/>
      <c r="R326" s="2565"/>
      <c r="S326" s="2565"/>
      <c r="T326" s="2565"/>
      <c r="U326" s="2565"/>
      <c r="V326" s="2565"/>
      <c r="W326" s="2565"/>
      <c r="X326" s="2565"/>
      <c r="Y326" s="2565"/>
      <c r="Z326" s="2565"/>
      <c r="AA326" s="2565"/>
      <c r="AB326" s="2565"/>
      <c r="AC326" s="2565"/>
      <c r="AD326" s="2566"/>
      <c r="AE326" s="552"/>
      <c r="AF326" s="552"/>
      <c r="AG326" s="540"/>
      <c r="AH326" s="552"/>
      <c r="AI326" s="552"/>
      <c r="AJ326" s="551"/>
      <c r="AK326" s="551"/>
      <c r="AL326" s="551"/>
      <c r="AM326" s="551"/>
      <c r="AN326" s="73"/>
      <c r="AO326" s="14"/>
      <c r="AP326" s="558" t="s">
        <v>1734</v>
      </c>
    </row>
    <row r="327" spans="1:42" ht="13" hidden="1">
      <c r="A327" s="551"/>
      <c r="B327" s="552"/>
      <c r="C327" s="652"/>
      <c r="D327" s="652"/>
      <c r="E327" s="548"/>
      <c r="F327" s="655"/>
      <c r="G327" s="552"/>
      <c r="H327" s="552"/>
      <c r="I327" s="2567"/>
      <c r="J327" s="2567"/>
      <c r="K327" s="2567"/>
      <c r="L327" s="2567"/>
      <c r="M327" s="2567"/>
      <c r="N327" s="2567"/>
      <c r="O327" s="2567"/>
      <c r="P327" s="2567"/>
      <c r="Q327" s="2567"/>
      <c r="R327" s="2567"/>
      <c r="S327" s="2567"/>
      <c r="T327" s="2567"/>
      <c r="U327" s="2567"/>
      <c r="V327" s="2567"/>
      <c r="W327" s="2567"/>
      <c r="X327" s="2567"/>
      <c r="Y327" s="2567"/>
      <c r="Z327" s="2567"/>
      <c r="AA327" s="2567"/>
      <c r="AB327" s="2567"/>
      <c r="AC327" s="2567"/>
      <c r="AD327" s="2568"/>
      <c r="AE327" s="552"/>
      <c r="AF327" s="552"/>
      <c r="AG327" s="540"/>
      <c r="AH327" s="552"/>
      <c r="AI327" s="552"/>
      <c r="AJ327" s="551"/>
      <c r="AK327" s="551"/>
      <c r="AL327" s="551"/>
      <c r="AM327" s="551"/>
      <c r="AN327" s="73"/>
      <c r="AO327" s="14"/>
      <c r="AP327" s="558" t="s">
        <v>1733</v>
      </c>
    </row>
    <row r="328" spans="1:42" ht="13" hidden="1">
      <c r="A328" s="551"/>
      <c r="B328" s="552"/>
      <c r="C328" s="652"/>
      <c r="D328" s="652"/>
      <c r="E328" s="548"/>
      <c r="F328" s="655"/>
      <c r="G328" s="552"/>
      <c r="H328" s="552"/>
      <c r="I328" s="552"/>
      <c r="J328" s="552"/>
      <c r="K328" s="552"/>
      <c r="L328" s="552"/>
      <c r="M328" s="552"/>
      <c r="N328" s="552"/>
      <c r="O328" s="552"/>
      <c r="P328" s="552"/>
      <c r="Q328" s="552"/>
      <c r="R328" s="552"/>
      <c r="S328" s="552"/>
      <c r="T328" s="552"/>
      <c r="U328" s="552"/>
      <c r="V328" s="552"/>
      <c r="W328" s="552"/>
      <c r="X328" s="552"/>
      <c r="Y328" s="552"/>
      <c r="Z328" s="552"/>
      <c r="AA328" s="552"/>
      <c r="AB328" s="552"/>
      <c r="AC328" s="552"/>
      <c r="AD328" s="656"/>
      <c r="AE328" s="552"/>
      <c r="AF328" s="552"/>
      <c r="AG328" s="540"/>
      <c r="AH328" s="552"/>
      <c r="AI328" s="552"/>
      <c r="AJ328" s="551"/>
      <c r="AK328" s="551"/>
      <c r="AL328" s="551"/>
      <c r="AM328" s="551"/>
      <c r="AN328" s="73"/>
      <c r="AO328" s="14"/>
      <c r="AP328" s="30"/>
    </row>
    <row r="329" spans="1:42" ht="13" hidden="1">
      <c r="A329" s="551"/>
      <c r="B329" s="552"/>
      <c r="C329" s="652"/>
      <c r="D329" s="652"/>
      <c r="E329" s="548"/>
      <c r="F329" s="655"/>
      <c r="G329" s="552" t="s">
        <v>508</v>
      </c>
      <c r="H329" s="552"/>
      <c r="I329" s="2565" t="s">
        <v>1183</v>
      </c>
      <c r="J329" s="2565"/>
      <c r="K329" s="2565"/>
      <c r="L329" s="2565"/>
      <c r="M329" s="2565"/>
      <c r="N329" s="2565"/>
      <c r="O329" s="2565"/>
      <c r="P329" s="2565"/>
      <c r="Q329" s="2565"/>
      <c r="R329" s="2565"/>
      <c r="S329" s="2565"/>
      <c r="T329" s="2565"/>
      <c r="U329" s="2565"/>
      <c r="V329" s="2565"/>
      <c r="W329" s="2565"/>
      <c r="X329" s="2565"/>
      <c r="Y329" s="2565"/>
      <c r="Z329" s="2565"/>
      <c r="AA329" s="2565"/>
      <c r="AB329" s="2565"/>
      <c r="AC329" s="2565"/>
      <c r="AD329" s="2566"/>
      <c r="AE329" s="552"/>
      <c r="AF329" s="552"/>
      <c r="AG329" s="540"/>
      <c r="AH329" s="552"/>
      <c r="AI329" s="552"/>
      <c r="AJ329" s="551"/>
      <c r="AK329" s="551"/>
      <c r="AL329" s="551"/>
      <c r="AM329" s="551"/>
      <c r="AN329" s="73"/>
      <c r="AO329" s="14"/>
    </row>
    <row r="330" spans="1:42" ht="13" hidden="1">
      <c r="A330" s="551"/>
      <c r="B330" s="552"/>
      <c r="C330" s="652"/>
      <c r="D330" s="652"/>
      <c r="E330" s="548"/>
      <c r="F330" s="655"/>
      <c r="G330" s="552"/>
      <c r="H330" s="552"/>
      <c r="I330" s="2565"/>
      <c r="J330" s="2565"/>
      <c r="K330" s="2565"/>
      <c r="L330" s="2565"/>
      <c r="M330" s="2565"/>
      <c r="N330" s="2565"/>
      <c r="O330" s="2565"/>
      <c r="P330" s="2565"/>
      <c r="Q330" s="2565"/>
      <c r="R330" s="2565"/>
      <c r="S330" s="2565"/>
      <c r="T330" s="2565"/>
      <c r="U330" s="2565"/>
      <c r="V330" s="2565"/>
      <c r="W330" s="2565"/>
      <c r="X330" s="2565"/>
      <c r="Y330" s="2565"/>
      <c r="Z330" s="2565"/>
      <c r="AA330" s="2565"/>
      <c r="AB330" s="2565"/>
      <c r="AC330" s="2565"/>
      <c r="AD330" s="2566"/>
      <c r="AE330" s="552"/>
      <c r="AF330" s="552"/>
      <c r="AG330" s="540"/>
      <c r="AH330" s="552"/>
      <c r="AI330" s="552"/>
      <c r="AJ330" s="551"/>
      <c r="AK330" s="551"/>
      <c r="AL330" s="551"/>
      <c r="AM330" s="551"/>
      <c r="AN330" s="73"/>
      <c r="AO330" s="14"/>
      <c r="AP330" s="558" t="s">
        <v>1183</v>
      </c>
    </row>
    <row r="331" spans="1:42" ht="13" hidden="1">
      <c r="A331" s="551"/>
      <c r="B331" s="552"/>
      <c r="C331" s="652"/>
      <c r="D331" s="652"/>
      <c r="E331" s="548"/>
      <c r="F331" s="658"/>
      <c r="G331" s="659"/>
      <c r="H331" s="659"/>
      <c r="I331" s="2567"/>
      <c r="J331" s="2567"/>
      <c r="K331" s="2567"/>
      <c r="L331" s="2567"/>
      <c r="M331" s="2567"/>
      <c r="N331" s="2567"/>
      <c r="O331" s="2567"/>
      <c r="P331" s="2567"/>
      <c r="Q331" s="2567"/>
      <c r="R331" s="2567"/>
      <c r="S331" s="2567"/>
      <c r="T331" s="2567"/>
      <c r="U331" s="2567"/>
      <c r="V331" s="2567"/>
      <c r="W331" s="2567"/>
      <c r="X331" s="2567"/>
      <c r="Y331" s="2567"/>
      <c r="Z331" s="2567"/>
      <c r="AA331" s="2567"/>
      <c r="AB331" s="2567"/>
      <c r="AC331" s="2567"/>
      <c r="AD331" s="2568"/>
      <c r="AE331" s="552"/>
      <c r="AF331" s="552"/>
      <c r="AG331" s="540"/>
      <c r="AH331" s="552"/>
      <c r="AI331" s="552"/>
      <c r="AJ331" s="551"/>
      <c r="AK331" s="551"/>
      <c r="AL331" s="551"/>
      <c r="AM331" s="551"/>
      <c r="AN331" s="73"/>
      <c r="AO331" s="14"/>
      <c r="AP331" s="558" t="s">
        <v>1390</v>
      </c>
    </row>
    <row r="332" spans="1:42" hidden="1">
      <c r="A332" s="551"/>
      <c r="B332" s="552"/>
      <c r="C332" s="551"/>
      <c r="D332" s="552"/>
      <c r="E332" s="551"/>
      <c r="F332" s="617"/>
      <c r="G332" s="552"/>
      <c r="H332" s="552"/>
      <c r="I332" s="552"/>
      <c r="J332" s="552"/>
      <c r="K332" s="552"/>
      <c r="L332" s="552"/>
      <c r="M332" s="552"/>
      <c r="N332" s="552"/>
      <c r="O332" s="552"/>
      <c r="P332" s="552"/>
      <c r="Q332" s="552"/>
      <c r="R332" s="552"/>
      <c r="S332" s="552"/>
      <c r="T332" s="552"/>
      <c r="U332" s="552"/>
      <c r="V332" s="552"/>
      <c r="W332" s="552"/>
      <c r="X332" s="552"/>
      <c r="Y332" s="552"/>
      <c r="Z332" s="552"/>
      <c r="AA332" s="552"/>
      <c r="AB332" s="552"/>
      <c r="AC332" s="552"/>
      <c r="AD332" s="552"/>
      <c r="AE332" s="552"/>
      <c r="AF332" s="552"/>
      <c r="AG332" s="552"/>
      <c r="AH332" s="552"/>
      <c r="AI332" s="552"/>
      <c r="AJ332" s="551"/>
      <c r="AK332" s="551"/>
      <c r="AL332" s="551"/>
      <c r="AM332" s="551"/>
      <c r="AN332" s="73"/>
      <c r="AO332" s="14"/>
      <c r="AP332" s="558" t="s">
        <v>1637</v>
      </c>
    </row>
    <row r="333" spans="1:42" ht="12.75" hidden="1" customHeight="1">
      <c r="A333" s="1656" t="s">
        <v>1391</v>
      </c>
      <c r="B333" s="1656"/>
      <c r="C333" s="2454" t="s">
        <v>590</v>
      </c>
      <c r="D333" s="2454"/>
      <c r="E333" s="548"/>
      <c r="F333" s="2553" t="s">
        <v>2028</v>
      </c>
      <c r="G333" s="2554"/>
      <c r="H333" s="2554"/>
      <c r="I333" s="2554"/>
      <c r="J333" s="2554"/>
      <c r="K333" s="2554"/>
      <c r="L333" s="2554"/>
      <c r="M333" s="2554"/>
      <c r="N333" s="2554"/>
      <c r="O333" s="2554"/>
      <c r="P333" s="2554"/>
      <c r="Q333" s="2554"/>
      <c r="R333" s="2554"/>
      <c r="S333" s="2554"/>
      <c r="T333" s="2554"/>
      <c r="U333" s="2554"/>
      <c r="V333" s="2554"/>
      <c r="W333" s="2554"/>
      <c r="X333" s="2554"/>
      <c r="Y333" s="2554"/>
      <c r="Z333" s="2554"/>
      <c r="AA333" s="2554"/>
      <c r="AB333" s="2554"/>
      <c r="AC333" s="2554"/>
      <c r="AD333" s="2555"/>
      <c r="AE333" s="552"/>
      <c r="AF333" s="552"/>
      <c r="AG333" s="540" t="s">
        <v>1387</v>
      </c>
      <c r="AH333" s="552"/>
      <c r="AI333" s="552"/>
      <c r="AJ333" s="551"/>
      <c r="AK333" s="551"/>
      <c r="AL333" s="551"/>
      <c r="AM333" s="551"/>
      <c r="AN333" s="73"/>
      <c r="AO333" s="14"/>
    </row>
    <row r="334" spans="1:42" ht="15" hidden="1" customHeight="1">
      <c r="A334" s="551"/>
      <c r="B334" s="552"/>
      <c r="C334" s="552"/>
      <c r="D334" s="552"/>
      <c r="E334" s="552"/>
      <c r="F334" s="2556"/>
      <c r="G334" s="2557"/>
      <c r="H334" s="2557"/>
      <c r="I334" s="2557"/>
      <c r="J334" s="2557"/>
      <c r="K334" s="2557"/>
      <c r="L334" s="2557"/>
      <c r="M334" s="2557"/>
      <c r="N334" s="2557"/>
      <c r="O334" s="2557"/>
      <c r="P334" s="2557"/>
      <c r="Q334" s="2557"/>
      <c r="R334" s="2557"/>
      <c r="S334" s="2557"/>
      <c r="T334" s="2557"/>
      <c r="U334" s="2557"/>
      <c r="V334" s="2557"/>
      <c r="W334" s="2557"/>
      <c r="X334" s="2557"/>
      <c r="Y334" s="2557"/>
      <c r="Z334" s="2557"/>
      <c r="AA334" s="2557"/>
      <c r="AB334" s="2557"/>
      <c r="AC334" s="2557"/>
      <c r="AD334" s="2558"/>
      <c r="AE334" s="552"/>
      <c r="AF334" s="552"/>
      <c r="AG334" s="552"/>
      <c r="AH334" s="552"/>
      <c r="AI334" s="552"/>
      <c r="AJ334" s="551"/>
      <c r="AK334" s="551"/>
      <c r="AL334" s="551"/>
      <c r="AM334" s="551"/>
      <c r="AN334" s="73"/>
      <c r="AO334" s="14"/>
    </row>
    <row r="335" spans="1:42" ht="15" hidden="1" customHeight="1">
      <c r="A335" s="551"/>
      <c r="B335" s="552"/>
      <c r="C335" s="552"/>
      <c r="D335" s="552"/>
      <c r="E335" s="552"/>
      <c r="F335" s="2556"/>
      <c r="G335" s="2557"/>
      <c r="H335" s="2557"/>
      <c r="I335" s="2557"/>
      <c r="J335" s="2557"/>
      <c r="K335" s="2557"/>
      <c r="L335" s="2557"/>
      <c r="M335" s="2557"/>
      <c r="N335" s="2557"/>
      <c r="O335" s="2557"/>
      <c r="P335" s="2557"/>
      <c r="Q335" s="2557"/>
      <c r="R335" s="2557"/>
      <c r="S335" s="2557"/>
      <c r="T335" s="2557"/>
      <c r="U335" s="2557"/>
      <c r="V335" s="2557"/>
      <c r="W335" s="2557"/>
      <c r="X335" s="2557"/>
      <c r="Y335" s="2557"/>
      <c r="Z335" s="2557"/>
      <c r="AA335" s="2557"/>
      <c r="AB335" s="2557"/>
      <c r="AC335" s="2557"/>
      <c r="AD335" s="2558"/>
      <c r="AE335" s="552"/>
      <c r="AF335" s="552"/>
      <c r="AG335" s="552"/>
      <c r="AH335" s="552"/>
      <c r="AI335" s="552"/>
      <c r="AJ335" s="551"/>
      <c r="AK335" s="551"/>
      <c r="AL335" s="551"/>
      <c r="AM335" s="660"/>
      <c r="AN335" s="14"/>
      <c r="AO335" s="14"/>
    </row>
    <row r="336" spans="1:42" hidden="1">
      <c r="A336" s="551"/>
      <c r="B336" s="552"/>
      <c r="C336" s="551"/>
      <c r="D336" s="552"/>
      <c r="E336" s="551"/>
      <c r="F336" s="661" t="s">
        <v>1392</v>
      </c>
      <c r="G336" s="662"/>
      <c r="H336" s="662"/>
      <c r="I336" s="662"/>
      <c r="J336" s="662"/>
      <c r="K336" s="662"/>
      <c r="L336" s="662"/>
      <c r="M336" s="662"/>
      <c r="N336" s="662"/>
      <c r="O336" s="662"/>
      <c r="P336" s="662"/>
      <c r="Q336" s="662"/>
      <c r="R336" s="662"/>
      <c r="S336" s="662"/>
      <c r="T336" s="662"/>
      <c r="U336" s="662"/>
      <c r="V336" s="662"/>
      <c r="W336" s="662"/>
      <c r="X336" s="662"/>
      <c r="Y336" s="662"/>
      <c r="Z336" s="662"/>
      <c r="AA336" s="662"/>
      <c r="AB336" s="662"/>
      <c r="AC336" s="662"/>
      <c r="AD336" s="663"/>
      <c r="AE336" s="552"/>
      <c r="AF336" s="552"/>
      <c r="AG336" s="552"/>
      <c r="AH336" s="552"/>
      <c r="AI336" s="552"/>
      <c r="AJ336" s="551"/>
      <c r="AK336" s="551"/>
      <c r="AL336" s="551"/>
      <c r="AM336" s="660"/>
      <c r="AN336" s="30"/>
    </row>
    <row r="337" spans="1:44" hidden="1">
      <c r="A337" s="551"/>
      <c r="B337" s="552"/>
      <c r="C337" s="551"/>
      <c r="D337" s="552"/>
      <c r="E337" s="551"/>
      <c r="F337" s="664"/>
      <c r="G337" s="664"/>
      <c r="H337" s="664"/>
      <c r="I337" s="664"/>
      <c r="J337" s="664"/>
      <c r="K337" s="664"/>
      <c r="L337" s="664"/>
      <c r="M337" s="664"/>
      <c r="N337" s="664"/>
      <c r="O337" s="664"/>
      <c r="P337" s="664"/>
      <c r="Q337" s="664"/>
      <c r="R337" s="664"/>
      <c r="S337" s="664"/>
      <c r="T337" s="664"/>
      <c r="U337" s="664"/>
      <c r="V337" s="664"/>
      <c r="W337" s="664"/>
      <c r="X337" s="664"/>
      <c r="Y337" s="664"/>
      <c r="Z337" s="664"/>
      <c r="AA337" s="664"/>
      <c r="AB337" s="664"/>
      <c r="AC337" s="664"/>
      <c r="AD337" s="664"/>
      <c r="AE337" s="552"/>
      <c r="AF337" s="552"/>
      <c r="AG337" s="552"/>
      <c r="AH337" s="552"/>
      <c r="AI337" s="552"/>
      <c r="AJ337" s="551"/>
      <c r="AK337" s="551"/>
      <c r="AL337" s="551"/>
      <c r="AM337" s="660"/>
      <c r="AN337" s="30"/>
    </row>
    <row r="338" spans="1:44" ht="13">
      <c r="A338" s="607"/>
      <c r="B338" s="665"/>
      <c r="C338" s="665"/>
      <c r="D338" s="665"/>
      <c r="E338" s="665"/>
      <c r="F338" s="665"/>
      <c r="G338" s="665"/>
      <c r="H338" s="665"/>
      <c r="I338" s="665"/>
      <c r="J338" s="665"/>
      <c r="K338" s="665"/>
      <c r="L338" s="665"/>
      <c r="M338" s="665"/>
      <c r="N338" s="665"/>
      <c r="O338" s="665"/>
      <c r="P338" s="665"/>
      <c r="Q338" s="665"/>
      <c r="R338" s="665"/>
      <c r="S338" s="665"/>
      <c r="T338" s="665"/>
      <c r="U338" s="665"/>
      <c r="V338" s="665"/>
      <c r="W338" s="665"/>
      <c r="X338" s="665"/>
      <c r="Y338" s="665"/>
      <c r="Z338" s="665"/>
      <c r="AA338" s="665"/>
      <c r="AB338" s="665"/>
      <c r="AC338" s="666"/>
      <c r="AD338" s="665"/>
      <c r="AE338" s="565"/>
      <c r="AF338" s="565"/>
      <c r="AG338" s="565"/>
      <c r="AH338" s="565"/>
      <c r="AI338" s="566"/>
      <c r="AJ338" s="566" t="s">
        <v>1451</v>
      </c>
      <c r="AK338" s="2440">
        <f>IF(NOT(OR(Application!M355="Yes",Application!M356="Yes")),0,AP295)</f>
        <v>0</v>
      </c>
      <c r="AL338" s="2441"/>
      <c r="AM338" s="2442"/>
      <c r="AN338" s="30"/>
    </row>
    <row r="339" spans="1:44" s="551" customFormat="1" ht="12.75" customHeight="1" thickBot="1">
      <c r="A339" s="622"/>
      <c r="B339" s="622"/>
      <c r="C339" s="622"/>
      <c r="D339" s="622"/>
      <c r="E339" s="622"/>
      <c r="F339" s="622"/>
      <c r="G339" s="622"/>
      <c r="H339" s="622"/>
      <c r="I339" s="622"/>
      <c r="J339" s="622"/>
      <c r="K339" s="622"/>
      <c r="L339" s="622"/>
      <c r="M339" s="622"/>
      <c r="N339" s="622"/>
      <c r="O339" s="622"/>
      <c r="P339" s="622"/>
      <c r="Q339" s="622"/>
      <c r="R339" s="622"/>
      <c r="S339" s="622"/>
      <c r="T339" s="622"/>
      <c r="U339" s="622"/>
      <c r="V339" s="622"/>
      <c r="W339" s="622"/>
      <c r="X339" s="622"/>
      <c r="Y339" s="622"/>
      <c r="Z339" s="622"/>
      <c r="AA339" s="622"/>
      <c r="AB339" s="622"/>
      <c r="AC339" s="622"/>
      <c r="AD339" s="622"/>
      <c r="AE339" s="622"/>
      <c r="AF339" s="622"/>
      <c r="AG339" s="622"/>
      <c r="AH339" s="622"/>
      <c r="AI339" s="622"/>
      <c r="AJ339" s="622"/>
      <c r="AK339" s="622"/>
      <c r="AL339" s="622"/>
      <c r="AM339" s="622"/>
      <c r="AN339" s="598"/>
    </row>
    <row r="340" spans="1:44" s="551" customFormat="1" ht="12.75" customHeight="1" thickTop="1">
      <c r="A340" s="14"/>
      <c r="B340" s="14"/>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4"/>
      <c r="AA340" s="14"/>
      <c r="AB340" s="14"/>
      <c r="AC340" s="14"/>
      <c r="AD340" s="14"/>
      <c r="AE340" s="14"/>
      <c r="AF340" s="14"/>
      <c r="AG340" s="14"/>
      <c r="AH340" s="14"/>
      <c r="AI340" s="14"/>
      <c r="AJ340" s="14"/>
      <c r="AK340" s="14"/>
      <c r="AL340" s="14"/>
      <c r="AM340" s="14"/>
      <c r="AN340" s="598"/>
    </row>
    <row r="341" spans="1:44" s="551" customFormat="1" ht="12.75" customHeight="1">
      <c r="A341" s="540" t="s">
        <v>1452</v>
      </c>
      <c r="B341" s="540" t="s">
        <v>844</v>
      </c>
      <c r="C341" s="537"/>
      <c r="AC341" s="540"/>
      <c r="AE341" s="2473" t="s">
        <v>1313</v>
      </c>
      <c r="AF341" s="2473"/>
      <c r="AG341" s="2473"/>
      <c r="AH341" s="2473"/>
      <c r="AI341" s="2473"/>
      <c r="AJ341" s="2473"/>
      <c r="AK341" s="2473"/>
      <c r="AL341" s="540"/>
      <c r="AM341" s="540"/>
      <c r="AN341" s="593"/>
    </row>
    <row r="342" spans="1:44" s="551" customFormat="1" ht="12.75" customHeight="1">
      <c r="A342" s="540"/>
      <c r="B342" s="540"/>
      <c r="C342" s="537"/>
      <c r="AC342" s="540"/>
      <c r="AE342" s="544"/>
      <c r="AF342" s="544"/>
      <c r="AG342" s="544"/>
      <c r="AH342" s="544"/>
      <c r="AI342" s="544"/>
      <c r="AJ342" s="544"/>
      <c r="AK342" s="544"/>
      <c r="AL342" s="540"/>
      <c r="AM342" s="540"/>
      <c r="AN342" s="593"/>
    </row>
    <row r="343" spans="1:44" s="551" customFormat="1" ht="12.75" customHeight="1">
      <c r="A343" s="604"/>
      <c r="B343" s="612"/>
      <c r="C343" s="2449" t="s">
        <v>1453</v>
      </c>
      <c r="D343" s="2449"/>
      <c r="E343" s="2449"/>
      <c r="F343" s="2449"/>
      <c r="G343" s="2449"/>
      <c r="H343" s="2449"/>
      <c r="I343" s="2449"/>
      <c r="J343" s="2449"/>
      <c r="K343" s="2449"/>
      <c r="L343" s="2449"/>
      <c r="M343" s="2449"/>
      <c r="N343" s="2449"/>
      <c r="O343" s="2449"/>
      <c r="P343" s="2449"/>
      <c r="Q343" s="2449"/>
      <c r="R343" s="2449"/>
      <c r="S343" s="2449"/>
      <c r="T343" s="2449"/>
      <c r="U343" s="2449"/>
      <c r="V343" s="2449"/>
      <c r="W343" s="2449"/>
      <c r="X343" s="2449"/>
      <c r="Y343" s="2449"/>
      <c r="Z343" s="2449"/>
      <c r="AA343" s="2449"/>
      <c r="AB343" s="2449"/>
      <c r="AC343" s="2449"/>
      <c r="AD343" s="2449"/>
      <c r="AE343" s="2449"/>
      <c r="AF343" s="2449"/>
      <c r="AG343" s="2449"/>
      <c r="AH343" s="2449"/>
      <c r="AI343" s="2449"/>
      <c r="AJ343" s="2449"/>
      <c r="AK343" s="604"/>
      <c r="AL343" s="604"/>
      <c r="AM343" s="604"/>
      <c r="AN343" s="598"/>
    </row>
    <row r="344" spans="1:44" s="551" customFormat="1" ht="12.75" customHeight="1">
      <c r="A344" s="604"/>
      <c r="B344" s="612"/>
      <c r="C344" s="2449"/>
      <c r="D344" s="2449"/>
      <c r="E344" s="2449"/>
      <c r="F344" s="2449"/>
      <c r="G344" s="2449"/>
      <c r="H344" s="2449"/>
      <c r="I344" s="2449"/>
      <c r="J344" s="2449"/>
      <c r="K344" s="2449"/>
      <c r="L344" s="2449"/>
      <c r="M344" s="2449"/>
      <c r="N344" s="2449"/>
      <c r="O344" s="2449"/>
      <c r="P344" s="2449"/>
      <c r="Q344" s="2449"/>
      <c r="R344" s="2449"/>
      <c r="S344" s="2449"/>
      <c r="T344" s="2449"/>
      <c r="U344" s="2449"/>
      <c r="V344" s="2449"/>
      <c r="W344" s="2449"/>
      <c r="X344" s="2449"/>
      <c r="Y344" s="2449"/>
      <c r="Z344" s="2449"/>
      <c r="AA344" s="2449"/>
      <c r="AB344" s="2449"/>
      <c r="AC344" s="2449"/>
      <c r="AD344" s="2449"/>
      <c r="AE344" s="2449"/>
      <c r="AF344" s="2449"/>
      <c r="AG344" s="2449"/>
      <c r="AH344" s="2449"/>
      <c r="AI344" s="2449"/>
      <c r="AJ344" s="2449"/>
      <c r="AK344" s="604"/>
      <c r="AL344" s="604"/>
      <c r="AM344" s="604"/>
      <c r="AN344" s="598"/>
    </row>
    <row r="345" spans="1:44" s="551" customFormat="1" ht="12.75" customHeight="1">
      <c r="A345" s="604"/>
      <c r="B345" s="612"/>
      <c r="C345" s="2449"/>
      <c r="D345" s="2449"/>
      <c r="E345" s="2449"/>
      <c r="F345" s="2449"/>
      <c r="G345" s="2449"/>
      <c r="H345" s="2449"/>
      <c r="I345" s="2449"/>
      <c r="J345" s="2449"/>
      <c r="K345" s="2449"/>
      <c r="L345" s="2449"/>
      <c r="M345" s="2449"/>
      <c r="N345" s="2449"/>
      <c r="O345" s="2449"/>
      <c r="P345" s="2449"/>
      <c r="Q345" s="2449"/>
      <c r="R345" s="2449"/>
      <c r="S345" s="2449"/>
      <c r="T345" s="2449"/>
      <c r="U345" s="2449"/>
      <c r="V345" s="2449"/>
      <c r="W345" s="2449"/>
      <c r="X345" s="2449"/>
      <c r="Y345" s="2449"/>
      <c r="Z345" s="2449"/>
      <c r="AA345" s="2449"/>
      <c r="AB345" s="2449"/>
      <c r="AC345" s="2449"/>
      <c r="AD345" s="2449"/>
      <c r="AE345" s="2449"/>
      <c r="AF345" s="2449"/>
      <c r="AG345" s="2449"/>
      <c r="AH345" s="2449"/>
      <c r="AI345" s="2449"/>
      <c r="AJ345" s="2449"/>
      <c r="AK345" s="604"/>
      <c r="AL345" s="604"/>
      <c r="AM345" s="604"/>
      <c r="AN345" s="598"/>
      <c r="AQ345" s="571"/>
    </row>
    <row r="346" spans="1:44" s="551" customFormat="1" ht="12.75" customHeight="1">
      <c r="A346" s="604"/>
      <c r="B346" s="612"/>
      <c r="C346" s="2449"/>
      <c r="D346" s="2449"/>
      <c r="E346" s="2449"/>
      <c r="F346" s="2449"/>
      <c r="G346" s="2449"/>
      <c r="H346" s="2449"/>
      <c r="I346" s="2449"/>
      <c r="J346" s="2449"/>
      <c r="K346" s="2449"/>
      <c r="L346" s="2449"/>
      <c r="M346" s="2449"/>
      <c r="N346" s="2449"/>
      <c r="O346" s="2449"/>
      <c r="P346" s="2449"/>
      <c r="Q346" s="2449"/>
      <c r="R346" s="2449"/>
      <c r="S346" s="2449"/>
      <c r="T346" s="2449"/>
      <c r="U346" s="2449"/>
      <c r="V346" s="2449"/>
      <c r="W346" s="2449"/>
      <c r="X346" s="2449"/>
      <c r="Y346" s="2449"/>
      <c r="Z346" s="2449"/>
      <c r="AA346" s="2449"/>
      <c r="AB346" s="2449"/>
      <c r="AC346" s="2449"/>
      <c r="AD346" s="2449"/>
      <c r="AE346" s="2449"/>
      <c r="AF346" s="2449"/>
      <c r="AG346" s="2449"/>
      <c r="AH346" s="2449"/>
      <c r="AI346" s="2449"/>
      <c r="AJ346" s="2449"/>
      <c r="AK346" s="604"/>
      <c r="AL346" s="604"/>
      <c r="AM346" s="604"/>
      <c r="AN346" s="598"/>
      <c r="AQ346" s="571"/>
    </row>
    <row r="347" spans="1:44" s="551" customFormat="1" ht="12.4" customHeight="1">
      <c r="A347" s="604"/>
      <c r="B347" s="612"/>
      <c r="C347" s="2449"/>
      <c r="D347" s="2449"/>
      <c r="E347" s="2449"/>
      <c r="F347" s="2449"/>
      <c r="G347" s="2449"/>
      <c r="H347" s="2449"/>
      <c r="I347" s="2449"/>
      <c r="J347" s="2449"/>
      <c r="K347" s="2449"/>
      <c r="L347" s="2449"/>
      <c r="M347" s="2449"/>
      <c r="N347" s="2449"/>
      <c r="O347" s="2449"/>
      <c r="P347" s="2449"/>
      <c r="Q347" s="2449"/>
      <c r="R347" s="2449"/>
      <c r="S347" s="2449"/>
      <c r="T347" s="2449"/>
      <c r="U347" s="2449"/>
      <c r="V347" s="2449"/>
      <c r="W347" s="2449"/>
      <c r="X347" s="2449"/>
      <c r="Y347" s="2449"/>
      <c r="Z347" s="2449"/>
      <c r="AA347" s="2449"/>
      <c r="AB347" s="2449"/>
      <c r="AC347" s="2449"/>
      <c r="AD347" s="2449"/>
      <c r="AE347" s="2449"/>
      <c r="AF347" s="2449"/>
      <c r="AG347" s="2449"/>
      <c r="AH347" s="2449"/>
      <c r="AI347" s="2449"/>
      <c r="AJ347" s="2449"/>
      <c r="AK347" s="604"/>
      <c r="AL347" s="604"/>
      <c r="AM347" s="604"/>
      <c r="AN347" s="598"/>
      <c r="AQ347" s="571"/>
      <c r="AR347" s="571"/>
    </row>
    <row r="348" spans="1:44" s="551" customFormat="1" ht="45.75" customHeight="1">
      <c r="A348" s="604"/>
      <c r="B348" s="612"/>
      <c r="C348" s="2449" t="s">
        <v>2093</v>
      </c>
      <c r="D348" s="2449"/>
      <c r="E348" s="2449"/>
      <c r="F348" s="2449"/>
      <c r="G348" s="2449"/>
      <c r="H348" s="2449"/>
      <c r="I348" s="2449"/>
      <c r="J348" s="2449"/>
      <c r="K348" s="2449"/>
      <c r="L348" s="2449"/>
      <c r="M348" s="2449"/>
      <c r="N348" s="2449"/>
      <c r="O348" s="2449"/>
      <c r="P348" s="2449"/>
      <c r="Q348" s="2449"/>
      <c r="R348" s="2449"/>
      <c r="S348" s="2449"/>
      <c r="T348" s="2449"/>
      <c r="U348" s="2449"/>
      <c r="V348" s="2449"/>
      <c r="W348" s="2449"/>
      <c r="X348" s="2449"/>
      <c r="Y348" s="2449"/>
      <c r="Z348" s="2449"/>
      <c r="AA348" s="2449"/>
      <c r="AB348" s="2449"/>
      <c r="AC348" s="2449"/>
      <c r="AD348" s="2449"/>
      <c r="AE348" s="2449"/>
      <c r="AF348" s="2449"/>
      <c r="AG348" s="2449"/>
      <c r="AH348" s="2449"/>
      <c r="AI348" s="2449"/>
      <c r="AJ348" s="2449"/>
      <c r="AK348" s="604"/>
      <c r="AL348" s="604"/>
      <c r="AM348" s="604"/>
      <c r="AN348" s="598"/>
      <c r="AQ348" s="571"/>
      <c r="AR348" s="571"/>
    </row>
    <row r="349" spans="1:44" s="551" customFormat="1" ht="12.4" customHeight="1">
      <c r="A349" s="604"/>
      <c r="B349" s="612"/>
      <c r="C349" s="694"/>
      <c r="D349" s="694"/>
      <c r="E349" s="694"/>
      <c r="F349" s="694"/>
      <c r="G349" s="694"/>
      <c r="H349" s="694"/>
      <c r="I349" s="694"/>
      <c r="J349" s="694"/>
      <c r="K349" s="694"/>
      <c r="L349" s="694"/>
      <c r="M349" s="694"/>
      <c r="N349" s="694"/>
      <c r="O349" s="694"/>
      <c r="P349" s="694"/>
      <c r="Q349" s="694"/>
      <c r="R349" s="694"/>
      <c r="S349" s="694"/>
      <c r="T349" s="694"/>
      <c r="U349" s="694"/>
      <c r="V349" s="694"/>
      <c r="W349" s="694"/>
      <c r="X349" s="694"/>
      <c r="Y349" s="694"/>
      <c r="Z349" s="694"/>
      <c r="AA349" s="694"/>
      <c r="AB349" s="694"/>
      <c r="AC349" s="694"/>
      <c r="AD349" s="694"/>
      <c r="AE349" s="694"/>
      <c r="AF349" s="694"/>
      <c r="AG349" s="694"/>
      <c r="AH349" s="694"/>
      <c r="AI349" s="694"/>
      <c r="AJ349" s="694"/>
      <c r="AK349" s="604"/>
      <c r="AL349" s="604"/>
      <c r="AM349" s="604"/>
      <c r="AN349" s="598"/>
      <c r="AQ349" s="571"/>
      <c r="AR349" s="571"/>
    </row>
    <row r="350" spans="1:44" s="551" customFormat="1" ht="12.75" customHeight="1">
      <c r="A350" s="604"/>
      <c r="B350" s="612"/>
      <c r="C350" s="2449" t="s">
        <v>2208</v>
      </c>
      <c r="D350" s="2449"/>
      <c r="E350" s="2449"/>
      <c r="F350" s="2449"/>
      <c r="G350" s="2449"/>
      <c r="H350" s="2449"/>
      <c r="I350" s="2449"/>
      <c r="J350" s="2449"/>
      <c r="K350" s="2449"/>
      <c r="L350" s="2449"/>
      <c r="M350" s="2449"/>
      <c r="N350" s="2449"/>
      <c r="O350" s="2449"/>
      <c r="P350" s="2449"/>
      <c r="Q350" s="2449"/>
      <c r="R350" s="2449"/>
      <c r="S350" s="2449"/>
      <c r="T350" s="2449"/>
      <c r="U350" s="2449"/>
      <c r="V350" s="2449"/>
      <c r="W350" s="2449"/>
      <c r="X350" s="2449"/>
      <c r="Y350" s="2449"/>
      <c r="Z350" s="2449"/>
      <c r="AA350" s="2449"/>
      <c r="AB350" s="2449"/>
      <c r="AC350" s="2449"/>
      <c r="AD350" s="2449"/>
      <c r="AE350" s="2449"/>
      <c r="AF350" s="2449"/>
      <c r="AG350" s="2449"/>
      <c r="AH350" s="2449"/>
      <c r="AI350" s="2449"/>
      <c r="AJ350" s="2449"/>
      <c r="AK350" s="604"/>
      <c r="AL350" s="604"/>
      <c r="AM350" s="604"/>
      <c r="AN350" s="598"/>
      <c r="AQ350" s="571"/>
      <c r="AR350" s="571"/>
    </row>
    <row r="351" spans="1:44" s="551" customFormat="1" ht="30" customHeight="1">
      <c r="A351" s="604"/>
      <c r="B351" s="612"/>
      <c r="C351" s="2449"/>
      <c r="D351" s="2449"/>
      <c r="E351" s="2449"/>
      <c r="F351" s="2449"/>
      <c r="G351" s="2449"/>
      <c r="H351" s="2449"/>
      <c r="I351" s="2449"/>
      <c r="J351" s="2449"/>
      <c r="K351" s="2449"/>
      <c r="L351" s="2449"/>
      <c r="M351" s="2449"/>
      <c r="N351" s="2449"/>
      <c r="O351" s="2449"/>
      <c r="P351" s="2449"/>
      <c r="Q351" s="2449"/>
      <c r="R351" s="2449"/>
      <c r="S351" s="2449"/>
      <c r="T351" s="2449"/>
      <c r="U351" s="2449"/>
      <c r="V351" s="2449"/>
      <c r="W351" s="2449"/>
      <c r="X351" s="2449"/>
      <c r="Y351" s="2449"/>
      <c r="Z351" s="2449"/>
      <c r="AA351" s="2449"/>
      <c r="AB351" s="2449"/>
      <c r="AC351" s="2449"/>
      <c r="AD351" s="2449"/>
      <c r="AE351" s="2449"/>
      <c r="AF351" s="2449"/>
      <c r="AG351" s="2449"/>
      <c r="AH351" s="2449"/>
      <c r="AI351" s="2449"/>
      <c r="AJ351" s="2449"/>
      <c r="AK351" s="604"/>
      <c r="AL351" s="604"/>
      <c r="AM351" s="604"/>
      <c r="AN351" s="598"/>
      <c r="AR351" s="571"/>
    </row>
    <row r="352" spans="1:44" s="551" customFormat="1" ht="12.75" customHeight="1">
      <c r="A352" s="604"/>
      <c r="B352" s="612"/>
      <c r="C352" s="2449"/>
      <c r="D352" s="2449"/>
      <c r="E352" s="2449"/>
      <c r="F352" s="2449"/>
      <c r="G352" s="2449"/>
      <c r="H352" s="2449"/>
      <c r="I352" s="2449"/>
      <c r="J352" s="2449"/>
      <c r="K352" s="2449"/>
      <c r="L352" s="2449"/>
      <c r="M352" s="2449"/>
      <c r="N352" s="2449"/>
      <c r="O352" s="2449"/>
      <c r="P352" s="2449"/>
      <c r="Q352" s="2449"/>
      <c r="R352" s="2449"/>
      <c r="S352" s="2449"/>
      <c r="T352" s="2449"/>
      <c r="U352" s="2449"/>
      <c r="V352" s="2449"/>
      <c r="W352" s="2449"/>
      <c r="X352" s="2449"/>
      <c r="Y352" s="2449"/>
      <c r="Z352" s="2449"/>
      <c r="AA352" s="2449"/>
      <c r="AB352" s="2449"/>
      <c r="AC352" s="2449"/>
      <c r="AD352" s="2449"/>
      <c r="AE352" s="2449"/>
      <c r="AF352" s="2449"/>
      <c r="AG352" s="2449"/>
      <c r="AH352" s="2449"/>
      <c r="AI352" s="2449"/>
      <c r="AJ352" s="2449"/>
      <c r="AK352" s="604"/>
      <c r="AL352" s="604"/>
      <c r="AM352" s="604"/>
      <c r="AN352" s="598"/>
      <c r="AR352" s="571"/>
    </row>
    <row r="353" spans="1:46" s="551" customFormat="1" ht="12.75" customHeight="1">
      <c r="A353" s="604"/>
      <c r="B353" s="612"/>
      <c r="C353" s="2449" t="s">
        <v>1454</v>
      </c>
      <c r="D353" s="2449"/>
      <c r="E353" s="2449"/>
      <c r="F353" s="2449"/>
      <c r="G353" s="2449"/>
      <c r="H353" s="2449"/>
      <c r="I353" s="2449"/>
      <c r="J353" s="2449"/>
      <c r="K353" s="2449"/>
      <c r="L353" s="2449"/>
      <c r="M353" s="2449"/>
      <c r="N353" s="2449"/>
      <c r="O353" s="2449"/>
      <c r="P353" s="2449"/>
      <c r="Q353" s="2449"/>
      <c r="R353" s="2449"/>
      <c r="S353" s="2449"/>
      <c r="T353" s="2449"/>
      <c r="U353" s="2449"/>
      <c r="V353" s="2449"/>
      <c r="W353" s="2449"/>
      <c r="X353" s="2449"/>
      <c r="Y353" s="2449"/>
      <c r="Z353" s="2449"/>
      <c r="AA353" s="2449"/>
      <c r="AB353" s="2449"/>
      <c r="AC353" s="2449"/>
      <c r="AD353" s="2449"/>
      <c r="AE353" s="2449"/>
      <c r="AF353" s="2449"/>
      <c r="AG353" s="2449"/>
      <c r="AH353" s="2449"/>
      <c r="AI353" s="2449"/>
      <c r="AJ353" s="2449"/>
      <c r="AK353" s="604"/>
      <c r="AL353" s="604"/>
      <c r="AM353" s="604"/>
      <c r="AN353" s="598"/>
      <c r="AQ353" s="571"/>
      <c r="AR353" s="571"/>
    </row>
    <row r="354" spans="1:46" s="551" customFormat="1" ht="12.75" customHeight="1">
      <c r="A354" s="604"/>
      <c r="B354" s="612"/>
      <c r="C354" s="2449"/>
      <c r="D354" s="2449"/>
      <c r="E354" s="2449"/>
      <c r="F354" s="2449"/>
      <c r="G354" s="2449"/>
      <c r="H354" s="2449"/>
      <c r="I354" s="2449"/>
      <c r="J354" s="2449"/>
      <c r="K354" s="2449"/>
      <c r="L354" s="2449"/>
      <c r="M354" s="2449"/>
      <c r="N354" s="2449"/>
      <c r="O354" s="2449"/>
      <c r="P354" s="2449"/>
      <c r="Q354" s="2449"/>
      <c r="R354" s="2449"/>
      <c r="S354" s="2449"/>
      <c r="T354" s="2449"/>
      <c r="U354" s="2449"/>
      <c r="V354" s="2449"/>
      <c r="W354" s="2449"/>
      <c r="X354" s="2449"/>
      <c r="Y354" s="2449"/>
      <c r="Z354" s="2449"/>
      <c r="AA354" s="2449"/>
      <c r="AB354" s="2449"/>
      <c r="AC354" s="2449"/>
      <c r="AD354" s="2449"/>
      <c r="AE354" s="2449"/>
      <c r="AF354" s="2449"/>
      <c r="AG354" s="2449"/>
      <c r="AH354" s="2449"/>
      <c r="AI354" s="2449"/>
      <c r="AJ354" s="2449"/>
      <c r="AK354" s="604"/>
      <c r="AL354" s="604"/>
      <c r="AM354" s="604"/>
      <c r="AN354" s="598"/>
      <c r="AQ354" s="571"/>
      <c r="AR354" s="571"/>
    </row>
    <row r="355" spans="1:46" s="551" customFormat="1" ht="13.15" customHeight="1">
      <c r="A355" s="604"/>
      <c r="B355" s="612"/>
      <c r="C355" s="2449"/>
      <c r="D355" s="2449"/>
      <c r="E355" s="2449"/>
      <c r="F355" s="2449"/>
      <c r="G355" s="2449"/>
      <c r="H355" s="2449"/>
      <c r="I355" s="2449"/>
      <c r="J355" s="2449"/>
      <c r="K355" s="2449"/>
      <c r="L355" s="2449"/>
      <c r="M355" s="2449"/>
      <c r="N355" s="2449"/>
      <c r="O355" s="2449"/>
      <c r="P355" s="2449"/>
      <c r="Q355" s="2449"/>
      <c r="R355" s="2449"/>
      <c r="S355" s="2449"/>
      <c r="T355" s="2449"/>
      <c r="U355" s="2449"/>
      <c r="V355" s="2449"/>
      <c r="W355" s="2449"/>
      <c r="X355" s="2449"/>
      <c r="Y355" s="2449"/>
      <c r="Z355" s="2449"/>
      <c r="AA355" s="2449"/>
      <c r="AB355" s="2449"/>
      <c r="AC355" s="2449"/>
      <c r="AD355" s="2449"/>
      <c r="AE355" s="2449"/>
      <c r="AF355" s="2449"/>
      <c r="AG355" s="2449"/>
      <c r="AH355" s="2449"/>
      <c r="AI355" s="2449"/>
      <c r="AJ355" s="2449"/>
      <c r="AK355" s="604"/>
      <c r="AL355" s="604"/>
      <c r="AM355" s="604"/>
      <c r="AN355" s="598"/>
      <c r="AQ355" s="571"/>
      <c r="AR355" s="571"/>
    </row>
    <row r="356" spans="1:46" s="551" customFormat="1" ht="12.75" customHeight="1">
      <c r="A356" s="604"/>
      <c r="B356" s="612"/>
      <c r="C356" s="2449"/>
      <c r="D356" s="2449"/>
      <c r="E356" s="2449"/>
      <c r="F356" s="2449"/>
      <c r="G356" s="2449"/>
      <c r="H356" s="2449"/>
      <c r="I356" s="2449"/>
      <c r="J356" s="2449"/>
      <c r="K356" s="2449"/>
      <c r="L356" s="2449"/>
      <c r="M356" s="2449"/>
      <c r="N356" s="2449"/>
      <c r="O356" s="2449"/>
      <c r="P356" s="2449"/>
      <c r="Q356" s="2449"/>
      <c r="R356" s="2449"/>
      <c r="S356" s="2449"/>
      <c r="T356" s="2449"/>
      <c r="U356" s="2449"/>
      <c r="V356" s="2449"/>
      <c r="W356" s="2449"/>
      <c r="X356" s="2449"/>
      <c r="Y356" s="2449"/>
      <c r="Z356" s="2449"/>
      <c r="AA356" s="2449"/>
      <c r="AB356" s="2449"/>
      <c r="AC356" s="2449"/>
      <c r="AD356" s="2449"/>
      <c r="AE356" s="2449"/>
      <c r="AF356" s="2449"/>
      <c r="AG356" s="2449"/>
      <c r="AH356" s="2449"/>
      <c r="AI356" s="2449"/>
      <c r="AJ356" s="2449"/>
      <c r="AK356" s="604"/>
      <c r="AL356" s="604"/>
      <c r="AM356" s="604"/>
      <c r="AN356" s="598"/>
      <c r="AO356" s="695"/>
      <c r="AP356" s="695"/>
      <c r="AQ356" s="571"/>
    </row>
    <row r="357" spans="1:46" s="551" customFormat="1" ht="11.9" customHeight="1">
      <c r="A357" s="604"/>
      <c r="B357" s="612"/>
      <c r="C357" s="2449"/>
      <c r="D357" s="2449"/>
      <c r="E357" s="2449"/>
      <c r="F357" s="2449"/>
      <c r="G357" s="2449"/>
      <c r="H357" s="2449"/>
      <c r="I357" s="2449"/>
      <c r="J357" s="2449"/>
      <c r="K357" s="2449"/>
      <c r="L357" s="2449"/>
      <c r="M357" s="2449"/>
      <c r="N357" s="2449"/>
      <c r="O357" s="2449"/>
      <c r="P357" s="2449"/>
      <c r="Q357" s="2449"/>
      <c r="R357" s="2449"/>
      <c r="S357" s="2449"/>
      <c r="T357" s="2449"/>
      <c r="U357" s="2449"/>
      <c r="V357" s="2449"/>
      <c r="W357" s="2449"/>
      <c r="X357" s="2449"/>
      <c r="Y357" s="2449"/>
      <c r="Z357" s="2449"/>
      <c r="AA357" s="2449"/>
      <c r="AB357" s="2449"/>
      <c r="AC357" s="2449"/>
      <c r="AD357" s="2449"/>
      <c r="AE357" s="2449"/>
      <c r="AF357" s="2449"/>
      <c r="AG357" s="2449"/>
      <c r="AH357" s="2449"/>
      <c r="AI357" s="2449"/>
      <c r="AJ357" s="2449"/>
      <c r="AK357" s="604"/>
      <c r="AL357" s="604"/>
      <c r="AM357" s="604"/>
      <c r="AN357" s="598"/>
      <c r="AO357" s="696" t="s">
        <v>112</v>
      </c>
      <c r="AP357" s="697">
        <f>IF(C381="Yes",5,0)</f>
        <v>5</v>
      </c>
      <c r="AS357" s="540" t="s">
        <v>1455</v>
      </c>
    </row>
    <row r="358" spans="1:46" s="551" customFormat="1" ht="12.75" customHeight="1">
      <c r="A358" s="604"/>
      <c r="B358" s="612"/>
      <c r="C358" s="2449"/>
      <c r="D358" s="2449"/>
      <c r="E358" s="2449"/>
      <c r="F358" s="2449"/>
      <c r="G358" s="2449"/>
      <c r="H358" s="2449"/>
      <c r="I358" s="2449"/>
      <c r="J358" s="2449"/>
      <c r="K358" s="2449"/>
      <c r="L358" s="2449"/>
      <c r="M358" s="2449"/>
      <c r="N358" s="2449"/>
      <c r="O358" s="2449"/>
      <c r="P358" s="2449"/>
      <c r="Q358" s="2449"/>
      <c r="R358" s="2449"/>
      <c r="S358" s="2449"/>
      <c r="T358" s="2449"/>
      <c r="U358" s="2449"/>
      <c r="V358" s="2449"/>
      <c r="W358" s="2449"/>
      <c r="X358" s="2449"/>
      <c r="Y358" s="2449"/>
      <c r="Z358" s="2449"/>
      <c r="AA358" s="2449"/>
      <c r="AB358" s="2449"/>
      <c r="AC358" s="2449"/>
      <c r="AD358" s="2449"/>
      <c r="AE358" s="2449"/>
      <c r="AF358" s="2449"/>
      <c r="AG358" s="2449"/>
      <c r="AH358" s="2449"/>
      <c r="AI358" s="2449"/>
      <c r="AJ358" s="2449"/>
      <c r="AK358" s="604"/>
      <c r="AL358" s="604"/>
      <c r="AM358" s="604"/>
      <c r="AN358" s="598"/>
      <c r="AO358" s="696" t="s">
        <v>113</v>
      </c>
      <c r="AP358" s="697">
        <f>IF(C389="Yes",5,0)</f>
        <v>0</v>
      </c>
      <c r="AS358" s="2415">
        <f>IF(Application!D211="Non-Targeted",(SUM(AQ366+AQ375)),AS362)</f>
        <v>10</v>
      </c>
      <c r="AT358" s="2415"/>
    </row>
    <row r="359" spans="1:46" s="551" customFormat="1" ht="12.75" customHeight="1">
      <c r="A359" s="604"/>
      <c r="B359" s="612"/>
      <c r="C359" s="2449"/>
      <c r="D359" s="2449"/>
      <c r="E359" s="2449"/>
      <c r="F359" s="2449"/>
      <c r="G359" s="2449"/>
      <c r="H359" s="2449"/>
      <c r="I359" s="2449"/>
      <c r="J359" s="2449"/>
      <c r="K359" s="2449"/>
      <c r="L359" s="2449"/>
      <c r="M359" s="2449"/>
      <c r="N359" s="2449"/>
      <c r="O359" s="2449"/>
      <c r="P359" s="2449"/>
      <c r="Q359" s="2449"/>
      <c r="R359" s="2449"/>
      <c r="S359" s="2449"/>
      <c r="T359" s="2449"/>
      <c r="U359" s="2449"/>
      <c r="V359" s="2449"/>
      <c r="W359" s="2449"/>
      <c r="X359" s="2449"/>
      <c r="Y359" s="2449"/>
      <c r="Z359" s="2449"/>
      <c r="AA359" s="2449"/>
      <c r="AB359" s="2449"/>
      <c r="AC359" s="2449"/>
      <c r="AD359" s="2449"/>
      <c r="AE359" s="2449"/>
      <c r="AF359" s="2449"/>
      <c r="AG359" s="2449"/>
      <c r="AH359" s="2449"/>
      <c r="AI359" s="2449"/>
      <c r="AJ359" s="2449"/>
      <c r="AK359" s="604"/>
      <c r="AL359" s="604"/>
      <c r="AM359" s="604"/>
      <c r="AN359" s="598"/>
      <c r="AO359" s="696" t="s">
        <v>119</v>
      </c>
      <c r="AP359" s="697">
        <f>IF(C397="Yes",7,0)</f>
        <v>0</v>
      </c>
      <c r="AS359" s="540" t="s">
        <v>1456</v>
      </c>
    </row>
    <row r="360" spans="1:46" s="551" customFormat="1" ht="12.75" customHeight="1">
      <c r="A360" s="604"/>
      <c r="B360" s="612"/>
      <c r="C360" s="2449"/>
      <c r="D360" s="2449"/>
      <c r="E360" s="2449"/>
      <c r="F360" s="2449"/>
      <c r="G360" s="2449"/>
      <c r="H360" s="2449"/>
      <c r="I360" s="2449"/>
      <c r="J360" s="2449"/>
      <c r="K360" s="2449"/>
      <c r="L360" s="2449"/>
      <c r="M360" s="2449"/>
      <c r="N360" s="2449"/>
      <c r="O360" s="2449"/>
      <c r="P360" s="2449"/>
      <c r="Q360" s="2449"/>
      <c r="R360" s="2449"/>
      <c r="S360" s="2449"/>
      <c r="T360" s="2449"/>
      <c r="U360" s="2449"/>
      <c r="V360" s="2449"/>
      <c r="W360" s="2449"/>
      <c r="X360" s="2449"/>
      <c r="Y360" s="2449"/>
      <c r="Z360" s="2449"/>
      <c r="AA360" s="2449"/>
      <c r="AB360" s="2449"/>
      <c r="AC360" s="2449"/>
      <c r="AD360" s="2449"/>
      <c r="AE360" s="2449"/>
      <c r="AF360" s="2449"/>
      <c r="AG360" s="2449"/>
      <c r="AH360" s="2449"/>
      <c r="AI360" s="2449"/>
      <c r="AJ360" s="2449"/>
      <c r="AK360" s="604"/>
      <c r="AL360" s="604"/>
      <c r="AM360" s="604"/>
      <c r="AN360" s="598"/>
      <c r="AO360" s="598"/>
      <c r="AP360" s="697">
        <f>IF(C399="Yes",5,0)</f>
        <v>5</v>
      </c>
      <c r="AS360" s="2415">
        <f>IF(AND(AQ366&gt;0,AQ375&gt;0),(AQ366+AQ375)/2,0)</f>
        <v>0</v>
      </c>
      <c r="AT360" s="2415"/>
    </row>
    <row r="361" spans="1:46" s="551" customFormat="1" ht="12.75" customHeight="1">
      <c r="A361" s="604"/>
      <c r="B361" s="612"/>
      <c r="C361" s="2449"/>
      <c r="D361" s="2449"/>
      <c r="E361" s="2449"/>
      <c r="F361" s="2449"/>
      <c r="G361" s="2449"/>
      <c r="H361" s="2449"/>
      <c r="I361" s="2449"/>
      <c r="J361" s="2449"/>
      <c r="K361" s="2449"/>
      <c r="L361" s="2449"/>
      <c r="M361" s="2449"/>
      <c r="N361" s="2449"/>
      <c r="O361" s="2449"/>
      <c r="P361" s="2449"/>
      <c r="Q361" s="2449"/>
      <c r="R361" s="2449"/>
      <c r="S361" s="2449"/>
      <c r="T361" s="2449"/>
      <c r="U361" s="2449"/>
      <c r="V361" s="2449"/>
      <c r="W361" s="2449"/>
      <c r="X361" s="2449"/>
      <c r="Y361" s="2449"/>
      <c r="Z361" s="2449"/>
      <c r="AA361" s="2449"/>
      <c r="AB361" s="2449"/>
      <c r="AC361" s="2449"/>
      <c r="AD361" s="2449"/>
      <c r="AE361" s="2449"/>
      <c r="AF361" s="2449"/>
      <c r="AG361" s="2449"/>
      <c r="AH361" s="2449"/>
      <c r="AI361" s="2449"/>
      <c r="AJ361" s="2449"/>
      <c r="AK361" s="604"/>
      <c r="AL361" s="604"/>
      <c r="AM361" s="604"/>
      <c r="AN361" s="598"/>
      <c r="AO361" s="696" t="s">
        <v>580</v>
      </c>
      <c r="AP361" s="697">
        <f>IF(C407="Yes",5,0)</f>
        <v>0</v>
      </c>
      <c r="AS361" s="540" t="s">
        <v>1878</v>
      </c>
    </row>
    <row r="362" spans="1:46" s="551" customFormat="1" ht="12.75" customHeight="1">
      <c r="A362" s="604"/>
      <c r="B362" s="612"/>
      <c r="C362" s="2543" t="s">
        <v>2234</v>
      </c>
      <c r="D362" s="2543"/>
      <c r="E362" s="2543"/>
      <c r="F362" s="2543"/>
      <c r="G362" s="2543"/>
      <c r="H362" s="2543"/>
      <c r="I362" s="2543"/>
      <c r="J362" s="2543"/>
      <c r="K362" s="2543"/>
      <c r="L362" s="2543"/>
      <c r="M362" s="2543"/>
      <c r="N362" s="2543"/>
      <c r="O362" s="2543"/>
      <c r="P362" s="2543"/>
      <c r="Q362" s="2543"/>
      <c r="R362" s="2543"/>
      <c r="S362" s="2543"/>
      <c r="T362" s="2543"/>
      <c r="U362" s="2543"/>
      <c r="V362" s="2543"/>
      <c r="W362" s="2543"/>
      <c r="X362" s="2543"/>
      <c r="Y362" s="2543"/>
      <c r="Z362" s="2543"/>
      <c r="AA362" s="2543"/>
      <c r="AB362" s="2543"/>
      <c r="AC362" s="2543"/>
      <c r="AD362" s="2543"/>
      <c r="AE362" s="2543"/>
      <c r="AF362" s="2543"/>
      <c r="AG362" s="2543"/>
      <c r="AH362" s="2543"/>
      <c r="AI362" s="2543"/>
      <c r="AJ362" s="2543"/>
      <c r="AK362" s="604"/>
      <c r="AL362" s="604"/>
      <c r="AM362" s="604"/>
      <c r="AN362" s="598"/>
      <c r="AO362" s="598"/>
      <c r="AP362" s="697">
        <f>IF(C409="Yes",3,0)</f>
        <v>0</v>
      </c>
      <c r="AS362" s="2415">
        <f>IF(AQ366=0,AQ375,AQ366)</f>
        <v>10</v>
      </c>
      <c r="AT362" s="2415"/>
    </row>
    <row r="363" spans="1:46" s="551" customFormat="1" ht="12.75" customHeight="1">
      <c r="A363" s="604"/>
      <c r="B363" s="612"/>
      <c r="C363" s="2543"/>
      <c r="D363" s="2543"/>
      <c r="E363" s="2543"/>
      <c r="F363" s="2543"/>
      <c r="G363" s="2543"/>
      <c r="H363" s="2543"/>
      <c r="I363" s="2543"/>
      <c r="J363" s="2543"/>
      <c r="K363" s="2543"/>
      <c r="L363" s="2543"/>
      <c r="M363" s="2543"/>
      <c r="N363" s="2543"/>
      <c r="O363" s="2543"/>
      <c r="P363" s="2543"/>
      <c r="Q363" s="2543"/>
      <c r="R363" s="2543"/>
      <c r="S363" s="2543"/>
      <c r="T363" s="2543"/>
      <c r="U363" s="2543"/>
      <c r="V363" s="2543"/>
      <c r="W363" s="2543"/>
      <c r="X363" s="2543"/>
      <c r="Y363" s="2543"/>
      <c r="Z363" s="2543"/>
      <c r="AA363" s="2543"/>
      <c r="AB363" s="2543"/>
      <c r="AC363" s="2543"/>
      <c r="AD363" s="2543"/>
      <c r="AE363" s="2543"/>
      <c r="AF363" s="2543"/>
      <c r="AG363" s="2543"/>
      <c r="AH363" s="2543"/>
      <c r="AI363" s="2543"/>
      <c r="AJ363" s="2543"/>
      <c r="AK363" s="604"/>
      <c r="AL363" s="604"/>
      <c r="AM363" s="604"/>
      <c r="AN363" s="598"/>
      <c r="AO363" s="696" t="s">
        <v>762</v>
      </c>
      <c r="AP363" s="697">
        <f>IF(C412="Yes",5,0)</f>
        <v>0</v>
      </c>
    </row>
    <row r="364" spans="1:46" s="551" customFormat="1" ht="12.75" customHeight="1">
      <c r="A364" s="604"/>
      <c r="B364" s="612"/>
      <c r="C364" s="2543"/>
      <c r="D364" s="2543"/>
      <c r="E364" s="2543"/>
      <c r="F364" s="2543"/>
      <c r="G364" s="2543"/>
      <c r="H364" s="2543"/>
      <c r="I364" s="2543"/>
      <c r="J364" s="2543"/>
      <c r="K364" s="2543"/>
      <c r="L364" s="2543"/>
      <c r="M364" s="2543"/>
      <c r="N364" s="2543"/>
      <c r="O364" s="2543"/>
      <c r="P364" s="2543"/>
      <c r="Q364" s="2543"/>
      <c r="R364" s="2543"/>
      <c r="S364" s="2543"/>
      <c r="T364" s="2543"/>
      <c r="U364" s="2543"/>
      <c r="V364" s="2543"/>
      <c r="W364" s="2543"/>
      <c r="X364" s="2543"/>
      <c r="Y364" s="2543"/>
      <c r="Z364" s="2543"/>
      <c r="AA364" s="2543"/>
      <c r="AB364" s="2543"/>
      <c r="AC364" s="2543"/>
      <c r="AD364" s="2543"/>
      <c r="AE364" s="2543"/>
      <c r="AF364" s="2543"/>
      <c r="AG364" s="2543"/>
      <c r="AH364" s="2543"/>
      <c r="AI364" s="2543"/>
      <c r="AJ364" s="2543"/>
      <c r="AK364" s="604"/>
      <c r="AL364" s="604"/>
      <c r="AM364" s="604"/>
      <c r="AN364" s="598"/>
      <c r="AO364" s="696" t="s">
        <v>583</v>
      </c>
      <c r="AP364" s="697">
        <f>IF(C421="Yes",5,0)</f>
        <v>0</v>
      </c>
    </row>
    <row r="365" spans="1:46" s="551" customFormat="1" ht="11.9" customHeight="1">
      <c r="A365" s="604"/>
      <c r="B365" s="612"/>
      <c r="C365" s="2543"/>
      <c r="D365" s="2543"/>
      <c r="E365" s="2543"/>
      <c r="F365" s="2543"/>
      <c r="G365" s="2543"/>
      <c r="H365" s="2543"/>
      <c r="I365" s="2543"/>
      <c r="J365" s="2543"/>
      <c r="K365" s="2543"/>
      <c r="L365" s="2543"/>
      <c r="M365" s="2543"/>
      <c r="N365" s="2543"/>
      <c r="O365" s="2543"/>
      <c r="P365" s="2543"/>
      <c r="Q365" s="2543"/>
      <c r="R365" s="2543"/>
      <c r="S365" s="2543"/>
      <c r="T365" s="2543"/>
      <c r="U365" s="2543"/>
      <c r="V365" s="2543"/>
      <c r="W365" s="2543"/>
      <c r="X365" s="2543"/>
      <c r="Y365" s="2543"/>
      <c r="Z365" s="2543"/>
      <c r="AA365" s="2543"/>
      <c r="AB365" s="2543"/>
      <c r="AC365" s="2543"/>
      <c r="AD365" s="2543"/>
      <c r="AE365" s="2543"/>
      <c r="AF365" s="2543"/>
      <c r="AG365" s="2543"/>
      <c r="AH365" s="2543"/>
      <c r="AI365" s="2543"/>
      <c r="AJ365" s="2543"/>
      <c r="AK365" s="604"/>
      <c r="AL365" s="604"/>
      <c r="AM365" s="604"/>
      <c r="AN365" s="598"/>
      <c r="AO365" s="698"/>
      <c r="AP365" s="699">
        <f>IF(C423="Yes",3,0)</f>
        <v>0</v>
      </c>
    </row>
    <row r="366" spans="1:46" s="551" customFormat="1" ht="12.4" customHeight="1">
      <c r="A366" s="604"/>
      <c r="B366" s="612"/>
      <c r="C366" s="2543"/>
      <c r="D366" s="2543"/>
      <c r="E366" s="2543"/>
      <c r="F366" s="2543"/>
      <c r="G366" s="2543"/>
      <c r="H366" s="2543"/>
      <c r="I366" s="2543"/>
      <c r="J366" s="2543"/>
      <c r="K366" s="2543"/>
      <c r="L366" s="2543"/>
      <c r="M366" s="2543"/>
      <c r="N366" s="2543"/>
      <c r="O366" s="2543"/>
      <c r="P366" s="2543"/>
      <c r="Q366" s="2543"/>
      <c r="R366" s="2543"/>
      <c r="S366" s="2543"/>
      <c r="T366" s="2543"/>
      <c r="U366" s="2543"/>
      <c r="V366" s="2543"/>
      <c r="W366" s="2543"/>
      <c r="X366" s="2543"/>
      <c r="Y366" s="2543"/>
      <c r="Z366" s="2543"/>
      <c r="AA366" s="2543"/>
      <c r="AB366" s="2543"/>
      <c r="AC366" s="2543"/>
      <c r="AD366" s="2543"/>
      <c r="AE366" s="2543"/>
      <c r="AF366" s="2543"/>
      <c r="AG366" s="2543"/>
      <c r="AH366" s="2543"/>
      <c r="AI366" s="2543"/>
      <c r="AJ366" s="2543"/>
      <c r="AK366" s="604"/>
      <c r="AL366" s="604"/>
      <c r="AM366" s="604"/>
      <c r="AN366" s="598"/>
      <c r="AO366" s="700" t="s">
        <v>226</v>
      </c>
      <c r="AP366" s="701">
        <f>SUM(AP357:AP365)</f>
        <v>10</v>
      </c>
      <c r="AQ366" s="2452">
        <f>IF(AP366&gt;0,AP366,0)</f>
        <v>10</v>
      </c>
      <c r="AR366" s="2452"/>
    </row>
    <row r="367" spans="1:46" s="551" customFormat="1" ht="12.75" customHeight="1">
      <c r="A367" s="604"/>
      <c r="B367" s="612"/>
      <c r="C367" s="2543"/>
      <c r="D367" s="2543"/>
      <c r="E367" s="2543"/>
      <c r="F367" s="2543"/>
      <c r="G367" s="2543"/>
      <c r="H367" s="2543"/>
      <c r="I367" s="2543"/>
      <c r="J367" s="2543"/>
      <c r="K367" s="2543"/>
      <c r="L367" s="2543"/>
      <c r="M367" s="2543"/>
      <c r="N367" s="2543"/>
      <c r="O367" s="2543"/>
      <c r="P367" s="2543"/>
      <c r="Q367" s="2543"/>
      <c r="R367" s="2543"/>
      <c r="S367" s="2543"/>
      <c r="T367" s="2543"/>
      <c r="U367" s="2543"/>
      <c r="V367" s="2543"/>
      <c r="W367" s="2543"/>
      <c r="X367" s="2543"/>
      <c r="Y367" s="2543"/>
      <c r="Z367" s="2543"/>
      <c r="AA367" s="2543"/>
      <c r="AB367" s="2543"/>
      <c r="AC367" s="2543"/>
      <c r="AD367" s="2543"/>
      <c r="AE367" s="2543"/>
      <c r="AF367" s="2543"/>
      <c r="AG367" s="2543"/>
      <c r="AH367" s="2543"/>
      <c r="AI367" s="2543"/>
      <c r="AJ367" s="2543"/>
      <c r="AK367" s="604"/>
      <c r="AL367" s="604"/>
      <c r="AM367" s="604"/>
      <c r="AN367" s="598"/>
      <c r="AP367" s="571"/>
    </row>
    <row r="368" spans="1:46" s="551" customFormat="1" ht="12.75" customHeight="1">
      <c r="A368" s="604"/>
      <c r="B368" s="612"/>
      <c r="C368" s="693"/>
      <c r="D368" s="693"/>
      <c r="E368" s="693"/>
      <c r="F368" s="693"/>
      <c r="G368" s="693"/>
      <c r="H368" s="693"/>
      <c r="I368" s="693"/>
      <c r="J368" s="693"/>
      <c r="K368" s="693"/>
      <c r="L368" s="693"/>
      <c r="M368" s="693"/>
      <c r="N368" s="693"/>
      <c r="O368" s="693"/>
      <c r="P368" s="693"/>
      <c r="Q368" s="693"/>
      <c r="R368" s="693"/>
      <c r="S368" s="693"/>
      <c r="T368" s="693"/>
      <c r="U368" s="693"/>
      <c r="V368" s="693"/>
      <c r="W368" s="693"/>
      <c r="X368" s="693"/>
      <c r="Y368" s="693"/>
      <c r="Z368" s="693"/>
      <c r="AA368" s="693"/>
      <c r="AB368" s="693"/>
      <c r="AC368" s="693"/>
      <c r="AD368" s="693"/>
      <c r="AE368" s="693"/>
      <c r="AF368" s="693"/>
      <c r="AG368" s="693"/>
      <c r="AH368" s="693"/>
      <c r="AI368" s="693"/>
      <c r="AJ368" s="693"/>
      <c r="AK368" s="604"/>
      <c r="AL368" s="604"/>
      <c r="AM368" s="604"/>
      <c r="AN368" s="598"/>
      <c r="AO368" s="696" t="s">
        <v>454</v>
      </c>
      <c r="AP368" s="697">
        <f>IF(C430="Yes",5,0)</f>
        <v>0</v>
      </c>
    </row>
    <row r="369" spans="1:81" s="551" customFormat="1" ht="12.75" customHeight="1">
      <c r="A369" s="604"/>
      <c r="B369" s="612"/>
      <c r="C369" s="2449" t="s">
        <v>1457</v>
      </c>
      <c r="D369" s="2449"/>
      <c r="E369" s="2449"/>
      <c r="F369" s="2449"/>
      <c r="G369" s="2449"/>
      <c r="H369" s="2449"/>
      <c r="I369" s="2449"/>
      <c r="J369" s="2449"/>
      <c r="K369" s="2449"/>
      <c r="L369" s="2449"/>
      <c r="M369" s="2449"/>
      <c r="N369" s="2449"/>
      <c r="O369" s="2449"/>
      <c r="P369" s="2449"/>
      <c r="Q369" s="2449"/>
      <c r="R369" s="2449"/>
      <c r="S369" s="2449"/>
      <c r="T369" s="2449"/>
      <c r="U369" s="2449"/>
      <c r="V369" s="2449"/>
      <c r="W369" s="2449"/>
      <c r="X369" s="2449"/>
      <c r="Y369" s="2449"/>
      <c r="Z369" s="2449"/>
      <c r="AA369" s="2449"/>
      <c r="AB369" s="2449"/>
      <c r="AC369" s="2449"/>
      <c r="AD369" s="2449"/>
      <c r="AE369" s="2449"/>
      <c r="AF369" s="2449"/>
      <c r="AG369" s="2449"/>
      <c r="AH369" s="2449"/>
      <c r="AI369" s="2449"/>
      <c r="AJ369" s="2449"/>
      <c r="AK369" s="604"/>
      <c r="AL369" s="604"/>
      <c r="AM369" s="604"/>
      <c r="AN369" s="598"/>
      <c r="AO369" s="696" t="s">
        <v>455</v>
      </c>
      <c r="AP369" s="697">
        <f>IF(C442="Yes",5,0)</f>
        <v>0</v>
      </c>
    </row>
    <row r="370" spans="1:81" s="551" customFormat="1" ht="12.75" customHeight="1">
      <c r="A370" s="604"/>
      <c r="B370" s="612"/>
      <c r="C370" s="2449"/>
      <c r="D370" s="2449"/>
      <c r="E370" s="2449"/>
      <c r="F370" s="2449"/>
      <c r="G370" s="2449"/>
      <c r="H370" s="2449"/>
      <c r="I370" s="2449"/>
      <c r="J370" s="2449"/>
      <c r="K370" s="2449"/>
      <c r="L370" s="2449"/>
      <c r="M370" s="2449"/>
      <c r="N370" s="2449"/>
      <c r="O370" s="2449"/>
      <c r="P370" s="2449"/>
      <c r="Q370" s="2449"/>
      <c r="R370" s="2449"/>
      <c r="S370" s="2449"/>
      <c r="T370" s="2449"/>
      <c r="U370" s="2449"/>
      <c r="V370" s="2449"/>
      <c r="W370" s="2449"/>
      <c r="X370" s="2449"/>
      <c r="Y370" s="2449"/>
      <c r="Z370" s="2449"/>
      <c r="AA370" s="2449"/>
      <c r="AB370" s="2449"/>
      <c r="AC370" s="2449"/>
      <c r="AD370" s="2449"/>
      <c r="AE370" s="2449"/>
      <c r="AF370" s="2449"/>
      <c r="AG370" s="2449"/>
      <c r="AH370" s="2449"/>
      <c r="AI370" s="2449"/>
      <c r="AJ370" s="2449"/>
      <c r="AK370" s="604"/>
      <c r="AL370" s="604"/>
      <c r="AM370" s="604"/>
      <c r="AN370" s="598"/>
      <c r="AO370" s="696" t="s">
        <v>460</v>
      </c>
      <c r="AP370" s="697">
        <f>IF(C449="Yes",5,0)</f>
        <v>0</v>
      </c>
    </row>
    <row r="371" spans="1:81" s="551" customFormat="1" ht="68.150000000000006" customHeight="1">
      <c r="A371" s="604"/>
      <c r="B371" s="612"/>
      <c r="C371" s="2449"/>
      <c r="D371" s="2449"/>
      <c r="E371" s="2449"/>
      <c r="F371" s="2449"/>
      <c r="G371" s="2449"/>
      <c r="H371" s="2449"/>
      <c r="I371" s="2449"/>
      <c r="J371" s="2449"/>
      <c r="K371" s="2449"/>
      <c r="L371" s="2449"/>
      <c r="M371" s="2449"/>
      <c r="N371" s="2449"/>
      <c r="O371" s="2449"/>
      <c r="P371" s="2449"/>
      <c r="Q371" s="2449"/>
      <c r="R371" s="2449"/>
      <c r="S371" s="2449"/>
      <c r="T371" s="2449"/>
      <c r="U371" s="2449"/>
      <c r="V371" s="2449"/>
      <c r="W371" s="2449"/>
      <c r="X371" s="2449"/>
      <c r="Y371" s="2449"/>
      <c r="Z371" s="2449"/>
      <c r="AA371" s="2449"/>
      <c r="AB371" s="2449"/>
      <c r="AC371" s="2449"/>
      <c r="AD371" s="2449"/>
      <c r="AE371" s="2449"/>
      <c r="AF371" s="2449"/>
      <c r="AG371" s="2449"/>
      <c r="AH371" s="2449"/>
      <c r="AI371" s="2449"/>
      <c r="AJ371" s="2449"/>
      <c r="AK371" s="604"/>
      <c r="AL371" s="604"/>
      <c r="AM371" s="604"/>
      <c r="AN371" s="598"/>
      <c r="AO371" s="696" t="s">
        <v>645</v>
      </c>
      <c r="AP371" s="702">
        <f>IF(C453="Yes",5,0)</f>
        <v>0</v>
      </c>
    </row>
    <row r="372" spans="1:81" s="551" customFormat="1" ht="12.4" customHeight="1">
      <c r="A372" s="604"/>
      <c r="B372" s="612"/>
      <c r="C372" s="551" t="s">
        <v>1458</v>
      </c>
      <c r="AF372" s="604"/>
      <c r="AG372" s="604"/>
      <c r="AH372" s="604"/>
      <c r="AI372" s="604"/>
      <c r="AJ372" s="604"/>
      <c r="AK372" s="604"/>
      <c r="AL372" s="604"/>
      <c r="AM372" s="604"/>
      <c r="AN372" s="598"/>
      <c r="AO372" s="696" t="s">
        <v>361</v>
      </c>
      <c r="AP372" s="697">
        <f>IF(C457="Yes",5,0)</f>
        <v>0</v>
      </c>
    </row>
    <row r="373" spans="1:81" s="551" customFormat="1" ht="12.75" customHeight="1">
      <c r="A373" s="604"/>
      <c r="B373" s="612"/>
      <c r="C373" s="703" t="s">
        <v>2211</v>
      </c>
      <c r="D373" s="704"/>
      <c r="E373" s="704"/>
      <c r="F373" s="704"/>
      <c r="G373" s="704"/>
      <c r="H373" s="704"/>
      <c r="I373" s="704"/>
      <c r="J373" s="704"/>
      <c r="K373" s="704"/>
      <c r="L373" s="704"/>
      <c r="M373" s="668"/>
      <c r="N373" s="668"/>
      <c r="O373" s="705"/>
      <c r="P373" s="704"/>
      <c r="Q373" s="704"/>
      <c r="R373" s="668"/>
      <c r="S373" s="668"/>
      <c r="T373" s="704"/>
      <c r="U373" s="2450">
        <f>Application!DU802-U374</f>
        <v>60</v>
      </c>
      <c r="V373" s="2450"/>
      <c r="W373" s="2450"/>
      <c r="X373" s="704"/>
      <c r="Y373" s="704"/>
      <c r="Z373" s="704"/>
      <c r="AA373" s="706"/>
      <c r="AB373" s="707"/>
      <c r="AC373" s="707"/>
      <c r="AD373" s="707"/>
      <c r="AE373" s="604"/>
      <c r="AF373" s="604"/>
      <c r="AG373" s="604"/>
      <c r="AH373" s="604"/>
      <c r="AI373" s="604"/>
      <c r="AJ373" s="604"/>
      <c r="AK373" s="604"/>
      <c r="AL373" s="604"/>
      <c r="AM373" s="604"/>
      <c r="AN373" s="598"/>
      <c r="AO373" s="696" t="s">
        <v>362</v>
      </c>
      <c r="AP373" s="697">
        <f>IF(C466="Yes",5,0)</f>
        <v>0</v>
      </c>
    </row>
    <row r="374" spans="1:81" s="551" customFormat="1" ht="12.75" customHeight="1">
      <c r="A374" s="604"/>
      <c r="B374" s="612"/>
      <c r="C374" s="708" t="s">
        <v>2212</v>
      </c>
      <c r="D374" s="695"/>
      <c r="E374" s="695"/>
      <c r="F374" s="695"/>
      <c r="G374" s="695"/>
      <c r="H374" s="695"/>
      <c r="I374" s="695"/>
      <c r="J374" s="695"/>
      <c r="K374" s="695"/>
      <c r="L374" s="695"/>
      <c r="M374" s="695"/>
      <c r="N374" s="695"/>
      <c r="O374" s="695"/>
      <c r="P374" s="695"/>
      <c r="Q374" s="695"/>
      <c r="R374" s="695"/>
      <c r="S374" s="695"/>
      <c r="T374" s="695"/>
      <c r="U374" s="2451">
        <f>IF(Application!D211="SRO",Application!DU755,Application!AG756)</f>
        <v>0</v>
      </c>
      <c r="V374" s="2451"/>
      <c r="W374" s="2451"/>
      <c r="X374" s="695"/>
      <c r="Y374" s="695"/>
      <c r="Z374" s="695"/>
      <c r="AA374" s="709"/>
      <c r="AC374" s="710"/>
      <c r="AD374" s="710"/>
      <c r="AE374" s="604"/>
      <c r="AF374" s="604"/>
      <c r="AG374" s="604"/>
      <c r="AH374" s="604"/>
      <c r="AI374" s="604"/>
      <c r="AJ374" s="604"/>
      <c r="AK374" s="604"/>
      <c r="AL374" s="604"/>
      <c r="AM374" s="604"/>
      <c r="AN374" s="598"/>
      <c r="AO374" s="698"/>
      <c r="AP374" s="699"/>
    </row>
    <row r="375" spans="1:81" s="551" customFormat="1" ht="12.75" customHeight="1">
      <c r="A375" s="604"/>
      <c r="B375" s="612"/>
      <c r="C375" s="597"/>
      <c r="U375" s="788"/>
      <c r="V375" s="788"/>
      <c r="W375" s="788"/>
      <c r="AC375" s="710"/>
      <c r="AD375" s="710"/>
      <c r="AE375" s="604"/>
      <c r="AF375" s="604"/>
      <c r="AG375" s="604"/>
      <c r="AH375" s="604"/>
      <c r="AI375" s="604"/>
      <c r="AJ375" s="604"/>
      <c r="AK375" s="604"/>
      <c r="AL375" s="604"/>
      <c r="AM375" s="604"/>
      <c r="AN375" s="598"/>
      <c r="AO375" s="711" t="s">
        <v>226</v>
      </c>
      <c r="AP375" s="712">
        <f>SUM(AP368:AP373)</f>
        <v>0</v>
      </c>
      <c r="AQ375" s="2452">
        <f>IF(AP375&gt;0,AP375,0)</f>
        <v>0</v>
      </c>
      <c r="AR375" s="2452"/>
    </row>
    <row r="376" spans="1:81" s="551" customFormat="1" ht="12.75" customHeight="1">
      <c r="A376" s="604"/>
      <c r="B376" s="14"/>
      <c r="C376" s="713" t="s">
        <v>2209</v>
      </c>
      <c r="D376" s="604"/>
      <c r="E376" s="604"/>
      <c r="F376" s="604"/>
      <c r="G376" s="604"/>
      <c r="H376" s="604"/>
      <c r="I376" s="604"/>
      <c r="J376" s="604"/>
      <c r="K376" s="604"/>
      <c r="L376" s="604"/>
      <c r="M376" s="604"/>
      <c r="N376" s="604"/>
      <c r="O376" s="604"/>
      <c r="P376" s="604"/>
      <c r="Q376" s="604"/>
      <c r="R376" s="604"/>
      <c r="S376" s="604"/>
      <c r="T376" s="604"/>
      <c r="U376" s="604"/>
      <c r="V376" s="604"/>
      <c r="W376" s="604"/>
      <c r="X376" s="604"/>
      <c r="Y376" s="604"/>
      <c r="Z376" s="604"/>
      <c r="AA376" s="604"/>
      <c r="AB376" s="604"/>
      <c r="AC376" s="604"/>
      <c r="AD376" s="604"/>
      <c r="AE376" s="604"/>
      <c r="AF376" s="604"/>
      <c r="AG376" s="604"/>
      <c r="AH376" s="604"/>
      <c r="AI376" s="604"/>
      <c r="AJ376" s="604"/>
      <c r="AK376" s="604"/>
      <c r="AL376" s="604"/>
      <c r="AM376" s="604"/>
      <c r="AN376" s="598"/>
      <c r="BS376" s="30"/>
      <c r="BT376" s="30"/>
      <c r="BU376" s="14"/>
      <c r="BV376" s="14"/>
      <c r="BW376" s="14"/>
    </row>
    <row r="377" spans="1:81" s="551" customFormat="1" ht="12.75" customHeight="1">
      <c r="A377" s="537"/>
      <c r="B377" s="14"/>
      <c r="C377" s="714"/>
      <c r="D377" s="715"/>
      <c r="E377" s="716" t="s">
        <v>1314</v>
      </c>
      <c r="F377" s="2443" t="s">
        <v>1459</v>
      </c>
      <c r="G377" s="2443"/>
      <c r="H377" s="2443"/>
      <c r="I377" s="2443"/>
      <c r="J377" s="2443"/>
      <c r="K377" s="2443"/>
      <c r="L377" s="2443"/>
      <c r="M377" s="2443"/>
      <c r="N377" s="2443"/>
      <c r="O377" s="2443"/>
      <c r="P377" s="2443"/>
      <c r="Q377" s="2443"/>
      <c r="R377" s="2443"/>
      <c r="S377" s="2443"/>
      <c r="T377" s="2443"/>
      <c r="U377" s="2443"/>
      <c r="V377" s="2443"/>
      <c r="W377" s="2443"/>
      <c r="X377" s="2443"/>
      <c r="Y377" s="2443"/>
      <c r="Z377" s="2443"/>
      <c r="AA377" s="2443"/>
      <c r="AB377" s="2443"/>
      <c r="AC377" s="2443"/>
      <c r="AD377" s="2443"/>
      <c r="AE377" s="2443"/>
      <c r="AF377" s="2443"/>
      <c r="AG377" s="717"/>
      <c r="AH377" s="717"/>
      <c r="AI377" s="717"/>
      <c r="AJ377" s="717"/>
      <c r="AK377" s="717"/>
      <c r="AL377" s="718"/>
      <c r="AM377" s="571"/>
      <c r="AN377" s="598"/>
      <c r="AP377" s="571"/>
      <c r="BS377" s="30"/>
      <c r="BT377" s="30"/>
      <c r="BU377" s="14"/>
      <c r="BV377" s="14"/>
      <c r="BW377" s="14"/>
      <c r="BX377" s="14"/>
      <c r="BY377" s="14"/>
      <c r="BZ377" s="14"/>
      <c r="CA377" s="14"/>
      <c r="CB377" s="14"/>
      <c r="CC377" s="14"/>
    </row>
    <row r="378" spans="1:81" s="551" customFormat="1" ht="12.75" customHeight="1">
      <c r="A378" s="537"/>
      <c r="B378" s="14"/>
      <c r="C378" s="719"/>
      <c r="D378" s="537"/>
      <c r="E378" s="720"/>
      <c r="F378" s="2444"/>
      <c r="G378" s="2444"/>
      <c r="H378" s="2444"/>
      <c r="I378" s="2444"/>
      <c r="J378" s="2444"/>
      <c r="K378" s="2444"/>
      <c r="L378" s="2444"/>
      <c r="M378" s="2444"/>
      <c r="N378" s="2444"/>
      <c r="O378" s="2444"/>
      <c r="P378" s="2444"/>
      <c r="Q378" s="2444"/>
      <c r="R378" s="2444"/>
      <c r="S378" s="2444"/>
      <c r="T378" s="2444"/>
      <c r="U378" s="2444"/>
      <c r="V378" s="2444"/>
      <c r="W378" s="2444"/>
      <c r="X378" s="2444"/>
      <c r="Y378" s="2444"/>
      <c r="Z378" s="2444"/>
      <c r="AA378" s="2444"/>
      <c r="AB378" s="2444"/>
      <c r="AC378" s="2444"/>
      <c r="AD378" s="2444"/>
      <c r="AE378" s="2444"/>
      <c r="AF378" s="2444"/>
      <c r="AG378" s="540"/>
      <c r="AH378" s="540"/>
      <c r="AI378" s="540"/>
      <c r="AJ378" s="540"/>
      <c r="AK378" s="540"/>
      <c r="AL378" s="721"/>
      <c r="AM378" s="571"/>
      <c r="AN378" s="598"/>
      <c r="AP378" s="571"/>
      <c r="BS378" s="30"/>
      <c r="BT378" s="30"/>
      <c r="BU378" s="14"/>
      <c r="BV378" s="14"/>
      <c r="BW378" s="14"/>
      <c r="BX378" s="14"/>
      <c r="BY378" s="14"/>
      <c r="BZ378" s="14"/>
      <c r="CA378" s="14"/>
      <c r="CB378" s="14"/>
      <c r="CC378" s="14"/>
    </row>
    <row r="379" spans="1:81" s="551" customFormat="1" ht="12.75" customHeight="1">
      <c r="A379" s="537"/>
      <c r="B379" s="14"/>
      <c r="C379" s="719"/>
      <c r="D379" s="537"/>
      <c r="E379" s="720"/>
      <c r="F379" s="2444"/>
      <c r="G379" s="2444"/>
      <c r="H379" s="2444"/>
      <c r="I379" s="2444"/>
      <c r="J379" s="2444"/>
      <c r="K379" s="2444"/>
      <c r="L379" s="2444"/>
      <c r="M379" s="2444"/>
      <c r="N379" s="2444"/>
      <c r="O379" s="2444"/>
      <c r="P379" s="2444"/>
      <c r="Q379" s="2444"/>
      <c r="R379" s="2444"/>
      <c r="S379" s="2444"/>
      <c r="T379" s="2444"/>
      <c r="U379" s="2444"/>
      <c r="V379" s="2444"/>
      <c r="W379" s="2444"/>
      <c r="X379" s="2444"/>
      <c r="Y379" s="2444"/>
      <c r="Z379" s="2444"/>
      <c r="AA379" s="2444"/>
      <c r="AB379" s="2444"/>
      <c r="AC379" s="2444"/>
      <c r="AD379" s="2444"/>
      <c r="AE379" s="2444"/>
      <c r="AF379" s="2444"/>
      <c r="AG379" s="540"/>
      <c r="AH379" s="540"/>
      <c r="AI379" s="540"/>
      <c r="AJ379" s="540"/>
      <c r="AK379" s="540"/>
      <c r="AL379" s="721"/>
      <c r="AM379" s="571"/>
      <c r="AN379" s="598"/>
      <c r="BS379" s="30"/>
      <c r="BT379" s="30"/>
      <c r="BU379" s="14"/>
      <c r="BV379" s="14"/>
      <c r="BW379" s="14"/>
      <c r="BX379" s="14"/>
      <c r="BY379" s="14"/>
      <c r="BZ379" s="14"/>
      <c r="CA379" s="14"/>
      <c r="CB379" s="14"/>
      <c r="CC379" s="14"/>
    </row>
    <row r="380" spans="1:81" s="551" customFormat="1" ht="12.75" customHeight="1">
      <c r="A380" s="537"/>
      <c r="B380" s="14"/>
      <c r="C380" s="719"/>
      <c r="D380" s="537"/>
      <c r="E380" s="720"/>
      <c r="F380" s="2444"/>
      <c r="G380" s="2444"/>
      <c r="H380" s="2444"/>
      <c r="I380" s="2444"/>
      <c r="J380" s="2444"/>
      <c r="K380" s="2444"/>
      <c r="L380" s="2444"/>
      <c r="M380" s="2444"/>
      <c r="N380" s="2444"/>
      <c r="O380" s="2444"/>
      <c r="P380" s="2444"/>
      <c r="Q380" s="2444"/>
      <c r="R380" s="2444"/>
      <c r="S380" s="2444"/>
      <c r="T380" s="2444"/>
      <c r="U380" s="2444"/>
      <c r="V380" s="2444"/>
      <c r="W380" s="2444"/>
      <c r="X380" s="2444"/>
      <c r="Y380" s="2444"/>
      <c r="Z380" s="2444"/>
      <c r="AA380" s="2444"/>
      <c r="AB380" s="2444"/>
      <c r="AC380" s="2444"/>
      <c r="AD380" s="2444"/>
      <c r="AE380" s="2444"/>
      <c r="AF380" s="2444"/>
      <c r="AG380" s="540"/>
      <c r="AH380" s="540"/>
      <c r="AI380" s="540"/>
      <c r="AJ380" s="540"/>
      <c r="AK380" s="540"/>
      <c r="AL380" s="721"/>
      <c r="AM380" s="571"/>
      <c r="AN380" s="598"/>
      <c r="BS380" s="30"/>
      <c r="BT380" s="30"/>
      <c r="BU380" s="14"/>
      <c r="BV380" s="14"/>
      <c r="BW380" s="14"/>
      <c r="BX380" s="14"/>
      <c r="BY380" s="14"/>
      <c r="BZ380" s="14"/>
      <c r="CA380" s="14"/>
      <c r="CB380" s="14"/>
      <c r="CC380" s="14"/>
    </row>
    <row r="381" spans="1:81" s="551" customFormat="1" ht="12.75" customHeight="1">
      <c r="A381" s="537"/>
      <c r="B381" s="14"/>
      <c r="C381" s="2453" t="s">
        <v>544</v>
      </c>
      <c r="D381" s="2454"/>
      <c r="E381" s="720"/>
      <c r="F381" s="722" t="s">
        <v>1460</v>
      </c>
      <c r="G381" s="604"/>
      <c r="H381" s="604"/>
      <c r="I381" s="604"/>
      <c r="J381" s="604"/>
      <c r="K381" s="604"/>
      <c r="L381" s="604"/>
      <c r="M381" s="604"/>
      <c r="N381" s="604"/>
      <c r="O381" s="604"/>
      <c r="P381" s="604"/>
      <c r="Q381" s="604"/>
      <c r="R381" s="604"/>
      <c r="S381" s="604"/>
      <c r="T381" s="604"/>
      <c r="U381" s="604"/>
      <c r="V381" s="604"/>
      <c r="W381" s="604"/>
      <c r="X381" s="604"/>
      <c r="Y381" s="604"/>
      <c r="Z381" s="604"/>
      <c r="AA381" s="604"/>
      <c r="AB381" s="604"/>
      <c r="AC381" s="604"/>
      <c r="AD381" s="604"/>
      <c r="AF381" s="2455" t="s">
        <v>1461</v>
      </c>
      <c r="AG381" s="2455"/>
      <c r="AH381" s="2455"/>
      <c r="AI381" s="2455"/>
      <c r="AJ381" s="2455"/>
      <c r="AK381" s="2455"/>
      <c r="AL381" s="2456"/>
      <c r="AM381" s="723"/>
      <c r="BS381" s="30"/>
      <c r="BT381" s="30"/>
      <c r="BU381" s="14"/>
      <c r="BV381" s="14"/>
      <c r="BW381" s="14"/>
      <c r="BX381" s="14"/>
      <c r="BY381" s="14"/>
      <c r="BZ381" s="14"/>
      <c r="CA381" s="14"/>
      <c r="CB381" s="14"/>
      <c r="CC381" s="14"/>
    </row>
    <row r="382" spans="1:81" s="551" customFormat="1" ht="12.75" customHeight="1">
      <c r="A382" s="537"/>
      <c r="B382" s="14"/>
      <c r="C382" s="757"/>
      <c r="D382" s="724"/>
      <c r="E382" s="725"/>
      <c r="F382" s="726"/>
      <c r="G382" s="727"/>
      <c r="H382" s="727"/>
      <c r="I382" s="727"/>
      <c r="J382" s="727"/>
      <c r="K382" s="727"/>
      <c r="L382" s="727"/>
      <c r="M382" s="727"/>
      <c r="N382" s="727"/>
      <c r="O382" s="727"/>
      <c r="P382" s="727"/>
      <c r="Q382" s="727"/>
      <c r="R382" s="727"/>
      <c r="S382" s="727"/>
      <c r="T382" s="727"/>
      <c r="U382" s="727"/>
      <c r="V382" s="727"/>
      <c r="W382" s="727"/>
      <c r="X382" s="727"/>
      <c r="Y382" s="727"/>
      <c r="Z382" s="727"/>
      <c r="AA382" s="727"/>
      <c r="AB382" s="727"/>
      <c r="AC382" s="727"/>
      <c r="AD382" s="727"/>
      <c r="AE382" s="728"/>
      <c r="AF382" s="728"/>
      <c r="AG382" s="728"/>
      <c r="AH382" s="728"/>
      <c r="AI382" s="728"/>
      <c r="AJ382" s="728"/>
      <c r="AK382" s="728"/>
      <c r="AL382" s="758"/>
      <c r="AM382" s="730"/>
      <c r="AN382" s="598"/>
      <c r="CC382" s="14"/>
    </row>
    <row r="383" spans="1:81" s="551" customFormat="1" ht="12.75" customHeight="1">
      <c r="A383" s="537"/>
      <c r="B383" s="14"/>
      <c r="C383" s="731"/>
      <c r="D383" s="731"/>
      <c r="E383" s="720"/>
      <c r="F383" s="677"/>
      <c r="G383" s="677"/>
      <c r="H383" s="677"/>
      <c r="I383" s="677"/>
      <c r="J383" s="677"/>
      <c r="K383" s="677"/>
      <c r="L383" s="677"/>
      <c r="M383" s="677"/>
      <c r="N383" s="677"/>
      <c r="O383" s="677"/>
      <c r="P383" s="677"/>
      <c r="Q383" s="677"/>
      <c r="R383" s="677"/>
      <c r="S383" s="677"/>
      <c r="T383" s="677"/>
      <c r="U383" s="677"/>
      <c r="V383" s="677"/>
      <c r="W383" s="677"/>
      <c r="X383" s="677"/>
      <c r="Y383" s="677"/>
      <c r="Z383" s="677"/>
      <c r="AA383" s="677"/>
      <c r="AB383" s="677"/>
      <c r="AC383" s="677"/>
      <c r="AD383" s="677"/>
      <c r="AE383" s="592"/>
      <c r="AF383" s="592"/>
      <c r="AG383" s="592"/>
      <c r="AH383" s="592"/>
      <c r="AI383" s="592"/>
      <c r="AJ383" s="592"/>
      <c r="AK383" s="592"/>
      <c r="AL383" s="592"/>
      <c r="AM383" s="571"/>
      <c r="AN383" s="598"/>
      <c r="BS383" s="30"/>
      <c r="BT383" s="30"/>
      <c r="BU383" s="14"/>
      <c r="BV383" s="14"/>
      <c r="BW383" s="14"/>
      <c r="BX383" s="14"/>
      <c r="BY383" s="14"/>
      <c r="BZ383" s="14"/>
      <c r="CA383" s="14"/>
      <c r="CB383" s="14"/>
      <c r="CC383" s="14"/>
    </row>
    <row r="384" spans="1:81" s="551" customFormat="1" ht="12.75" customHeight="1">
      <c r="A384" s="537"/>
      <c r="B384" s="14"/>
      <c r="C384" s="714"/>
      <c r="D384" s="715"/>
      <c r="E384" s="716" t="s">
        <v>1316</v>
      </c>
      <c r="F384" s="2443" t="s">
        <v>1462</v>
      </c>
      <c r="G384" s="2443"/>
      <c r="H384" s="2443"/>
      <c r="I384" s="2443"/>
      <c r="J384" s="2443"/>
      <c r="K384" s="2443"/>
      <c r="L384" s="2443"/>
      <c r="M384" s="2443"/>
      <c r="N384" s="2443"/>
      <c r="O384" s="2443"/>
      <c r="P384" s="2443"/>
      <c r="Q384" s="2443"/>
      <c r="R384" s="2443"/>
      <c r="S384" s="2443"/>
      <c r="T384" s="2443"/>
      <c r="U384" s="2443"/>
      <c r="V384" s="2443"/>
      <c r="W384" s="2443"/>
      <c r="X384" s="2443"/>
      <c r="Y384" s="2443"/>
      <c r="Z384" s="2443"/>
      <c r="AA384" s="2443"/>
      <c r="AB384" s="2443"/>
      <c r="AC384" s="2443"/>
      <c r="AD384" s="2443"/>
      <c r="AE384" s="2443"/>
      <c r="AF384" s="2443"/>
      <c r="AG384" s="717"/>
      <c r="AH384" s="717"/>
      <c r="AI384" s="717"/>
      <c r="AJ384" s="717"/>
      <c r="AK384" s="717"/>
      <c r="AL384" s="718"/>
      <c r="AM384" s="571"/>
      <c r="AN384" s="598"/>
      <c r="BS384" s="30"/>
      <c r="BT384" s="30"/>
      <c r="BU384" s="14"/>
      <c r="BV384" s="14"/>
      <c r="BW384" s="14"/>
      <c r="BX384" s="14"/>
      <c r="BY384" s="14"/>
      <c r="BZ384" s="14"/>
      <c r="CA384" s="14"/>
      <c r="CB384" s="14"/>
      <c r="CC384" s="14"/>
    </row>
    <row r="385" spans="1:81" s="551" customFormat="1" ht="12.75" customHeight="1">
      <c r="A385" s="537"/>
      <c r="B385" s="14"/>
      <c r="C385" s="732"/>
      <c r="D385" s="14"/>
      <c r="E385" s="692"/>
      <c r="F385" s="2444"/>
      <c r="G385" s="2444"/>
      <c r="H385" s="2444"/>
      <c r="I385" s="2444"/>
      <c r="J385" s="2444"/>
      <c r="K385" s="2444"/>
      <c r="L385" s="2444"/>
      <c r="M385" s="2444"/>
      <c r="N385" s="2444"/>
      <c r="O385" s="2444"/>
      <c r="P385" s="2444"/>
      <c r="Q385" s="2444"/>
      <c r="R385" s="2444"/>
      <c r="S385" s="2444"/>
      <c r="T385" s="2444"/>
      <c r="U385" s="2444"/>
      <c r="V385" s="2444"/>
      <c r="W385" s="2444"/>
      <c r="X385" s="2444"/>
      <c r="Y385" s="2444"/>
      <c r="Z385" s="2444"/>
      <c r="AA385" s="2444"/>
      <c r="AB385" s="2444"/>
      <c r="AC385" s="2444"/>
      <c r="AD385" s="2444"/>
      <c r="AE385" s="2444"/>
      <c r="AF385" s="2444"/>
      <c r="AG385" s="540"/>
      <c r="AH385" s="540"/>
      <c r="AI385" s="540"/>
      <c r="AJ385" s="540"/>
      <c r="AK385" s="540"/>
      <c r="AL385" s="721"/>
      <c r="AM385" s="571"/>
      <c r="AN385" s="598"/>
      <c r="BS385" s="30"/>
      <c r="BT385" s="30"/>
      <c r="BU385" s="14"/>
      <c r="BV385" s="14"/>
      <c r="BW385" s="14"/>
      <c r="BX385" s="14"/>
      <c r="BY385" s="14"/>
      <c r="BZ385" s="14"/>
      <c r="CA385" s="14"/>
      <c r="CB385" s="14"/>
      <c r="CC385" s="14"/>
    </row>
    <row r="386" spans="1:81" s="551" customFormat="1" ht="12.75" customHeight="1">
      <c r="A386" s="537"/>
      <c r="B386" s="14"/>
      <c r="C386" s="732"/>
      <c r="D386" s="14"/>
      <c r="E386" s="692"/>
      <c r="F386" s="2444"/>
      <c r="G386" s="2444"/>
      <c r="H386" s="2444"/>
      <c r="I386" s="2444"/>
      <c r="J386" s="2444"/>
      <c r="K386" s="2444"/>
      <c r="L386" s="2444"/>
      <c r="M386" s="2444"/>
      <c r="N386" s="2444"/>
      <c r="O386" s="2444"/>
      <c r="P386" s="2444"/>
      <c r="Q386" s="2444"/>
      <c r="R386" s="2444"/>
      <c r="S386" s="2444"/>
      <c r="T386" s="2444"/>
      <c r="U386" s="2444"/>
      <c r="V386" s="2444"/>
      <c r="W386" s="2444"/>
      <c r="X386" s="2444"/>
      <c r="Y386" s="2444"/>
      <c r="Z386" s="2444"/>
      <c r="AA386" s="2444"/>
      <c r="AB386" s="2444"/>
      <c r="AC386" s="2444"/>
      <c r="AD386" s="2444"/>
      <c r="AE386" s="2444"/>
      <c r="AF386" s="2444"/>
      <c r="AG386" s="540"/>
      <c r="AH386" s="540"/>
      <c r="AI386" s="540"/>
      <c r="AJ386" s="540"/>
      <c r="AK386" s="540"/>
      <c r="AL386" s="721"/>
      <c r="AM386" s="571"/>
      <c r="AN386" s="598"/>
      <c r="BS386" s="30"/>
      <c r="BT386" s="30"/>
      <c r="BU386" s="14"/>
      <c r="BV386" s="14"/>
      <c r="BW386" s="14"/>
      <c r="BX386" s="14"/>
      <c r="BY386" s="14"/>
      <c r="BZ386" s="14"/>
      <c r="CA386" s="14"/>
      <c r="CB386" s="14"/>
      <c r="CC386" s="14"/>
    </row>
    <row r="387" spans="1:81" s="551" customFormat="1" ht="12.75" customHeight="1">
      <c r="A387" s="537"/>
      <c r="B387" s="14"/>
      <c r="C387" s="732"/>
      <c r="D387" s="14"/>
      <c r="E387" s="692"/>
      <c r="F387" s="2444"/>
      <c r="G387" s="2444"/>
      <c r="H387" s="2444"/>
      <c r="I387" s="2444"/>
      <c r="J387" s="2444"/>
      <c r="K387" s="2444"/>
      <c r="L387" s="2444"/>
      <c r="M387" s="2444"/>
      <c r="N387" s="2444"/>
      <c r="O387" s="2444"/>
      <c r="P387" s="2444"/>
      <c r="Q387" s="2444"/>
      <c r="R387" s="2444"/>
      <c r="S387" s="2444"/>
      <c r="T387" s="2444"/>
      <c r="U387" s="2444"/>
      <c r="V387" s="2444"/>
      <c r="W387" s="2444"/>
      <c r="X387" s="2444"/>
      <c r="Y387" s="2444"/>
      <c r="Z387" s="2444"/>
      <c r="AA387" s="2444"/>
      <c r="AB387" s="2444"/>
      <c r="AC387" s="2444"/>
      <c r="AD387" s="2444"/>
      <c r="AE387" s="2444"/>
      <c r="AF387" s="2444"/>
      <c r="AG387" s="540"/>
      <c r="AH387" s="540"/>
      <c r="AI387" s="540"/>
      <c r="AJ387" s="540"/>
      <c r="AK387" s="540"/>
      <c r="AL387" s="721"/>
      <c r="AM387" s="571"/>
      <c r="AN387" s="598"/>
      <c r="BS387" s="30"/>
      <c r="BT387" s="30"/>
      <c r="BU387" s="14"/>
      <c r="BV387" s="14"/>
      <c r="BW387" s="14"/>
      <c r="BX387" s="14"/>
      <c r="BY387" s="14"/>
      <c r="BZ387" s="14"/>
      <c r="CA387" s="14"/>
      <c r="CB387" s="14"/>
      <c r="CC387" s="14"/>
    </row>
    <row r="388" spans="1:81" s="551" customFormat="1" ht="12.75" customHeight="1">
      <c r="A388" s="537"/>
      <c r="B388" s="14"/>
      <c r="C388" s="732"/>
      <c r="D388" s="14"/>
      <c r="E388" s="692"/>
      <c r="F388" s="2444"/>
      <c r="G388" s="2444"/>
      <c r="H388" s="2444"/>
      <c r="I388" s="2444"/>
      <c r="J388" s="2444"/>
      <c r="K388" s="2444"/>
      <c r="L388" s="2444"/>
      <c r="M388" s="2444"/>
      <c r="N388" s="2444"/>
      <c r="O388" s="2444"/>
      <c r="P388" s="2444"/>
      <c r="Q388" s="2444"/>
      <c r="R388" s="2444"/>
      <c r="S388" s="2444"/>
      <c r="T388" s="2444"/>
      <c r="U388" s="2444"/>
      <c r="V388" s="2444"/>
      <c r="W388" s="2444"/>
      <c r="X388" s="2444"/>
      <c r="Y388" s="2444"/>
      <c r="Z388" s="2444"/>
      <c r="AA388" s="2444"/>
      <c r="AB388" s="2444"/>
      <c r="AC388" s="2444"/>
      <c r="AD388" s="2444"/>
      <c r="AE388" s="2444"/>
      <c r="AF388" s="2444"/>
      <c r="AL388" s="733"/>
      <c r="AN388" s="598"/>
      <c r="BS388" s="30"/>
      <c r="BT388" s="30"/>
      <c r="BU388" s="14"/>
      <c r="BV388" s="14"/>
      <c r="BW388" s="14"/>
      <c r="BX388" s="14"/>
      <c r="BY388" s="14"/>
      <c r="BZ388" s="14"/>
      <c r="CA388" s="14"/>
      <c r="CB388" s="14"/>
      <c r="CC388" s="14"/>
    </row>
    <row r="389" spans="1:81" s="551" customFormat="1" ht="12.75" customHeight="1">
      <c r="A389" s="537"/>
      <c r="B389" s="14"/>
      <c r="C389" s="2453" t="s">
        <v>590</v>
      </c>
      <c r="D389" s="2454"/>
      <c r="E389" s="692"/>
      <c r="F389" s="722" t="s">
        <v>1463</v>
      </c>
      <c r="G389" s="604"/>
      <c r="H389" s="604"/>
      <c r="I389" s="604"/>
      <c r="J389" s="604"/>
      <c r="K389" s="604"/>
      <c r="L389" s="604"/>
      <c r="M389" s="604"/>
      <c r="N389" s="604"/>
      <c r="O389" s="604"/>
      <c r="P389" s="604"/>
      <c r="Q389" s="604"/>
      <c r="R389" s="604"/>
      <c r="S389" s="604"/>
      <c r="T389" s="604"/>
      <c r="U389" s="604"/>
      <c r="V389" s="604"/>
      <c r="W389" s="604"/>
      <c r="X389" s="604"/>
      <c r="Y389" s="604"/>
      <c r="Z389" s="604"/>
      <c r="AA389" s="604"/>
      <c r="AB389" s="604"/>
      <c r="AC389" s="604"/>
      <c r="AD389" s="604"/>
      <c r="AF389" s="2455" t="s">
        <v>1461</v>
      </c>
      <c r="AG389" s="2455"/>
      <c r="AH389" s="2455"/>
      <c r="AI389" s="2455"/>
      <c r="AJ389" s="2455"/>
      <c r="AK389" s="2455"/>
      <c r="AL389" s="2456"/>
      <c r="AM389" s="730"/>
      <c r="AN389" s="598"/>
      <c r="BS389" s="30"/>
      <c r="BT389" s="30"/>
      <c r="BU389" s="14"/>
      <c r="BV389" s="14"/>
      <c r="BW389" s="14"/>
      <c r="BX389" s="14"/>
      <c r="BY389" s="14"/>
      <c r="BZ389" s="14"/>
      <c r="CA389" s="14"/>
      <c r="CB389" s="14"/>
      <c r="CC389" s="14"/>
    </row>
    <row r="390" spans="1:81" s="551" customFormat="1" ht="12.75" customHeight="1">
      <c r="A390" s="537"/>
      <c r="B390" s="14"/>
      <c r="C390" s="741"/>
      <c r="D390" s="734"/>
      <c r="E390" s="735"/>
      <c r="F390" s="736"/>
      <c r="G390" s="737"/>
      <c r="H390" s="737"/>
      <c r="I390" s="737"/>
      <c r="J390" s="737"/>
      <c r="K390" s="737"/>
      <c r="L390" s="737"/>
      <c r="M390" s="737"/>
      <c r="N390" s="737"/>
      <c r="O390" s="737"/>
      <c r="P390" s="737"/>
      <c r="Q390" s="737"/>
      <c r="R390" s="737"/>
      <c r="S390" s="737"/>
      <c r="T390" s="737"/>
      <c r="U390" s="737"/>
      <c r="V390" s="737"/>
      <c r="W390" s="737"/>
      <c r="X390" s="737"/>
      <c r="Y390" s="737"/>
      <c r="Z390" s="737"/>
      <c r="AA390" s="737"/>
      <c r="AB390" s="737"/>
      <c r="AC390" s="737"/>
      <c r="AD390" s="737"/>
      <c r="AE390" s="738"/>
      <c r="AF390" s="584"/>
      <c r="AG390" s="738"/>
      <c r="AH390" s="728"/>
      <c r="AI390" s="728"/>
      <c r="AJ390" s="728"/>
      <c r="AK390" s="728"/>
      <c r="AL390" s="743"/>
      <c r="AM390" s="730"/>
      <c r="AN390" s="598"/>
      <c r="BS390" s="30"/>
      <c r="BT390" s="30"/>
      <c r="BU390" s="14"/>
      <c r="BV390" s="14"/>
      <c r="BW390" s="14"/>
      <c r="BX390" s="14"/>
      <c r="BY390" s="14"/>
      <c r="BZ390" s="14"/>
      <c r="CA390" s="14"/>
      <c r="CB390" s="14"/>
      <c r="CC390" s="14"/>
    </row>
    <row r="391" spans="1:81" s="551" customFormat="1" ht="12.75" customHeight="1">
      <c r="A391" s="537"/>
      <c r="B391" s="14"/>
      <c r="C391" s="14"/>
      <c r="D391" s="14"/>
      <c r="E391" s="692"/>
      <c r="F391" s="677"/>
      <c r="G391" s="677"/>
      <c r="H391" s="677"/>
      <c r="I391" s="677"/>
      <c r="J391" s="677"/>
      <c r="K391" s="677"/>
      <c r="L391" s="677"/>
      <c r="M391" s="677"/>
      <c r="N391" s="677"/>
      <c r="O391" s="677"/>
      <c r="P391" s="677"/>
      <c r="Q391" s="677"/>
      <c r="R391" s="677"/>
      <c r="S391" s="677"/>
      <c r="T391" s="677"/>
      <c r="U391" s="677"/>
      <c r="V391" s="677"/>
      <c r="W391" s="677"/>
      <c r="X391" s="677"/>
      <c r="Y391" s="677"/>
      <c r="Z391" s="677"/>
      <c r="AA391" s="677"/>
      <c r="AB391" s="677"/>
      <c r="AC391" s="677"/>
      <c r="AD391" s="677"/>
      <c r="AE391" s="537"/>
      <c r="AF391" s="540"/>
      <c r="AG391" s="537"/>
      <c r="AM391" s="571"/>
      <c r="AN391" s="598"/>
      <c r="BS391" s="30"/>
      <c r="BT391" s="30"/>
      <c r="BU391" s="14"/>
      <c r="BV391" s="14"/>
      <c r="BW391" s="14"/>
      <c r="BX391" s="14"/>
      <c r="BY391" s="14"/>
      <c r="BZ391" s="14"/>
      <c r="CA391" s="14"/>
      <c r="CB391" s="14"/>
      <c r="CC391" s="14"/>
    </row>
    <row r="392" spans="1:81" s="551" customFormat="1" ht="12.75" customHeight="1">
      <c r="A392" s="537"/>
      <c r="B392" s="14"/>
      <c r="C392" s="714"/>
      <c r="D392" s="715"/>
      <c r="E392" s="716" t="s">
        <v>1319</v>
      </c>
      <c r="F392" s="2443" t="s">
        <v>1464</v>
      </c>
      <c r="G392" s="2443"/>
      <c r="H392" s="2443"/>
      <c r="I392" s="2443"/>
      <c r="J392" s="2443"/>
      <c r="K392" s="2443"/>
      <c r="L392" s="2443"/>
      <c r="M392" s="2443"/>
      <c r="N392" s="2443"/>
      <c r="O392" s="2443"/>
      <c r="P392" s="2443"/>
      <c r="Q392" s="2443"/>
      <c r="R392" s="2443"/>
      <c r="S392" s="2443"/>
      <c r="T392" s="2443"/>
      <c r="U392" s="2443"/>
      <c r="V392" s="2443"/>
      <c r="W392" s="2443"/>
      <c r="X392" s="2443"/>
      <c r="Y392" s="2443"/>
      <c r="Z392" s="2443"/>
      <c r="AA392" s="2443"/>
      <c r="AB392" s="2443"/>
      <c r="AC392" s="2443"/>
      <c r="AD392" s="2443"/>
      <c r="AE392" s="2443"/>
      <c r="AF392" s="2443"/>
      <c r="AG392" s="717"/>
      <c r="AH392" s="717"/>
      <c r="AI392" s="717"/>
      <c r="AJ392" s="717"/>
      <c r="AK392" s="717"/>
      <c r="AL392" s="718"/>
      <c r="AM392" s="571"/>
      <c r="AN392" s="598"/>
      <c r="BS392" s="571"/>
      <c r="BT392" s="571"/>
      <c r="BU392" s="571"/>
      <c r="BV392" s="571"/>
      <c r="BW392" s="571"/>
      <c r="BX392" s="571"/>
      <c r="BY392" s="571"/>
      <c r="BZ392" s="571"/>
      <c r="CA392" s="571"/>
      <c r="CB392" s="571"/>
      <c r="CC392" s="571"/>
    </row>
    <row r="393" spans="1:81" s="551" customFormat="1" ht="12.75" customHeight="1">
      <c r="A393" s="537"/>
      <c r="B393" s="14"/>
      <c r="C393" s="732"/>
      <c r="D393" s="14"/>
      <c r="E393" s="692"/>
      <c r="F393" s="2444"/>
      <c r="G393" s="2444"/>
      <c r="H393" s="2444"/>
      <c r="I393" s="2444"/>
      <c r="J393" s="2444"/>
      <c r="K393" s="2444"/>
      <c r="L393" s="2444"/>
      <c r="M393" s="2444"/>
      <c r="N393" s="2444"/>
      <c r="O393" s="2444"/>
      <c r="P393" s="2444"/>
      <c r="Q393" s="2444"/>
      <c r="R393" s="2444"/>
      <c r="S393" s="2444"/>
      <c r="T393" s="2444"/>
      <c r="U393" s="2444"/>
      <c r="V393" s="2444"/>
      <c r="W393" s="2444"/>
      <c r="X393" s="2444"/>
      <c r="Y393" s="2444"/>
      <c r="Z393" s="2444"/>
      <c r="AA393" s="2444"/>
      <c r="AB393" s="2444"/>
      <c r="AC393" s="2444"/>
      <c r="AD393" s="2444"/>
      <c r="AE393" s="2444"/>
      <c r="AF393" s="2444"/>
      <c r="AG393" s="540"/>
      <c r="AH393" s="540"/>
      <c r="AI393" s="540"/>
      <c r="AJ393" s="540"/>
      <c r="AK393" s="540"/>
      <c r="AL393" s="721"/>
      <c r="AM393" s="571"/>
      <c r="AN393" s="598"/>
      <c r="BS393" s="571"/>
      <c r="BT393" s="571"/>
      <c r="BU393" s="571"/>
      <c r="BV393" s="571"/>
      <c r="BW393" s="571"/>
      <c r="BX393" s="571"/>
      <c r="BY393" s="571"/>
      <c r="BZ393" s="571"/>
      <c r="CA393" s="571"/>
      <c r="CB393" s="571"/>
      <c r="CC393" s="571"/>
    </row>
    <row r="394" spans="1:81" s="551" customFormat="1" ht="12.75" customHeight="1">
      <c r="A394" s="537"/>
      <c r="B394" s="14"/>
      <c r="C394" s="732"/>
      <c r="D394" s="14"/>
      <c r="E394" s="692"/>
      <c r="F394" s="2444"/>
      <c r="G394" s="2444"/>
      <c r="H394" s="2444"/>
      <c r="I394" s="2444"/>
      <c r="J394" s="2444"/>
      <c r="K394" s="2444"/>
      <c r="L394" s="2444"/>
      <c r="M394" s="2444"/>
      <c r="N394" s="2444"/>
      <c r="O394" s="2444"/>
      <c r="P394" s="2444"/>
      <c r="Q394" s="2444"/>
      <c r="R394" s="2444"/>
      <c r="S394" s="2444"/>
      <c r="T394" s="2444"/>
      <c r="U394" s="2444"/>
      <c r="V394" s="2444"/>
      <c r="W394" s="2444"/>
      <c r="X394" s="2444"/>
      <c r="Y394" s="2444"/>
      <c r="Z394" s="2444"/>
      <c r="AA394" s="2444"/>
      <c r="AB394" s="2444"/>
      <c r="AC394" s="2444"/>
      <c r="AD394" s="2444"/>
      <c r="AE394" s="2444"/>
      <c r="AF394" s="2444"/>
      <c r="AG394" s="540"/>
      <c r="AH394" s="540"/>
      <c r="AI394" s="540"/>
      <c r="AJ394" s="540"/>
      <c r="AK394" s="540"/>
      <c r="AL394" s="721"/>
      <c r="AM394" s="571"/>
      <c r="AN394" s="598"/>
      <c r="BS394" s="571"/>
      <c r="BT394" s="571"/>
      <c r="BU394" s="571"/>
      <c r="BV394" s="571"/>
      <c r="BW394" s="571"/>
      <c r="BX394" s="571"/>
      <c r="BY394" s="571"/>
      <c r="BZ394" s="571"/>
      <c r="CA394" s="571"/>
      <c r="CB394" s="571"/>
      <c r="CC394" s="571"/>
    </row>
    <row r="395" spans="1:81" s="551" customFormat="1" ht="12.75" customHeight="1">
      <c r="A395" s="537"/>
      <c r="B395" s="14"/>
      <c r="C395" s="732"/>
      <c r="D395" s="14"/>
      <c r="E395" s="692"/>
      <c r="F395" s="2444"/>
      <c r="G395" s="2444"/>
      <c r="H395" s="2444"/>
      <c r="I395" s="2444"/>
      <c r="J395" s="2444"/>
      <c r="K395" s="2444"/>
      <c r="L395" s="2444"/>
      <c r="M395" s="2444"/>
      <c r="N395" s="2444"/>
      <c r="O395" s="2444"/>
      <c r="P395" s="2444"/>
      <c r="Q395" s="2444"/>
      <c r="R395" s="2444"/>
      <c r="S395" s="2444"/>
      <c r="T395" s="2444"/>
      <c r="U395" s="2444"/>
      <c r="V395" s="2444"/>
      <c r="W395" s="2444"/>
      <c r="X395" s="2444"/>
      <c r="Y395" s="2444"/>
      <c r="Z395" s="2444"/>
      <c r="AA395" s="2444"/>
      <c r="AB395" s="2444"/>
      <c r="AC395" s="2444"/>
      <c r="AD395" s="2444"/>
      <c r="AE395" s="2444"/>
      <c r="AF395" s="2444"/>
      <c r="AG395" s="540"/>
      <c r="AH395" s="540"/>
      <c r="AI395" s="540"/>
      <c r="AJ395" s="540"/>
      <c r="AK395" s="540"/>
      <c r="AL395" s="721"/>
      <c r="AM395" s="571"/>
      <c r="AN395" s="598"/>
      <c r="BS395" s="571"/>
      <c r="BT395" s="571"/>
      <c r="BU395" s="571"/>
      <c r="BV395" s="571"/>
      <c r="BW395" s="571"/>
      <c r="BX395" s="571"/>
      <c r="BY395" s="571"/>
      <c r="BZ395" s="571"/>
      <c r="CA395" s="571"/>
      <c r="CB395" s="571"/>
      <c r="CC395" s="571"/>
    </row>
    <row r="396" spans="1:81" s="551" customFormat="1" ht="12.75" customHeight="1">
      <c r="A396" s="537"/>
      <c r="B396" s="14"/>
      <c r="C396" s="732"/>
      <c r="D396" s="14"/>
      <c r="E396" s="692"/>
      <c r="F396" s="2444"/>
      <c r="G396" s="2444"/>
      <c r="H396" s="2444"/>
      <c r="I396" s="2444"/>
      <c r="J396" s="2444"/>
      <c r="K396" s="2444"/>
      <c r="L396" s="2444"/>
      <c r="M396" s="2444"/>
      <c r="N396" s="2444"/>
      <c r="O396" s="2444"/>
      <c r="P396" s="2444"/>
      <c r="Q396" s="2444"/>
      <c r="R396" s="2444"/>
      <c r="S396" s="2444"/>
      <c r="T396" s="2444"/>
      <c r="U396" s="2444"/>
      <c r="V396" s="2444"/>
      <c r="W396" s="2444"/>
      <c r="X396" s="2444"/>
      <c r="Y396" s="2444"/>
      <c r="Z396" s="2444"/>
      <c r="AA396" s="2444"/>
      <c r="AB396" s="2444"/>
      <c r="AC396" s="2444"/>
      <c r="AD396" s="2444"/>
      <c r="AE396" s="2444"/>
      <c r="AF396" s="2444"/>
      <c r="AG396" s="540"/>
      <c r="AH396" s="540"/>
      <c r="AI396" s="540"/>
      <c r="AJ396" s="540"/>
      <c r="AK396" s="540"/>
      <c r="AL396" s="721"/>
      <c r="AM396" s="571"/>
      <c r="AN396" s="598"/>
      <c r="BS396" s="571"/>
      <c r="BT396" s="571"/>
      <c r="BU396" s="571"/>
      <c r="BV396" s="571"/>
      <c r="BW396" s="571"/>
      <c r="BX396" s="571"/>
      <c r="BY396" s="571"/>
      <c r="BZ396" s="571"/>
      <c r="CA396" s="571"/>
      <c r="CB396" s="571"/>
      <c r="CC396" s="571"/>
    </row>
    <row r="397" spans="1:81" s="551" customFormat="1" ht="12.75" customHeight="1">
      <c r="A397" s="537"/>
      <c r="B397" s="14"/>
      <c r="C397" s="2453" t="s">
        <v>590</v>
      </c>
      <c r="D397" s="2454"/>
      <c r="E397" s="692"/>
      <c r="F397" s="722" t="s">
        <v>1465</v>
      </c>
      <c r="G397" s="604"/>
      <c r="H397" s="604"/>
      <c r="I397" s="604"/>
      <c r="J397" s="604"/>
      <c r="K397" s="604"/>
      <c r="L397" s="604"/>
      <c r="M397" s="604"/>
      <c r="N397" s="604"/>
      <c r="O397" s="604"/>
      <c r="P397" s="604"/>
      <c r="Q397" s="604"/>
      <c r="R397" s="604"/>
      <c r="S397" s="604"/>
      <c r="T397" s="604"/>
      <c r="U397" s="604"/>
      <c r="V397" s="604"/>
      <c r="W397" s="604"/>
      <c r="X397" s="604"/>
      <c r="Y397" s="604"/>
      <c r="Z397" s="604"/>
      <c r="AA397" s="604"/>
      <c r="AB397" s="604"/>
      <c r="AC397" s="604"/>
      <c r="AD397" s="604"/>
      <c r="AF397" s="2455" t="s">
        <v>1466</v>
      </c>
      <c r="AG397" s="2455"/>
      <c r="AH397" s="2455"/>
      <c r="AI397" s="2455"/>
      <c r="AJ397" s="2455"/>
      <c r="AK397" s="2455"/>
      <c r="AL397" s="2456"/>
      <c r="AM397" s="723"/>
      <c r="BS397" s="571"/>
      <c r="BT397" s="571"/>
      <c r="BU397" s="571"/>
      <c r="BV397" s="571"/>
      <c r="BW397" s="571"/>
      <c r="BX397" s="571"/>
      <c r="BY397" s="571"/>
      <c r="BZ397" s="571"/>
      <c r="CA397" s="571"/>
      <c r="CB397" s="571"/>
      <c r="CC397" s="571"/>
    </row>
    <row r="398" spans="1:81" s="551" customFormat="1" ht="12.75" customHeight="1">
      <c r="A398" s="537"/>
      <c r="B398" s="14"/>
      <c r="C398" s="732"/>
      <c r="D398" s="14"/>
      <c r="E398" s="692"/>
      <c r="F398" s="574"/>
      <c r="G398" s="574"/>
      <c r="H398" s="574"/>
      <c r="I398" s="574"/>
      <c r="J398" s="574"/>
      <c r="K398" s="574"/>
      <c r="L398" s="574"/>
      <c r="M398" s="574"/>
      <c r="N398" s="574"/>
      <c r="O398" s="574"/>
      <c r="P398" s="574"/>
      <c r="Q398" s="574"/>
      <c r="R398" s="574"/>
      <c r="S398" s="574"/>
      <c r="T398" s="574"/>
      <c r="U398" s="574"/>
      <c r="V398" s="574"/>
      <c r="W398" s="574"/>
      <c r="X398" s="574"/>
      <c r="Y398" s="574"/>
      <c r="Z398" s="574"/>
      <c r="AA398" s="574"/>
      <c r="AB398" s="574"/>
      <c r="AC398" s="574"/>
      <c r="AD398" s="574"/>
      <c r="AL398" s="733"/>
      <c r="AM398" s="571"/>
      <c r="AN398" s="598"/>
      <c r="BS398" s="571"/>
      <c r="BT398" s="571"/>
      <c r="BU398" s="571"/>
      <c r="BV398" s="571"/>
      <c r="BW398" s="571"/>
      <c r="BX398" s="571"/>
      <c r="BY398" s="571"/>
      <c r="BZ398" s="571"/>
      <c r="CA398" s="571"/>
      <c r="CB398" s="571"/>
      <c r="CC398" s="571"/>
    </row>
    <row r="399" spans="1:81" s="551" customFormat="1" ht="12.75" customHeight="1">
      <c r="A399" s="537"/>
      <c r="B399" s="14"/>
      <c r="C399" s="2453" t="s">
        <v>544</v>
      </c>
      <c r="D399" s="2454"/>
      <c r="E399" s="692"/>
      <c r="F399" s="739" t="s">
        <v>1467</v>
      </c>
      <c r="G399" s="574"/>
      <c r="H399" s="574"/>
      <c r="I399" s="574"/>
      <c r="J399" s="574"/>
      <c r="K399" s="574"/>
      <c r="L399" s="574"/>
      <c r="M399" s="574"/>
      <c r="N399" s="574"/>
      <c r="O399" s="574"/>
      <c r="P399" s="574"/>
      <c r="Q399" s="574"/>
      <c r="R399" s="574"/>
      <c r="S399" s="574"/>
      <c r="T399" s="574"/>
      <c r="U399" s="574"/>
      <c r="V399" s="574"/>
      <c r="W399" s="574"/>
      <c r="X399" s="574"/>
      <c r="Y399" s="574"/>
      <c r="Z399" s="574"/>
      <c r="AA399" s="574"/>
      <c r="AB399" s="574"/>
      <c r="AC399" s="574"/>
      <c r="AD399" s="574"/>
      <c r="AF399" s="2455" t="s">
        <v>1461</v>
      </c>
      <c r="AG399" s="2455"/>
      <c r="AH399" s="2455"/>
      <c r="AI399" s="2455"/>
      <c r="AJ399" s="2455"/>
      <c r="AK399" s="2455"/>
      <c r="AL399" s="2456"/>
      <c r="AM399" s="571"/>
      <c r="AN399" s="598"/>
      <c r="BS399" s="571"/>
      <c r="BT399" s="571"/>
      <c r="BU399" s="571"/>
    </row>
    <row r="400" spans="1:81" s="551" customFormat="1" ht="12.75" customHeight="1">
      <c r="A400" s="537"/>
      <c r="B400" s="14"/>
      <c r="C400" s="740"/>
      <c r="E400" s="692"/>
      <c r="G400" s="574"/>
      <c r="H400" s="574"/>
      <c r="I400" s="574"/>
      <c r="J400" s="574"/>
      <c r="K400" s="574"/>
      <c r="L400" s="574"/>
      <c r="M400" s="574"/>
      <c r="N400" s="574"/>
      <c r="O400" s="574"/>
      <c r="P400" s="574"/>
      <c r="Q400" s="574"/>
      <c r="R400" s="574"/>
      <c r="S400" s="574"/>
      <c r="T400" s="574"/>
      <c r="U400" s="574"/>
      <c r="V400" s="574"/>
      <c r="W400" s="574"/>
      <c r="X400" s="574"/>
      <c r="Y400" s="574"/>
      <c r="Z400" s="574"/>
      <c r="AA400" s="574"/>
      <c r="AB400" s="574"/>
      <c r="AC400" s="574"/>
      <c r="AD400" s="574"/>
      <c r="AL400" s="733"/>
      <c r="AM400" s="571"/>
      <c r="AN400" s="598"/>
      <c r="BS400" s="571"/>
      <c r="BT400" s="571"/>
      <c r="BU400" s="571"/>
    </row>
    <row r="401" spans="1:81" s="551" customFormat="1" ht="12.75" customHeight="1">
      <c r="A401" s="537"/>
      <c r="B401" s="14"/>
      <c r="C401" s="741"/>
      <c r="D401" s="734"/>
      <c r="E401" s="735"/>
      <c r="F401" s="742" t="s">
        <v>1468</v>
      </c>
      <c r="G401" s="736"/>
      <c r="H401" s="736"/>
      <c r="I401" s="736"/>
      <c r="J401" s="736"/>
      <c r="K401" s="736"/>
      <c r="L401" s="736"/>
      <c r="M401" s="736"/>
      <c r="N401" s="736"/>
      <c r="O401" s="736"/>
      <c r="P401" s="736"/>
      <c r="Q401" s="736"/>
      <c r="R401" s="736"/>
      <c r="S401" s="736"/>
      <c r="T401" s="736"/>
      <c r="U401" s="736"/>
      <c r="V401" s="736"/>
      <c r="W401" s="736"/>
      <c r="X401" s="736"/>
      <c r="Y401" s="736"/>
      <c r="Z401" s="736"/>
      <c r="AA401" s="736"/>
      <c r="AB401" s="736"/>
      <c r="AC401" s="736"/>
      <c r="AD401" s="736"/>
      <c r="AE401" s="738"/>
      <c r="AF401" s="584"/>
      <c r="AG401" s="738"/>
      <c r="AH401" s="728"/>
      <c r="AI401" s="728"/>
      <c r="AJ401" s="728"/>
      <c r="AK401" s="728"/>
      <c r="AL401" s="743"/>
      <c r="AM401" s="571"/>
      <c r="AN401" s="598"/>
      <c r="BS401" s="571"/>
      <c r="BT401" s="571"/>
      <c r="BU401" s="571"/>
    </row>
    <row r="402" spans="1:81" s="551" customFormat="1" ht="12.75" customHeight="1">
      <c r="A402" s="537"/>
      <c r="B402" s="14"/>
      <c r="C402" s="14"/>
      <c r="D402" s="14"/>
      <c r="E402" s="692"/>
      <c r="F402" s="677"/>
      <c r="G402" s="677"/>
      <c r="H402" s="677"/>
      <c r="I402" s="677"/>
      <c r="J402" s="677"/>
      <c r="K402" s="677"/>
      <c r="L402" s="677"/>
      <c r="M402" s="677"/>
      <c r="N402" s="677"/>
      <c r="O402" s="677"/>
      <c r="P402" s="677"/>
      <c r="Q402" s="677"/>
      <c r="R402" s="677"/>
      <c r="S402" s="677"/>
      <c r="T402" s="677"/>
      <c r="U402" s="677"/>
      <c r="V402" s="677"/>
      <c r="W402" s="677"/>
      <c r="X402" s="677"/>
      <c r="Y402" s="677"/>
      <c r="Z402" s="677"/>
      <c r="AA402" s="677"/>
      <c r="AB402" s="677"/>
      <c r="AC402" s="677"/>
      <c r="AD402" s="677"/>
      <c r="AE402" s="537"/>
      <c r="AF402" s="540"/>
      <c r="AG402" s="537"/>
      <c r="AM402" s="571"/>
      <c r="AN402" s="598"/>
      <c r="BS402" s="571"/>
      <c r="BT402" s="571"/>
      <c r="BU402" s="571"/>
    </row>
    <row r="403" spans="1:81" s="551" customFormat="1" ht="12.75" customHeight="1">
      <c r="A403" s="537"/>
      <c r="B403" s="14"/>
      <c r="C403" s="714"/>
      <c r="D403" s="715"/>
      <c r="E403" s="716" t="s">
        <v>1469</v>
      </c>
      <c r="F403" s="2443" t="s">
        <v>1470</v>
      </c>
      <c r="G403" s="2443"/>
      <c r="H403" s="2443"/>
      <c r="I403" s="2443"/>
      <c r="J403" s="2443"/>
      <c r="K403" s="2443"/>
      <c r="L403" s="2443"/>
      <c r="M403" s="2443"/>
      <c r="N403" s="2443"/>
      <c r="O403" s="2443"/>
      <c r="P403" s="2443"/>
      <c r="Q403" s="2443"/>
      <c r="R403" s="2443"/>
      <c r="S403" s="2443"/>
      <c r="T403" s="2443"/>
      <c r="U403" s="2443"/>
      <c r="V403" s="2443"/>
      <c r="W403" s="2443"/>
      <c r="X403" s="2443"/>
      <c r="Y403" s="2443"/>
      <c r="Z403" s="2443"/>
      <c r="AA403" s="2443"/>
      <c r="AB403" s="2443"/>
      <c r="AC403" s="2443"/>
      <c r="AD403" s="2443"/>
      <c r="AE403" s="2443"/>
      <c r="AF403" s="2443"/>
      <c r="AG403" s="717"/>
      <c r="AH403" s="717"/>
      <c r="AI403" s="717"/>
      <c r="AJ403" s="717"/>
      <c r="AK403" s="717"/>
      <c r="AL403" s="718"/>
      <c r="AM403" s="571"/>
      <c r="AN403" s="598"/>
      <c r="BS403" s="571"/>
      <c r="BT403" s="571"/>
      <c r="BU403" s="571"/>
      <c r="BV403" s="571"/>
      <c r="BW403" s="571"/>
      <c r="BX403" s="571"/>
      <c r="BY403" s="571"/>
      <c r="BZ403" s="571"/>
      <c r="CA403" s="571"/>
      <c r="CB403" s="571"/>
      <c r="CC403" s="571"/>
    </row>
    <row r="404" spans="1:81" s="551" customFormat="1" ht="12.75" customHeight="1">
      <c r="A404" s="537"/>
      <c r="B404" s="14"/>
      <c r="C404" s="732"/>
      <c r="D404" s="14"/>
      <c r="E404" s="692"/>
      <c r="F404" s="2444"/>
      <c r="G404" s="2444"/>
      <c r="H404" s="2444"/>
      <c r="I404" s="2444"/>
      <c r="J404" s="2444"/>
      <c r="K404" s="2444"/>
      <c r="L404" s="2444"/>
      <c r="M404" s="2444"/>
      <c r="N404" s="2444"/>
      <c r="O404" s="2444"/>
      <c r="P404" s="2444"/>
      <c r="Q404" s="2444"/>
      <c r="R404" s="2444"/>
      <c r="S404" s="2444"/>
      <c r="T404" s="2444"/>
      <c r="U404" s="2444"/>
      <c r="V404" s="2444"/>
      <c r="W404" s="2444"/>
      <c r="X404" s="2444"/>
      <c r="Y404" s="2444"/>
      <c r="Z404" s="2444"/>
      <c r="AA404" s="2444"/>
      <c r="AB404" s="2444"/>
      <c r="AC404" s="2444"/>
      <c r="AD404" s="2444"/>
      <c r="AE404" s="2444"/>
      <c r="AF404" s="2444"/>
      <c r="AG404" s="540"/>
      <c r="AH404" s="540"/>
      <c r="AI404" s="540"/>
      <c r="AJ404" s="540"/>
      <c r="AK404" s="540"/>
      <c r="AL404" s="721"/>
      <c r="AM404" s="571"/>
      <c r="AN404" s="598"/>
      <c r="BS404" s="571"/>
      <c r="BT404" s="571"/>
      <c r="BU404" s="571"/>
      <c r="BV404" s="571"/>
      <c r="BW404" s="571"/>
      <c r="BX404" s="571"/>
      <c r="BY404" s="571"/>
      <c r="BZ404" s="571"/>
      <c r="CA404" s="571"/>
      <c r="CB404" s="571"/>
      <c r="CC404" s="571"/>
    </row>
    <row r="405" spans="1:81" ht="13">
      <c r="A405" s="537"/>
      <c r="C405" s="732"/>
      <c r="E405" s="692"/>
      <c r="F405" s="2444"/>
      <c r="G405" s="2444"/>
      <c r="H405" s="2444"/>
      <c r="I405" s="2444"/>
      <c r="J405" s="2444"/>
      <c r="K405" s="2444"/>
      <c r="L405" s="2444"/>
      <c r="M405" s="2444"/>
      <c r="N405" s="2444"/>
      <c r="O405" s="2444"/>
      <c r="P405" s="2444"/>
      <c r="Q405" s="2444"/>
      <c r="R405" s="2444"/>
      <c r="S405" s="2444"/>
      <c r="T405" s="2444"/>
      <c r="U405" s="2444"/>
      <c r="V405" s="2444"/>
      <c r="W405" s="2444"/>
      <c r="X405" s="2444"/>
      <c r="Y405" s="2444"/>
      <c r="Z405" s="2444"/>
      <c r="AA405" s="2444"/>
      <c r="AB405" s="2444"/>
      <c r="AC405" s="2444"/>
      <c r="AD405" s="2444"/>
      <c r="AE405" s="2444"/>
      <c r="AF405" s="2444"/>
      <c r="AG405" s="540"/>
      <c r="AH405" s="540"/>
      <c r="AI405" s="540"/>
      <c r="AJ405" s="540"/>
      <c r="AK405" s="540"/>
      <c r="AL405" s="721"/>
      <c r="AM405" s="571"/>
      <c r="BS405" s="571"/>
      <c r="BT405" s="571"/>
      <c r="BU405" s="571"/>
      <c r="BV405" s="571"/>
      <c r="BW405" s="571"/>
      <c r="BX405" s="571"/>
      <c r="BY405" s="571"/>
      <c r="BZ405" s="571"/>
      <c r="CA405" s="571"/>
      <c r="CB405" s="571"/>
      <c r="CC405" s="571"/>
    </row>
    <row r="406" spans="1:81" s="551" customFormat="1" ht="12.75" customHeight="1">
      <c r="A406" s="537"/>
      <c r="B406" s="14"/>
      <c r="C406" s="732"/>
      <c r="D406" s="14"/>
      <c r="E406" s="692"/>
      <c r="F406" s="2444"/>
      <c r="G406" s="2444"/>
      <c r="H406" s="2444"/>
      <c r="I406" s="2444"/>
      <c r="J406" s="2444"/>
      <c r="K406" s="2444"/>
      <c r="L406" s="2444"/>
      <c r="M406" s="2444"/>
      <c r="N406" s="2444"/>
      <c r="O406" s="2444"/>
      <c r="P406" s="2444"/>
      <c r="Q406" s="2444"/>
      <c r="R406" s="2444"/>
      <c r="S406" s="2444"/>
      <c r="T406" s="2444"/>
      <c r="U406" s="2444"/>
      <c r="V406" s="2444"/>
      <c r="W406" s="2444"/>
      <c r="X406" s="2444"/>
      <c r="Y406" s="2444"/>
      <c r="Z406" s="2444"/>
      <c r="AA406" s="2444"/>
      <c r="AB406" s="2444"/>
      <c r="AC406" s="2444"/>
      <c r="AD406" s="2444"/>
      <c r="AE406" s="2444"/>
      <c r="AF406" s="2444"/>
      <c r="AG406" s="540"/>
      <c r="AH406" s="540"/>
      <c r="AI406" s="540"/>
      <c r="AJ406" s="540"/>
      <c r="AK406" s="540"/>
      <c r="AL406" s="721"/>
      <c r="AM406" s="571"/>
      <c r="AN406" s="598"/>
      <c r="BS406" s="571"/>
      <c r="BT406" s="571"/>
      <c r="BY406" s="571"/>
      <c r="BZ406" s="571"/>
      <c r="CA406" s="571"/>
      <c r="CB406" s="571"/>
      <c r="CC406" s="571"/>
    </row>
    <row r="407" spans="1:81" s="551" customFormat="1" ht="12.75" customHeight="1">
      <c r="A407" s="537"/>
      <c r="B407" s="14"/>
      <c r="C407" s="2453" t="s">
        <v>590</v>
      </c>
      <c r="D407" s="2454"/>
      <c r="E407" s="692"/>
      <c r="F407" s="722" t="s">
        <v>1471</v>
      </c>
      <c r="G407" s="604"/>
      <c r="H407" s="604"/>
      <c r="I407" s="604"/>
      <c r="J407" s="604"/>
      <c r="K407" s="604"/>
      <c r="L407" s="604"/>
      <c r="M407" s="604"/>
      <c r="N407" s="604"/>
      <c r="O407" s="604"/>
      <c r="P407" s="604"/>
      <c r="Q407" s="604"/>
      <c r="R407" s="604"/>
      <c r="S407" s="604"/>
      <c r="T407" s="604"/>
      <c r="U407" s="604"/>
      <c r="V407" s="604"/>
      <c r="W407" s="604"/>
      <c r="X407" s="604"/>
      <c r="Y407" s="604"/>
      <c r="Z407" s="604"/>
      <c r="AA407" s="604"/>
      <c r="AB407" s="604"/>
      <c r="AC407" s="604"/>
      <c r="AD407" s="604"/>
      <c r="AF407" s="2455" t="s">
        <v>1461</v>
      </c>
      <c r="AG407" s="2455"/>
      <c r="AH407" s="2455"/>
      <c r="AI407" s="2455"/>
      <c r="AJ407" s="2455"/>
      <c r="AK407" s="2455"/>
      <c r="AL407" s="2456"/>
      <c r="AM407" s="571"/>
      <c r="AN407" s="598"/>
      <c r="BS407" s="571"/>
      <c r="BT407" s="571"/>
      <c r="BY407" s="571"/>
      <c r="BZ407" s="571"/>
      <c r="CA407" s="571"/>
      <c r="CB407" s="571"/>
      <c r="CC407" s="571"/>
    </row>
    <row r="408" spans="1:81" s="551" customFormat="1" ht="12.75" customHeight="1">
      <c r="A408" s="537"/>
      <c r="B408" s="14"/>
      <c r="C408" s="732"/>
      <c r="D408" s="14"/>
      <c r="E408" s="692"/>
      <c r="G408" s="604"/>
      <c r="H408" s="604"/>
      <c r="I408" s="604"/>
      <c r="J408" s="604"/>
      <c r="K408" s="604"/>
      <c r="L408" s="604"/>
      <c r="M408" s="604"/>
      <c r="N408" s="604"/>
      <c r="O408" s="604"/>
      <c r="P408" s="604"/>
      <c r="Q408" s="604"/>
      <c r="R408" s="604"/>
      <c r="S408" s="604"/>
      <c r="T408" s="604"/>
      <c r="U408" s="604"/>
      <c r="V408" s="604"/>
      <c r="W408" s="604"/>
      <c r="X408" s="604"/>
      <c r="Y408" s="604"/>
      <c r="Z408" s="604"/>
      <c r="AA408" s="604"/>
      <c r="AB408" s="604"/>
      <c r="AC408" s="604"/>
      <c r="AD408" s="604"/>
      <c r="AL408" s="733"/>
      <c r="AM408" s="571"/>
      <c r="AN408" s="598"/>
      <c r="BS408" s="571"/>
      <c r="BT408" s="571"/>
      <c r="BY408" s="571"/>
      <c r="BZ408" s="571"/>
      <c r="CA408" s="571"/>
      <c r="CB408" s="571"/>
      <c r="CC408" s="571"/>
    </row>
    <row r="409" spans="1:81" s="551" customFormat="1" ht="12.75" customHeight="1">
      <c r="A409" s="537"/>
      <c r="B409" s="14"/>
      <c r="C409" s="2453" t="s">
        <v>590</v>
      </c>
      <c r="D409" s="2454"/>
      <c r="E409" s="720"/>
      <c r="F409" s="722" t="s">
        <v>1472</v>
      </c>
      <c r="G409" s="604"/>
      <c r="H409" s="604"/>
      <c r="I409" s="604"/>
      <c r="J409" s="604"/>
      <c r="K409" s="604"/>
      <c r="L409" s="604"/>
      <c r="M409" s="604"/>
      <c r="N409" s="604"/>
      <c r="O409" s="604"/>
      <c r="P409" s="604"/>
      <c r="Q409" s="604"/>
      <c r="R409" s="604"/>
      <c r="S409" s="604"/>
      <c r="T409" s="604"/>
      <c r="U409" s="604"/>
      <c r="V409" s="604"/>
      <c r="W409" s="604"/>
      <c r="X409" s="604"/>
      <c r="Y409" s="604"/>
      <c r="Z409" s="604"/>
      <c r="AA409" s="604"/>
      <c r="AB409" s="604"/>
      <c r="AC409" s="604"/>
      <c r="AD409" s="604"/>
      <c r="AF409" s="2455" t="s">
        <v>1473</v>
      </c>
      <c r="AG409" s="2455"/>
      <c r="AH409" s="2455"/>
      <c r="AI409" s="2455"/>
      <c r="AJ409" s="2455"/>
      <c r="AK409" s="2455"/>
      <c r="AL409" s="2456"/>
      <c r="AM409" s="571"/>
      <c r="AN409" s="598"/>
      <c r="BS409" s="571"/>
      <c r="BT409" s="571"/>
      <c r="BY409" s="571"/>
      <c r="BZ409" s="571"/>
      <c r="CA409" s="571"/>
      <c r="CB409" s="571"/>
      <c r="CC409" s="571"/>
    </row>
    <row r="410" spans="1:81" s="551" customFormat="1" ht="12.75" customHeight="1">
      <c r="A410" s="537"/>
      <c r="B410" s="14"/>
      <c r="C410" s="744"/>
      <c r="D410" s="728"/>
      <c r="E410" s="725"/>
      <c r="F410" s="728"/>
      <c r="G410" s="727"/>
      <c r="H410" s="727"/>
      <c r="I410" s="727"/>
      <c r="J410" s="727"/>
      <c r="K410" s="727"/>
      <c r="L410" s="727"/>
      <c r="M410" s="727"/>
      <c r="N410" s="727"/>
      <c r="O410" s="727"/>
      <c r="P410" s="727"/>
      <c r="Q410" s="727"/>
      <c r="R410" s="727"/>
      <c r="S410" s="727"/>
      <c r="T410" s="727"/>
      <c r="U410" s="727"/>
      <c r="V410" s="727"/>
      <c r="W410" s="727"/>
      <c r="X410" s="727"/>
      <c r="Y410" s="727"/>
      <c r="Z410" s="727"/>
      <c r="AA410" s="727"/>
      <c r="AB410" s="727"/>
      <c r="AC410" s="727"/>
      <c r="AD410" s="727"/>
      <c r="AE410" s="728"/>
      <c r="AF410" s="728"/>
      <c r="AG410" s="728"/>
      <c r="AH410" s="728"/>
      <c r="AI410" s="728"/>
      <c r="AJ410" s="728"/>
      <c r="AK410" s="728"/>
      <c r="AL410" s="743"/>
      <c r="AM410" s="571"/>
      <c r="AN410" s="598"/>
      <c r="BS410" s="571"/>
      <c r="BT410" s="571"/>
      <c r="BY410" s="571"/>
      <c r="BZ410" s="571"/>
      <c r="CA410" s="571"/>
      <c r="CB410" s="571"/>
      <c r="CC410" s="571"/>
    </row>
    <row r="411" spans="1:81" s="551" customFormat="1" ht="12.75" customHeight="1">
      <c r="A411" s="537"/>
      <c r="B411" s="14"/>
      <c r="C411" s="14"/>
      <c r="D411" s="14"/>
      <c r="E411" s="692"/>
      <c r="G411" s="604"/>
      <c r="H411" s="604"/>
      <c r="I411" s="604"/>
      <c r="J411" s="604"/>
      <c r="K411" s="604"/>
      <c r="L411" s="604"/>
      <c r="M411" s="604"/>
      <c r="N411" s="604"/>
      <c r="O411" s="604"/>
      <c r="P411" s="604"/>
      <c r="Q411" s="604"/>
      <c r="R411" s="604"/>
      <c r="S411" s="604"/>
      <c r="T411" s="604"/>
      <c r="U411" s="604"/>
      <c r="V411" s="604"/>
      <c r="W411" s="604"/>
      <c r="X411" s="604"/>
      <c r="Y411" s="604"/>
      <c r="Z411" s="604"/>
      <c r="AA411" s="604"/>
      <c r="AB411" s="604"/>
      <c r="AC411" s="604"/>
      <c r="AD411" s="604"/>
      <c r="AE411" s="537"/>
      <c r="AF411" s="540"/>
      <c r="AG411" s="537"/>
      <c r="AM411" s="571"/>
      <c r="AN411" s="598"/>
      <c r="BS411" s="571"/>
      <c r="BT411" s="571"/>
      <c r="BY411" s="571"/>
      <c r="BZ411" s="571"/>
      <c r="CA411" s="571"/>
      <c r="CB411" s="571"/>
      <c r="CC411" s="571"/>
    </row>
    <row r="412" spans="1:81" s="551" customFormat="1" ht="12.75" customHeight="1">
      <c r="A412" s="537"/>
      <c r="B412" s="14"/>
      <c r="C412" s="2453" t="s">
        <v>590</v>
      </c>
      <c r="D412" s="2454"/>
      <c r="E412" s="716" t="s">
        <v>1474</v>
      </c>
      <c r="F412" s="2443" t="s">
        <v>1475</v>
      </c>
      <c r="G412" s="2443"/>
      <c r="H412" s="2443"/>
      <c r="I412" s="2443"/>
      <c r="J412" s="2443"/>
      <c r="K412" s="2443"/>
      <c r="L412" s="2443"/>
      <c r="M412" s="2443"/>
      <c r="N412" s="2443"/>
      <c r="O412" s="2443"/>
      <c r="P412" s="2443"/>
      <c r="Q412" s="2443"/>
      <c r="R412" s="2443"/>
      <c r="S412" s="2443"/>
      <c r="T412" s="2443"/>
      <c r="U412" s="2443"/>
      <c r="V412" s="2443"/>
      <c r="W412" s="2443"/>
      <c r="X412" s="2443"/>
      <c r="Y412" s="2443"/>
      <c r="Z412" s="2443"/>
      <c r="AA412" s="2443"/>
      <c r="AB412" s="2443"/>
      <c r="AC412" s="2443"/>
      <c r="AD412" s="2443"/>
      <c r="AE412" s="2443"/>
      <c r="AF412" s="717"/>
      <c r="AG412" s="745"/>
      <c r="AH412" s="715"/>
      <c r="AI412" s="715"/>
      <c r="AJ412" s="715"/>
      <c r="AK412" s="715"/>
      <c r="AL412" s="746"/>
      <c r="AM412" s="571"/>
      <c r="AN412" s="598"/>
      <c r="BS412" s="571"/>
      <c r="BT412" s="571"/>
      <c r="BY412" s="571"/>
      <c r="BZ412" s="571"/>
      <c r="CA412" s="571"/>
      <c r="CB412" s="571"/>
      <c r="CC412" s="571"/>
    </row>
    <row r="413" spans="1:81" s="551" customFormat="1" ht="12.75" customHeight="1">
      <c r="A413" s="537"/>
      <c r="B413" s="14"/>
      <c r="C413" s="740"/>
      <c r="F413" s="2444"/>
      <c r="G413" s="2444"/>
      <c r="H413" s="2444"/>
      <c r="I413" s="2444"/>
      <c r="J413" s="2444"/>
      <c r="K413" s="2444"/>
      <c r="L413" s="2444"/>
      <c r="M413" s="2444"/>
      <c r="N413" s="2444"/>
      <c r="O413" s="2444"/>
      <c r="P413" s="2444"/>
      <c r="Q413" s="2444"/>
      <c r="R413" s="2444"/>
      <c r="S413" s="2444"/>
      <c r="T413" s="2444"/>
      <c r="U413" s="2444"/>
      <c r="V413" s="2444"/>
      <c r="W413" s="2444"/>
      <c r="X413" s="2444"/>
      <c r="Y413" s="2444"/>
      <c r="Z413" s="2444"/>
      <c r="AA413" s="2444"/>
      <c r="AB413" s="2444"/>
      <c r="AC413" s="2444"/>
      <c r="AD413" s="2444"/>
      <c r="AE413" s="2444"/>
      <c r="AF413" s="2533" t="s">
        <v>1461</v>
      </c>
      <c r="AG413" s="2533"/>
      <c r="AH413" s="2533"/>
      <c r="AI413" s="2533"/>
      <c r="AJ413" s="2533"/>
      <c r="AK413" s="2533"/>
      <c r="AL413" s="2542"/>
      <c r="AM413" s="571"/>
      <c r="AN413" s="598"/>
      <c r="BS413" s="571"/>
      <c r="BT413" s="571"/>
      <c r="BY413" s="571"/>
      <c r="BZ413" s="571"/>
      <c r="CA413" s="571"/>
      <c r="CB413" s="571"/>
      <c r="CC413" s="571"/>
    </row>
    <row r="414" spans="1:81" s="551" customFormat="1" ht="12.75" customHeight="1">
      <c r="A414" s="537"/>
      <c r="B414" s="14"/>
      <c r="C414" s="732"/>
      <c r="D414" s="14"/>
      <c r="E414" s="692"/>
      <c r="F414" s="2444"/>
      <c r="G414" s="2444"/>
      <c r="H414" s="2444"/>
      <c r="I414" s="2444"/>
      <c r="J414" s="2444"/>
      <c r="K414" s="2444"/>
      <c r="L414" s="2444"/>
      <c r="M414" s="2444"/>
      <c r="N414" s="2444"/>
      <c r="O414" s="2444"/>
      <c r="P414" s="2444"/>
      <c r="Q414" s="2444"/>
      <c r="R414" s="2444"/>
      <c r="S414" s="2444"/>
      <c r="T414" s="2444"/>
      <c r="U414" s="2444"/>
      <c r="V414" s="2444"/>
      <c r="W414" s="2444"/>
      <c r="X414" s="2444"/>
      <c r="Y414" s="2444"/>
      <c r="Z414" s="2444"/>
      <c r="AA414" s="2444"/>
      <c r="AB414" s="2444"/>
      <c r="AC414" s="2444"/>
      <c r="AD414" s="2444"/>
      <c r="AE414" s="2444"/>
      <c r="AL414" s="733"/>
      <c r="AM414" s="571"/>
      <c r="AN414" s="598"/>
      <c r="BS414" s="571"/>
      <c r="BT414" s="571"/>
      <c r="BU414" s="571"/>
      <c r="BV414" s="571"/>
      <c r="BW414" s="571"/>
      <c r="BX414" s="571"/>
      <c r="BY414" s="571"/>
      <c r="BZ414" s="571"/>
      <c r="CA414" s="571"/>
      <c r="CB414" s="571"/>
      <c r="CC414" s="571"/>
    </row>
    <row r="415" spans="1:81" s="551" customFormat="1" ht="12.75" customHeight="1">
      <c r="A415" s="537"/>
      <c r="B415" s="14"/>
      <c r="C415" s="741"/>
      <c r="D415" s="734"/>
      <c r="E415" s="735"/>
      <c r="F415" s="2445"/>
      <c r="G415" s="2445"/>
      <c r="H415" s="2445"/>
      <c r="I415" s="2445"/>
      <c r="J415" s="2445"/>
      <c r="K415" s="2445"/>
      <c r="L415" s="2445"/>
      <c r="M415" s="2445"/>
      <c r="N415" s="2445"/>
      <c r="O415" s="2445"/>
      <c r="P415" s="2445"/>
      <c r="Q415" s="2445"/>
      <c r="R415" s="2445"/>
      <c r="S415" s="2445"/>
      <c r="T415" s="2445"/>
      <c r="U415" s="2445"/>
      <c r="V415" s="2445"/>
      <c r="W415" s="2445"/>
      <c r="X415" s="2445"/>
      <c r="Y415" s="2445"/>
      <c r="Z415" s="2445"/>
      <c r="AA415" s="2445"/>
      <c r="AB415" s="2445"/>
      <c r="AC415" s="2445"/>
      <c r="AD415" s="2445"/>
      <c r="AE415" s="2445"/>
      <c r="AF415" s="584"/>
      <c r="AG415" s="738"/>
      <c r="AH415" s="728"/>
      <c r="AI415" s="728"/>
      <c r="AJ415" s="728"/>
      <c r="AK415" s="728"/>
      <c r="AL415" s="743"/>
      <c r="AM415" s="571"/>
      <c r="AN415" s="598"/>
    </row>
    <row r="416" spans="1:81" ht="13">
      <c r="A416" s="537"/>
      <c r="E416" s="692"/>
      <c r="F416" s="604"/>
      <c r="G416" s="604"/>
      <c r="H416" s="604"/>
      <c r="I416" s="604"/>
      <c r="J416" s="604"/>
      <c r="K416" s="604"/>
      <c r="L416" s="604"/>
      <c r="M416" s="604"/>
      <c r="N416" s="604"/>
      <c r="O416" s="604"/>
      <c r="P416" s="604"/>
      <c r="Q416" s="604"/>
      <c r="R416" s="604"/>
      <c r="S416" s="604"/>
      <c r="T416" s="604"/>
      <c r="U416" s="604"/>
      <c r="V416" s="604"/>
      <c r="W416" s="604"/>
      <c r="X416" s="604"/>
      <c r="Y416" s="604"/>
      <c r="Z416" s="604"/>
      <c r="AA416" s="604"/>
      <c r="AB416" s="604"/>
      <c r="AC416" s="604"/>
      <c r="AD416" s="604"/>
      <c r="AE416" s="537"/>
      <c r="AF416" s="540"/>
      <c r="AG416" s="537"/>
      <c r="AH416" s="551"/>
      <c r="AI416" s="551"/>
      <c r="AJ416" s="551"/>
      <c r="AK416" s="551"/>
      <c r="AL416" s="551"/>
      <c r="AM416" s="571"/>
    </row>
    <row r="417" spans="1:55" ht="12.75" customHeight="1">
      <c r="A417" s="537"/>
      <c r="C417" s="747"/>
      <c r="D417" s="748"/>
      <c r="E417" s="716" t="s">
        <v>1476</v>
      </c>
      <c r="F417" s="2443" t="s">
        <v>1477</v>
      </c>
      <c r="G417" s="2443"/>
      <c r="H417" s="2443"/>
      <c r="I417" s="2443"/>
      <c r="J417" s="2443"/>
      <c r="K417" s="2443"/>
      <c r="L417" s="2443"/>
      <c r="M417" s="2443"/>
      <c r="N417" s="2443"/>
      <c r="O417" s="2443"/>
      <c r="P417" s="2443"/>
      <c r="Q417" s="2443"/>
      <c r="R417" s="2443"/>
      <c r="S417" s="2443"/>
      <c r="T417" s="2443"/>
      <c r="U417" s="2443"/>
      <c r="V417" s="2443"/>
      <c r="W417" s="2443"/>
      <c r="X417" s="2443"/>
      <c r="Y417" s="2443"/>
      <c r="Z417" s="2443"/>
      <c r="AA417" s="2443"/>
      <c r="AB417" s="2443"/>
      <c r="AC417" s="2443"/>
      <c r="AD417" s="2443"/>
      <c r="AE417" s="2443"/>
      <c r="AF417" s="748"/>
      <c r="AG417" s="748"/>
      <c r="AH417" s="748"/>
      <c r="AI417" s="748"/>
      <c r="AJ417" s="748"/>
      <c r="AK417" s="748"/>
      <c r="AL417" s="749"/>
      <c r="AM417" s="571"/>
    </row>
    <row r="418" spans="1:55" ht="13">
      <c r="A418" s="537"/>
      <c r="C418" s="732"/>
      <c r="E418" s="692"/>
      <c r="F418" s="2444"/>
      <c r="G418" s="2444"/>
      <c r="H418" s="2444"/>
      <c r="I418" s="2444"/>
      <c r="J418" s="2444"/>
      <c r="K418" s="2444"/>
      <c r="L418" s="2444"/>
      <c r="M418" s="2444"/>
      <c r="N418" s="2444"/>
      <c r="O418" s="2444"/>
      <c r="P418" s="2444"/>
      <c r="Q418" s="2444"/>
      <c r="R418" s="2444"/>
      <c r="S418" s="2444"/>
      <c r="T418" s="2444"/>
      <c r="U418" s="2444"/>
      <c r="V418" s="2444"/>
      <c r="W418" s="2444"/>
      <c r="X418" s="2444"/>
      <c r="Y418" s="2444"/>
      <c r="Z418" s="2444"/>
      <c r="AA418" s="2444"/>
      <c r="AB418" s="2444"/>
      <c r="AC418" s="2444"/>
      <c r="AD418" s="2444"/>
      <c r="AE418" s="2444"/>
      <c r="AF418" s="540"/>
      <c r="AG418" s="537"/>
      <c r="AH418" s="551"/>
      <c r="AI418" s="551"/>
      <c r="AJ418" s="551"/>
      <c r="AK418" s="551"/>
      <c r="AL418" s="733"/>
      <c r="AM418" s="571"/>
    </row>
    <row r="419" spans="1:55" s="551" customFormat="1" ht="12.75" customHeight="1">
      <c r="A419" s="537"/>
      <c r="B419" s="14"/>
      <c r="C419" s="732"/>
      <c r="D419" s="14"/>
      <c r="E419" s="692"/>
      <c r="F419" s="2444"/>
      <c r="G419" s="2444"/>
      <c r="H419" s="2444"/>
      <c r="I419" s="2444"/>
      <c r="J419" s="2444"/>
      <c r="K419" s="2444"/>
      <c r="L419" s="2444"/>
      <c r="M419" s="2444"/>
      <c r="N419" s="2444"/>
      <c r="O419" s="2444"/>
      <c r="P419" s="2444"/>
      <c r="Q419" s="2444"/>
      <c r="R419" s="2444"/>
      <c r="S419" s="2444"/>
      <c r="T419" s="2444"/>
      <c r="U419" s="2444"/>
      <c r="V419" s="2444"/>
      <c r="W419" s="2444"/>
      <c r="X419" s="2444"/>
      <c r="Y419" s="2444"/>
      <c r="Z419" s="2444"/>
      <c r="AA419" s="2444"/>
      <c r="AB419" s="2444"/>
      <c r="AC419" s="2444"/>
      <c r="AD419" s="2444"/>
      <c r="AE419" s="2444"/>
      <c r="AL419" s="733"/>
      <c r="AM419" s="571"/>
      <c r="AN419" s="598"/>
    </row>
    <row r="420" spans="1:55" s="551" customFormat="1" ht="12.75" customHeight="1">
      <c r="A420" s="537"/>
      <c r="B420" s="14"/>
      <c r="C420" s="740"/>
      <c r="F420" s="2444"/>
      <c r="G420" s="2444"/>
      <c r="H420" s="2444"/>
      <c r="I420" s="2444"/>
      <c r="J420" s="2444"/>
      <c r="K420" s="2444"/>
      <c r="L420" s="2444"/>
      <c r="M420" s="2444"/>
      <c r="N420" s="2444"/>
      <c r="O420" s="2444"/>
      <c r="P420" s="2444"/>
      <c r="Q420" s="2444"/>
      <c r="R420" s="2444"/>
      <c r="S420" s="2444"/>
      <c r="T420" s="2444"/>
      <c r="U420" s="2444"/>
      <c r="V420" s="2444"/>
      <c r="W420" s="2444"/>
      <c r="X420" s="2444"/>
      <c r="Y420" s="2444"/>
      <c r="Z420" s="2444"/>
      <c r="AA420" s="2444"/>
      <c r="AB420" s="2444"/>
      <c r="AC420" s="2444"/>
      <c r="AD420" s="2444"/>
      <c r="AE420" s="2444"/>
      <c r="AL420" s="733"/>
      <c r="AM420" s="571"/>
      <c r="AN420" s="598"/>
    </row>
    <row r="421" spans="1:55" s="551" customFormat="1" ht="12.75" customHeight="1">
      <c r="A421" s="537"/>
      <c r="B421" s="14"/>
      <c r="C421" s="2453" t="s">
        <v>590</v>
      </c>
      <c r="D421" s="2454"/>
      <c r="E421" s="692"/>
      <c r="F421" s="722" t="s">
        <v>1478</v>
      </c>
      <c r="G421" s="604"/>
      <c r="H421" s="604"/>
      <c r="I421" s="604"/>
      <c r="J421" s="604"/>
      <c r="K421" s="604"/>
      <c r="L421" s="604"/>
      <c r="M421" s="604"/>
      <c r="N421" s="604"/>
      <c r="O421" s="604"/>
      <c r="P421" s="604"/>
      <c r="Q421" s="604"/>
      <c r="R421" s="604"/>
      <c r="S421" s="604"/>
      <c r="T421" s="604"/>
      <c r="U421" s="604"/>
      <c r="V421" s="604"/>
      <c r="W421" s="604"/>
      <c r="X421" s="604"/>
      <c r="Y421" s="604"/>
      <c r="Z421" s="604"/>
      <c r="AA421" s="604"/>
      <c r="AB421" s="604"/>
      <c r="AC421" s="604"/>
      <c r="AD421" s="604"/>
      <c r="AF421" s="2533" t="s">
        <v>1461</v>
      </c>
      <c r="AG421" s="2533"/>
      <c r="AH421" s="2533"/>
      <c r="AI421" s="2533"/>
      <c r="AJ421" s="2533"/>
      <c r="AK421" s="2533"/>
      <c r="AL421" s="2542"/>
      <c r="AM421" s="571"/>
      <c r="AN421" s="598"/>
    </row>
    <row r="422" spans="1:55" s="551" customFormat="1" ht="12.75" customHeight="1">
      <c r="A422" s="537"/>
      <c r="B422" s="14"/>
      <c r="C422" s="740"/>
      <c r="AL422" s="733"/>
      <c r="AM422" s="571"/>
      <c r="AN422" s="598"/>
    </row>
    <row r="423" spans="1:55" s="551" customFormat="1" ht="12.75" customHeight="1">
      <c r="A423" s="537"/>
      <c r="B423" s="14"/>
      <c r="C423" s="2453" t="s">
        <v>590</v>
      </c>
      <c r="D423" s="2454"/>
      <c r="E423" s="720"/>
      <c r="F423" s="722" t="s">
        <v>1479</v>
      </c>
      <c r="G423" s="604"/>
      <c r="H423" s="604"/>
      <c r="I423" s="604"/>
      <c r="J423" s="604"/>
      <c r="K423" s="604"/>
      <c r="L423" s="604"/>
      <c r="M423" s="604"/>
      <c r="N423" s="604"/>
      <c r="O423" s="604"/>
      <c r="P423" s="604"/>
      <c r="Q423" s="604"/>
      <c r="R423" s="604"/>
      <c r="S423" s="604"/>
      <c r="T423" s="604"/>
      <c r="U423" s="604"/>
      <c r="V423" s="604"/>
      <c r="W423" s="604"/>
      <c r="X423" s="604"/>
      <c r="Y423" s="604"/>
      <c r="Z423" s="604"/>
      <c r="AA423" s="604"/>
      <c r="AB423" s="604"/>
      <c r="AC423" s="604"/>
      <c r="AD423" s="604"/>
      <c r="AF423" s="2533" t="s">
        <v>1473</v>
      </c>
      <c r="AG423" s="2533"/>
      <c r="AH423" s="2533"/>
      <c r="AI423" s="2533"/>
      <c r="AJ423" s="2533"/>
      <c r="AK423" s="2533"/>
      <c r="AL423" s="2542"/>
      <c r="AM423" s="571"/>
      <c r="AN423" s="598"/>
      <c r="AO423" s="597"/>
      <c r="AP423" s="597"/>
      <c r="BC423" s="14"/>
    </row>
    <row r="424" spans="1:55" s="551" customFormat="1" ht="12.75" customHeight="1">
      <c r="A424" s="537"/>
      <c r="B424" s="14"/>
      <c r="C424" s="734"/>
      <c r="D424" s="734"/>
      <c r="E424" s="735"/>
      <c r="F424" s="726"/>
      <c r="G424" s="727"/>
      <c r="H424" s="727"/>
      <c r="I424" s="727"/>
      <c r="J424" s="727"/>
      <c r="K424" s="727"/>
      <c r="L424" s="727"/>
      <c r="M424" s="727"/>
      <c r="N424" s="727"/>
      <c r="O424" s="727"/>
      <c r="P424" s="727"/>
      <c r="Q424" s="727"/>
      <c r="R424" s="727"/>
      <c r="S424" s="727"/>
      <c r="T424" s="727"/>
      <c r="U424" s="727"/>
      <c r="V424" s="727"/>
      <c r="W424" s="727"/>
      <c r="X424" s="727"/>
      <c r="Y424" s="727"/>
      <c r="Z424" s="727"/>
      <c r="AA424" s="727"/>
      <c r="AB424" s="727"/>
      <c r="AC424" s="727"/>
      <c r="AD424" s="727"/>
      <c r="AE424" s="738"/>
      <c r="AF424" s="584"/>
      <c r="AG424" s="738"/>
      <c r="AH424" s="728"/>
      <c r="AI424" s="728"/>
      <c r="AJ424" s="728"/>
      <c r="AK424" s="728"/>
      <c r="AL424" s="743"/>
      <c r="AM424" s="571"/>
      <c r="AN424" s="598"/>
    </row>
    <row r="425" spans="1:55" s="551" customFormat="1" ht="12.75" customHeight="1">
      <c r="A425" s="537"/>
      <c r="B425" s="14"/>
      <c r="C425" s="14"/>
      <c r="D425" s="14"/>
      <c r="E425" s="692"/>
      <c r="F425" s="722"/>
      <c r="G425" s="604"/>
      <c r="H425" s="604"/>
      <c r="I425" s="604"/>
      <c r="J425" s="604"/>
      <c r="K425" s="604"/>
      <c r="L425" s="604"/>
      <c r="M425" s="604"/>
      <c r="N425" s="604"/>
      <c r="O425" s="604"/>
      <c r="P425" s="604"/>
      <c r="Q425" s="604"/>
      <c r="R425" s="604"/>
      <c r="S425" s="604"/>
      <c r="T425" s="604"/>
      <c r="U425" s="604"/>
      <c r="V425" s="604"/>
      <c r="W425" s="604"/>
      <c r="X425" s="604"/>
      <c r="Y425" s="604"/>
      <c r="Z425" s="604"/>
      <c r="AA425" s="604"/>
      <c r="AB425" s="604"/>
      <c r="AC425" s="604"/>
      <c r="AD425" s="604"/>
      <c r="AE425" s="537"/>
      <c r="AF425" s="540"/>
      <c r="AG425" s="537"/>
      <c r="AM425" s="571"/>
      <c r="AN425" s="598"/>
    </row>
    <row r="426" spans="1:55" s="551" customFormat="1" ht="12.75" customHeight="1">
      <c r="A426" s="537"/>
      <c r="B426" s="14"/>
      <c r="C426" s="713" t="s">
        <v>2210</v>
      </c>
      <c r="D426" s="14"/>
      <c r="E426" s="692"/>
      <c r="F426" s="604"/>
      <c r="G426" s="604"/>
      <c r="H426" s="604"/>
      <c r="I426" s="604"/>
      <c r="J426" s="604"/>
      <c r="K426" s="604"/>
      <c r="L426" s="604"/>
      <c r="M426" s="604"/>
      <c r="N426" s="604"/>
      <c r="O426" s="604"/>
      <c r="P426" s="604"/>
      <c r="Q426" s="604"/>
      <c r="R426" s="604"/>
      <c r="S426" s="604"/>
      <c r="T426" s="604"/>
      <c r="U426" s="604"/>
      <c r="V426" s="604"/>
      <c r="W426" s="604"/>
      <c r="X426" s="604"/>
      <c r="Y426" s="604"/>
      <c r="Z426" s="604"/>
      <c r="AA426" s="604"/>
      <c r="AB426" s="604"/>
      <c r="AC426" s="604"/>
      <c r="AD426" s="604"/>
      <c r="AE426" s="537"/>
      <c r="AF426" s="540"/>
      <c r="AG426" s="537"/>
      <c r="AM426" s="571"/>
      <c r="AN426" s="598"/>
    </row>
    <row r="427" spans="1:55" s="551" customFormat="1" ht="12.75" customHeight="1">
      <c r="A427" s="537"/>
      <c r="B427" s="14"/>
      <c r="C427" s="714"/>
      <c r="D427" s="715"/>
      <c r="E427" s="716" t="s">
        <v>1480</v>
      </c>
      <c r="F427" s="2443" t="s">
        <v>1481</v>
      </c>
      <c r="G427" s="2443"/>
      <c r="H427" s="2443"/>
      <c r="I427" s="2443"/>
      <c r="J427" s="2443"/>
      <c r="K427" s="2443"/>
      <c r="L427" s="2443"/>
      <c r="M427" s="2443"/>
      <c r="N427" s="2443"/>
      <c r="O427" s="2443"/>
      <c r="P427" s="2443"/>
      <c r="Q427" s="2443"/>
      <c r="R427" s="2443"/>
      <c r="S427" s="2443"/>
      <c r="T427" s="2443"/>
      <c r="U427" s="2443"/>
      <c r="V427" s="2443"/>
      <c r="W427" s="2443"/>
      <c r="X427" s="2443"/>
      <c r="Y427" s="2443"/>
      <c r="Z427" s="2443"/>
      <c r="AA427" s="2443"/>
      <c r="AB427" s="2443"/>
      <c r="AC427" s="2443"/>
      <c r="AD427" s="2443"/>
      <c r="AE427" s="2443"/>
      <c r="AF427" s="715"/>
      <c r="AG427" s="715"/>
      <c r="AH427" s="715"/>
      <c r="AI427" s="715"/>
      <c r="AJ427" s="715"/>
      <c r="AK427" s="715"/>
      <c r="AL427" s="746"/>
      <c r="AM427" s="571"/>
      <c r="AN427" s="598"/>
    </row>
    <row r="428" spans="1:55" s="551" customFormat="1" ht="12.75" customHeight="1">
      <c r="A428" s="537"/>
      <c r="B428" s="14"/>
      <c r="C428" s="732"/>
      <c r="D428" s="14"/>
      <c r="E428" s="692"/>
      <c r="F428" s="2444"/>
      <c r="G428" s="2444"/>
      <c r="H428" s="2444"/>
      <c r="I428" s="2444"/>
      <c r="J428" s="2444"/>
      <c r="K428" s="2444"/>
      <c r="L428" s="2444"/>
      <c r="M428" s="2444"/>
      <c r="N428" s="2444"/>
      <c r="O428" s="2444"/>
      <c r="P428" s="2444"/>
      <c r="Q428" s="2444"/>
      <c r="R428" s="2444"/>
      <c r="S428" s="2444"/>
      <c r="T428" s="2444"/>
      <c r="U428" s="2444"/>
      <c r="V428" s="2444"/>
      <c r="W428" s="2444"/>
      <c r="X428" s="2444"/>
      <c r="Y428" s="2444"/>
      <c r="Z428" s="2444"/>
      <c r="AA428" s="2444"/>
      <c r="AB428" s="2444"/>
      <c r="AC428" s="2444"/>
      <c r="AD428" s="2444"/>
      <c r="AE428" s="2444"/>
      <c r="AF428" s="540"/>
      <c r="AG428" s="537"/>
      <c r="AL428" s="733"/>
      <c r="AM428" s="571"/>
      <c r="AN428" s="598"/>
    </row>
    <row r="429" spans="1:55" s="551" customFormat="1" ht="12.4" customHeight="1">
      <c r="A429" s="537"/>
      <c r="B429" s="14"/>
      <c r="C429" s="732"/>
      <c r="D429" s="14"/>
      <c r="E429" s="692"/>
      <c r="F429" s="2444"/>
      <c r="G429" s="2444"/>
      <c r="H429" s="2444"/>
      <c r="I429" s="2444"/>
      <c r="J429" s="2444"/>
      <c r="K429" s="2444"/>
      <c r="L429" s="2444"/>
      <c r="M429" s="2444"/>
      <c r="N429" s="2444"/>
      <c r="O429" s="2444"/>
      <c r="P429" s="2444"/>
      <c r="Q429" s="2444"/>
      <c r="R429" s="2444"/>
      <c r="S429" s="2444"/>
      <c r="T429" s="2444"/>
      <c r="U429" s="2444"/>
      <c r="V429" s="2444"/>
      <c r="W429" s="2444"/>
      <c r="X429" s="2444"/>
      <c r="Y429" s="2444"/>
      <c r="Z429" s="2444"/>
      <c r="AA429" s="2444"/>
      <c r="AB429" s="2444"/>
      <c r="AC429" s="2444"/>
      <c r="AD429" s="2444"/>
      <c r="AE429" s="2444"/>
      <c r="AL429" s="733"/>
      <c r="AM429" s="571"/>
      <c r="AN429" s="598"/>
    </row>
    <row r="430" spans="1:55" s="551" customFormat="1" ht="12.75" customHeight="1">
      <c r="A430" s="537"/>
      <c r="B430" s="14"/>
      <c r="C430" s="2453" t="s">
        <v>590</v>
      </c>
      <c r="D430" s="2454"/>
      <c r="E430" s="692"/>
      <c r="F430" s="722" t="s">
        <v>1482</v>
      </c>
      <c r="G430" s="750"/>
      <c r="H430" s="750"/>
      <c r="I430" s="750"/>
      <c r="J430" s="750"/>
      <c r="K430" s="750"/>
      <c r="L430" s="750"/>
      <c r="M430" s="750"/>
      <c r="N430" s="750"/>
      <c r="O430" s="750"/>
      <c r="P430" s="750"/>
      <c r="Q430" s="750"/>
      <c r="R430" s="750"/>
      <c r="S430" s="750"/>
      <c r="T430" s="750"/>
      <c r="U430" s="750"/>
      <c r="V430" s="750"/>
      <c r="W430" s="750"/>
      <c r="X430" s="750"/>
      <c r="Y430" s="750"/>
      <c r="Z430" s="750"/>
      <c r="AA430" s="750"/>
      <c r="AB430" s="750"/>
      <c r="AC430" s="750"/>
      <c r="AD430" s="750"/>
      <c r="AF430" s="2533" t="s">
        <v>1461</v>
      </c>
      <c r="AG430" s="2533"/>
      <c r="AH430" s="2533"/>
      <c r="AI430" s="2533"/>
      <c r="AJ430" s="2533"/>
      <c r="AK430" s="2533"/>
      <c r="AL430" s="2542"/>
      <c r="AM430" s="571"/>
      <c r="AN430" s="598"/>
    </row>
    <row r="431" spans="1:55" s="551" customFormat="1" ht="12.75" customHeight="1">
      <c r="A431" s="537"/>
      <c r="B431" s="14"/>
      <c r="C431" s="744"/>
      <c r="D431" s="728"/>
      <c r="E431" s="725"/>
      <c r="F431" s="742"/>
      <c r="G431" s="727"/>
      <c r="H431" s="727"/>
      <c r="I431" s="727"/>
      <c r="J431" s="727"/>
      <c r="K431" s="727"/>
      <c r="L431" s="727"/>
      <c r="M431" s="727"/>
      <c r="N431" s="727"/>
      <c r="O431" s="727"/>
      <c r="P431" s="727"/>
      <c r="Q431" s="727"/>
      <c r="R431" s="727"/>
      <c r="S431" s="727"/>
      <c r="T431" s="727"/>
      <c r="U431" s="727"/>
      <c r="V431" s="727"/>
      <c r="W431" s="727"/>
      <c r="X431" s="727"/>
      <c r="Y431" s="727"/>
      <c r="Z431" s="727"/>
      <c r="AA431" s="727"/>
      <c r="AB431" s="727"/>
      <c r="AC431" s="727"/>
      <c r="AD431" s="727"/>
      <c r="AE431" s="728"/>
      <c r="AF431" s="728"/>
      <c r="AG431" s="728"/>
      <c r="AH431" s="728"/>
      <c r="AI431" s="728"/>
      <c r="AJ431" s="728"/>
      <c r="AK431" s="728"/>
      <c r="AL431" s="743"/>
      <c r="AM431" s="571"/>
      <c r="AN431" s="598"/>
    </row>
    <row r="432" spans="1:55" s="551" customFormat="1" ht="12.75" customHeight="1">
      <c r="A432" s="537"/>
      <c r="B432" s="14"/>
      <c r="C432" s="731"/>
      <c r="D432" s="731"/>
      <c r="E432" s="720"/>
      <c r="F432" s="722"/>
      <c r="G432" s="604"/>
      <c r="H432" s="604"/>
      <c r="I432" s="604"/>
      <c r="J432" s="604"/>
      <c r="K432" s="604"/>
      <c r="L432" s="604"/>
      <c r="M432" s="604"/>
      <c r="N432" s="604"/>
      <c r="O432" s="604"/>
      <c r="P432" s="604"/>
      <c r="Q432" s="604"/>
      <c r="R432" s="604"/>
      <c r="S432" s="604"/>
      <c r="T432" s="604"/>
      <c r="U432" s="604"/>
      <c r="V432" s="604"/>
      <c r="W432" s="604"/>
      <c r="X432" s="604"/>
      <c r="Y432" s="604"/>
      <c r="Z432" s="604"/>
      <c r="AA432" s="604"/>
      <c r="AB432" s="604"/>
      <c r="AC432" s="604"/>
      <c r="AD432" s="604"/>
      <c r="AE432" s="537"/>
      <c r="AM432" s="571"/>
      <c r="AN432" s="598"/>
    </row>
    <row r="433" spans="1:60" ht="13.15" customHeight="1">
      <c r="A433" s="537"/>
      <c r="C433" s="747"/>
      <c r="D433" s="748"/>
      <c r="E433" s="716" t="s">
        <v>1483</v>
      </c>
      <c r="F433" s="2443" t="s">
        <v>1484</v>
      </c>
      <c r="G433" s="2443"/>
      <c r="H433" s="2443"/>
      <c r="I433" s="2443"/>
      <c r="J433" s="2443"/>
      <c r="K433" s="2443"/>
      <c r="L433" s="2443"/>
      <c r="M433" s="2443"/>
      <c r="N433" s="2443"/>
      <c r="O433" s="2443"/>
      <c r="P433" s="2443"/>
      <c r="Q433" s="2443"/>
      <c r="R433" s="2443"/>
      <c r="S433" s="2443"/>
      <c r="T433" s="2443"/>
      <c r="U433" s="2443"/>
      <c r="V433" s="2443"/>
      <c r="W433" s="2443"/>
      <c r="X433" s="2443"/>
      <c r="Y433" s="2443"/>
      <c r="Z433" s="2443"/>
      <c r="AA433" s="2443"/>
      <c r="AB433" s="2443"/>
      <c r="AC433" s="2443"/>
      <c r="AD433" s="2443"/>
      <c r="AE433" s="2443"/>
      <c r="AF433" s="748"/>
      <c r="AG433" s="748"/>
      <c r="AH433" s="748"/>
      <c r="AI433" s="748"/>
      <c r="AJ433" s="748"/>
      <c r="AK433" s="748"/>
      <c r="AL433" s="749"/>
      <c r="AM433" s="571"/>
      <c r="AO433" s="551"/>
      <c r="AP433" s="551"/>
      <c r="BD433" s="14"/>
      <c r="BE433" s="14"/>
      <c r="BF433" s="14"/>
      <c r="BG433" s="14"/>
      <c r="BH433" s="14"/>
    </row>
    <row r="434" spans="1:60" ht="13">
      <c r="A434" s="537"/>
      <c r="C434" s="732"/>
      <c r="E434" s="692"/>
      <c r="F434" s="2444"/>
      <c r="G434" s="2444"/>
      <c r="H434" s="2444"/>
      <c r="I434" s="2444"/>
      <c r="J434" s="2444"/>
      <c r="K434" s="2444"/>
      <c r="L434" s="2444"/>
      <c r="M434" s="2444"/>
      <c r="N434" s="2444"/>
      <c r="O434" s="2444"/>
      <c r="P434" s="2444"/>
      <c r="Q434" s="2444"/>
      <c r="R434" s="2444"/>
      <c r="S434" s="2444"/>
      <c r="T434" s="2444"/>
      <c r="U434" s="2444"/>
      <c r="V434" s="2444"/>
      <c r="W434" s="2444"/>
      <c r="X434" s="2444"/>
      <c r="Y434" s="2444"/>
      <c r="Z434" s="2444"/>
      <c r="AA434" s="2444"/>
      <c r="AB434" s="2444"/>
      <c r="AC434" s="2444"/>
      <c r="AD434" s="2444"/>
      <c r="AE434" s="2444"/>
      <c r="AF434" s="595"/>
      <c r="AG434" s="595"/>
      <c r="AH434" s="595"/>
      <c r="AI434" s="595"/>
      <c r="AJ434" s="595"/>
      <c r="AK434" s="595"/>
      <c r="AL434" s="751"/>
      <c r="AM434" s="571"/>
      <c r="AO434" s="551"/>
      <c r="AP434" s="551"/>
    </row>
    <row r="435" spans="1:60" s="551" customFormat="1" ht="12.75" customHeight="1">
      <c r="A435" s="537"/>
      <c r="B435" s="14"/>
      <c r="C435" s="732"/>
      <c r="D435" s="14"/>
      <c r="E435" s="692"/>
      <c r="F435" s="2444"/>
      <c r="G435" s="2444"/>
      <c r="H435" s="2444"/>
      <c r="I435" s="2444"/>
      <c r="J435" s="2444"/>
      <c r="K435" s="2444"/>
      <c r="L435" s="2444"/>
      <c r="M435" s="2444"/>
      <c r="N435" s="2444"/>
      <c r="O435" s="2444"/>
      <c r="P435" s="2444"/>
      <c r="Q435" s="2444"/>
      <c r="R435" s="2444"/>
      <c r="S435" s="2444"/>
      <c r="T435" s="2444"/>
      <c r="U435" s="2444"/>
      <c r="V435" s="2444"/>
      <c r="W435" s="2444"/>
      <c r="X435" s="2444"/>
      <c r="Y435" s="2444"/>
      <c r="Z435" s="2444"/>
      <c r="AA435" s="2444"/>
      <c r="AB435" s="2444"/>
      <c r="AC435" s="2444"/>
      <c r="AD435" s="2444"/>
      <c r="AE435" s="2444"/>
      <c r="AF435" s="595"/>
      <c r="AG435" s="595"/>
      <c r="AH435" s="595"/>
      <c r="AI435" s="595"/>
      <c r="AJ435" s="595"/>
      <c r="AK435" s="595"/>
      <c r="AL435" s="751"/>
      <c r="AM435" s="571"/>
      <c r="AN435" s="598"/>
    </row>
    <row r="436" spans="1:60" s="551" customFormat="1" ht="12.75" customHeight="1">
      <c r="A436" s="537"/>
      <c r="B436" s="14"/>
      <c r="C436" s="752"/>
      <c r="D436" s="731"/>
      <c r="E436" s="720"/>
      <c r="F436" s="2444"/>
      <c r="G436" s="2444"/>
      <c r="H436" s="2444"/>
      <c r="I436" s="2444"/>
      <c r="J436" s="2444"/>
      <c r="K436" s="2444"/>
      <c r="L436" s="2444"/>
      <c r="M436" s="2444"/>
      <c r="N436" s="2444"/>
      <c r="O436" s="2444"/>
      <c r="P436" s="2444"/>
      <c r="Q436" s="2444"/>
      <c r="R436" s="2444"/>
      <c r="S436" s="2444"/>
      <c r="T436" s="2444"/>
      <c r="U436" s="2444"/>
      <c r="V436" s="2444"/>
      <c r="W436" s="2444"/>
      <c r="X436" s="2444"/>
      <c r="Y436" s="2444"/>
      <c r="Z436" s="2444"/>
      <c r="AA436" s="2444"/>
      <c r="AB436" s="2444"/>
      <c r="AC436" s="2444"/>
      <c r="AD436" s="2444"/>
      <c r="AE436" s="2444"/>
      <c r="AF436" s="595"/>
      <c r="AG436" s="595"/>
      <c r="AH436" s="595"/>
      <c r="AI436" s="595"/>
      <c r="AJ436" s="595"/>
      <c r="AK436" s="595"/>
      <c r="AL436" s="751"/>
      <c r="AM436" s="571"/>
      <c r="AN436" s="598"/>
      <c r="AO436" s="30"/>
      <c r="AP436" s="14"/>
    </row>
    <row r="437" spans="1:60" s="551" customFormat="1" ht="12.75" customHeight="1">
      <c r="A437" s="537"/>
      <c r="B437" s="14"/>
      <c r="C437" s="752"/>
      <c r="D437" s="731"/>
      <c r="E437" s="720"/>
      <c r="F437" s="2444"/>
      <c r="G437" s="2444"/>
      <c r="H437" s="2444"/>
      <c r="I437" s="2444"/>
      <c r="J437" s="2444"/>
      <c r="K437" s="2444"/>
      <c r="L437" s="2444"/>
      <c r="M437" s="2444"/>
      <c r="N437" s="2444"/>
      <c r="O437" s="2444"/>
      <c r="P437" s="2444"/>
      <c r="Q437" s="2444"/>
      <c r="R437" s="2444"/>
      <c r="S437" s="2444"/>
      <c r="T437" s="2444"/>
      <c r="U437" s="2444"/>
      <c r="V437" s="2444"/>
      <c r="W437" s="2444"/>
      <c r="X437" s="2444"/>
      <c r="Y437" s="2444"/>
      <c r="Z437" s="2444"/>
      <c r="AA437" s="2444"/>
      <c r="AB437" s="2444"/>
      <c r="AC437" s="2444"/>
      <c r="AD437" s="2444"/>
      <c r="AE437" s="2444"/>
      <c r="AF437" s="595"/>
      <c r="AG437" s="595"/>
      <c r="AH437" s="595"/>
      <c r="AI437" s="595"/>
      <c r="AJ437" s="595"/>
      <c r="AK437" s="595"/>
      <c r="AL437" s="751"/>
      <c r="AM437" s="571"/>
      <c r="AN437" s="598"/>
    </row>
    <row r="438" spans="1:60" s="551" customFormat="1" ht="12.75" customHeight="1">
      <c r="A438" s="537"/>
      <c r="B438" s="14"/>
      <c r="C438" s="752"/>
      <c r="D438" s="731"/>
      <c r="E438" s="720"/>
      <c r="F438" s="2444"/>
      <c r="G438" s="2444"/>
      <c r="H438" s="2444"/>
      <c r="I438" s="2444"/>
      <c r="J438" s="2444"/>
      <c r="K438" s="2444"/>
      <c r="L438" s="2444"/>
      <c r="M438" s="2444"/>
      <c r="N438" s="2444"/>
      <c r="O438" s="2444"/>
      <c r="P438" s="2444"/>
      <c r="Q438" s="2444"/>
      <c r="R438" s="2444"/>
      <c r="S438" s="2444"/>
      <c r="T438" s="2444"/>
      <c r="U438" s="2444"/>
      <c r="V438" s="2444"/>
      <c r="W438" s="2444"/>
      <c r="X438" s="2444"/>
      <c r="Y438" s="2444"/>
      <c r="Z438" s="2444"/>
      <c r="AA438" s="2444"/>
      <c r="AB438" s="2444"/>
      <c r="AC438" s="2444"/>
      <c r="AD438" s="2444"/>
      <c r="AE438" s="2444"/>
      <c r="AF438" s="595"/>
      <c r="AG438" s="595"/>
      <c r="AH438" s="595"/>
      <c r="AI438" s="595"/>
      <c r="AJ438" s="595"/>
      <c r="AK438" s="595"/>
      <c r="AL438" s="751"/>
      <c r="AM438" s="571"/>
      <c r="AN438" s="598"/>
    </row>
    <row r="439" spans="1:60" s="551" customFormat="1" ht="12.75" customHeight="1">
      <c r="A439" s="537"/>
      <c r="B439" s="14"/>
      <c r="C439" s="752"/>
      <c r="D439" s="731"/>
      <c r="E439" s="720"/>
      <c r="F439" s="2444"/>
      <c r="G439" s="2444"/>
      <c r="H439" s="2444"/>
      <c r="I439" s="2444"/>
      <c r="J439" s="2444"/>
      <c r="K439" s="2444"/>
      <c r="L439" s="2444"/>
      <c r="M439" s="2444"/>
      <c r="N439" s="2444"/>
      <c r="O439" s="2444"/>
      <c r="P439" s="2444"/>
      <c r="Q439" s="2444"/>
      <c r="R439" s="2444"/>
      <c r="S439" s="2444"/>
      <c r="T439" s="2444"/>
      <c r="U439" s="2444"/>
      <c r="V439" s="2444"/>
      <c r="W439" s="2444"/>
      <c r="X439" s="2444"/>
      <c r="Y439" s="2444"/>
      <c r="Z439" s="2444"/>
      <c r="AA439" s="2444"/>
      <c r="AB439" s="2444"/>
      <c r="AC439" s="2444"/>
      <c r="AD439" s="2444"/>
      <c r="AE439" s="2444"/>
      <c r="AF439" s="595"/>
      <c r="AG439" s="595"/>
      <c r="AH439" s="595"/>
      <c r="AI439" s="595"/>
      <c r="AJ439" s="595"/>
      <c r="AK439" s="595"/>
      <c r="AL439" s="751"/>
      <c r="AM439" s="571"/>
      <c r="AN439" s="598"/>
    </row>
    <row r="440" spans="1:60" s="551" customFormat="1" ht="12.75" customHeight="1">
      <c r="A440" s="537"/>
      <c r="B440" s="14"/>
      <c r="C440" s="752"/>
      <c r="D440" s="731"/>
      <c r="E440" s="720"/>
      <c r="F440" s="2444"/>
      <c r="G440" s="2444"/>
      <c r="H440" s="2444"/>
      <c r="I440" s="2444"/>
      <c r="J440" s="2444"/>
      <c r="K440" s="2444"/>
      <c r="L440" s="2444"/>
      <c r="M440" s="2444"/>
      <c r="N440" s="2444"/>
      <c r="O440" s="2444"/>
      <c r="P440" s="2444"/>
      <c r="Q440" s="2444"/>
      <c r="R440" s="2444"/>
      <c r="S440" s="2444"/>
      <c r="T440" s="2444"/>
      <c r="U440" s="2444"/>
      <c r="V440" s="2444"/>
      <c r="W440" s="2444"/>
      <c r="X440" s="2444"/>
      <c r="Y440" s="2444"/>
      <c r="Z440" s="2444"/>
      <c r="AA440" s="2444"/>
      <c r="AB440" s="2444"/>
      <c r="AC440" s="2444"/>
      <c r="AD440" s="2444"/>
      <c r="AE440" s="2444"/>
      <c r="AF440" s="595"/>
      <c r="AG440" s="595"/>
      <c r="AH440" s="595"/>
      <c r="AI440" s="595"/>
      <c r="AJ440" s="595"/>
      <c r="AK440" s="595"/>
      <c r="AL440" s="751"/>
      <c r="AM440" s="571"/>
      <c r="AN440" s="598"/>
    </row>
    <row r="441" spans="1:60" s="551" customFormat="1" ht="17.25" customHeight="1">
      <c r="A441" s="537"/>
      <c r="B441" s="14"/>
      <c r="C441" s="752"/>
      <c r="D441" s="731"/>
      <c r="E441" s="720"/>
      <c r="F441" s="2444"/>
      <c r="G441" s="2444"/>
      <c r="H441" s="2444"/>
      <c r="I441" s="2444"/>
      <c r="J441" s="2444"/>
      <c r="K441" s="2444"/>
      <c r="L441" s="2444"/>
      <c r="M441" s="2444"/>
      <c r="N441" s="2444"/>
      <c r="O441" s="2444"/>
      <c r="P441" s="2444"/>
      <c r="Q441" s="2444"/>
      <c r="R441" s="2444"/>
      <c r="S441" s="2444"/>
      <c r="T441" s="2444"/>
      <c r="U441" s="2444"/>
      <c r="V441" s="2444"/>
      <c r="W441" s="2444"/>
      <c r="X441" s="2444"/>
      <c r="Y441" s="2444"/>
      <c r="Z441" s="2444"/>
      <c r="AA441" s="2444"/>
      <c r="AB441" s="2444"/>
      <c r="AC441" s="2444"/>
      <c r="AD441" s="2444"/>
      <c r="AE441" s="2444"/>
      <c r="AL441" s="733"/>
      <c r="AM441" s="571"/>
      <c r="AN441" s="598"/>
    </row>
    <row r="442" spans="1:60" s="551" customFormat="1" ht="12.75" customHeight="1">
      <c r="A442" s="537"/>
      <c r="B442" s="14"/>
      <c r="C442" s="2453" t="s">
        <v>590</v>
      </c>
      <c r="D442" s="2454"/>
      <c r="E442" s="720"/>
      <c r="F442" s="597" t="s">
        <v>1485</v>
      </c>
      <c r="G442" s="677"/>
      <c r="H442" s="677"/>
      <c r="I442" s="677"/>
      <c r="J442" s="677"/>
      <c r="K442" s="677"/>
      <c r="L442" s="677"/>
      <c r="M442" s="677"/>
      <c r="N442" s="677"/>
      <c r="O442" s="677"/>
      <c r="P442" s="677"/>
      <c r="Q442" s="677"/>
      <c r="R442" s="677"/>
      <c r="S442" s="677"/>
      <c r="T442" s="677"/>
      <c r="U442" s="677"/>
      <c r="V442" s="677"/>
      <c r="W442" s="677"/>
      <c r="X442" s="677"/>
      <c r="Y442" s="677"/>
      <c r="Z442" s="677"/>
      <c r="AA442" s="677"/>
      <c r="AB442" s="677"/>
      <c r="AC442" s="677"/>
      <c r="AD442" s="677"/>
      <c r="AF442" s="2533" t="s">
        <v>1461</v>
      </c>
      <c r="AG442" s="2533"/>
      <c r="AH442" s="2533"/>
      <c r="AI442" s="2533"/>
      <c r="AJ442" s="2533"/>
      <c r="AK442" s="2533"/>
      <c r="AL442" s="2542"/>
      <c r="AM442" s="571"/>
      <c r="AN442" s="598"/>
    </row>
    <row r="443" spans="1:60" s="551" customFormat="1" ht="12.75" customHeight="1">
      <c r="A443" s="537"/>
      <c r="B443" s="14"/>
      <c r="C443" s="744"/>
      <c r="D443" s="728"/>
      <c r="E443" s="725"/>
      <c r="F443" s="742"/>
      <c r="G443" s="727"/>
      <c r="H443" s="727"/>
      <c r="I443" s="727"/>
      <c r="J443" s="727"/>
      <c r="K443" s="727"/>
      <c r="L443" s="727"/>
      <c r="M443" s="727"/>
      <c r="N443" s="727"/>
      <c r="O443" s="727"/>
      <c r="P443" s="727"/>
      <c r="Q443" s="727"/>
      <c r="R443" s="727"/>
      <c r="S443" s="727"/>
      <c r="T443" s="727"/>
      <c r="U443" s="727"/>
      <c r="V443" s="727"/>
      <c r="W443" s="727"/>
      <c r="X443" s="727"/>
      <c r="Y443" s="727"/>
      <c r="Z443" s="727"/>
      <c r="AA443" s="727"/>
      <c r="AB443" s="727"/>
      <c r="AC443" s="727"/>
      <c r="AD443" s="727"/>
      <c r="AE443" s="728"/>
      <c r="AF443" s="728"/>
      <c r="AG443" s="728"/>
      <c r="AH443" s="728"/>
      <c r="AI443" s="728"/>
      <c r="AJ443" s="728"/>
      <c r="AK443" s="728"/>
      <c r="AL443" s="743"/>
      <c r="AM443" s="571"/>
      <c r="AN443" s="598"/>
    </row>
    <row r="444" spans="1:60" s="551" customFormat="1" ht="12.75" customHeight="1">
      <c r="A444" s="537"/>
      <c r="B444" s="14"/>
      <c r="C444" s="731"/>
      <c r="D444" s="731"/>
      <c r="E444" s="720"/>
      <c r="F444" s="722"/>
      <c r="G444" s="604"/>
      <c r="H444" s="604"/>
      <c r="I444" s="604"/>
      <c r="J444" s="604"/>
      <c r="K444" s="604"/>
      <c r="L444" s="604"/>
      <c r="M444" s="604"/>
      <c r="N444" s="604"/>
      <c r="O444" s="604"/>
      <c r="P444" s="604"/>
      <c r="Q444" s="604"/>
      <c r="R444" s="604"/>
      <c r="S444" s="604"/>
      <c r="T444" s="604"/>
      <c r="U444" s="604"/>
      <c r="V444" s="604"/>
      <c r="W444" s="604"/>
      <c r="X444" s="604"/>
      <c r="Y444" s="604"/>
      <c r="Z444" s="604"/>
      <c r="AA444" s="604"/>
      <c r="AB444" s="604"/>
      <c r="AC444" s="604"/>
      <c r="AD444" s="604"/>
      <c r="AE444" s="592"/>
      <c r="AF444" s="592"/>
      <c r="AG444" s="592"/>
      <c r="AH444" s="592"/>
      <c r="AI444" s="592"/>
      <c r="AJ444" s="592"/>
      <c r="AK444" s="592"/>
      <c r="AL444" s="592"/>
      <c r="AM444" s="571"/>
      <c r="AN444" s="598"/>
    </row>
    <row r="445" spans="1:60" s="551" customFormat="1" ht="12.75" customHeight="1">
      <c r="A445" s="537"/>
      <c r="B445" s="14"/>
      <c r="C445" s="714"/>
      <c r="D445" s="715"/>
      <c r="E445" s="716" t="s">
        <v>1486</v>
      </c>
      <c r="F445" s="2443" t="s">
        <v>1487</v>
      </c>
      <c r="G445" s="2443"/>
      <c r="H445" s="2443"/>
      <c r="I445" s="2443"/>
      <c r="J445" s="2443"/>
      <c r="K445" s="2443"/>
      <c r="L445" s="2443"/>
      <c r="M445" s="2443"/>
      <c r="N445" s="2443"/>
      <c r="O445" s="2443"/>
      <c r="P445" s="2443"/>
      <c r="Q445" s="2443"/>
      <c r="R445" s="2443"/>
      <c r="S445" s="2443"/>
      <c r="T445" s="2443"/>
      <c r="U445" s="2443"/>
      <c r="V445" s="2443"/>
      <c r="W445" s="2443"/>
      <c r="X445" s="2443"/>
      <c r="Y445" s="2443"/>
      <c r="Z445" s="2443"/>
      <c r="AA445" s="2443"/>
      <c r="AB445" s="2443"/>
      <c r="AC445" s="2443"/>
      <c r="AD445" s="2443"/>
      <c r="AE445" s="2443"/>
      <c r="AF445" s="715"/>
      <c r="AG445" s="715"/>
      <c r="AH445" s="715"/>
      <c r="AI445" s="715"/>
      <c r="AJ445" s="715"/>
      <c r="AK445" s="715"/>
      <c r="AL445" s="746"/>
      <c r="AM445" s="571"/>
      <c r="AN445" s="598"/>
    </row>
    <row r="446" spans="1:60" s="551" customFormat="1" ht="12.75" customHeight="1">
      <c r="A446" s="537"/>
      <c r="B446" s="14"/>
      <c r="C446" s="752"/>
      <c r="D446" s="731"/>
      <c r="E446" s="720"/>
      <c r="F446" s="2444"/>
      <c r="G446" s="2444"/>
      <c r="H446" s="2444"/>
      <c r="I446" s="2444"/>
      <c r="J446" s="2444"/>
      <c r="K446" s="2444"/>
      <c r="L446" s="2444"/>
      <c r="M446" s="2444"/>
      <c r="N446" s="2444"/>
      <c r="O446" s="2444"/>
      <c r="P446" s="2444"/>
      <c r="Q446" s="2444"/>
      <c r="R446" s="2444"/>
      <c r="S446" s="2444"/>
      <c r="T446" s="2444"/>
      <c r="U446" s="2444"/>
      <c r="V446" s="2444"/>
      <c r="W446" s="2444"/>
      <c r="X446" s="2444"/>
      <c r="Y446" s="2444"/>
      <c r="Z446" s="2444"/>
      <c r="AA446" s="2444"/>
      <c r="AB446" s="2444"/>
      <c r="AC446" s="2444"/>
      <c r="AD446" s="2444"/>
      <c r="AE446" s="2444"/>
      <c r="AF446" s="592"/>
      <c r="AG446" s="592"/>
      <c r="AH446" s="592"/>
      <c r="AI446" s="592"/>
      <c r="AJ446" s="592"/>
      <c r="AK446" s="592"/>
      <c r="AL446" s="721"/>
      <c r="AM446" s="571"/>
      <c r="AN446" s="598"/>
    </row>
    <row r="447" spans="1:60" s="551" customFormat="1" ht="12.75" customHeight="1">
      <c r="A447" s="537"/>
      <c r="B447" s="14"/>
      <c r="C447" s="752"/>
      <c r="D447" s="731"/>
      <c r="E447" s="720"/>
      <c r="F447" s="2444"/>
      <c r="G447" s="2444"/>
      <c r="H447" s="2444"/>
      <c r="I447" s="2444"/>
      <c r="J447" s="2444"/>
      <c r="K447" s="2444"/>
      <c r="L447" s="2444"/>
      <c r="M447" s="2444"/>
      <c r="N447" s="2444"/>
      <c r="O447" s="2444"/>
      <c r="P447" s="2444"/>
      <c r="Q447" s="2444"/>
      <c r="R447" s="2444"/>
      <c r="S447" s="2444"/>
      <c r="T447" s="2444"/>
      <c r="U447" s="2444"/>
      <c r="V447" s="2444"/>
      <c r="W447" s="2444"/>
      <c r="X447" s="2444"/>
      <c r="Y447" s="2444"/>
      <c r="Z447" s="2444"/>
      <c r="AA447" s="2444"/>
      <c r="AB447" s="2444"/>
      <c r="AC447" s="2444"/>
      <c r="AD447" s="2444"/>
      <c r="AE447" s="2444"/>
      <c r="AF447" s="592"/>
      <c r="AG447" s="592"/>
      <c r="AH447" s="592"/>
      <c r="AI447" s="592"/>
      <c r="AJ447" s="592"/>
      <c r="AK447" s="592"/>
      <c r="AL447" s="721"/>
      <c r="AM447" s="571"/>
      <c r="AN447" s="598"/>
    </row>
    <row r="448" spans="1:60" s="551" customFormat="1" ht="12.75" customHeight="1">
      <c r="A448" s="537"/>
      <c r="B448" s="14"/>
      <c r="C448" s="752"/>
      <c r="D448" s="731"/>
      <c r="E448" s="720"/>
      <c r="F448" s="2444"/>
      <c r="G448" s="2444"/>
      <c r="H448" s="2444"/>
      <c r="I448" s="2444"/>
      <c r="J448" s="2444"/>
      <c r="K448" s="2444"/>
      <c r="L448" s="2444"/>
      <c r="M448" s="2444"/>
      <c r="N448" s="2444"/>
      <c r="O448" s="2444"/>
      <c r="P448" s="2444"/>
      <c r="Q448" s="2444"/>
      <c r="R448" s="2444"/>
      <c r="S448" s="2444"/>
      <c r="T448" s="2444"/>
      <c r="U448" s="2444"/>
      <c r="V448" s="2444"/>
      <c r="W448" s="2444"/>
      <c r="X448" s="2444"/>
      <c r="Y448" s="2444"/>
      <c r="Z448" s="2444"/>
      <c r="AA448" s="2444"/>
      <c r="AB448" s="2444"/>
      <c r="AC448" s="2444"/>
      <c r="AD448" s="2444"/>
      <c r="AE448" s="2444"/>
      <c r="AL448" s="733"/>
      <c r="AM448" s="571"/>
      <c r="AN448" s="598"/>
    </row>
    <row r="449" spans="1:40" s="551" customFormat="1" ht="12.75" customHeight="1">
      <c r="A449" s="537"/>
      <c r="B449" s="14"/>
      <c r="C449" s="2453" t="s">
        <v>590</v>
      </c>
      <c r="D449" s="2454"/>
      <c r="E449" s="720"/>
      <c r="F449" s="722" t="s">
        <v>1491</v>
      </c>
      <c r="G449" s="604"/>
      <c r="H449" s="604"/>
      <c r="I449" s="604"/>
      <c r="J449" s="604"/>
      <c r="K449" s="604"/>
      <c r="L449" s="604"/>
      <c r="M449" s="604"/>
      <c r="N449" s="604"/>
      <c r="O449" s="604"/>
      <c r="P449" s="604"/>
      <c r="Q449" s="604"/>
      <c r="R449" s="604"/>
      <c r="S449" s="604"/>
      <c r="T449" s="604"/>
      <c r="U449" s="604"/>
      <c r="V449" s="604"/>
      <c r="W449" s="604"/>
      <c r="X449" s="604"/>
      <c r="Y449" s="604"/>
      <c r="Z449" s="604"/>
      <c r="AA449" s="604"/>
      <c r="AB449" s="604"/>
      <c r="AC449" s="604"/>
      <c r="AD449" s="604"/>
      <c r="AF449" s="2533" t="s">
        <v>1461</v>
      </c>
      <c r="AG449" s="2533"/>
      <c r="AH449" s="2533"/>
      <c r="AI449" s="2533"/>
      <c r="AJ449" s="2533"/>
      <c r="AK449" s="2533"/>
      <c r="AL449" s="2542"/>
      <c r="AM449" s="571"/>
      <c r="AN449" s="754"/>
    </row>
    <row r="450" spans="1:40" s="551" customFormat="1" ht="12.75" customHeight="1">
      <c r="A450" s="537"/>
      <c r="B450" s="14"/>
      <c r="C450" s="752"/>
      <c r="D450" s="731"/>
      <c r="E450" s="720"/>
      <c r="F450" s="722"/>
      <c r="G450" s="604"/>
      <c r="H450" s="604"/>
      <c r="I450" s="604"/>
      <c r="J450" s="604"/>
      <c r="K450" s="604"/>
      <c r="L450" s="604"/>
      <c r="M450" s="604"/>
      <c r="N450" s="604"/>
      <c r="O450" s="604"/>
      <c r="P450" s="604"/>
      <c r="Q450" s="604"/>
      <c r="R450" s="604"/>
      <c r="S450" s="604"/>
      <c r="T450" s="604"/>
      <c r="U450" s="604"/>
      <c r="V450" s="604"/>
      <c r="W450" s="604"/>
      <c r="X450" s="604"/>
      <c r="Y450" s="604"/>
      <c r="Z450" s="604"/>
      <c r="AA450" s="604"/>
      <c r="AB450" s="604"/>
      <c r="AC450" s="604"/>
      <c r="AD450" s="604"/>
      <c r="AE450" s="592"/>
      <c r="AL450" s="733"/>
      <c r="AM450" s="571"/>
      <c r="AN450" s="754"/>
    </row>
    <row r="451" spans="1:40" s="551" customFormat="1" ht="12.75" customHeight="1">
      <c r="A451" s="537"/>
      <c r="B451" s="14"/>
      <c r="C451" s="741"/>
      <c r="D451" s="734"/>
      <c r="E451" s="735"/>
      <c r="F451" s="728" t="s">
        <v>1468</v>
      </c>
      <c r="G451" s="736"/>
      <c r="H451" s="736"/>
      <c r="I451" s="736"/>
      <c r="J451" s="736"/>
      <c r="K451" s="736"/>
      <c r="L451" s="736"/>
      <c r="M451" s="736"/>
      <c r="N451" s="736"/>
      <c r="O451" s="736"/>
      <c r="P451" s="736"/>
      <c r="Q451" s="736"/>
      <c r="R451" s="736"/>
      <c r="S451" s="736"/>
      <c r="T451" s="736"/>
      <c r="U451" s="736"/>
      <c r="V451" s="736"/>
      <c r="W451" s="736"/>
      <c r="X451" s="736"/>
      <c r="Y451" s="736"/>
      <c r="Z451" s="736"/>
      <c r="AA451" s="736"/>
      <c r="AB451" s="736"/>
      <c r="AC451" s="736"/>
      <c r="AD451" s="736"/>
      <c r="AE451" s="738"/>
      <c r="AF451" s="584"/>
      <c r="AG451" s="738"/>
      <c r="AH451" s="728"/>
      <c r="AI451" s="728"/>
      <c r="AJ451" s="728"/>
      <c r="AK451" s="728"/>
      <c r="AL451" s="743"/>
      <c r="AM451" s="571"/>
      <c r="AN451" s="754"/>
    </row>
    <row r="452" spans="1:40" s="551" customFormat="1" ht="12.75" customHeight="1">
      <c r="A452" s="537"/>
      <c r="B452" s="14"/>
      <c r="C452" s="731"/>
      <c r="D452" s="731"/>
      <c r="E452" s="720"/>
      <c r="F452" s="722"/>
      <c r="G452" s="604"/>
      <c r="H452" s="604"/>
      <c r="I452" s="604"/>
      <c r="J452" s="604"/>
      <c r="K452" s="604"/>
      <c r="L452" s="604"/>
      <c r="M452" s="604"/>
      <c r="N452" s="604"/>
      <c r="O452" s="604"/>
      <c r="P452" s="604"/>
      <c r="Q452" s="604"/>
      <c r="R452" s="604"/>
      <c r="S452" s="604"/>
      <c r="T452" s="604"/>
      <c r="U452" s="604"/>
      <c r="V452" s="604"/>
      <c r="W452" s="604"/>
      <c r="X452" s="604"/>
      <c r="Y452" s="604"/>
      <c r="Z452" s="604"/>
      <c r="AA452" s="604"/>
      <c r="AB452" s="604"/>
      <c r="AC452" s="604"/>
      <c r="AD452" s="604"/>
      <c r="AE452" s="592"/>
      <c r="AM452" s="571"/>
      <c r="AN452" s="754"/>
    </row>
    <row r="453" spans="1:40" s="551" customFormat="1" ht="12.75" customHeight="1">
      <c r="A453" s="537"/>
      <c r="B453" s="14"/>
      <c r="C453" s="2569" t="s">
        <v>590</v>
      </c>
      <c r="D453" s="2570"/>
      <c r="E453" s="716" t="s">
        <v>1496</v>
      </c>
      <c r="F453" s="2443" t="s">
        <v>1497</v>
      </c>
      <c r="G453" s="2443"/>
      <c r="H453" s="2443"/>
      <c r="I453" s="2443"/>
      <c r="J453" s="2443"/>
      <c r="K453" s="2443"/>
      <c r="L453" s="2443"/>
      <c r="M453" s="2443"/>
      <c r="N453" s="2443"/>
      <c r="O453" s="2443"/>
      <c r="P453" s="2443"/>
      <c r="Q453" s="2443"/>
      <c r="R453" s="2443"/>
      <c r="S453" s="2443"/>
      <c r="T453" s="2443"/>
      <c r="U453" s="2443"/>
      <c r="V453" s="2443"/>
      <c r="W453" s="2443"/>
      <c r="X453" s="2443"/>
      <c r="Y453" s="2443"/>
      <c r="Z453" s="2443"/>
      <c r="AA453" s="2443"/>
      <c r="AB453" s="2443"/>
      <c r="AC453" s="2443"/>
      <c r="AD453" s="2443"/>
      <c r="AE453" s="2443"/>
      <c r="AF453" s="2471" t="s">
        <v>1461</v>
      </c>
      <c r="AG453" s="2471"/>
      <c r="AH453" s="2471"/>
      <c r="AI453" s="2471"/>
      <c r="AJ453" s="2471"/>
      <c r="AK453" s="2471"/>
      <c r="AL453" s="2472"/>
      <c r="AM453" s="571"/>
      <c r="AN453" s="754"/>
    </row>
    <row r="454" spans="1:40" s="551" customFormat="1" ht="12.75" customHeight="1">
      <c r="A454" s="537"/>
      <c r="B454" s="14"/>
      <c r="C454" s="752"/>
      <c r="D454" s="731"/>
      <c r="E454" s="720"/>
      <c r="F454" s="2444"/>
      <c r="G454" s="2444"/>
      <c r="H454" s="2444"/>
      <c r="I454" s="2444"/>
      <c r="J454" s="2444"/>
      <c r="K454" s="2444"/>
      <c r="L454" s="2444"/>
      <c r="M454" s="2444"/>
      <c r="N454" s="2444"/>
      <c r="O454" s="2444"/>
      <c r="P454" s="2444"/>
      <c r="Q454" s="2444"/>
      <c r="R454" s="2444"/>
      <c r="S454" s="2444"/>
      <c r="T454" s="2444"/>
      <c r="U454" s="2444"/>
      <c r="V454" s="2444"/>
      <c r="W454" s="2444"/>
      <c r="X454" s="2444"/>
      <c r="Y454" s="2444"/>
      <c r="Z454" s="2444"/>
      <c r="AA454" s="2444"/>
      <c r="AB454" s="2444"/>
      <c r="AC454" s="2444"/>
      <c r="AD454" s="2444"/>
      <c r="AE454" s="2444"/>
      <c r="AF454" s="592"/>
      <c r="AG454" s="592"/>
      <c r="AH454" s="592"/>
      <c r="AI454" s="592"/>
      <c r="AJ454" s="592"/>
      <c r="AK454" s="592"/>
      <c r="AL454" s="721"/>
      <c r="AM454" s="571"/>
      <c r="AN454" s="755"/>
    </row>
    <row r="455" spans="1:40" s="551" customFormat="1" ht="17.649999999999999" customHeight="1">
      <c r="A455" s="537"/>
      <c r="B455" s="14"/>
      <c r="C455" s="757"/>
      <c r="D455" s="724"/>
      <c r="E455" s="725"/>
      <c r="F455" s="2445"/>
      <c r="G455" s="2445"/>
      <c r="H455" s="2445"/>
      <c r="I455" s="2445"/>
      <c r="J455" s="2445"/>
      <c r="K455" s="2445"/>
      <c r="L455" s="2445"/>
      <c r="M455" s="2445"/>
      <c r="N455" s="2445"/>
      <c r="O455" s="2445"/>
      <c r="P455" s="2445"/>
      <c r="Q455" s="2445"/>
      <c r="R455" s="2445"/>
      <c r="S455" s="2445"/>
      <c r="T455" s="2445"/>
      <c r="U455" s="2445"/>
      <c r="V455" s="2445"/>
      <c r="W455" s="2445"/>
      <c r="X455" s="2445"/>
      <c r="Y455" s="2445"/>
      <c r="Z455" s="2445"/>
      <c r="AA455" s="2445"/>
      <c r="AB455" s="2445"/>
      <c r="AC455" s="2445"/>
      <c r="AD455" s="2445"/>
      <c r="AE455" s="2445"/>
      <c r="AF455" s="729"/>
      <c r="AG455" s="729"/>
      <c r="AH455" s="729"/>
      <c r="AI455" s="729"/>
      <c r="AJ455" s="729"/>
      <c r="AK455" s="729"/>
      <c r="AL455" s="758"/>
      <c r="AM455" s="571"/>
      <c r="AN455" s="536"/>
    </row>
    <row r="456" spans="1:40" s="551" customFormat="1" ht="12.75" customHeight="1">
      <c r="A456" s="537"/>
      <c r="B456" s="14"/>
      <c r="C456" s="731"/>
      <c r="D456" s="731"/>
      <c r="E456" s="720"/>
      <c r="F456" s="722"/>
      <c r="G456" s="604"/>
      <c r="H456" s="604"/>
      <c r="I456" s="604"/>
      <c r="J456" s="604"/>
      <c r="K456" s="604"/>
      <c r="L456" s="604"/>
      <c r="M456" s="604"/>
      <c r="N456" s="604"/>
      <c r="O456" s="604"/>
      <c r="P456" s="604"/>
      <c r="Q456" s="604"/>
      <c r="R456" s="604"/>
      <c r="S456" s="604"/>
      <c r="T456" s="604"/>
      <c r="U456" s="604"/>
      <c r="V456" s="604"/>
      <c r="W456" s="604"/>
      <c r="X456" s="604"/>
      <c r="Y456" s="604"/>
      <c r="Z456" s="604"/>
      <c r="AA456" s="604"/>
      <c r="AB456" s="604"/>
      <c r="AC456" s="604"/>
      <c r="AD456" s="604"/>
      <c r="AE456" s="592"/>
      <c r="AM456" s="571"/>
      <c r="AN456" s="536"/>
    </row>
    <row r="457" spans="1:40" s="551" customFormat="1" ht="12.75" customHeight="1">
      <c r="A457" s="537"/>
      <c r="B457" s="14"/>
      <c r="C457" s="2453" t="s">
        <v>590</v>
      </c>
      <c r="D457" s="2454"/>
      <c r="E457" s="716" t="s">
        <v>1502</v>
      </c>
      <c r="F457" s="2443" t="s">
        <v>1503</v>
      </c>
      <c r="G457" s="2443"/>
      <c r="H457" s="2443"/>
      <c r="I457" s="2443"/>
      <c r="J457" s="2443"/>
      <c r="K457" s="2443"/>
      <c r="L457" s="2443"/>
      <c r="M457" s="2443"/>
      <c r="N457" s="2443"/>
      <c r="O457" s="2443"/>
      <c r="P457" s="2443"/>
      <c r="Q457" s="2443"/>
      <c r="R457" s="2443"/>
      <c r="S457" s="2443"/>
      <c r="T457" s="2443"/>
      <c r="U457" s="2443"/>
      <c r="V457" s="2443"/>
      <c r="W457" s="2443"/>
      <c r="X457" s="2443"/>
      <c r="Y457" s="2443"/>
      <c r="Z457" s="2443"/>
      <c r="AA457" s="2443"/>
      <c r="AB457" s="2443"/>
      <c r="AC457" s="2443"/>
      <c r="AD457" s="2443"/>
      <c r="AE457" s="2443"/>
      <c r="AF457" s="2471" t="s">
        <v>1461</v>
      </c>
      <c r="AG457" s="2471"/>
      <c r="AH457" s="2471"/>
      <c r="AI457" s="2471"/>
      <c r="AJ457" s="2471"/>
      <c r="AK457" s="2471"/>
      <c r="AL457" s="2472"/>
      <c r="AM457" s="571"/>
      <c r="AN457" s="536"/>
    </row>
    <row r="458" spans="1:40" s="551" customFormat="1" ht="12.75" customHeight="1">
      <c r="A458" s="537"/>
      <c r="B458" s="14"/>
      <c r="C458" s="732"/>
      <c r="D458" s="14"/>
      <c r="E458" s="692"/>
      <c r="F458" s="2444"/>
      <c r="G458" s="2444"/>
      <c r="H458" s="2444"/>
      <c r="I458" s="2444"/>
      <c r="J458" s="2444"/>
      <c r="K458" s="2444"/>
      <c r="L458" s="2444"/>
      <c r="M458" s="2444"/>
      <c r="N458" s="2444"/>
      <c r="O458" s="2444"/>
      <c r="P458" s="2444"/>
      <c r="Q458" s="2444"/>
      <c r="R458" s="2444"/>
      <c r="S458" s="2444"/>
      <c r="T458" s="2444"/>
      <c r="U458" s="2444"/>
      <c r="V458" s="2444"/>
      <c r="W458" s="2444"/>
      <c r="X458" s="2444"/>
      <c r="Y458" s="2444"/>
      <c r="Z458" s="2444"/>
      <c r="AA458" s="2444"/>
      <c r="AB458" s="2444"/>
      <c r="AC458" s="2444"/>
      <c r="AD458" s="2444"/>
      <c r="AE458" s="2444"/>
      <c r="AF458" s="540"/>
      <c r="AG458" s="537"/>
      <c r="AL458" s="733"/>
      <c r="AM458" s="571"/>
      <c r="AN458" s="536"/>
    </row>
    <row r="459" spans="1:40" s="551" customFormat="1" ht="12.75" customHeight="1">
      <c r="A459" s="537"/>
      <c r="B459" s="14"/>
      <c r="C459" s="732"/>
      <c r="D459" s="14"/>
      <c r="E459" s="692"/>
      <c r="F459" s="2444"/>
      <c r="G459" s="2444"/>
      <c r="H459" s="2444"/>
      <c r="I459" s="2444"/>
      <c r="J459" s="2444"/>
      <c r="K459" s="2444"/>
      <c r="L459" s="2444"/>
      <c r="M459" s="2444"/>
      <c r="N459" s="2444"/>
      <c r="O459" s="2444"/>
      <c r="P459" s="2444"/>
      <c r="Q459" s="2444"/>
      <c r="R459" s="2444"/>
      <c r="S459" s="2444"/>
      <c r="T459" s="2444"/>
      <c r="U459" s="2444"/>
      <c r="V459" s="2444"/>
      <c r="W459" s="2444"/>
      <c r="X459" s="2444"/>
      <c r="Y459" s="2444"/>
      <c r="Z459" s="2444"/>
      <c r="AA459" s="2444"/>
      <c r="AB459" s="2444"/>
      <c r="AC459" s="2444"/>
      <c r="AD459" s="2444"/>
      <c r="AE459" s="2444"/>
      <c r="AF459" s="540"/>
      <c r="AG459" s="537"/>
      <c r="AL459" s="733"/>
      <c r="AM459" s="571"/>
      <c r="AN459" s="536"/>
    </row>
    <row r="460" spans="1:40" s="551" customFormat="1" ht="12.75" customHeight="1">
      <c r="A460" s="537"/>
      <c r="B460" s="14"/>
      <c r="C460" s="757"/>
      <c r="D460" s="724"/>
      <c r="E460" s="725"/>
      <c r="F460" s="2445"/>
      <c r="G460" s="2445"/>
      <c r="H460" s="2445"/>
      <c r="I460" s="2445"/>
      <c r="J460" s="2445"/>
      <c r="K460" s="2445"/>
      <c r="L460" s="2445"/>
      <c r="M460" s="2445"/>
      <c r="N460" s="2445"/>
      <c r="O460" s="2445"/>
      <c r="P460" s="2445"/>
      <c r="Q460" s="2445"/>
      <c r="R460" s="2445"/>
      <c r="S460" s="2445"/>
      <c r="T460" s="2445"/>
      <c r="U460" s="2445"/>
      <c r="V460" s="2445"/>
      <c r="W460" s="2445"/>
      <c r="X460" s="2445"/>
      <c r="Y460" s="2445"/>
      <c r="Z460" s="2445"/>
      <c r="AA460" s="2445"/>
      <c r="AB460" s="2445"/>
      <c r="AC460" s="2445"/>
      <c r="AD460" s="2445"/>
      <c r="AE460" s="2445"/>
      <c r="AF460" s="729"/>
      <c r="AG460" s="729"/>
      <c r="AH460" s="729"/>
      <c r="AI460" s="729"/>
      <c r="AJ460" s="729"/>
      <c r="AK460" s="729"/>
      <c r="AL460" s="758"/>
      <c r="AM460" s="571"/>
      <c r="AN460" s="598"/>
    </row>
    <row r="461" spans="1:40" s="551" customFormat="1" ht="12.75" customHeight="1">
      <c r="A461" s="537"/>
      <c r="B461" s="14"/>
      <c r="G461" s="604"/>
      <c r="H461" s="604"/>
      <c r="I461" s="604"/>
      <c r="J461" s="604"/>
      <c r="K461" s="604"/>
      <c r="L461" s="604"/>
      <c r="M461" s="604"/>
      <c r="N461" s="604"/>
      <c r="O461" s="604"/>
      <c r="P461" s="604"/>
      <c r="Q461" s="604"/>
      <c r="R461" s="604"/>
      <c r="S461" s="604"/>
      <c r="T461" s="604"/>
      <c r="U461" s="604"/>
      <c r="V461" s="604"/>
      <c r="W461" s="604"/>
      <c r="X461" s="604"/>
      <c r="Y461" s="604"/>
      <c r="Z461" s="604"/>
      <c r="AA461" s="604"/>
      <c r="AB461" s="604"/>
      <c r="AC461" s="604"/>
      <c r="AD461" s="604"/>
      <c r="AM461" s="571"/>
      <c r="AN461" s="598"/>
    </row>
    <row r="462" spans="1:40" s="551" customFormat="1" ht="12.75" customHeight="1">
      <c r="A462" s="537"/>
      <c r="B462" s="14"/>
      <c r="C462" s="714"/>
      <c r="D462" s="715"/>
      <c r="E462" s="716" t="s">
        <v>1505</v>
      </c>
      <c r="F462" s="2443" t="s">
        <v>1506</v>
      </c>
      <c r="G462" s="2443"/>
      <c r="H462" s="2443"/>
      <c r="I462" s="2443"/>
      <c r="J462" s="2443"/>
      <c r="K462" s="2443"/>
      <c r="L462" s="2443"/>
      <c r="M462" s="2443"/>
      <c r="N462" s="2443"/>
      <c r="O462" s="2443"/>
      <c r="P462" s="2443"/>
      <c r="Q462" s="2443"/>
      <c r="R462" s="2443"/>
      <c r="S462" s="2443"/>
      <c r="T462" s="2443"/>
      <c r="U462" s="2443"/>
      <c r="V462" s="2443"/>
      <c r="W462" s="2443"/>
      <c r="X462" s="2443"/>
      <c r="Y462" s="2443"/>
      <c r="Z462" s="2443"/>
      <c r="AA462" s="2443"/>
      <c r="AB462" s="2443"/>
      <c r="AC462" s="2443"/>
      <c r="AD462" s="2443"/>
      <c r="AE462" s="2443"/>
      <c r="AF462" s="2443"/>
      <c r="AG462" s="745"/>
      <c r="AH462" s="715"/>
      <c r="AI462" s="715"/>
      <c r="AJ462" s="715"/>
      <c r="AK462" s="715"/>
      <c r="AL462" s="746"/>
      <c r="AM462" s="571"/>
      <c r="AN462" s="598"/>
    </row>
    <row r="463" spans="1:40" s="551" customFormat="1" ht="12.75" customHeight="1">
      <c r="A463" s="537"/>
      <c r="B463" s="14"/>
      <c r="C463" s="732"/>
      <c r="D463" s="14"/>
      <c r="E463" s="692"/>
      <c r="F463" s="2444"/>
      <c r="G463" s="2444"/>
      <c r="H463" s="2444"/>
      <c r="I463" s="2444"/>
      <c r="J463" s="2444"/>
      <c r="K463" s="2444"/>
      <c r="L463" s="2444"/>
      <c r="M463" s="2444"/>
      <c r="N463" s="2444"/>
      <c r="O463" s="2444"/>
      <c r="P463" s="2444"/>
      <c r="Q463" s="2444"/>
      <c r="R463" s="2444"/>
      <c r="S463" s="2444"/>
      <c r="T463" s="2444"/>
      <c r="U463" s="2444"/>
      <c r="V463" s="2444"/>
      <c r="W463" s="2444"/>
      <c r="X463" s="2444"/>
      <c r="Y463" s="2444"/>
      <c r="Z463" s="2444"/>
      <c r="AA463" s="2444"/>
      <c r="AB463" s="2444"/>
      <c r="AC463" s="2444"/>
      <c r="AD463" s="2444"/>
      <c r="AE463" s="2444"/>
      <c r="AF463" s="2444"/>
      <c r="AL463" s="733"/>
      <c r="AM463" s="571"/>
      <c r="AN463" s="598"/>
    </row>
    <row r="464" spans="1:40" s="551" customFormat="1" ht="12.75" customHeight="1">
      <c r="A464" s="537"/>
      <c r="B464" s="14"/>
      <c r="C464" s="740"/>
      <c r="F464" s="2444"/>
      <c r="G464" s="2444"/>
      <c r="H464" s="2444"/>
      <c r="I464" s="2444"/>
      <c r="J464" s="2444"/>
      <c r="K464" s="2444"/>
      <c r="L464" s="2444"/>
      <c r="M464" s="2444"/>
      <c r="N464" s="2444"/>
      <c r="O464" s="2444"/>
      <c r="P464" s="2444"/>
      <c r="Q464" s="2444"/>
      <c r="R464" s="2444"/>
      <c r="S464" s="2444"/>
      <c r="T464" s="2444"/>
      <c r="U464" s="2444"/>
      <c r="V464" s="2444"/>
      <c r="W464" s="2444"/>
      <c r="X464" s="2444"/>
      <c r="Y464" s="2444"/>
      <c r="Z464" s="2444"/>
      <c r="AA464" s="2444"/>
      <c r="AB464" s="2444"/>
      <c r="AC464" s="2444"/>
      <c r="AD464" s="2444"/>
      <c r="AE464" s="2444"/>
      <c r="AF464" s="2444"/>
      <c r="AL464" s="733"/>
      <c r="AM464" s="571"/>
      <c r="AN464" s="598"/>
    </row>
    <row r="465" spans="1:58" s="551" customFormat="1" ht="12.75" customHeight="1">
      <c r="A465" s="537"/>
      <c r="B465" s="14"/>
      <c r="C465" s="740"/>
      <c r="F465" s="2444"/>
      <c r="G465" s="2444"/>
      <c r="H465" s="2444"/>
      <c r="I465" s="2444"/>
      <c r="J465" s="2444"/>
      <c r="K465" s="2444"/>
      <c r="L465" s="2444"/>
      <c r="M465" s="2444"/>
      <c r="N465" s="2444"/>
      <c r="O465" s="2444"/>
      <c r="P465" s="2444"/>
      <c r="Q465" s="2444"/>
      <c r="R465" s="2444"/>
      <c r="S465" s="2444"/>
      <c r="T465" s="2444"/>
      <c r="U465" s="2444"/>
      <c r="V465" s="2444"/>
      <c r="W465" s="2444"/>
      <c r="X465" s="2444"/>
      <c r="Y465" s="2444"/>
      <c r="Z465" s="2444"/>
      <c r="AA465" s="2444"/>
      <c r="AB465" s="2444"/>
      <c r="AC465" s="2444"/>
      <c r="AD465" s="2444"/>
      <c r="AE465" s="2444"/>
      <c r="AF465" s="2444"/>
      <c r="AL465" s="733"/>
      <c r="AM465" s="571"/>
      <c r="AN465" s="598"/>
    </row>
    <row r="466" spans="1:58" s="551" customFormat="1" ht="12.75" customHeight="1">
      <c r="A466" s="537"/>
      <c r="B466" s="14"/>
      <c r="C466" s="2453" t="s">
        <v>590</v>
      </c>
      <c r="D466" s="2454"/>
      <c r="E466" s="720"/>
      <c r="F466" s="722" t="s">
        <v>1478</v>
      </c>
      <c r="G466" s="604"/>
      <c r="H466" s="604"/>
      <c r="I466" s="604"/>
      <c r="J466" s="604"/>
      <c r="K466" s="604"/>
      <c r="L466" s="604"/>
      <c r="M466" s="604"/>
      <c r="N466" s="604"/>
      <c r="O466" s="604"/>
      <c r="P466" s="604"/>
      <c r="Q466" s="604"/>
      <c r="R466" s="604"/>
      <c r="S466" s="604"/>
      <c r="T466" s="604"/>
      <c r="U466" s="604"/>
      <c r="V466" s="604"/>
      <c r="W466" s="604"/>
      <c r="X466" s="604"/>
      <c r="Y466" s="604"/>
      <c r="Z466" s="604"/>
      <c r="AA466" s="604"/>
      <c r="AB466" s="604"/>
      <c r="AC466" s="604"/>
      <c r="AD466" s="604"/>
      <c r="AF466" s="2455" t="s">
        <v>1461</v>
      </c>
      <c r="AG466" s="2455"/>
      <c r="AH466" s="2455"/>
      <c r="AI466" s="2455"/>
      <c r="AJ466" s="2455"/>
      <c r="AK466" s="2455"/>
      <c r="AL466" s="2456"/>
      <c r="AM466" s="571"/>
      <c r="AN466" s="598"/>
    </row>
    <row r="467" spans="1:58" s="551" customFormat="1" ht="12.75" customHeight="1">
      <c r="A467" s="537"/>
      <c r="B467" s="14"/>
      <c r="C467" s="741"/>
      <c r="D467" s="734"/>
      <c r="E467" s="735"/>
      <c r="F467" s="728"/>
      <c r="G467" s="728"/>
      <c r="H467" s="728"/>
      <c r="I467" s="728"/>
      <c r="J467" s="728"/>
      <c r="K467" s="728"/>
      <c r="L467" s="728"/>
      <c r="M467" s="728"/>
      <c r="N467" s="728"/>
      <c r="O467" s="728"/>
      <c r="P467" s="728"/>
      <c r="Q467" s="728"/>
      <c r="R467" s="728"/>
      <c r="S467" s="728"/>
      <c r="T467" s="728"/>
      <c r="U467" s="728"/>
      <c r="V467" s="728"/>
      <c r="W467" s="728"/>
      <c r="X467" s="728"/>
      <c r="Y467" s="728"/>
      <c r="Z467" s="728"/>
      <c r="AA467" s="728"/>
      <c r="AB467" s="728"/>
      <c r="AC467" s="728"/>
      <c r="AD467" s="728"/>
      <c r="AE467" s="728"/>
      <c r="AF467" s="728"/>
      <c r="AG467" s="728"/>
      <c r="AH467" s="728"/>
      <c r="AI467" s="728"/>
      <c r="AJ467" s="728"/>
      <c r="AK467" s="728"/>
      <c r="AL467" s="743"/>
      <c r="AN467" s="598"/>
    </row>
    <row r="468" spans="1:58" s="551" customFormat="1" ht="12.75" customHeight="1">
      <c r="A468" s="537"/>
      <c r="B468" s="14"/>
      <c r="C468" s="1017"/>
      <c r="D468" s="571"/>
      <c r="F468" s="722"/>
      <c r="G468" s="604"/>
      <c r="H468" s="604"/>
      <c r="I468" s="604"/>
      <c r="J468" s="604"/>
      <c r="K468" s="604"/>
      <c r="L468" s="604"/>
      <c r="M468" s="604"/>
      <c r="N468" s="604"/>
      <c r="O468" s="604"/>
      <c r="P468" s="604"/>
      <c r="Q468" s="604"/>
      <c r="R468" s="604"/>
      <c r="S468" s="604"/>
      <c r="T468" s="604"/>
      <c r="U468" s="604"/>
      <c r="V468" s="604"/>
      <c r="W468" s="604"/>
      <c r="X468" s="604"/>
      <c r="Y468" s="604"/>
      <c r="Z468" s="604"/>
      <c r="AA468" s="604"/>
      <c r="AB468" s="604"/>
      <c r="AC468" s="604"/>
      <c r="AD468" s="604"/>
      <c r="AF468" s="614"/>
      <c r="AG468" s="614"/>
      <c r="AH468" s="614"/>
      <c r="AI468" s="614"/>
      <c r="AJ468" s="614"/>
      <c r="AK468" s="614"/>
      <c r="AL468" s="614"/>
      <c r="AN468" s="598"/>
    </row>
    <row r="469" spans="1:58" s="551" customFormat="1" ht="12.75" customHeight="1">
      <c r="A469" s="601"/>
      <c r="B469" s="858" t="s">
        <v>1507</v>
      </c>
      <c r="D469" s="678"/>
      <c r="E469" s="602"/>
      <c r="F469" s="602"/>
      <c r="G469" s="602"/>
      <c r="H469" s="602"/>
      <c r="I469" s="602"/>
      <c r="J469" s="602"/>
      <c r="K469" s="602"/>
      <c r="L469" s="602"/>
      <c r="M469" s="602"/>
      <c r="N469" s="602"/>
      <c r="O469" s="602"/>
      <c r="P469" s="602"/>
      <c r="Q469" s="602"/>
      <c r="R469" s="602"/>
      <c r="S469" s="602"/>
      <c r="T469" s="602"/>
      <c r="U469" s="602"/>
      <c r="V469" s="602"/>
      <c r="W469" s="602"/>
      <c r="X469" s="602"/>
      <c r="Y469" s="602"/>
      <c r="Z469" s="602"/>
      <c r="AA469" s="602"/>
      <c r="AB469" s="602"/>
      <c r="AC469" s="602"/>
      <c r="AD469" s="602"/>
      <c r="AE469" s="565"/>
      <c r="AF469" s="565"/>
      <c r="AG469" s="565"/>
      <c r="AH469" s="565"/>
      <c r="AI469" s="566"/>
      <c r="AJ469" s="566" t="s">
        <v>1508</v>
      </c>
      <c r="AK469" s="2440">
        <f>IF(Application!D214="N/A",AS358,AS360)</f>
        <v>10</v>
      </c>
      <c r="AL469" s="2441"/>
      <c r="AM469" s="2442"/>
      <c r="AN469" s="598"/>
    </row>
    <row r="470" spans="1:58" s="551" customFormat="1" ht="12.75" customHeight="1" thickBot="1">
      <c r="A470" s="760"/>
      <c r="B470" s="760"/>
      <c r="C470" s="760"/>
      <c r="D470" s="760"/>
      <c r="E470" s="760"/>
      <c r="F470" s="760"/>
      <c r="G470" s="760"/>
      <c r="H470" s="760"/>
      <c r="I470" s="760"/>
      <c r="J470" s="760"/>
      <c r="K470" s="760"/>
      <c r="L470" s="760"/>
      <c r="M470" s="760"/>
      <c r="N470" s="760"/>
      <c r="O470" s="760"/>
      <c r="P470" s="760"/>
      <c r="Q470" s="760"/>
      <c r="R470" s="760"/>
      <c r="S470" s="760"/>
      <c r="T470" s="760"/>
      <c r="U470" s="760"/>
      <c r="V470" s="760"/>
      <c r="W470" s="760"/>
      <c r="X470" s="760"/>
      <c r="Y470" s="760"/>
      <c r="Z470" s="760"/>
      <c r="AA470" s="760"/>
      <c r="AB470" s="760"/>
      <c r="AC470" s="760"/>
      <c r="AD470" s="760"/>
      <c r="AE470" s="760"/>
      <c r="AF470" s="760"/>
      <c r="AG470" s="760"/>
      <c r="AH470" s="760"/>
      <c r="AI470" s="760"/>
      <c r="AJ470" s="760"/>
      <c r="AK470" s="760"/>
      <c r="AL470" s="760"/>
      <c r="AM470" s="761"/>
      <c r="AN470" s="598"/>
    </row>
    <row r="471" spans="1:58" s="551" customFormat="1" ht="12.75" hidden="1" customHeight="1" thickTop="1">
      <c r="A471" s="86"/>
      <c r="B471" s="572"/>
      <c r="C471" s="573"/>
      <c r="D471" s="573"/>
      <c r="E471" s="573"/>
      <c r="F471" s="573"/>
      <c r="G471" s="573"/>
      <c r="H471" s="573"/>
      <c r="I471" s="574"/>
      <c r="J471" s="574"/>
      <c r="K471" s="574"/>
      <c r="L471" s="574"/>
      <c r="M471" s="574"/>
      <c r="N471" s="574"/>
      <c r="O471" s="574"/>
      <c r="P471" s="574"/>
      <c r="Q471" s="574"/>
      <c r="R471" s="571"/>
      <c r="S471" s="540"/>
      <c r="T471" s="540"/>
      <c r="U471" s="540"/>
      <c r="V471" s="540"/>
      <c r="W471" s="540"/>
      <c r="X471" s="540"/>
      <c r="Y471" s="540"/>
      <c r="Z471" s="540"/>
      <c r="AA471" s="540"/>
      <c r="AB471" s="540"/>
      <c r="AC471" s="540"/>
      <c r="AD471" s="540"/>
      <c r="AE471" s="540"/>
      <c r="AF471" s="571"/>
      <c r="AG471" s="540"/>
      <c r="AH471" s="540"/>
      <c r="AI471" s="540"/>
      <c r="AJ471" s="540"/>
      <c r="AM471" s="14"/>
      <c r="AN471" s="598"/>
      <c r="AO471" s="551" t="s">
        <v>590</v>
      </c>
      <c r="AP471" s="551">
        <v>0</v>
      </c>
      <c r="AT471" s="551" t="s">
        <v>590</v>
      </c>
      <c r="AU471" s="551">
        <v>0</v>
      </c>
      <c r="AV471" s="753"/>
    </row>
    <row r="472" spans="1:58" s="551" customFormat="1" ht="12.75" hidden="1" customHeight="1">
      <c r="A472" s="540" t="s">
        <v>1509</v>
      </c>
      <c r="C472" s="540"/>
      <c r="E472" s="597"/>
      <c r="AE472" s="2455" t="s">
        <v>1510</v>
      </c>
      <c r="AF472" s="2455"/>
      <c r="AG472" s="2455"/>
      <c r="AH472" s="2455"/>
      <c r="AI472" s="2455"/>
      <c r="AJ472" s="2455"/>
      <c r="AK472" s="2455"/>
      <c r="AL472" s="592"/>
      <c r="AN472" s="598"/>
      <c r="AO472" s="551" t="s">
        <v>1488</v>
      </c>
      <c r="AP472" s="551">
        <v>5</v>
      </c>
      <c r="AT472" s="551" t="s">
        <v>1488</v>
      </c>
      <c r="AU472" s="551">
        <v>5</v>
      </c>
      <c r="AV472" s="753"/>
    </row>
    <row r="473" spans="1:58" s="551" customFormat="1" ht="12.75" hidden="1" customHeight="1">
      <c r="A473" s="540"/>
      <c r="B473" s="537" t="s">
        <v>1511</v>
      </c>
      <c r="C473" s="540"/>
      <c r="E473" s="597"/>
      <c r="AE473" s="592"/>
      <c r="AF473" s="592"/>
      <c r="AG473" s="592"/>
      <c r="AH473" s="592"/>
      <c r="AI473" s="592"/>
      <c r="AJ473" s="592"/>
      <c r="AK473" s="592"/>
      <c r="AL473" s="592"/>
      <c r="AN473" s="598"/>
      <c r="AO473" s="551" t="s">
        <v>1512</v>
      </c>
      <c r="AP473" s="551">
        <v>5</v>
      </c>
      <c r="AT473" s="551" t="s">
        <v>1489</v>
      </c>
      <c r="AU473" s="551">
        <v>5</v>
      </c>
      <c r="AV473" s="753"/>
    </row>
    <row r="474" spans="1:58" s="551" customFormat="1" ht="12.75" hidden="1" customHeight="1">
      <c r="A474" s="540"/>
      <c r="B474" s="540" t="s">
        <v>1513</v>
      </c>
      <c r="C474" s="540"/>
      <c r="E474" s="597"/>
      <c r="AE474" s="592"/>
      <c r="AF474" s="592"/>
      <c r="AG474" s="592"/>
      <c r="AH474" s="592"/>
      <c r="AI474" s="592"/>
      <c r="AJ474" s="592"/>
      <c r="AK474" s="592"/>
      <c r="AL474" s="592"/>
      <c r="AN474" s="598"/>
      <c r="AO474" s="551" t="s">
        <v>1490</v>
      </c>
      <c r="AP474" s="551">
        <v>5</v>
      </c>
      <c r="AQ474" s="540"/>
      <c r="AR474" s="540"/>
      <c r="AS474" s="756"/>
      <c r="AT474" s="551" t="s">
        <v>1490</v>
      </c>
      <c r="AU474" s="551">
        <v>5</v>
      </c>
      <c r="AV474" s="537"/>
    </row>
    <row r="475" spans="1:58" s="551" customFormat="1" ht="12.75" hidden="1" customHeight="1">
      <c r="A475" s="540"/>
      <c r="B475" s="540" t="s">
        <v>1514</v>
      </c>
      <c r="C475" s="540"/>
      <c r="E475" s="597"/>
      <c r="AE475" s="592"/>
      <c r="AF475" s="592"/>
      <c r="AG475" s="592"/>
      <c r="AH475" s="592"/>
      <c r="AI475" s="592"/>
      <c r="AJ475" s="592"/>
      <c r="AK475" s="592"/>
      <c r="AL475" s="592"/>
      <c r="AN475" s="598"/>
      <c r="AO475" s="551" t="s">
        <v>1492</v>
      </c>
      <c r="AP475" s="551">
        <v>5</v>
      </c>
      <c r="AQ475" s="540"/>
      <c r="AR475" s="540"/>
      <c r="AT475" s="551" t="s">
        <v>1492</v>
      </c>
      <c r="AU475" s="551">
        <v>5</v>
      </c>
    </row>
    <row r="476" spans="1:58" s="551" customFormat="1" ht="12.75" hidden="1" customHeight="1">
      <c r="A476" s="540"/>
      <c r="C476" s="540"/>
      <c r="E476" s="597"/>
      <c r="AE476" s="592"/>
      <c r="AF476" s="592"/>
      <c r="AG476" s="592"/>
      <c r="AH476" s="592"/>
      <c r="AI476" s="592"/>
      <c r="AJ476" s="592"/>
      <c r="AK476" s="592"/>
      <c r="AL476" s="592"/>
      <c r="AN476" s="598"/>
      <c r="AO476" s="551" t="s">
        <v>1493</v>
      </c>
      <c r="AP476" s="551">
        <v>5</v>
      </c>
      <c r="AQ476" s="540"/>
      <c r="AR476" s="540"/>
      <c r="AT476" s="551" t="s">
        <v>1493</v>
      </c>
      <c r="AU476" s="551">
        <v>5</v>
      </c>
    </row>
    <row r="477" spans="1:58" s="551" customFormat="1" ht="12.75" hidden="1" customHeight="1">
      <c r="A477" s="540"/>
      <c r="C477" s="713" t="s">
        <v>1515</v>
      </c>
      <c r="D477" s="571"/>
      <c r="AE477" s="592"/>
      <c r="AF477" s="592"/>
      <c r="AG477" s="597"/>
      <c r="AH477" s="597"/>
      <c r="AI477" s="597"/>
      <c r="AJ477" s="597"/>
      <c r="AK477" s="597"/>
      <c r="AL477" s="597"/>
      <c r="AN477" s="598"/>
      <c r="AO477" s="551" t="s">
        <v>1494</v>
      </c>
      <c r="AP477" s="551">
        <v>5</v>
      </c>
      <c r="AT477" s="551" t="s">
        <v>1494</v>
      </c>
      <c r="AU477" s="551">
        <v>5</v>
      </c>
    </row>
    <row r="478" spans="1:58" s="551" customFormat="1" ht="12.75" hidden="1" customHeight="1">
      <c r="A478" s="540"/>
      <c r="C478" s="2462" t="s">
        <v>590</v>
      </c>
      <c r="D478" s="2463"/>
      <c r="E478" s="762" t="s">
        <v>506</v>
      </c>
      <c r="F478" s="2540" t="s">
        <v>1516</v>
      </c>
      <c r="G478" s="2540"/>
      <c r="H478" s="2540"/>
      <c r="I478" s="2540"/>
      <c r="J478" s="2540"/>
      <c r="K478" s="2540"/>
      <c r="L478" s="2540"/>
      <c r="M478" s="2540"/>
      <c r="N478" s="2540"/>
      <c r="O478" s="2540"/>
      <c r="P478" s="2540"/>
      <c r="Q478" s="2540"/>
      <c r="R478" s="2540"/>
      <c r="S478" s="2540"/>
      <c r="T478" s="2540"/>
      <c r="U478" s="2540"/>
      <c r="V478" s="2540"/>
      <c r="W478" s="2540"/>
      <c r="X478" s="2540"/>
      <c r="Y478" s="2540"/>
      <c r="Z478" s="2540"/>
      <c r="AA478" s="2540"/>
      <c r="AB478" s="2540"/>
      <c r="AC478" s="2540"/>
      <c r="AD478" s="2540"/>
      <c r="AE478" s="2540"/>
      <c r="AF478" s="715"/>
      <c r="AG478" s="715"/>
      <c r="AH478" s="715"/>
      <c r="AI478" s="715"/>
      <c r="AJ478" s="715"/>
      <c r="AK478" s="746"/>
      <c r="AN478" s="598"/>
      <c r="AO478" s="551" t="s">
        <v>1517</v>
      </c>
      <c r="AP478" s="551">
        <v>5</v>
      </c>
      <c r="AS478" s="759"/>
      <c r="AT478" s="551" t="s">
        <v>1495</v>
      </c>
      <c r="AU478" s="551">
        <v>5</v>
      </c>
    </row>
    <row r="479" spans="1:58" s="551" customFormat="1" ht="12.75" hidden="1" customHeight="1">
      <c r="C479" s="763"/>
      <c r="E479" s="764"/>
      <c r="F479" s="2541"/>
      <c r="G479" s="2541"/>
      <c r="H479" s="2541"/>
      <c r="I479" s="2541"/>
      <c r="J479" s="2541"/>
      <c r="K479" s="2541"/>
      <c r="L479" s="2541"/>
      <c r="M479" s="2541"/>
      <c r="N479" s="2541"/>
      <c r="O479" s="2541"/>
      <c r="P479" s="2541"/>
      <c r="Q479" s="2541"/>
      <c r="R479" s="2541"/>
      <c r="S479" s="2541"/>
      <c r="T479" s="2541"/>
      <c r="U479" s="2541"/>
      <c r="V479" s="2541"/>
      <c r="W479" s="2541"/>
      <c r="X479" s="2541"/>
      <c r="Y479" s="2541"/>
      <c r="Z479" s="2541"/>
      <c r="AA479" s="2541"/>
      <c r="AB479" s="2541"/>
      <c r="AC479" s="2541"/>
      <c r="AD479" s="2541"/>
      <c r="AE479" s="2541"/>
      <c r="AG479" s="552"/>
      <c r="AH479" s="552"/>
      <c r="AI479" s="552"/>
      <c r="AJ479" s="552"/>
      <c r="AK479" s="733"/>
      <c r="AN479" s="598"/>
      <c r="AO479" s="551" t="s">
        <v>1498</v>
      </c>
      <c r="AP479" s="551">
        <v>1</v>
      </c>
      <c r="AT479" s="551" t="s">
        <v>1498</v>
      </c>
      <c r="AU479" s="551">
        <v>1</v>
      </c>
    </row>
    <row r="480" spans="1:58" s="551" customFormat="1" ht="12.75" hidden="1" customHeight="1">
      <c r="C480" s="765"/>
      <c r="D480" s="728"/>
      <c r="E480" s="766"/>
      <c r="F480" s="2468" t="s">
        <v>590</v>
      </c>
      <c r="G480" s="2468"/>
      <c r="H480" s="2468"/>
      <c r="I480" s="2468"/>
      <c r="J480" s="2468"/>
      <c r="K480" s="2468"/>
      <c r="L480" s="2468"/>
      <c r="M480" s="2468"/>
      <c r="N480" s="2468"/>
      <c r="O480" s="2468"/>
      <c r="P480" s="2468"/>
      <c r="Q480" s="2468"/>
      <c r="R480" s="2468"/>
      <c r="S480" s="2468"/>
      <c r="T480" s="2468"/>
      <c r="U480" s="2468"/>
      <c r="V480" s="2468"/>
      <c r="W480" s="2468"/>
      <c r="X480" s="2468"/>
      <c r="Y480" s="2468"/>
      <c r="Z480" s="2468"/>
      <c r="AA480" s="767"/>
      <c r="AB480" s="659"/>
      <c r="AC480" s="659"/>
      <c r="AD480" s="728"/>
      <c r="AE480" s="728"/>
      <c r="AF480" s="728"/>
      <c r="AG480" s="768">
        <f>IF($C$478="Yes",(VLOOKUP($F$480,$AT$471:$AU$479,2,FALSE)),0)</f>
        <v>0</v>
      </c>
      <c r="AH480" s="769" t="s">
        <v>1327</v>
      </c>
      <c r="AI480" s="768"/>
      <c r="AJ480" s="768"/>
      <c r="AK480" s="743"/>
      <c r="AN480" s="598"/>
      <c r="AS480" s="756"/>
      <c r="AX480" s="756"/>
      <c r="BB480" s="756" t="s">
        <v>1499</v>
      </c>
      <c r="BF480" s="756" t="s">
        <v>1500</v>
      </c>
    </row>
    <row r="481" spans="1:81" s="551" customFormat="1" ht="12.75" hidden="1" customHeight="1">
      <c r="C481" s="552"/>
      <c r="E481" s="764"/>
      <c r="F481" s="594"/>
      <c r="G481" s="594"/>
      <c r="H481" s="594"/>
      <c r="I481" s="594"/>
      <c r="J481" s="594"/>
      <c r="K481" s="594"/>
      <c r="L481" s="594"/>
      <c r="M481" s="594"/>
      <c r="N481" s="594"/>
      <c r="O481" s="594"/>
      <c r="P481" s="594"/>
      <c r="Q481" s="594"/>
      <c r="R481" s="594"/>
      <c r="S481" s="594"/>
      <c r="T481" s="594"/>
      <c r="U481" s="594"/>
      <c r="V481" s="594"/>
      <c r="W481" s="594"/>
      <c r="X481" s="594"/>
      <c r="Y481" s="594"/>
      <c r="Z481" s="594"/>
      <c r="AA481" s="571"/>
      <c r="AB481" s="552"/>
      <c r="AC481" s="552"/>
      <c r="AG481" s="552"/>
      <c r="AH481" s="552"/>
      <c r="AI481" s="552"/>
      <c r="AJ481" s="552"/>
      <c r="AN481" s="598"/>
      <c r="AO481" s="551" t="s">
        <v>590</v>
      </c>
      <c r="AP481" s="638">
        <v>0</v>
      </c>
      <c r="AT481" s="551" t="s">
        <v>590</v>
      </c>
      <c r="AU481" s="638">
        <v>0</v>
      </c>
      <c r="AW481" s="551" t="s">
        <v>590</v>
      </c>
      <c r="AX481" s="638">
        <v>0</v>
      </c>
      <c r="AY481" s="594"/>
      <c r="BB481" s="551" t="s">
        <v>590</v>
      </c>
      <c r="BC481" s="594">
        <v>0</v>
      </c>
      <c r="BF481" s="551" t="s">
        <v>590</v>
      </c>
      <c r="BG481" s="594">
        <v>0</v>
      </c>
    </row>
    <row r="482" spans="1:81" s="551" customFormat="1" ht="12.75" hidden="1" customHeight="1">
      <c r="C482" s="2469" t="s">
        <v>544</v>
      </c>
      <c r="D482" s="2470"/>
      <c r="E482" s="762" t="s">
        <v>756</v>
      </c>
      <c r="F482" s="770" t="s">
        <v>1518</v>
      </c>
      <c r="G482" s="650"/>
      <c r="H482" s="650"/>
      <c r="I482" s="650"/>
      <c r="J482" s="650"/>
      <c r="K482" s="650"/>
      <c r="L482" s="650"/>
      <c r="M482" s="650"/>
      <c r="N482" s="650"/>
      <c r="O482" s="650"/>
      <c r="P482" s="650"/>
      <c r="Q482" s="650"/>
      <c r="R482" s="650"/>
      <c r="S482" s="650"/>
      <c r="T482" s="650"/>
      <c r="U482" s="650"/>
      <c r="V482" s="650"/>
      <c r="W482" s="650"/>
      <c r="X482" s="650"/>
      <c r="Y482" s="650"/>
      <c r="Z482" s="650"/>
      <c r="AA482" s="650"/>
      <c r="AB482" s="650"/>
      <c r="AC482" s="650"/>
      <c r="AD482" s="715"/>
      <c r="AE482" s="715"/>
      <c r="AF482" s="715"/>
      <c r="AG482" s="650"/>
      <c r="AH482" s="650"/>
      <c r="AI482" s="650"/>
      <c r="AJ482" s="650"/>
      <c r="AK482" s="746"/>
      <c r="AN482" s="598"/>
      <c r="AO482" s="759">
        <v>0.15</v>
      </c>
      <c r="AP482" s="638">
        <v>3</v>
      </c>
      <c r="AT482" s="759">
        <v>7.0000000000000007E-2</v>
      </c>
      <c r="AU482" s="638">
        <v>3</v>
      </c>
      <c r="AW482" s="551" t="s">
        <v>1501</v>
      </c>
      <c r="AX482" s="638">
        <v>3</v>
      </c>
      <c r="AY482" s="594"/>
      <c r="BB482" s="759">
        <v>0.4</v>
      </c>
      <c r="BC482" s="594">
        <v>3</v>
      </c>
      <c r="BF482" s="759">
        <v>0.4</v>
      </c>
      <c r="BG482" s="594">
        <v>4</v>
      </c>
    </row>
    <row r="483" spans="1:81" s="551" customFormat="1" ht="12.75" hidden="1" customHeight="1">
      <c r="C483" s="771" t="s">
        <v>1519</v>
      </c>
      <c r="F483" s="772" t="s">
        <v>1520</v>
      </c>
      <c r="G483" s="552"/>
      <c r="H483" s="552"/>
      <c r="I483" s="552"/>
      <c r="J483" s="552"/>
      <c r="K483" s="552"/>
      <c r="L483" s="552"/>
      <c r="M483" s="552"/>
      <c r="N483" s="552"/>
      <c r="O483" s="552"/>
      <c r="P483" s="552"/>
      <c r="Q483" s="552"/>
      <c r="R483" s="552"/>
      <c r="S483" s="552"/>
      <c r="T483" s="552"/>
      <c r="U483" s="552"/>
      <c r="V483" s="552"/>
      <c r="W483" s="552"/>
      <c r="X483" s="552"/>
      <c r="Y483" s="552"/>
      <c r="Z483" s="552"/>
      <c r="AA483" s="552"/>
      <c r="AB483" s="552"/>
      <c r="AC483" s="592"/>
      <c r="AG483" s="614"/>
      <c r="AH483" s="614"/>
      <c r="AI483" s="614"/>
      <c r="AJ483" s="614"/>
      <c r="AK483" s="733"/>
      <c r="AN483" s="598"/>
      <c r="AO483" s="759">
        <v>0.2</v>
      </c>
      <c r="AP483" s="638">
        <v>5</v>
      </c>
      <c r="AT483" s="759">
        <v>0.12</v>
      </c>
      <c r="AU483" s="638">
        <v>5</v>
      </c>
      <c r="AW483" s="551" t="s">
        <v>1504</v>
      </c>
      <c r="AX483" s="638">
        <v>5</v>
      </c>
      <c r="AY483" s="594"/>
      <c r="BB483" s="759">
        <v>0.6</v>
      </c>
      <c r="BC483" s="594">
        <v>4</v>
      </c>
      <c r="BF483" s="759">
        <v>0.6</v>
      </c>
      <c r="BG483" s="594">
        <v>5</v>
      </c>
    </row>
    <row r="484" spans="1:81" s="551" customFormat="1" ht="12.75" hidden="1" customHeight="1">
      <c r="C484" s="752"/>
      <c r="D484" s="731"/>
      <c r="E484" s="773"/>
      <c r="F484" s="772" t="s">
        <v>1521</v>
      </c>
      <c r="G484" s="772"/>
      <c r="H484" s="772"/>
      <c r="I484" s="772"/>
      <c r="J484" s="772"/>
      <c r="K484" s="772"/>
      <c r="L484" s="772"/>
      <c r="M484" s="772"/>
      <c r="N484" s="772"/>
      <c r="O484" s="772"/>
      <c r="P484" s="772"/>
      <c r="Q484" s="772"/>
      <c r="R484" s="772"/>
      <c r="S484" s="772"/>
      <c r="T484" s="772"/>
      <c r="U484" s="772"/>
      <c r="V484" s="772"/>
      <c r="W484" s="772"/>
      <c r="X484" s="772"/>
      <c r="Y484" s="772"/>
      <c r="Z484" s="772"/>
      <c r="AA484" s="772"/>
      <c r="AB484" s="772"/>
      <c r="AC484" s="774"/>
      <c r="AD484" s="610"/>
      <c r="AE484" s="610"/>
      <c r="AF484" s="610"/>
      <c r="AG484" s="775"/>
      <c r="AH484" s="614"/>
      <c r="AI484" s="614"/>
      <c r="AJ484" s="614"/>
      <c r="AK484" s="733"/>
      <c r="AN484" s="679"/>
      <c r="AO484" s="759"/>
      <c r="AP484" s="594"/>
      <c r="AT484" s="759"/>
      <c r="AU484" s="594"/>
      <c r="AX484" s="759"/>
      <c r="AY484" s="594"/>
      <c r="BB484" s="759">
        <v>0.8</v>
      </c>
      <c r="BC484" s="594">
        <v>5</v>
      </c>
      <c r="BF484" s="759"/>
      <c r="BG484" s="594"/>
    </row>
    <row r="485" spans="1:81" s="597" customFormat="1" ht="12.75" hidden="1" customHeight="1">
      <c r="A485" s="638"/>
      <c r="B485" s="551"/>
      <c r="C485" s="763"/>
      <c r="D485" s="551"/>
      <c r="E485" s="764"/>
      <c r="F485" s="776" t="s">
        <v>1522</v>
      </c>
      <c r="G485" s="551"/>
      <c r="H485" s="551"/>
      <c r="I485" s="772"/>
      <c r="J485" s="772"/>
      <c r="K485" s="772"/>
      <c r="L485" s="772"/>
      <c r="M485" s="772"/>
      <c r="N485" s="772"/>
      <c r="O485" s="772"/>
      <c r="P485" s="772"/>
      <c r="Q485" s="772"/>
      <c r="R485" s="772"/>
      <c r="S485" s="772"/>
      <c r="T485" s="772"/>
      <c r="U485" s="772"/>
      <c r="V485" s="2448" t="s">
        <v>590</v>
      </c>
      <c r="W485" s="2448"/>
      <c r="X485" s="2448"/>
      <c r="Y485" s="772"/>
      <c r="Z485" s="772"/>
      <c r="AA485" s="772"/>
      <c r="AB485" s="772"/>
      <c r="AC485" s="772"/>
      <c r="AD485" s="610"/>
      <c r="AE485" s="610"/>
      <c r="AF485" s="610"/>
      <c r="AG485" s="614">
        <f>IF(AND($C$482="Yes",$V$487="N/A",$V$492="N/A",$V$496="N/A",$V$498="N/A"),(VLOOKUP(V485,$AW$481:$AX$483,2,FALSE)),0)</f>
        <v>0</v>
      </c>
      <c r="AH485" s="641" t="s">
        <v>1327</v>
      </c>
      <c r="AI485" s="552"/>
      <c r="AJ485" s="552"/>
      <c r="AK485" s="733"/>
      <c r="AL485" s="551"/>
      <c r="AM485" s="551"/>
      <c r="AN485" s="598"/>
      <c r="AT485" s="551" t="s">
        <v>590</v>
      </c>
      <c r="AU485" s="638">
        <v>0</v>
      </c>
      <c r="AV485" s="551"/>
      <c r="AW485" s="551"/>
      <c r="AX485" s="551"/>
      <c r="AY485" s="551"/>
      <c r="AZ485" s="551"/>
      <c r="BA485" s="551"/>
      <c r="BB485" s="759"/>
      <c r="BC485" s="594"/>
      <c r="BD485" s="551"/>
      <c r="BE485" s="551"/>
      <c r="BF485" s="551"/>
      <c r="BG485" s="551"/>
    </row>
    <row r="486" spans="1:81" s="597" customFormat="1" ht="12.75" hidden="1" customHeight="1">
      <c r="A486" s="638"/>
      <c r="B486" s="551"/>
      <c r="C486" s="763"/>
      <c r="D486" s="551"/>
      <c r="E486" s="764"/>
      <c r="F486" s="776"/>
      <c r="G486" s="551"/>
      <c r="H486" s="551"/>
      <c r="I486" s="772"/>
      <c r="J486" s="772"/>
      <c r="K486" s="772"/>
      <c r="L486" s="772"/>
      <c r="M486" s="772"/>
      <c r="N486" s="772"/>
      <c r="O486" s="772"/>
      <c r="P486" s="772"/>
      <c r="Q486" s="772"/>
      <c r="R486" s="772"/>
      <c r="S486" s="772"/>
      <c r="T486" s="772"/>
      <c r="U486" s="772"/>
      <c r="V486" s="772"/>
      <c r="W486" s="772"/>
      <c r="X486" s="772"/>
      <c r="Y486" s="772"/>
      <c r="Z486" s="772"/>
      <c r="AA486" s="772"/>
      <c r="AB486" s="772"/>
      <c r="AC486" s="772"/>
      <c r="AD486" s="610"/>
      <c r="AE486" s="610"/>
      <c r="AF486" s="610"/>
      <c r="AG486" s="614"/>
      <c r="AH486" s="641"/>
      <c r="AI486" s="552"/>
      <c r="AJ486" s="552"/>
      <c r="AK486" s="733"/>
      <c r="AL486" s="551"/>
      <c r="AM486" s="551"/>
      <c r="AN486" s="598"/>
      <c r="AT486" s="759">
        <v>0.09</v>
      </c>
      <c r="AU486" s="638">
        <v>3</v>
      </c>
      <c r="AV486" s="551"/>
      <c r="AW486" s="551"/>
      <c r="AX486" s="756"/>
      <c r="AY486" s="551"/>
      <c r="AZ486" s="551"/>
      <c r="BA486" s="551"/>
      <c r="BB486" s="551"/>
      <c r="BC486" s="551"/>
      <c r="BD486" s="551"/>
      <c r="BE486" s="551"/>
      <c r="BF486" s="551"/>
      <c r="BG486" s="551"/>
    </row>
    <row r="487" spans="1:81" s="597" customFormat="1" ht="12.75" hidden="1" customHeight="1">
      <c r="A487" s="638"/>
      <c r="B487" s="551"/>
      <c r="C487" s="763"/>
      <c r="D487" s="551"/>
      <c r="E487" s="764"/>
      <c r="F487" s="776" t="s">
        <v>1523</v>
      </c>
      <c r="G487" s="551"/>
      <c r="H487" s="551"/>
      <c r="I487" s="772"/>
      <c r="J487" s="772"/>
      <c r="K487" s="772"/>
      <c r="L487" s="772"/>
      <c r="M487" s="772"/>
      <c r="N487" s="772"/>
      <c r="O487" s="772"/>
      <c r="P487" s="772"/>
      <c r="Q487" s="772"/>
      <c r="R487" s="772"/>
      <c r="S487" s="772"/>
      <c r="T487" s="772"/>
      <c r="U487" s="772"/>
      <c r="V487" s="2448" t="s">
        <v>590</v>
      </c>
      <c r="W487" s="2448"/>
      <c r="X487" s="2448"/>
      <c r="Y487" s="772"/>
      <c r="Z487" s="772"/>
      <c r="AA487" s="772"/>
      <c r="AB487" s="772"/>
      <c r="AC487" s="772"/>
      <c r="AD487" s="610"/>
      <c r="AE487" s="610"/>
      <c r="AF487" s="610"/>
      <c r="AG487" s="614">
        <f>IF(AND($C$482="Yes",$V$485="N/A", $V$492="N/A",$V$496="N/A",$V$498="N/A"),(VLOOKUP(V487,$AT$481:$AU$483,2,FALSE)),0)</f>
        <v>0</v>
      </c>
      <c r="AH487" s="641" t="s">
        <v>1327</v>
      </c>
      <c r="AI487" s="552"/>
      <c r="AJ487" s="552"/>
      <c r="AK487" s="733"/>
      <c r="AL487" s="551"/>
      <c r="AM487" s="551"/>
      <c r="AN487" s="598"/>
      <c r="AT487" s="759">
        <v>0.15</v>
      </c>
      <c r="AU487" s="638">
        <v>5</v>
      </c>
      <c r="AV487" s="551"/>
      <c r="AW487" s="551"/>
      <c r="AX487" s="551"/>
      <c r="AY487" s="551"/>
      <c r="AZ487" s="551"/>
      <c r="BA487" s="551"/>
      <c r="BB487" s="551"/>
      <c r="BC487" s="551"/>
      <c r="BD487" s="551"/>
      <c r="BE487" s="551"/>
      <c r="BF487" s="551"/>
      <c r="BG487" s="551"/>
    </row>
    <row r="488" spans="1:81" s="551" customFormat="1" ht="12.75" hidden="1" customHeight="1">
      <c r="C488" s="763"/>
      <c r="E488" s="764"/>
      <c r="F488" s="597"/>
      <c r="G488" s="777"/>
      <c r="H488" s="777"/>
      <c r="I488" s="777"/>
      <c r="J488" s="777"/>
      <c r="K488" s="777"/>
      <c r="L488" s="777"/>
      <c r="M488" s="777"/>
      <c r="N488" s="777"/>
      <c r="O488" s="777"/>
      <c r="P488" s="777"/>
      <c r="Q488" s="552"/>
      <c r="R488" s="552"/>
      <c r="S488" s="552"/>
      <c r="T488" s="552"/>
      <c r="U488" s="552"/>
      <c r="V488" s="552"/>
      <c r="W488" s="552"/>
      <c r="X488" s="552"/>
      <c r="Y488" s="552"/>
      <c r="Z488" s="552"/>
      <c r="AA488" s="552"/>
      <c r="AB488" s="552"/>
      <c r="AC488" s="552"/>
      <c r="AG488" s="597"/>
      <c r="AH488" s="597"/>
      <c r="AI488" s="597"/>
      <c r="AJ488" s="597"/>
      <c r="AK488" s="733"/>
      <c r="AN488" s="598"/>
      <c r="AO488" s="551" t="s">
        <v>590</v>
      </c>
      <c r="AP488" s="551">
        <v>0</v>
      </c>
    </row>
    <row r="489" spans="1:81" s="551" customFormat="1" ht="12.75" hidden="1" customHeight="1">
      <c r="C489" s="763"/>
      <c r="E489" s="764"/>
      <c r="F489" s="777" t="s">
        <v>1524</v>
      </c>
      <c r="I489" s="764"/>
      <c r="J489" s="764"/>
      <c r="K489" s="764"/>
      <c r="L489" s="764"/>
      <c r="M489" s="764"/>
      <c r="N489" s="764"/>
      <c r="O489" s="764"/>
      <c r="P489" s="764"/>
      <c r="Q489" s="552"/>
      <c r="R489" s="552"/>
      <c r="S489" s="552"/>
      <c r="T489" s="552"/>
      <c r="U489" s="552"/>
      <c r="V489" s="552"/>
      <c r="W489" s="552"/>
      <c r="X489" s="552"/>
      <c r="Y489" s="552"/>
      <c r="Z489" s="552"/>
      <c r="AA489" s="552"/>
      <c r="AB489" s="552"/>
      <c r="AC489" s="552"/>
      <c r="AJ489" s="552"/>
      <c r="AK489" s="733"/>
      <c r="AN489" s="598"/>
      <c r="AO489" s="551" t="s">
        <v>1525</v>
      </c>
      <c r="AP489" s="638">
        <v>2</v>
      </c>
    </row>
    <row r="490" spans="1:81" s="551" customFormat="1" ht="12.75" hidden="1" customHeight="1">
      <c r="C490" s="763"/>
      <c r="F490" s="610" t="s">
        <v>1526</v>
      </c>
      <c r="M490" s="764"/>
      <c r="N490" s="764"/>
      <c r="O490" s="764"/>
      <c r="P490" s="764"/>
      <c r="Q490" s="552"/>
      <c r="R490" s="552"/>
      <c r="S490" s="552"/>
      <c r="T490" s="552"/>
      <c r="U490" s="552"/>
      <c r="V490" s="552"/>
      <c r="W490" s="552"/>
      <c r="X490" s="552"/>
      <c r="Y490" s="552"/>
      <c r="Z490" s="552"/>
      <c r="AA490" s="552"/>
      <c r="AB490" s="552"/>
      <c r="AC490" s="552"/>
      <c r="AG490" s="614"/>
      <c r="AH490" s="641"/>
      <c r="AI490" s="552"/>
      <c r="AJ490" s="552"/>
      <c r="AK490" s="733"/>
      <c r="AN490" s="598"/>
      <c r="AO490" s="551" t="s">
        <v>1527</v>
      </c>
      <c r="AP490" s="551">
        <v>2</v>
      </c>
    </row>
    <row r="491" spans="1:81" s="597" customFormat="1" ht="12.75" hidden="1" customHeight="1">
      <c r="A491" s="551"/>
      <c r="B491" s="551"/>
      <c r="C491" s="740"/>
      <c r="D491" s="571"/>
      <c r="E491" s="571"/>
      <c r="F491" s="610" t="s">
        <v>1528</v>
      </c>
      <c r="G491" s="551"/>
      <c r="H491" s="551"/>
      <c r="I491" s="551"/>
      <c r="J491" s="551"/>
      <c r="K491" s="551"/>
      <c r="L491" s="551"/>
      <c r="M491" s="764"/>
      <c r="N491" s="764"/>
      <c r="O491" s="764"/>
      <c r="P491" s="764"/>
      <c r="Q491" s="552"/>
      <c r="R491" s="552"/>
      <c r="S491" s="552"/>
      <c r="T491" s="552"/>
      <c r="U491" s="552"/>
      <c r="V491" s="552"/>
      <c r="W491" s="552"/>
      <c r="X491" s="552"/>
      <c r="Y491" s="552"/>
      <c r="Z491" s="552"/>
      <c r="AA491" s="552"/>
      <c r="AB491" s="552"/>
      <c r="AC491" s="552"/>
      <c r="AD491" s="551"/>
      <c r="AE491" s="551"/>
      <c r="AF491" s="551"/>
      <c r="AG491" s="614"/>
      <c r="AH491" s="641"/>
      <c r="AI491" s="552"/>
      <c r="AJ491" s="552"/>
      <c r="AK491" s="733"/>
      <c r="AL491" s="551"/>
      <c r="AM491" s="551"/>
      <c r="AN491" s="679"/>
      <c r="AO491" s="551" t="s">
        <v>1529</v>
      </c>
      <c r="AP491" s="551">
        <v>2</v>
      </c>
    </row>
    <row r="492" spans="1:81" s="551" customFormat="1" ht="12.75" hidden="1" customHeight="1">
      <c r="C492" s="778"/>
      <c r="F492" s="776" t="s">
        <v>1530</v>
      </c>
      <c r="M492" s="764"/>
      <c r="N492" s="764"/>
      <c r="O492" s="764"/>
      <c r="P492" s="764"/>
      <c r="Q492" s="552"/>
      <c r="R492" s="552"/>
      <c r="S492" s="552"/>
      <c r="T492" s="552"/>
      <c r="U492" s="552"/>
      <c r="V492" s="2448" t="s">
        <v>590</v>
      </c>
      <c r="W492" s="2448"/>
      <c r="X492" s="2448"/>
      <c r="Y492" s="552"/>
      <c r="Z492" s="552"/>
      <c r="AA492" s="552"/>
      <c r="AB492" s="552"/>
      <c r="AC492" s="552"/>
      <c r="AG492" s="614">
        <f>IF(AND($C$482="Yes",$V$485="N/A",$V$487="N/A", $V$496="N/A",$V$498="N/A"),(VLOOKUP($V$492,$AT$485:$AU$487,2,FALSE)),0)</f>
        <v>0</v>
      </c>
      <c r="AH492" s="641" t="s">
        <v>1327</v>
      </c>
      <c r="AI492" s="552"/>
      <c r="AJ492" s="552"/>
      <c r="AK492" s="733"/>
      <c r="AN492" s="536"/>
    </row>
    <row r="493" spans="1:81" s="551" customFormat="1" ht="12.75" hidden="1" customHeight="1">
      <c r="C493" s="763"/>
      <c r="M493" s="764"/>
      <c r="N493" s="764"/>
      <c r="O493" s="764"/>
      <c r="P493" s="764"/>
      <c r="Q493" s="552"/>
      <c r="R493" s="552"/>
      <c r="S493" s="552"/>
      <c r="T493" s="552"/>
      <c r="U493" s="552"/>
      <c r="V493" s="552"/>
      <c r="W493" s="552"/>
      <c r="X493" s="552"/>
      <c r="Y493" s="552"/>
      <c r="Z493" s="552"/>
      <c r="AA493" s="552"/>
      <c r="AB493" s="552"/>
      <c r="AC493" s="552"/>
      <c r="AJ493" s="552"/>
      <c r="AK493" s="733"/>
      <c r="AN493" s="779"/>
    </row>
    <row r="494" spans="1:81" s="597" customFormat="1" ht="12.75" hidden="1" customHeight="1">
      <c r="A494" s="551"/>
      <c r="B494" s="551"/>
      <c r="C494" s="780" t="s">
        <v>1531</v>
      </c>
      <c r="D494" s="715"/>
      <c r="E494" s="715"/>
      <c r="F494" s="781" t="s">
        <v>1532</v>
      </c>
      <c r="G494" s="715"/>
      <c r="H494" s="715"/>
      <c r="I494" s="715"/>
      <c r="J494" s="715"/>
      <c r="K494" s="715"/>
      <c r="L494" s="715"/>
      <c r="M494" s="715"/>
      <c r="N494" s="715"/>
      <c r="O494" s="715"/>
      <c r="P494" s="715"/>
      <c r="Q494" s="715"/>
      <c r="R494" s="715"/>
      <c r="S494" s="715"/>
      <c r="T494" s="715"/>
      <c r="U494" s="715"/>
      <c r="V494" s="715"/>
      <c r="W494" s="715"/>
      <c r="X494" s="715"/>
      <c r="Y494" s="715"/>
      <c r="Z494" s="715"/>
      <c r="AA494" s="715"/>
      <c r="AB494" s="715"/>
      <c r="AC494" s="715"/>
      <c r="AD494" s="715"/>
      <c r="AE494" s="715"/>
      <c r="AF494" s="715"/>
      <c r="AG494" s="715"/>
      <c r="AH494" s="715"/>
      <c r="AI494" s="715"/>
      <c r="AJ494" s="715"/>
      <c r="AK494" s="746"/>
      <c r="AL494" s="551"/>
      <c r="AM494" s="551"/>
      <c r="AN494" s="593"/>
      <c r="AO494" s="551" t="s">
        <v>590</v>
      </c>
      <c r="AP494" s="551">
        <v>0</v>
      </c>
      <c r="AQ494" s="540"/>
    </row>
    <row r="495" spans="1:81" s="597" customFormat="1" ht="12.75" hidden="1" customHeight="1">
      <c r="A495" s="551"/>
      <c r="B495" s="551"/>
      <c r="C495" s="782"/>
      <c r="D495" s="2467"/>
      <c r="E495" s="2467"/>
      <c r="F495" s="772" t="s">
        <v>1533</v>
      </c>
      <c r="I495" s="551"/>
      <c r="J495" s="551"/>
      <c r="K495" s="551"/>
      <c r="L495" s="551"/>
      <c r="M495" s="551"/>
      <c r="N495" s="551"/>
      <c r="O495" s="551"/>
      <c r="P495" s="551"/>
      <c r="Q495" s="551"/>
      <c r="R495" s="551"/>
      <c r="S495" s="551"/>
      <c r="T495" s="551"/>
      <c r="U495" s="551"/>
      <c r="Y495" s="551"/>
      <c r="Z495" s="551"/>
      <c r="AA495" s="551"/>
      <c r="AB495" s="551"/>
      <c r="AC495" s="551"/>
      <c r="AD495" s="551"/>
      <c r="AE495" s="551"/>
      <c r="AF495" s="551"/>
      <c r="AK495" s="733"/>
      <c r="AL495" s="551"/>
      <c r="AM495" s="551"/>
      <c r="AN495" s="593"/>
      <c r="AO495" s="551" t="s">
        <v>1534</v>
      </c>
      <c r="AP495" s="638">
        <v>5</v>
      </c>
      <c r="AQ495" s="540"/>
    </row>
    <row r="496" spans="1:81" s="571" customFormat="1" ht="12.75" hidden="1" customHeight="1">
      <c r="A496" s="680"/>
      <c r="B496" s="551"/>
      <c r="C496" s="763"/>
      <c r="D496" s="551"/>
      <c r="E496" s="551"/>
      <c r="F496" s="783" t="s">
        <v>1522</v>
      </c>
      <c r="G496" s="551"/>
      <c r="H496" s="551"/>
      <c r="I496" s="551"/>
      <c r="J496" s="551"/>
      <c r="K496" s="551"/>
      <c r="L496" s="551"/>
      <c r="M496" s="551"/>
      <c r="N496" s="551"/>
      <c r="O496" s="551"/>
      <c r="P496" s="551"/>
      <c r="Q496" s="551"/>
      <c r="R496" s="551"/>
      <c r="S496" s="551"/>
      <c r="T496" s="551"/>
      <c r="U496" s="551"/>
      <c r="V496" s="2448" t="s">
        <v>590</v>
      </c>
      <c r="W496" s="2448"/>
      <c r="X496" s="2448"/>
      <c r="Y496" s="551"/>
      <c r="Z496" s="551"/>
      <c r="AA496" s="551"/>
      <c r="AB496" s="551"/>
      <c r="AC496" s="551"/>
      <c r="AD496" s="551"/>
      <c r="AE496" s="551"/>
      <c r="AF496" s="551"/>
      <c r="AG496" s="614">
        <f>IF(AND($C$482="Yes",$V$485="N/A",V487="N/A",$V$492="N/A",$V$498="N/A"),(VLOOKUP($V$496,$BB$481:$BC$484,2,FALSE)),0)</f>
        <v>0</v>
      </c>
      <c r="AH496" s="641" t="s">
        <v>1327</v>
      </c>
      <c r="AI496" s="552"/>
      <c r="AJ496" s="551"/>
      <c r="AK496" s="733"/>
      <c r="AL496" s="551"/>
      <c r="AM496" s="551"/>
      <c r="AN496" s="685"/>
      <c r="AO496" s="551" t="s">
        <v>1535</v>
      </c>
      <c r="AP496" s="551">
        <v>5</v>
      </c>
      <c r="AS496" s="551"/>
      <c r="AT496" s="551"/>
      <c r="AU496" s="551"/>
      <c r="AV496" s="551"/>
      <c r="AW496" s="551"/>
      <c r="AX496" s="551"/>
      <c r="AY496" s="551"/>
      <c r="AZ496" s="551"/>
      <c r="BA496" s="551"/>
      <c r="BB496" s="551"/>
      <c r="BO496" s="551"/>
      <c r="BP496" s="551"/>
      <c r="BQ496" s="551"/>
      <c r="BR496" s="551"/>
      <c r="BS496" s="551"/>
      <c r="BT496" s="551"/>
      <c r="BU496" s="551"/>
      <c r="BV496" s="551"/>
      <c r="BW496" s="551"/>
      <c r="BX496" s="551"/>
      <c r="BY496" s="551"/>
      <c r="BZ496" s="551"/>
      <c r="CA496" s="551"/>
      <c r="CB496" s="551"/>
      <c r="CC496" s="551"/>
    </row>
    <row r="497" spans="1:81" s="571" customFormat="1" ht="12.75" hidden="1" customHeight="1">
      <c r="A497" s="680"/>
      <c r="B497" s="551"/>
      <c r="C497" s="763"/>
      <c r="D497" s="551"/>
      <c r="E497" s="551"/>
      <c r="I497" s="551"/>
      <c r="J497" s="551"/>
      <c r="K497" s="551"/>
      <c r="L497" s="551"/>
      <c r="M497" s="551"/>
      <c r="N497" s="551"/>
      <c r="O497" s="551"/>
      <c r="P497" s="551"/>
      <c r="Q497" s="551"/>
      <c r="R497" s="551"/>
      <c r="S497" s="551"/>
      <c r="T497" s="551"/>
      <c r="U497" s="551"/>
      <c r="V497" s="551"/>
      <c r="W497" s="551"/>
      <c r="X497" s="551"/>
      <c r="Y497" s="551"/>
      <c r="Z497" s="551"/>
      <c r="AA497" s="551"/>
      <c r="AB497" s="551"/>
      <c r="AC497" s="551"/>
      <c r="AD497" s="551"/>
      <c r="AE497" s="551"/>
      <c r="AF497" s="551"/>
      <c r="AK497" s="733"/>
      <c r="AL497" s="551"/>
      <c r="AM497" s="551"/>
      <c r="AN497" s="685"/>
      <c r="AO497" s="551" t="s">
        <v>1536</v>
      </c>
      <c r="AP497" s="551">
        <v>5</v>
      </c>
      <c r="AS497" s="551"/>
      <c r="AT497" s="551"/>
      <c r="AU497" s="551"/>
      <c r="AV497" s="551"/>
      <c r="AW497" s="551"/>
      <c r="AX497" s="551"/>
      <c r="AY497" s="551"/>
      <c r="AZ497" s="551"/>
      <c r="BA497" s="551"/>
      <c r="BB497" s="551"/>
      <c r="BC497" s="551"/>
      <c r="BD497" s="551"/>
      <c r="BE497" s="551"/>
      <c r="BF497" s="551"/>
      <c r="BG497" s="551"/>
      <c r="BH497" s="551"/>
      <c r="BI497" s="551"/>
      <c r="BJ497" s="551"/>
      <c r="BK497" s="551"/>
      <c r="BL497" s="551"/>
      <c r="BM497" s="551"/>
      <c r="BN497" s="551"/>
      <c r="BO497" s="551"/>
      <c r="BP497" s="551"/>
      <c r="BQ497" s="551"/>
      <c r="BR497" s="551"/>
      <c r="BS497" s="551"/>
      <c r="BT497" s="551"/>
      <c r="BU497" s="551"/>
      <c r="BV497" s="551"/>
      <c r="BW497" s="551"/>
      <c r="BX497" s="551"/>
      <c r="BY497" s="551"/>
      <c r="BZ497" s="551"/>
      <c r="CA497" s="551"/>
      <c r="CB497" s="551"/>
      <c r="CC497" s="551"/>
    </row>
    <row r="498" spans="1:81" s="540" customFormat="1" ht="12.75" hidden="1" customHeight="1">
      <c r="A498" s="680"/>
      <c r="B498" s="551"/>
      <c r="C498" s="765"/>
      <c r="D498" s="728"/>
      <c r="E498" s="728"/>
      <c r="F498" s="776" t="s">
        <v>1523</v>
      </c>
      <c r="G498" s="767"/>
      <c r="H498" s="767"/>
      <c r="I498" s="728"/>
      <c r="J498" s="728"/>
      <c r="K498" s="728"/>
      <c r="L498" s="728"/>
      <c r="M498" s="728"/>
      <c r="N498" s="728"/>
      <c r="O498" s="728"/>
      <c r="P498" s="728"/>
      <c r="Q498" s="728"/>
      <c r="R498" s="728"/>
      <c r="S498" s="728"/>
      <c r="T498" s="728"/>
      <c r="U498" s="728"/>
      <c r="V498" s="2448" t="s">
        <v>590</v>
      </c>
      <c r="W498" s="2448"/>
      <c r="X498" s="2448"/>
      <c r="Y498" s="728"/>
      <c r="Z498" s="728"/>
      <c r="AA498" s="728"/>
      <c r="AB498" s="728"/>
      <c r="AC498" s="728"/>
      <c r="AD498" s="728"/>
      <c r="AE498" s="728"/>
      <c r="AF498" s="728"/>
      <c r="AG498" s="784">
        <f>IF(AND($C$482="Yes",$V$485="N/A",$V$487="N/A",$V$492="N/A",$V$496="N/A"),(VLOOKUP($V$498,$BF$481:$BG$483,2,FALSE)),0)</f>
        <v>0</v>
      </c>
      <c r="AH498" s="769" t="s">
        <v>1327</v>
      </c>
      <c r="AI498" s="728"/>
      <c r="AJ498" s="728"/>
      <c r="AK498" s="743"/>
      <c r="AL498" s="551"/>
      <c r="AM498" s="551"/>
      <c r="AN498" s="785"/>
      <c r="AP498" s="597"/>
      <c r="AQ498" s="597"/>
      <c r="AR498" s="597"/>
      <c r="AS498" s="597"/>
      <c r="AT498" s="597"/>
      <c r="AU498" s="597"/>
      <c r="AV498" s="597"/>
      <c r="AW498" s="597"/>
      <c r="AX498" s="597"/>
      <c r="AY498" s="597"/>
      <c r="AZ498" s="597"/>
      <c r="BA498" s="597"/>
      <c r="BB498" s="597"/>
      <c r="BC498" s="597"/>
      <c r="BE498" s="597"/>
      <c r="BF498" s="597"/>
      <c r="BG498" s="597"/>
      <c r="BH498" s="597"/>
      <c r="BI498" s="597"/>
      <c r="BJ498" s="597"/>
      <c r="BK498" s="597"/>
      <c r="BL498" s="597"/>
      <c r="BM498" s="597"/>
      <c r="BN498" s="597"/>
      <c r="BO498" s="597"/>
      <c r="BP498" s="597"/>
      <c r="BQ498" s="597"/>
      <c r="BR498" s="597"/>
    </row>
    <row r="499" spans="1:81" s="540" customFormat="1" ht="12.75" hidden="1" customHeight="1">
      <c r="A499" s="680"/>
      <c r="B499" s="551"/>
      <c r="C499" s="552"/>
      <c r="D499" s="551"/>
      <c r="E499" s="764"/>
      <c r="F499" s="551"/>
      <c r="G499" s="551"/>
      <c r="H499" s="551"/>
      <c r="I499" s="551"/>
      <c r="J499" s="551"/>
      <c r="K499" s="551"/>
      <c r="L499" s="551"/>
      <c r="M499" s="551"/>
      <c r="N499" s="551"/>
      <c r="O499" s="551"/>
      <c r="P499" s="551"/>
      <c r="Q499" s="551"/>
      <c r="R499" s="551"/>
      <c r="S499" s="551"/>
      <c r="T499" s="551"/>
      <c r="U499" s="551"/>
      <c r="V499" s="551"/>
      <c r="W499" s="551"/>
      <c r="X499" s="551"/>
      <c r="Y499" s="551"/>
      <c r="Z499" s="551"/>
      <c r="AA499" s="551"/>
      <c r="AB499" s="551"/>
      <c r="AC499" s="551"/>
      <c r="AD499" s="551"/>
      <c r="AE499" s="551"/>
      <c r="AF499" s="551"/>
      <c r="AG499" s="551"/>
      <c r="AH499" s="551"/>
      <c r="AI499" s="551"/>
      <c r="AJ499" s="551"/>
      <c r="AK499" s="551"/>
      <c r="AL499" s="551"/>
      <c r="AM499" s="551"/>
      <c r="AN499" s="785"/>
      <c r="AO499" s="786"/>
      <c r="AP499" s="551"/>
      <c r="AQ499" s="551"/>
      <c r="AR499" s="551"/>
      <c r="AS499" s="551"/>
      <c r="AT499" s="551"/>
      <c r="AU499" s="787"/>
      <c r="AV499" s="787"/>
      <c r="AW499" s="787"/>
      <c r="AX499" s="787"/>
      <c r="AY499" s="787"/>
      <c r="AZ499" s="787"/>
      <c r="BA499" s="787"/>
      <c r="BB499" s="597"/>
      <c r="BC499" s="597"/>
      <c r="BE499" s="551"/>
      <c r="BF499" s="551"/>
      <c r="BG499" s="551"/>
      <c r="BH499" s="551"/>
      <c r="BI499" s="551"/>
      <c r="BJ499" s="787"/>
      <c r="BK499" s="787"/>
      <c r="BL499" s="787"/>
      <c r="BM499" s="787"/>
      <c r="BN499" s="787"/>
      <c r="BO499" s="787"/>
      <c r="BP499" s="787"/>
      <c r="BQ499" s="597"/>
      <c r="BR499" s="551"/>
    </row>
    <row r="500" spans="1:81" s="540" customFormat="1" ht="12.75" hidden="1" customHeight="1">
      <c r="A500" s="680"/>
      <c r="B500" s="551"/>
      <c r="C500" s="713" t="s">
        <v>1537</v>
      </c>
      <c r="D500" s="551"/>
      <c r="E500" s="764"/>
      <c r="F500" s="552"/>
      <c r="G500" s="552"/>
      <c r="H500" s="552"/>
      <c r="I500" s="552"/>
      <c r="J500" s="552"/>
      <c r="K500" s="552"/>
      <c r="L500" s="552"/>
      <c r="M500" s="552"/>
      <c r="N500" s="552"/>
      <c r="O500" s="552"/>
      <c r="P500" s="552"/>
      <c r="Q500" s="552"/>
      <c r="R500" s="552"/>
      <c r="S500" s="552"/>
      <c r="T500" s="552"/>
      <c r="U500" s="552"/>
      <c r="V500" s="552"/>
      <c r="W500" s="552"/>
      <c r="X500" s="552"/>
      <c r="Y500" s="552"/>
      <c r="Z500" s="552"/>
      <c r="AA500" s="552"/>
      <c r="AB500" s="552"/>
      <c r="AC500" s="552"/>
      <c r="AD500" s="551"/>
      <c r="AE500" s="551"/>
      <c r="AF500" s="551"/>
      <c r="AG500" s="552"/>
      <c r="AH500" s="552"/>
      <c r="AI500" s="552"/>
      <c r="AJ500" s="552"/>
      <c r="AK500" s="551"/>
      <c r="AL500" s="551"/>
      <c r="AM500" s="551"/>
      <c r="AN500" s="785"/>
      <c r="AO500" s="786"/>
      <c r="AP500" s="551"/>
      <c r="AQ500" s="551"/>
      <c r="AR500" s="551"/>
      <c r="AS500" s="551"/>
      <c r="AT500" s="551"/>
      <c r="AU500" s="787"/>
      <c r="AV500" s="787"/>
      <c r="AW500" s="787"/>
      <c r="AX500" s="787"/>
      <c r="AY500" s="787"/>
      <c r="AZ500" s="787"/>
      <c r="BA500" s="787"/>
      <c r="BB500" s="597"/>
      <c r="BC500" s="597"/>
      <c r="BE500" s="551"/>
      <c r="BF500" s="551"/>
      <c r="BG500" s="551"/>
      <c r="BH500" s="551"/>
      <c r="BI500" s="551"/>
      <c r="BJ500" s="787"/>
      <c r="BK500" s="787"/>
      <c r="BL500" s="787"/>
      <c r="BM500" s="787"/>
      <c r="BN500" s="787"/>
      <c r="BO500" s="787"/>
      <c r="BP500" s="787"/>
      <c r="BQ500" s="597"/>
      <c r="BR500" s="551"/>
    </row>
    <row r="501" spans="1:81" s="571" customFormat="1" ht="12.75" hidden="1" customHeight="1">
      <c r="A501" s="680"/>
      <c r="B501" s="551"/>
      <c r="C501" s="2462" t="s">
        <v>590</v>
      </c>
      <c r="D501" s="2463"/>
      <c r="E501" s="762" t="s">
        <v>506</v>
      </c>
      <c r="F501" s="2540" t="s">
        <v>1516</v>
      </c>
      <c r="G501" s="2540"/>
      <c r="H501" s="2540"/>
      <c r="I501" s="2540"/>
      <c r="J501" s="2540"/>
      <c r="K501" s="2540"/>
      <c r="L501" s="2540"/>
      <c r="M501" s="2540"/>
      <c r="N501" s="2540"/>
      <c r="O501" s="2540"/>
      <c r="P501" s="2540"/>
      <c r="Q501" s="2540"/>
      <c r="R501" s="2540"/>
      <c r="S501" s="2540"/>
      <c r="T501" s="2540"/>
      <c r="U501" s="2540"/>
      <c r="V501" s="2540"/>
      <c r="W501" s="2540"/>
      <c r="X501" s="2540"/>
      <c r="Y501" s="2540"/>
      <c r="Z501" s="2540"/>
      <c r="AA501" s="2540"/>
      <c r="AB501" s="2540"/>
      <c r="AC501" s="2540"/>
      <c r="AD501" s="2540"/>
      <c r="AE501" s="2540"/>
      <c r="AF501" s="715"/>
      <c r="AG501" s="717"/>
      <c r="AH501" s="717"/>
      <c r="AI501" s="717"/>
      <c r="AJ501" s="717"/>
      <c r="AK501" s="746"/>
      <c r="AL501" s="551"/>
      <c r="AM501" s="551"/>
      <c r="AN501" s="535"/>
      <c r="AO501" s="30"/>
      <c r="AP501" s="551"/>
      <c r="AQ501" s="551"/>
      <c r="AR501" s="551"/>
      <c r="AS501" s="551"/>
      <c r="AT501" s="551"/>
      <c r="AU501" s="788"/>
      <c r="AV501" s="788"/>
      <c r="AW501" s="788"/>
      <c r="AX501" s="788"/>
      <c r="AY501" s="788"/>
      <c r="AZ501" s="788"/>
      <c r="BA501" s="788"/>
      <c r="BB501" s="551"/>
      <c r="BC501" s="551"/>
      <c r="BD501" s="537"/>
      <c r="BE501" s="551"/>
      <c r="BF501" s="551"/>
      <c r="BG501" s="551"/>
      <c r="BH501" s="551"/>
      <c r="BI501" s="551"/>
      <c r="BJ501" s="788"/>
      <c r="BK501" s="788"/>
      <c r="BL501" s="788"/>
      <c r="BM501" s="788"/>
      <c r="BN501" s="788"/>
      <c r="BO501" s="788"/>
      <c r="BP501" s="788"/>
      <c r="BQ501" s="551"/>
      <c r="BR501" s="551"/>
      <c r="BS501" s="537"/>
      <c r="BT501" s="537"/>
      <c r="BU501" s="537"/>
      <c r="BV501" s="537"/>
      <c r="BW501" s="537"/>
      <c r="BX501" s="537"/>
      <c r="BY501" s="537"/>
      <c r="BZ501" s="537"/>
      <c r="CA501" s="537"/>
      <c r="CB501" s="537"/>
      <c r="CC501" s="537"/>
    </row>
    <row r="502" spans="1:81" s="571" customFormat="1" ht="12.75" hidden="1" customHeight="1">
      <c r="A502" s="680"/>
      <c r="B502" s="551"/>
      <c r="C502" s="763"/>
      <c r="D502" s="551"/>
      <c r="E502" s="764"/>
      <c r="F502" s="2541"/>
      <c r="G502" s="2541"/>
      <c r="H502" s="2541"/>
      <c r="I502" s="2541"/>
      <c r="J502" s="2541"/>
      <c r="K502" s="2541"/>
      <c r="L502" s="2541"/>
      <c r="M502" s="2541"/>
      <c r="N502" s="2541"/>
      <c r="O502" s="2541"/>
      <c r="P502" s="2541"/>
      <c r="Q502" s="2541"/>
      <c r="R502" s="2541"/>
      <c r="S502" s="2541"/>
      <c r="T502" s="2541"/>
      <c r="U502" s="2541"/>
      <c r="V502" s="2541"/>
      <c r="W502" s="2541"/>
      <c r="X502" s="2541"/>
      <c r="Y502" s="2541"/>
      <c r="Z502" s="2541"/>
      <c r="AA502" s="2541"/>
      <c r="AB502" s="2541"/>
      <c r="AC502" s="2541"/>
      <c r="AD502" s="2541"/>
      <c r="AE502" s="2541"/>
      <c r="AF502" s="551"/>
      <c r="AG502" s="552"/>
      <c r="AH502" s="552"/>
      <c r="AI502" s="552"/>
      <c r="AJ502" s="552"/>
      <c r="AK502" s="733"/>
      <c r="AL502" s="551"/>
      <c r="AM502" s="551"/>
      <c r="AN502" s="535"/>
      <c r="AO502" s="30"/>
      <c r="AP502" s="789"/>
      <c r="AQ502" s="789"/>
      <c r="AR502" s="789"/>
      <c r="AS502" s="680"/>
      <c r="AT502" s="551"/>
      <c r="AU502" s="790"/>
      <c r="AV502" s="790"/>
      <c r="AW502" s="790"/>
      <c r="AX502" s="790"/>
      <c r="AY502" s="790"/>
      <c r="AZ502" s="790"/>
      <c r="BA502" s="790"/>
      <c r="BB502" s="14"/>
      <c r="BC502" s="14"/>
      <c r="BD502" s="537"/>
      <c r="BE502" s="789"/>
      <c r="BF502" s="789"/>
      <c r="BG502" s="789"/>
      <c r="BH502" s="680"/>
      <c r="BI502" s="551"/>
      <c r="BJ502" s="791"/>
      <c r="BK502" s="790"/>
      <c r="BL502" s="790"/>
      <c r="BM502" s="790"/>
      <c r="BN502" s="790"/>
      <c r="BO502" s="790"/>
      <c r="BP502" s="790"/>
      <c r="BQ502" s="14"/>
      <c r="BR502" s="551"/>
      <c r="BS502" s="537"/>
      <c r="BT502" s="537"/>
      <c r="BU502" s="537"/>
      <c r="BV502" s="537"/>
      <c r="BW502" s="537"/>
      <c r="BX502" s="537"/>
      <c r="BY502" s="537"/>
      <c r="BZ502" s="537"/>
      <c r="CA502" s="537"/>
      <c r="CB502" s="537"/>
      <c r="CC502" s="537"/>
    </row>
    <row r="503" spans="1:81" s="571" customFormat="1" ht="12.75" hidden="1" customHeight="1">
      <c r="A503" s="680"/>
      <c r="B503" s="551"/>
      <c r="C503" s="765"/>
      <c r="D503" s="728"/>
      <c r="E503" s="766"/>
      <c r="F503" s="2461" t="s">
        <v>590</v>
      </c>
      <c r="G503" s="2461"/>
      <c r="H503" s="2461"/>
      <c r="I503" s="2461"/>
      <c r="J503" s="2461"/>
      <c r="K503" s="2461"/>
      <c r="L503" s="2461"/>
      <c r="M503" s="2461"/>
      <c r="N503" s="2461"/>
      <c r="O503" s="2461"/>
      <c r="P503" s="2461"/>
      <c r="Q503" s="2461"/>
      <c r="R503" s="2461"/>
      <c r="S503" s="2461"/>
      <c r="T503" s="2461"/>
      <c r="U503" s="2461"/>
      <c r="V503" s="2461"/>
      <c r="W503" s="2461"/>
      <c r="X503" s="2461"/>
      <c r="Y503" s="2461"/>
      <c r="Z503" s="2461"/>
      <c r="AA503" s="767"/>
      <c r="AB503" s="659"/>
      <c r="AC503" s="659"/>
      <c r="AD503" s="728"/>
      <c r="AE503" s="728"/>
      <c r="AF503" s="728"/>
      <c r="AG503" s="768">
        <f>IF($C$501="Yes",(VLOOKUP($F$503,$AO$471:$AP$479,2,FALSE)),0)</f>
        <v>0</v>
      </c>
      <c r="AH503" s="769" t="s">
        <v>1327</v>
      </c>
      <c r="AI503" s="768"/>
      <c r="AJ503" s="659"/>
      <c r="AK503" s="743"/>
      <c r="AL503" s="551"/>
      <c r="AM503" s="551"/>
      <c r="AN503" s="535"/>
      <c r="AO503" s="30"/>
      <c r="AP503" s="789"/>
      <c r="AQ503" s="789"/>
      <c r="AR503" s="789"/>
      <c r="AS503" s="680"/>
      <c r="AT503" s="551"/>
      <c r="AU503" s="790"/>
      <c r="AV503" s="790"/>
      <c r="AW503" s="790"/>
      <c r="AX503" s="790"/>
      <c r="AY503" s="790"/>
      <c r="AZ503" s="790"/>
      <c r="BA503" s="790"/>
      <c r="BB503" s="14"/>
      <c r="BC503" s="14"/>
      <c r="BD503" s="537"/>
      <c r="BE503" s="789"/>
      <c r="BF503" s="789"/>
      <c r="BG503" s="789"/>
      <c r="BH503" s="680"/>
      <c r="BI503" s="551"/>
      <c r="BJ503" s="791"/>
      <c r="BK503" s="790"/>
      <c r="BL503" s="790"/>
      <c r="BM503" s="790"/>
      <c r="BN503" s="790"/>
      <c r="BO503" s="790"/>
      <c r="BP503" s="790"/>
      <c r="BQ503" s="14"/>
      <c r="BR503" s="551"/>
      <c r="BS503" s="537"/>
      <c r="BT503" s="537"/>
      <c r="BU503" s="537"/>
      <c r="BV503" s="537"/>
      <c r="BW503" s="537"/>
      <c r="BX503" s="537"/>
      <c r="BY503" s="537"/>
      <c r="BZ503" s="537"/>
      <c r="CA503" s="537"/>
      <c r="CB503" s="537"/>
      <c r="CC503" s="537"/>
    </row>
    <row r="504" spans="1:81" s="571" customFormat="1" ht="12.75" hidden="1" customHeight="1">
      <c r="A504" s="680"/>
      <c r="B504" s="551"/>
      <c r="C504" s="713"/>
      <c r="D504" s="551"/>
      <c r="E504" s="764"/>
      <c r="F504" s="552"/>
      <c r="G504" s="552"/>
      <c r="H504" s="552"/>
      <c r="I504" s="552"/>
      <c r="J504" s="552"/>
      <c r="K504" s="552"/>
      <c r="L504" s="552"/>
      <c r="M504" s="552"/>
      <c r="N504" s="552"/>
      <c r="O504" s="552"/>
      <c r="P504" s="552"/>
      <c r="Q504" s="552"/>
      <c r="R504" s="552"/>
      <c r="S504" s="552"/>
      <c r="T504" s="552"/>
      <c r="U504" s="552"/>
      <c r="V504" s="552"/>
      <c r="W504" s="552"/>
      <c r="X504" s="552"/>
      <c r="Y504" s="552"/>
      <c r="Z504" s="552"/>
      <c r="AA504" s="552"/>
      <c r="AB504" s="552"/>
      <c r="AC504" s="552"/>
      <c r="AD504" s="551"/>
      <c r="AE504" s="551"/>
      <c r="AF504" s="551"/>
      <c r="AG504" s="552"/>
      <c r="AH504" s="552"/>
      <c r="AI504" s="552"/>
      <c r="AJ504" s="552"/>
      <c r="AK504" s="551"/>
      <c r="AL504" s="551"/>
      <c r="AM504" s="551"/>
      <c r="AN504" s="535"/>
      <c r="AO504" s="30"/>
      <c r="AP504" s="789"/>
      <c r="AQ504" s="789"/>
      <c r="AR504" s="789"/>
      <c r="AS504" s="680"/>
      <c r="AT504" s="551"/>
      <c r="AU504" s="790"/>
      <c r="AV504" s="790"/>
      <c r="AW504" s="790"/>
      <c r="AX504" s="790"/>
      <c r="AY504" s="790"/>
      <c r="AZ504" s="790"/>
      <c r="BA504" s="790"/>
      <c r="BB504" s="14"/>
      <c r="BC504" s="14"/>
      <c r="BD504" s="537"/>
      <c r="BE504" s="789"/>
      <c r="BF504" s="789"/>
      <c r="BG504" s="789"/>
      <c r="BH504" s="680"/>
      <c r="BI504" s="551"/>
      <c r="BJ504" s="791"/>
      <c r="BK504" s="790"/>
      <c r="BL504" s="790"/>
      <c r="BM504" s="790"/>
      <c r="BN504" s="790"/>
      <c r="BO504" s="790"/>
      <c r="BP504" s="790"/>
      <c r="BQ504" s="14"/>
      <c r="BR504" s="551"/>
      <c r="BS504" s="537"/>
      <c r="BT504" s="537"/>
      <c r="BU504" s="537"/>
      <c r="BV504" s="537"/>
      <c r="BW504" s="537"/>
      <c r="BX504" s="537"/>
      <c r="BY504" s="537"/>
      <c r="BZ504" s="537"/>
      <c r="CA504" s="537"/>
      <c r="CB504" s="537"/>
      <c r="CC504" s="537"/>
    </row>
    <row r="505" spans="1:81" s="571" customFormat="1" ht="12.75" hidden="1" customHeight="1">
      <c r="A505" s="551"/>
      <c r="B505" s="551"/>
      <c r="C505" s="2462" t="s">
        <v>590</v>
      </c>
      <c r="D505" s="2463"/>
      <c r="E505" s="762" t="s">
        <v>756</v>
      </c>
      <c r="F505" s="2464" t="s">
        <v>1538</v>
      </c>
      <c r="G505" s="2464"/>
      <c r="H505" s="2464"/>
      <c r="I505" s="2464"/>
      <c r="J505" s="2464"/>
      <c r="K505" s="2464"/>
      <c r="L505" s="2464"/>
      <c r="M505" s="2464"/>
      <c r="N505" s="2464"/>
      <c r="O505" s="2464"/>
      <c r="P505" s="2464"/>
      <c r="Q505" s="2464"/>
      <c r="R505" s="2464"/>
      <c r="S505" s="2464"/>
      <c r="T505" s="2464"/>
      <c r="U505" s="2464"/>
      <c r="V505" s="2464"/>
      <c r="W505" s="2464"/>
      <c r="X505" s="2464"/>
      <c r="Y505" s="2464"/>
      <c r="Z505" s="2464"/>
      <c r="AA505" s="2464"/>
      <c r="AB505" s="2464"/>
      <c r="AC505" s="2464"/>
      <c r="AD505" s="2464"/>
      <c r="AE505" s="2464"/>
      <c r="AF505" s="715"/>
      <c r="AG505" s="650"/>
      <c r="AH505" s="650"/>
      <c r="AI505" s="650"/>
      <c r="AJ505" s="650"/>
      <c r="AK505" s="746"/>
      <c r="AL505" s="551"/>
      <c r="AM505" s="551"/>
      <c r="AN505" s="535"/>
      <c r="AO505" s="30"/>
      <c r="AP505" s="789"/>
      <c r="AQ505" s="789"/>
      <c r="AR505" s="789"/>
      <c r="AS505" s="680"/>
      <c r="AT505" s="551"/>
      <c r="AU505" s="790"/>
      <c r="AV505" s="790"/>
      <c r="AW505" s="790"/>
      <c r="AX505" s="790"/>
      <c r="AY505" s="790"/>
      <c r="AZ505" s="790"/>
      <c r="BA505" s="790"/>
      <c r="BB505" s="14"/>
      <c r="BC505" s="14"/>
      <c r="BD505" s="537"/>
      <c r="BE505" s="789"/>
      <c r="BF505" s="789"/>
      <c r="BG505" s="789"/>
      <c r="BH505" s="680"/>
      <c r="BI505" s="551"/>
      <c r="BJ505" s="791"/>
      <c r="BK505" s="790"/>
      <c r="BL505" s="790"/>
      <c r="BM505" s="790"/>
      <c r="BN505" s="790"/>
      <c r="BO505" s="790"/>
      <c r="BP505" s="790"/>
      <c r="BQ505" s="14"/>
      <c r="BR505" s="551"/>
      <c r="BS505" s="537"/>
      <c r="BT505" s="537"/>
      <c r="BU505" s="537"/>
      <c r="BV505" s="537"/>
      <c r="BW505" s="537"/>
      <c r="BX505" s="537"/>
      <c r="BY505" s="537"/>
      <c r="BZ505" s="537"/>
      <c r="CA505" s="537"/>
      <c r="CB505" s="537"/>
      <c r="CC505" s="537"/>
    </row>
    <row r="506" spans="1:81" s="571" customFormat="1" ht="12.75" hidden="1" customHeight="1">
      <c r="A506" s="551"/>
      <c r="B506" s="551"/>
      <c r="C506" s="763"/>
      <c r="D506" s="551"/>
      <c r="E506" s="764"/>
      <c r="F506" s="2465"/>
      <c r="G506" s="2465"/>
      <c r="H506" s="2465"/>
      <c r="I506" s="2465"/>
      <c r="J506" s="2465"/>
      <c r="K506" s="2465"/>
      <c r="L506" s="2465"/>
      <c r="M506" s="2465"/>
      <c r="N506" s="2465"/>
      <c r="O506" s="2465"/>
      <c r="P506" s="2465"/>
      <c r="Q506" s="2465"/>
      <c r="R506" s="2465"/>
      <c r="S506" s="2465"/>
      <c r="T506" s="2465"/>
      <c r="U506" s="2465"/>
      <c r="V506" s="2465"/>
      <c r="W506" s="2465"/>
      <c r="X506" s="2465"/>
      <c r="Y506" s="2465"/>
      <c r="Z506" s="2465"/>
      <c r="AA506" s="2465"/>
      <c r="AB506" s="2465"/>
      <c r="AC506" s="2465"/>
      <c r="AD506" s="2465"/>
      <c r="AE506" s="2465"/>
      <c r="AF506" s="551"/>
      <c r="AG506" s="552"/>
      <c r="AH506" s="552"/>
      <c r="AI506" s="552"/>
      <c r="AJ506" s="552"/>
      <c r="AK506" s="733"/>
      <c r="AL506" s="551"/>
      <c r="AM506" s="551"/>
      <c r="AN506" s="535"/>
      <c r="AO506" s="30"/>
      <c r="AP506" s="789"/>
      <c r="AQ506" s="789"/>
      <c r="AR506" s="789"/>
      <c r="AS506" s="680"/>
      <c r="AT506" s="551"/>
      <c r="AU506" s="790"/>
      <c r="AV506" s="790"/>
      <c r="AW506" s="790"/>
      <c r="AX506" s="790"/>
      <c r="AY506" s="790"/>
      <c r="AZ506" s="790"/>
      <c r="BA506" s="790"/>
      <c r="BB506" s="14"/>
      <c r="BC506" s="14"/>
      <c r="BD506" s="537"/>
      <c r="BE506" s="789"/>
      <c r="BF506" s="789"/>
      <c r="BG506" s="789"/>
      <c r="BH506" s="680"/>
      <c r="BI506" s="551"/>
      <c r="BJ506" s="791"/>
      <c r="BK506" s="790"/>
      <c r="BL506" s="790"/>
      <c r="BM506" s="790"/>
      <c r="BN506" s="790"/>
      <c r="BO506" s="790"/>
      <c r="BP506" s="790"/>
      <c r="BQ506" s="14"/>
      <c r="BR506" s="551"/>
      <c r="BS506" s="537"/>
      <c r="BT506" s="537"/>
      <c r="BU506" s="537"/>
      <c r="BV506" s="537"/>
      <c r="BW506" s="537"/>
      <c r="BX506" s="537"/>
      <c r="BY506" s="537"/>
      <c r="BZ506" s="537"/>
      <c r="CA506" s="537"/>
      <c r="CB506" s="537"/>
      <c r="CC506" s="537"/>
    </row>
    <row r="507" spans="1:81" s="571" customFormat="1" ht="12.75" hidden="1" customHeight="1">
      <c r="A507" s="551"/>
      <c r="B507" s="551"/>
      <c r="C507" s="740"/>
      <c r="D507" s="551"/>
      <c r="E507" s="551"/>
      <c r="F507" s="783" t="s">
        <v>1539</v>
      </c>
      <c r="G507" s="552"/>
      <c r="H507" s="552"/>
      <c r="I507" s="552"/>
      <c r="J507" s="552"/>
      <c r="K507" s="552"/>
      <c r="L507" s="552"/>
      <c r="M507" s="552"/>
      <c r="N507" s="552"/>
      <c r="O507" s="552"/>
      <c r="P507" s="552"/>
      <c r="Q507" s="552"/>
      <c r="R507" s="552"/>
      <c r="S507" s="552"/>
      <c r="T507" s="552"/>
      <c r="U507" s="552"/>
      <c r="V507" s="552"/>
      <c r="W507" s="552"/>
      <c r="X507" s="552"/>
      <c r="Y507" s="552"/>
      <c r="Z507" s="552"/>
      <c r="AA507" s="552"/>
      <c r="AB507" s="552"/>
      <c r="AC507" s="592"/>
      <c r="AD507" s="551"/>
      <c r="AE507" s="551"/>
      <c r="AF507" s="551"/>
      <c r="AG507" s="614"/>
      <c r="AH507" s="614"/>
      <c r="AI507" s="614"/>
      <c r="AJ507" s="614"/>
      <c r="AK507" s="733"/>
      <c r="AL507" s="551"/>
      <c r="AM507" s="551"/>
      <c r="AN507" s="535"/>
      <c r="AO507" s="537"/>
      <c r="AP507" s="789"/>
      <c r="AQ507" s="789"/>
      <c r="AR507" s="789"/>
      <c r="AS507" s="680"/>
      <c r="AT507" s="551"/>
      <c r="AU507" s="790"/>
      <c r="AV507" s="790"/>
      <c r="AW507" s="790"/>
      <c r="AX507" s="790"/>
      <c r="AY507" s="790"/>
      <c r="AZ507" s="790"/>
      <c r="BA507" s="790"/>
      <c r="BB507" s="537"/>
      <c r="BC507" s="537"/>
      <c r="BD507" s="537"/>
      <c r="BE507" s="789"/>
      <c r="BF507" s="789"/>
      <c r="BG507" s="789"/>
      <c r="BH507" s="680"/>
      <c r="BI507" s="551"/>
      <c r="BJ507" s="791"/>
      <c r="BK507" s="790"/>
      <c r="BL507" s="790"/>
      <c r="BM507" s="790"/>
      <c r="BN507" s="790"/>
      <c r="BO507" s="790"/>
      <c r="BP507" s="790"/>
      <c r="BQ507" s="537"/>
      <c r="BR507" s="551"/>
      <c r="BS507" s="537"/>
      <c r="BT507" s="537"/>
      <c r="BU507" s="537"/>
      <c r="BV507" s="537"/>
      <c r="BW507" s="537"/>
      <c r="BX507" s="537"/>
      <c r="BY507" s="537"/>
      <c r="BZ507" s="537"/>
      <c r="CA507" s="537"/>
      <c r="CB507" s="537"/>
      <c r="CC507" s="537"/>
    </row>
    <row r="508" spans="1:81" s="571" customFormat="1" ht="13" hidden="1">
      <c r="A508" s="551"/>
      <c r="B508" s="551"/>
      <c r="C508" s="765"/>
      <c r="D508" s="728"/>
      <c r="E508" s="766"/>
      <c r="F508" s="2466" t="s">
        <v>590</v>
      </c>
      <c r="G508" s="2466"/>
      <c r="H508" s="2466"/>
      <c r="I508" s="659"/>
      <c r="J508" s="659"/>
      <c r="K508" s="659"/>
      <c r="L508" s="659"/>
      <c r="M508" s="659"/>
      <c r="N508" s="659"/>
      <c r="O508" s="659"/>
      <c r="P508" s="659"/>
      <c r="Q508" s="659"/>
      <c r="R508" s="659"/>
      <c r="S508" s="659"/>
      <c r="T508" s="659"/>
      <c r="U508" s="659"/>
      <c r="V508" s="659"/>
      <c r="W508" s="659"/>
      <c r="X508" s="659"/>
      <c r="Y508" s="659"/>
      <c r="Z508" s="659"/>
      <c r="AA508" s="659"/>
      <c r="AB508" s="659"/>
      <c r="AC508" s="659"/>
      <c r="AD508" s="728"/>
      <c r="AE508" s="728"/>
      <c r="AF508" s="728"/>
      <c r="AG508" s="768">
        <f>IF($C$505="Yes",(VLOOKUP($F$508,$AO$481:$AP$483,2,FALSE)),0)</f>
        <v>0</v>
      </c>
      <c r="AH508" s="769" t="s">
        <v>1327</v>
      </c>
      <c r="AI508" s="659"/>
      <c r="AJ508" s="659"/>
      <c r="AK508" s="743"/>
      <c r="AL508" s="551"/>
      <c r="AM508" s="551"/>
      <c r="AN508" s="535"/>
      <c r="AO508" s="537"/>
      <c r="AP508" s="789"/>
      <c r="AQ508" s="789"/>
      <c r="AR508" s="789"/>
      <c r="AS508" s="788"/>
      <c r="AT508" s="551"/>
      <c r="AU508" s="790"/>
      <c r="AV508" s="790"/>
      <c r="AW508" s="790"/>
      <c r="AX508" s="790"/>
      <c r="AY508" s="790"/>
      <c r="AZ508" s="790"/>
      <c r="BA508" s="790"/>
      <c r="BB508" s="537"/>
      <c r="BC508" s="537"/>
      <c r="BD508" s="537"/>
      <c r="BE508" s="789"/>
      <c r="BF508" s="789"/>
      <c r="BG508" s="789"/>
      <c r="BH508" s="788"/>
      <c r="BI508" s="551"/>
      <c r="BJ508" s="791"/>
      <c r="BK508" s="790"/>
      <c r="BL508" s="790"/>
      <c r="BM508" s="790"/>
      <c r="BN508" s="790"/>
      <c r="BO508" s="790"/>
      <c r="BP508" s="790"/>
      <c r="BQ508" s="537"/>
      <c r="BR508" s="551"/>
      <c r="BS508" s="537"/>
      <c r="BT508" s="537"/>
      <c r="BU508" s="537"/>
      <c r="BV508" s="537"/>
      <c r="BW508" s="537"/>
      <c r="BX508" s="537"/>
      <c r="BY508" s="537"/>
      <c r="BZ508" s="537"/>
      <c r="CA508" s="537"/>
      <c r="CB508" s="537"/>
      <c r="CC508" s="537"/>
    </row>
    <row r="509" spans="1:81" s="571" customFormat="1" ht="13" hidden="1">
      <c r="A509" s="552"/>
      <c r="B509" s="552"/>
      <c r="C509" s="552"/>
      <c r="D509" s="552"/>
      <c r="E509" s="552"/>
      <c r="F509" s="552"/>
      <c r="G509" s="552"/>
      <c r="H509" s="552"/>
      <c r="I509" s="552"/>
      <c r="J509" s="552"/>
      <c r="K509" s="552"/>
      <c r="L509" s="552"/>
      <c r="M509" s="552"/>
      <c r="N509" s="552"/>
      <c r="O509" s="552"/>
      <c r="P509" s="552"/>
      <c r="Q509" s="552"/>
      <c r="R509" s="552"/>
      <c r="S509" s="552"/>
      <c r="T509" s="552"/>
      <c r="U509" s="552"/>
      <c r="V509" s="552"/>
      <c r="W509" s="552"/>
      <c r="X509" s="552"/>
      <c r="Y509" s="552"/>
      <c r="Z509" s="552"/>
      <c r="AA509" s="552"/>
      <c r="AB509" s="552"/>
      <c r="AC509" s="552"/>
      <c r="AD509" s="552"/>
      <c r="AE509" s="551"/>
      <c r="AF509" s="551"/>
      <c r="AG509" s="614"/>
      <c r="AH509" s="641"/>
      <c r="AI509" s="552"/>
      <c r="AJ509" s="552"/>
      <c r="AK509" s="551"/>
      <c r="AL509" s="551"/>
      <c r="AM509" s="551"/>
      <c r="AN509" s="535"/>
      <c r="AO509" s="537"/>
      <c r="AP509" s="789"/>
      <c r="AQ509" s="789"/>
      <c r="AR509" s="789"/>
      <c r="AS509" s="788"/>
      <c r="AT509" s="551"/>
      <c r="AU509" s="790"/>
      <c r="AV509" s="790"/>
      <c r="AW509" s="790"/>
      <c r="AX509" s="790"/>
      <c r="AY509" s="790"/>
      <c r="AZ509" s="790"/>
      <c r="BA509" s="790"/>
      <c r="BB509" s="537"/>
      <c r="BC509" s="537"/>
      <c r="BD509" s="537"/>
      <c r="BE509" s="789"/>
      <c r="BF509" s="789"/>
      <c r="BG509" s="789"/>
      <c r="BH509" s="788"/>
      <c r="BI509" s="551"/>
      <c r="BJ509" s="791"/>
      <c r="BK509" s="790"/>
      <c r="BL509" s="790"/>
      <c r="BM509" s="790"/>
      <c r="BN509" s="790"/>
      <c r="BO509" s="790"/>
      <c r="BP509" s="790"/>
      <c r="BQ509" s="537"/>
      <c r="BR509" s="551"/>
      <c r="BS509" s="537"/>
      <c r="BT509" s="537"/>
      <c r="BU509" s="537"/>
      <c r="BV509" s="537"/>
      <c r="BW509" s="537"/>
      <c r="BX509" s="537"/>
      <c r="BY509" s="537"/>
      <c r="BZ509" s="537"/>
      <c r="CA509" s="537"/>
      <c r="CB509" s="537"/>
      <c r="CC509" s="537"/>
    </row>
    <row r="510" spans="1:81" s="571" customFormat="1" ht="13" hidden="1">
      <c r="A510" s="551"/>
      <c r="B510" s="551"/>
      <c r="C510" s="2462" t="s">
        <v>590</v>
      </c>
      <c r="D510" s="2463"/>
      <c r="E510" s="762" t="s">
        <v>1540</v>
      </c>
      <c r="F510" s="781" t="s">
        <v>1541</v>
      </c>
      <c r="G510" s="650"/>
      <c r="H510" s="650"/>
      <c r="I510" s="650"/>
      <c r="J510" s="650"/>
      <c r="K510" s="650"/>
      <c r="L510" s="650"/>
      <c r="M510" s="650"/>
      <c r="N510" s="650"/>
      <c r="O510" s="650"/>
      <c r="P510" s="650"/>
      <c r="Q510" s="650"/>
      <c r="R510" s="650"/>
      <c r="S510" s="650"/>
      <c r="T510" s="650"/>
      <c r="U510" s="650"/>
      <c r="V510" s="650"/>
      <c r="W510" s="650"/>
      <c r="X510" s="650"/>
      <c r="Y510" s="650"/>
      <c r="Z510" s="650"/>
      <c r="AA510" s="650"/>
      <c r="AB510" s="650"/>
      <c r="AC510" s="792"/>
      <c r="AD510" s="715"/>
      <c r="AE510" s="715"/>
      <c r="AF510" s="715"/>
      <c r="AG510" s="793"/>
      <c r="AH510" s="793"/>
      <c r="AI510" s="793"/>
      <c r="AJ510" s="793"/>
      <c r="AK510" s="746"/>
      <c r="AL510" s="551"/>
      <c r="AM510" s="551"/>
      <c r="AN510" s="535"/>
      <c r="AO510" s="537"/>
      <c r="AP510" s="789"/>
      <c r="AQ510" s="789"/>
      <c r="AR510" s="789"/>
      <c r="AS510" s="788"/>
      <c r="AT510" s="551"/>
      <c r="AU510" s="790"/>
      <c r="AV510" s="790"/>
      <c r="AW510" s="790"/>
      <c r="AX510" s="790"/>
      <c r="AY510" s="790"/>
      <c r="AZ510" s="790"/>
      <c r="BA510" s="790"/>
      <c r="BB510" s="537"/>
      <c r="BC510" s="537"/>
      <c r="BD510" s="537"/>
      <c r="BE510" s="789"/>
      <c r="BF510" s="789"/>
      <c r="BG510" s="789"/>
      <c r="BH510" s="788"/>
      <c r="BI510" s="551"/>
      <c r="BJ510" s="791"/>
      <c r="BK510" s="790"/>
      <c r="BL510" s="790"/>
      <c r="BM510" s="790"/>
      <c r="BN510" s="790"/>
      <c r="BO510" s="790"/>
      <c r="BP510" s="790"/>
      <c r="BQ510" s="537"/>
      <c r="BR510" s="551"/>
      <c r="BS510" s="537"/>
      <c r="BT510" s="537"/>
      <c r="BU510" s="537"/>
      <c r="BV510" s="537"/>
      <c r="BW510" s="537"/>
      <c r="BX510" s="537"/>
      <c r="BY510" s="537"/>
      <c r="BZ510" s="537"/>
      <c r="CA510" s="537"/>
      <c r="CB510" s="537"/>
      <c r="CC510" s="537"/>
    </row>
    <row r="511" spans="1:81" s="571" customFormat="1" hidden="1">
      <c r="A511" s="551"/>
      <c r="B511" s="551"/>
      <c r="C511" s="763"/>
      <c r="D511" s="551"/>
      <c r="E511" s="764"/>
      <c r="F511" s="552"/>
      <c r="G511" s="552"/>
      <c r="H511" s="552"/>
      <c r="I511" s="552"/>
      <c r="J511" s="552"/>
      <c r="K511" s="552"/>
      <c r="L511" s="552"/>
      <c r="M511" s="552"/>
      <c r="N511" s="552"/>
      <c r="O511" s="552"/>
      <c r="P511" s="552"/>
      <c r="Q511" s="552"/>
      <c r="R511" s="552"/>
      <c r="S511" s="552"/>
      <c r="T511" s="552"/>
      <c r="U511" s="552"/>
      <c r="V511" s="552"/>
      <c r="W511" s="552"/>
      <c r="X511" s="552"/>
      <c r="Y511" s="552"/>
      <c r="Z511" s="552"/>
      <c r="AA511" s="552"/>
      <c r="AB511" s="552"/>
      <c r="AC511" s="552"/>
      <c r="AD511" s="551"/>
      <c r="AE511" s="551"/>
      <c r="AF511" s="551"/>
      <c r="AG511" s="552"/>
      <c r="AH511" s="552"/>
      <c r="AI511" s="552"/>
      <c r="AJ511" s="552"/>
      <c r="AK511" s="733"/>
      <c r="AL511" s="551"/>
      <c r="AM511" s="551"/>
      <c r="AN511" s="535"/>
      <c r="AO511" s="537"/>
      <c r="AP511" s="789"/>
      <c r="AQ511" s="789"/>
      <c r="AR511" s="789"/>
      <c r="AS511" s="788"/>
      <c r="AT511" s="551"/>
      <c r="AU511" s="790"/>
      <c r="AV511" s="790"/>
      <c r="AW511" s="790"/>
      <c r="AX511" s="790"/>
      <c r="AY511" s="790"/>
      <c r="AZ511" s="790"/>
      <c r="BA511" s="790"/>
      <c r="BB511" s="537"/>
      <c r="BC511" s="537"/>
      <c r="BD511" s="537"/>
      <c r="BE511" s="789"/>
      <c r="BF511" s="789"/>
      <c r="BG511" s="789"/>
      <c r="BH511" s="788"/>
      <c r="BI511" s="551"/>
      <c r="BJ511" s="791"/>
      <c r="BK511" s="790"/>
      <c r="BL511" s="790"/>
      <c r="BM511" s="790"/>
      <c r="BN511" s="790"/>
      <c r="BO511" s="790"/>
      <c r="BP511" s="790"/>
      <c r="BQ511" s="537"/>
      <c r="BR511" s="14"/>
      <c r="BS511" s="537"/>
      <c r="BT511" s="537"/>
      <c r="BU511" s="537"/>
      <c r="BV511" s="537"/>
      <c r="BW511" s="537"/>
      <c r="BX511" s="537"/>
      <c r="BY511" s="537"/>
      <c r="BZ511" s="537"/>
      <c r="CA511" s="537"/>
      <c r="CB511" s="537"/>
      <c r="CC511" s="537"/>
    </row>
    <row r="512" spans="1:81" s="571" customFormat="1" ht="13" hidden="1">
      <c r="A512" s="551"/>
      <c r="B512" s="551"/>
      <c r="C512" s="2482"/>
      <c r="D512" s="2467"/>
      <c r="E512" s="773"/>
      <c r="F512" s="552" t="s">
        <v>1542</v>
      </c>
      <c r="G512" s="552"/>
      <c r="H512" s="552"/>
      <c r="I512" s="552"/>
      <c r="J512" s="552"/>
      <c r="K512" s="552"/>
      <c r="L512" s="552"/>
      <c r="M512" s="552"/>
      <c r="N512" s="552"/>
      <c r="O512" s="552"/>
      <c r="P512" s="552"/>
      <c r="Q512" s="552"/>
      <c r="R512" s="552"/>
      <c r="S512" s="552"/>
      <c r="T512" s="552"/>
      <c r="U512" s="552"/>
      <c r="V512" s="552"/>
      <c r="W512" s="552"/>
      <c r="X512" s="552"/>
      <c r="Y512" s="552"/>
      <c r="Z512" s="552"/>
      <c r="AA512" s="552"/>
      <c r="AB512" s="552"/>
      <c r="AC512" s="592"/>
      <c r="AD512" s="551"/>
      <c r="AE512" s="551"/>
      <c r="AF512" s="551"/>
      <c r="AG512" s="614">
        <f>IF($C$510="Yes",(VLOOKUP($G$513,$AO$488:$AP$491,2,FALSE)),0)</f>
        <v>0</v>
      </c>
      <c r="AH512" s="641" t="s">
        <v>1327</v>
      </c>
      <c r="AI512" s="552"/>
      <c r="AJ512" s="614"/>
      <c r="AK512" s="733"/>
      <c r="AL512" s="551"/>
      <c r="AM512" s="551"/>
      <c r="AN512" s="535"/>
      <c r="AO512" s="537"/>
      <c r="AP512" s="789"/>
      <c r="AQ512" s="789"/>
      <c r="AR512" s="789"/>
      <c r="AS512" s="788"/>
      <c r="AT512" s="551"/>
      <c r="AU512" s="790"/>
      <c r="AV512" s="790"/>
      <c r="AW512" s="790"/>
      <c r="AX512" s="790"/>
      <c r="AY512" s="790"/>
      <c r="AZ512" s="790"/>
      <c r="BA512" s="790"/>
      <c r="BB512" s="537"/>
      <c r="BC512" s="537"/>
      <c r="BD512" s="537"/>
      <c r="BE512" s="789"/>
      <c r="BF512" s="789"/>
      <c r="BG512" s="789"/>
      <c r="BH512" s="788"/>
      <c r="BI512" s="551"/>
      <c r="BJ512" s="791"/>
      <c r="BK512" s="790"/>
      <c r="BL512" s="790"/>
      <c r="BM512" s="790"/>
      <c r="BN512" s="790"/>
      <c r="BO512" s="790"/>
      <c r="BP512" s="790"/>
      <c r="BQ512" s="537"/>
      <c r="BR512" s="551"/>
      <c r="BS512" s="537"/>
      <c r="BT512" s="537"/>
      <c r="BU512" s="537"/>
      <c r="BV512" s="537"/>
      <c r="BW512" s="537"/>
      <c r="BX512" s="537"/>
      <c r="BY512" s="537"/>
      <c r="BZ512" s="537"/>
      <c r="CA512" s="537"/>
      <c r="CB512" s="537"/>
      <c r="CC512" s="537"/>
    </row>
    <row r="513" spans="1:81" s="571" customFormat="1" hidden="1">
      <c r="A513" s="551"/>
      <c r="B513" s="551"/>
      <c r="C513" s="763"/>
      <c r="D513" s="551"/>
      <c r="E513" s="764"/>
      <c r="F513" s="552"/>
      <c r="G513" s="2483" t="s">
        <v>590</v>
      </c>
      <c r="H513" s="2483"/>
      <c r="I513" s="2483"/>
      <c r="J513" s="2483"/>
      <c r="K513" s="2483"/>
      <c r="L513" s="2483"/>
      <c r="M513" s="2483"/>
      <c r="N513" s="2483"/>
      <c r="O513" s="2483"/>
      <c r="P513" s="2483"/>
      <c r="Q513" s="2483"/>
      <c r="R513" s="2483"/>
      <c r="S513" s="2483"/>
      <c r="T513" s="2483"/>
      <c r="U513" s="2483"/>
      <c r="V513" s="2483"/>
      <c r="W513" s="2483"/>
      <c r="X513" s="2483"/>
      <c r="Y513" s="2483"/>
      <c r="Z513" s="2483"/>
      <c r="AA513" s="2483"/>
      <c r="AB513" s="2483"/>
      <c r="AC513" s="2483"/>
      <c r="AD513" s="2483"/>
      <c r="AE513" s="2483"/>
      <c r="AF513" s="2483"/>
      <c r="AG513" s="551"/>
      <c r="AH513" s="551"/>
      <c r="AI513" s="551"/>
      <c r="AJ513" s="552"/>
      <c r="AK513" s="733"/>
      <c r="AL513" s="551"/>
      <c r="AM513" s="551"/>
      <c r="AN513" s="535"/>
      <c r="AO513" s="537"/>
      <c r="AP513" s="789"/>
      <c r="AQ513" s="789"/>
      <c r="AR513" s="789"/>
      <c r="AS513" s="788"/>
      <c r="AT513" s="551"/>
      <c r="AU513" s="790"/>
      <c r="AV513" s="790"/>
      <c r="AW513" s="790"/>
      <c r="AX513" s="790"/>
      <c r="AY513" s="790"/>
      <c r="AZ513" s="790"/>
      <c r="BA513" s="790"/>
      <c r="BB513" s="537"/>
      <c r="BC513" s="537"/>
      <c r="BD513" s="537"/>
      <c r="BE513" s="789"/>
      <c r="BF513" s="789"/>
      <c r="BG513" s="789"/>
      <c r="BH513" s="788"/>
      <c r="BI513" s="551"/>
      <c r="BJ513" s="791"/>
      <c r="BK513" s="790"/>
      <c r="BL513" s="790"/>
      <c r="BM513" s="790"/>
      <c r="BN513" s="790"/>
      <c r="BO513" s="790"/>
      <c r="BP513" s="790"/>
      <c r="BQ513" s="537"/>
      <c r="BR513" s="551"/>
      <c r="BS513" s="537"/>
      <c r="BT513" s="537"/>
      <c r="BU513" s="537"/>
      <c r="BV513" s="537"/>
      <c r="BW513" s="537"/>
      <c r="BX513" s="537"/>
      <c r="BY513" s="537"/>
      <c r="BZ513" s="537"/>
      <c r="CA513" s="537"/>
      <c r="CB513" s="537"/>
      <c r="CC513" s="537"/>
    </row>
    <row r="514" spans="1:81" s="571" customFormat="1" hidden="1">
      <c r="A514" s="551"/>
      <c r="B514" s="551"/>
      <c r="C514" s="732"/>
      <c r="F514" s="14"/>
      <c r="G514" s="14"/>
      <c r="H514" s="14"/>
      <c r="I514" s="14"/>
      <c r="J514" s="14"/>
      <c r="K514" s="14"/>
      <c r="L514" s="14"/>
      <c r="M514" s="14"/>
      <c r="N514" s="14"/>
      <c r="O514" s="14"/>
      <c r="P514" s="14"/>
      <c r="Q514" s="14"/>
      <c r="R514" s="14"/>
      <c r="S514" s="14"/>
      <c r="T514" s="14"/>
      <c r="U514" s="14"/>
      <c r="V514" s="14"/>
      <c r="W514" s="14"/>
      <c r="X514" s="14"/>
      <c r="Y514" s="14"/>
      <c r="Z514" s="14"/>
      <c r="AA514" s="14"/>
      <c r="AB514" s="14"/>
      <c r="AC514" s="14"/>
      <c r="AD514" s="551"/>
      <c r="AE514" s="551"/>
      <c r="AF514" s="551"/>
      <c r="AG514" s="14"/>
      <c r="AH514" s="14"/>
      <c r="AI514" s="14"/>
      <c r="AJ514" s="14"/>
      <c r="AK514" s="733"/>
      <c r="AL514" s="551"/>
      <c r="AM514" s="551"/>
      <c r="AN514" s="535"/>
      <c r="AO514" s="537"/>
      <c r="AP514" s="789"/>
      <c r="AQ514" s="789"/>
      <c r="AR514" s="789"/>
      <c r="AS514" s="788"/>
      <c r="AT514" s="551"/>
      <c r="AU514" s="790"/>
      <c r="AV514" s="790"/>
      <c r="AW514" s="790"/>
      <c r="AX514" s="790"/>
      <c r="AY514" s="790"/>
      <c r="AZ514" s="790"/>
      <c r="BA514" s="790"/>
      <c r="BB514" s="537"/>
      <c r="BC514" s="537"/>
      <c r="BD514" s="537"/>
      <c r="BE514" s="789"/>
      <c r="BF514" s="789"/>
      <c r="BG514" s="789"/>
      <c r="BH514" s="788"/>
      <c r="BI514" s="551"/>
      <c r="BJ514" s="791"/>
      <c r="BK514" s="790"/>
      <c r="BL514" s="790"/>
      <c r="BM514" s="790"/>
      <c r="BN514" s="790"/>
      <c r="BO514" s="790"/>
      <c r="BP514" s="790"/>
      <c r="BQ514" s="537"/>
      <c r="BR514" s="551"/>
      <c r="BS514" s="537"/>
      <c r="BT514" s="537"/>
      <c r="BU514" s="537"/>
      <c r="BV514" s="537"/>
      <c r="BW514" s="537"/>
      <c r="BX514" s="537"/>
      <c r="BY514" s="537"/>
      <c r="BZ514" s="537"/>
      <c r="CA514" s="537"/>
      <c r="CB514" s="537"/>
      <c r="CC514" s="537"/>
    </row>
    <row r="515" spans="1:81" s="571" customFormat="1" ht="12.75" hidden="1" customHeight="1">
      <c r="A515" s="14"/>
      <c r="B515" s="551"/>
      <c r="C515" s="2534" t="s">
        <v>590</v>
      </c>
      <c r="D515" s="2535"/>
      <c r="F515" s="552" t="s">
        <v>1543</v>
      </c>
      <c r="G515" s="552"/>
      <c r="H515" s="552"/>
      <c r="I515" s="552"/>
      <c r="J515" s="552"/>
      <c r="K515" s="552"/>
      <c r="L515" s="552"/>
      <c r="M515" s="552"/>
      <c r="N515" s="552"/>
      <c r="O515" s="552"/>
      <c r="P515" s="552"/>
      <c r="Q515" s="552"/>
      <c r="R515" s="552"/>
      <c r="S515" s="552"/>
      <c r="T515" s="552"/>
      <c r="U515" s="552"/>
      <c r="V515" s="552"/>
      <c r="W515" s="552"/>
      <c r="X515" s="552"/>
      <c r="Y515" s="552"/>
      <c r="Z515" s="552"/>
      <c r="AA515" s="552"/>
      <c r="AB515" s="552"/>
      <c r="AC515" s="592"/>
      <c r="AD515" s="551"/>
      <c r="AE515" s="551"/>
      <c r="AF515" s="551"/>
      <c r="AG515" s="614">
        <f>IF(AND($C$515="Yes",$C$510="Yes"),2,0)</f>
        <v>0</v>
      </c>
      <c r="AH515" s="641" t="s">
        <v>1327</v>
      </c>
      <c r="AI515" s="552"/>
      <c r="AJ515" s="595"/>
      <c r="AK515" s="733"/>
      <c r="AL515" s="551"/>
      <c r="AM515" s="551"/>
      <c r="AN515" s="535"/>
      <c r="AO515" s="537"/>
      <c r="AP515" s="789"/>
      <c r="AQ515" s="789"/>
      <c r="AR515" s="789"/>
      <c r="AS515" s="788"/>
      <c r="AT515" s="551"/>
      <c r="AU515" s="790"/>
      <c r="AV515" s="790"/>
      <c r="AW515" s="790"/>
      <c r="AX515" s="790"/>
      <c r="AY515" s="790"/>
      <c r="AZ515" s="790"/>
      <c r="BA515" s="790"/>
      <c r="BB515" s="537"/>
      <c r="BC515" s="537"/>
      <c r="BD515" s="537"/>
      <c r="BE515" s="789"/>
      <c r="BF515" s="789"/>
      <c r="BG515" s="789"/>
      <c r="BH515" s="788"/>
      <c r="BI515" s="551"/>
      <c r="BJ515" s="791"/>
      <c r="BK515" s="790"/>
      <c r="BL515" s="790"/>
      <c r="BM515" s="790"/>
      <c r="BN515" s="790"/>
      <c r="BO515" s="790"/>
      <c r="BP515" s="790"/>
      <c r="BQ515" s="537"/>
      <c r="BR515" s="551"/>
      <c r="BS515" s="537"/>
      <c r="BT515" s="537"/>
      <c r="BU515" s="537"/>
      <c r="BV515" s="537"/>
      <c r="BW515" s="537"/>
      <c r="BX515" s="537"/>
      <c r="BY515" s="537"/>
      <c r="BZ515" s="537"/>
      <c r="CA515" s="537"/>
      <c r="CB515" s="537"/>
      <c r="CC515" s="537"/>
    </row>
    <row r="516" spans="1:81" s="571" customFormat="1" ht="13" hidden="1">
      <c r="A516" s="14"/>
      <c r="B516" s="551"/>
      <c r="C516" s="782"/>
      <c r="D516" s="731"/>
      <c r="E516" s="731"/>
      <c r="F516" s="552"/>
      <c r="G516" s="552" t="s">
        <v>1544</v>
      </c>
      <c r="H516" s="552"/>
      <c r="I516" s="552"/>
      <c r="J516" s="552"/>
      <c r="K516" s="552"/>
      <c r="L516" s="552"/>
      <c r="M516" s="552"/>
      <c r="N516" s="552"/>
      <c r="O516" s="552"/>
      <c r="P516" s="552"/>
      <c r="Q516" s="552"/>
      <c r="R516" s="552"/>
      <c r="S516" s="552"/>
      <c r="T516" s="552"/>
      <c r="U516" s="552"/>
      <c r="V516" s="552"/>
      <c r="W516" s="552"/>
      <c r="X516" s="552"/>
      <c r="Y516" s="552"/>
      <c r="Z516" s="552"/>
      <c r="AA516" s="552"/>
      <c r="AB516" s="552"/>
      <c r="AC516" s="592"/>
      <c r="AD516" s="551"/>
      <c r="AE516" s="551"/>
      <c r="AF516" s="551"/>
      <c r="AG516" s="595"/>
      <c r="AH516" s="595"/>
      <c r="AI516" s="595"/>
      <c r="AJ516" s="595"/>
      <c r="AK516" s="733"/>
      <c r="AL516" s="551"/>
      <c r="AM516" s="551"/>
      <c r="AN516" s="598"/>
      <c r="AO516" s="537"/>
      <c r="AP516" s="789"/>
      <c r="AQ516" s="789"/>
      <c r="AR516" s="789"/>
      <c r="AS516" s="788"/>
      <c r="AT516" s="551"/>
      <c r="AU516" s="790"/>
      <c r="AV516" s="790"/>
      <c r="AW516" s="790"/>
      <c r="AX516" s="790"/>
      <c r="AY516" s="790"/>
      <c r="AZ516" s="790"/>
      <c r="BA516" s="790"/>
      <c r="BB516" s="537"/>
      <c r="BC516" s="537"/>
      <c r="BD516" s="537"/>
      <c r="BE516" s="789"/>
      <c r="BF516" s="789"/>
      <c r="BG516" s="789"/>
      <c r="BH516" s="788"/>
      <c r="BI516" s="551"/>
      <c r="BJ516" s="791"/>
      <c r="BK516" s="790"/>
      <c r="BL516" s="790"/>
      <c r="BM516" s="790"/>
      <c r="BN516" s="790"/>
      <c r="BO516" s="790"/>
      <c r="BP516" s="790"/>
      <c r="BQ516" s="537"/>
      <c r="BR516" s="551"/>
      <c r="BS516" s="537"/>
      <c r="BT516" s="537"/>
      <c r="BU516" s="537"/>
      <c r="BV516" s="537"/>
      <c r="BW516" s="537"/>
      <c r="BX516" s="537"/>
      <c r="BY516" s="537"/>
      <c r="BZ516" s="537"/>
      <c r="CA516" s="537"/>
      <c r="CB516" s="537"/>
      <c r="CC516" s="537"/>
    </row>
    <row r="517" spans="1:81" s="551" customFormat="1" ht="12.75" hidden="1" customHeight="1">
      <c r="A517" s="14"/>
      <c r="C517" s="782"/>
      <c r="D517" s="731"/>
      <c r="E517" s="731"/>
      <c r="F517" s="552"/>
      <c r="G517" s="552" t="s">
        <v>1545</v>
      </c>
      <c r="H517" s="552"/>
      <c r="I517" s="552"/>
      <c r="J517" s="552"/>
      <c r="K517" s="552"/>
      <c r="L517" s="552"/>
      <c r="M517" s="552"/>
      <c r="N517" s="552"/>
      <c r="O517" s="552"/>
      <c r="P517" s="552"/>
      <c r="Q517" s="552"/>
      <c r="R517" s="552"/>
      <c r="S517" s="552"/>
      <c r="T517" s="552"/>
      <c r="U517" s="552"/>
      <c r="V517" s="552"/>
      <c r="W517" s="552"/>
      <c r="X517" s="552"/>
      <c r="Y517" s="552"/>
      <c r="Z517" s="552"/>
      <c r="AA517" s="552"/>
      <c r="AB517" s="552"/>
      <c r="AC517" s="592"/>
      <c r="AG517" s="595"/>
      <c r="AH517" s="595"/>
      <c r="AI517" s="595"/>
      <c r="AJ517" s="595"/>
      <c r="AK517" s="733"/>
      <c r="AN517" s="536"/>
      <c r="AP517" s="537"/>
      <c r="AQ517" s="537"/>
      <c r="AR517" s="537"/>
    </row>
    <row r="518" spans="1:81" s="551" customFormat="1" ht="12.75" hidden="1" customHeight="1">
      <c r="A518" s="638"/>
      <c r="B518" s="14"/>
      <c r="C518" s="794"/>
      <c r="D518" s="14"/>
      <c r="G518" s="612"/>
      <c r="H518" s="612"/>
      <c r="I518" s="612"/>
      <c r="J518" s="612"/>
      <c r="K518" s="612"/>
      <c r="L518" s="612"/>
      <c r="M518" s="612"/>
      <c r="N518" s="612"/>
      <c r="O518" s="612"/>
      <c r="P518" s="612"/>
      <c r="Q518" s="612"/>
      <c r="R518" s="612"/>
      <c r="S518" s="612"/>
      <c r="T518" s="612"/>
      <c r="U518" s="612"/>
      <c r="V518" s="612"/>
      <c r="W518" s="612"/>
      <c r="X518" s="612"/>
      <c r="Y518" s="612"/>
      <c r="Z518" s="612"/>
      <c r="AA518" s="612"/>
      <c r="AB518" s="612"/>
      <c r="AC518" s="612"/>
      <c r="AD518" s="612"/>
      <c r="AE518" s="612"/>
      <c r="AF518" s="612"/>
      <c r="AG518" s="592"/>
      <c r="AH518" s="592"/>
      <c r="AI518" s="592"/>
      <c r="AJ518" s="592"/>
      <c r="AK518" s="795"/>
      <c r="AL518" s="14"/>
      <c r="AM518" s="14"/>
      <c r="AN518" s="536"/>
      <c r="AO518" s="537"/>
      <c r="AP518" s="537"/>
      <c r="AQ518" s="537"/>
      <c r="AR518" s="537"/>
    </row>
    <row r="519" spans="1:81" s="551" customFormat="1" ht="12.75" hidden="1" customHeight="1">
      <c r="A519" s="638"/>
      <c r="C519" s="2534" t="s">
        <v>590</v>
      </c>
      <c r="D519" s="2535"/>
      <c r="F519" s="796" t="s">
        <v>1546</v>
      </c>
      <c r="G519" s="2444" t="s">
        <v>1547</v>
      </c>
      <c r="H519" s="2444"/>
      <c r="I519" s="2444"/>
      <c r="J519" s="2444"/>
      <c r="K519" s="2444"/>
      <c r="L519" s="2444"/>
      <c r="M519" s="2444"/>
      <c r="N519" s="2444"/>
      <c r="O519" s="2444"/>
      <c r="P519" s="2444"/>
      <c r="Q519" s="2444"/>
      <c r="R519" s="2444"/>
      <c r="S519" s="2444"/>
      <c r="T519" s="2444"/>
      <c r="U519" s="2444"/>
      <c r="V519" s="2444"/>
      <c r="W519" s="2444"/>
      <c r="X519" s="2444"/>
      <c r="Y519" s="2444"/>
      <c r="Z519" s="2444"/>
      <c r="AA519" s="2444"/>
      <c r="AB519" s="2444"/>
      <c r="AC519" s="2444"/>
      <c r="AD519" s="2444"/>
      <c r="AE519" s="2444"/>
      <c r="AF519" s="2444"/>
      <c r="AG519" s="614">
        <f>IF(AND($C$519="Yes",$C$510="Yes"),2,0)</f>
        <v>0</v>
      </c>
      <c r="AH519" s="641" t="s">
        <v>1327</v>
      </c>
      <c r="AI519" s="552"/>
      <c r="AJ519" s="595"/>
      <c r="AK519" s="733"/>
      <c r="AN519" s="536"/>
      <c r="AZ519" s="540"/>
      <c r="BC519" s="544"/>
      <c r="BD519" s="540"/>
      <c r="BE519" s="540"/>
      <c r="BF519" s="540"/>
      <c r="BM519" s="537"/>
      <c r="BN519" s="540"/>
      <c r="BO519" s="537"/>
      <c r="BP519" s="540"/>
      <c r="BQ519" s="540"/>
      <c r="BR519" s="540"/>
      <c r="BS519" s="540"/>
      <c r="BT519" s="540"/>
      <c r="BU519" s="540"/>
      <c r="BV519" s="537"/>
      <c r="BW519" s="537"/>
      <c r="BX519" s="537"/>
      <c r="BY519" s="537"/>
      <c r="BZ519" s="537"/>
      <c r="CA519" s="537"/>
      <c r="CB519" s="537"/>
      <c r="CC519" s="537"/>
    </row>
    <row r="520" spans="1:81" s="551" customFormat="1" ht="12.75" hidden="1" customHeight="1">
      <c r="C520" s="797"/>
      <c r="D520" s="728"/>
      <c r="E520" s="766"/>
      <c r="F520" s="727"/>
      <c r="G520" s="2445"/>
      <c r="H520" s="2445"/>
      <c r="I520" s="2445"/>
      <c r="J520" s="2445"/>
      <c r="K520" s="2445"/>
      <c r="L520" s="2445"/>
      <c r="M520" s="2445"/>
      <c r="N520" s="2445"/>
      <c r="O520" s="2445"/>
      <c r="P520" s="2445"/>
      <c r="Q520" s="2445"/>
      <c r="R520" s="2445"/>
      <c r="S520" s="2445"/>
      <c r="T520" s="2445"/>
      <c r="U520" s="2445"/>
      <c r="V520" s="2445"/>
      <c r="W520" s="2445"/>
      <c r="X520" s="2445"/>
      <c r="Y520" s="2445"/>
      <c r="Z520" s="2445"/>
      <c r="AA520" s="2445"/>
      <c r="AB520" s="2445"/>
      <c r="AC520" s="2445"/>
      <c r="AD520" s="2445"/>
      <c r="AE520" s="2445"/>
      <c r="AF520" s="2445"/>
      <c r="AG520" s="659"/>
      <c r="AH520" s="659"/>
      <c r="AI520" s="659"/>
      <c r="AJ520" s="659"/>
      <c r="AK520" s="743"/>
      <c r="AN520" s="536"/>
      <c r="AZ520" s="540"/>
      <c r="BC520" s="544"/>
      <c r="BD520" s="540"/>
      <c r="BE520" s="540"/>
      <c r="BF520" s="540"/>
      <c r="BM520" s="596"/>
      <c r="BN520" s="596"/>
      <c r="BO520" s="596"/>
      <c r="BP520" s="596"/>
      <c r="BQ520" s="596"/>
      <c r="BR520" s="596"/>
      <c r="BS520" s="596"/>
      <c r="BT520" s="596"/>
      <c r="BU520" s="596"/>
      <c r="BV520" s="596"/>
      <c r="BW520" s="596"/>
      <c r="BX520" s="596"/>
      <c r="BY520" s="596"/>
      <c r="BZ520" s="596"/>
      <c r="CA520" s="596"/>
      <c r="CB520" s="596"/>
      <c r="CC520" s="596"/>
    </row>
    <row r="521" spans="1:81" s="551" customFormat="1" ht="12.75" hidden="1" customHeight="1">
      <c r="C521" s="537"/>
      <c r="E521" s="764"/>
      <c r="F521" s="604"/>
      <c r="G521" s="574"/>
      <c r="H521" s="574"/>
      <c r="I521" s="574"/>
      <c r="J521" s="574"/>
      <c r="K521" s="574"/>
      <c r="L521" s="574"/>
      <c r="M521" s="574"/>
      <c r="N521" s="574"/>
      <c r="O521" s="574"/>
      <c r="P521" s="574"/>
      <c r="Q521" s="574"/>
      <c r="R521" s="574"/>
      <c r="S521" s="574"/>
      <c r="T521" s="574"/>
      <c r="U521" s="574"/>
      <c r="V521" s="574"/>
      <c r="W521" s="574"/>
      <c r="X521" s="574"/>
      <c r="Y521" s="574"/>
      <c r="Z521" s="574"/>
      <c r="AA521" s="574"/>
      <c r="AB521" s="574"/>
      <c r="AC521" s="574"/>
      <c r="AD521" s="574"/>
      <c r="AE521" s="574"/>
      <c r="AF521" s="574"/>
      <c r="AG521" s="552"/>
      <c r="AH521" s="552"/>
      <c r="AI521" s="552"/>
      <c r="AJ521" s="552"/>
      <c r="AN521" s="536"/>
      <c r="AP521" s="540"/>
      <c r="AQ521" s="540"/>
      <c r="AR521" s="540"/>
      <c r="AS521" s="540"/>
      <c r="AT521" s="540"/>
      <c r="AU521" s="540"/>
      <c r="AV521" s="540"/>
      <c r="AW521" s="540"/>
      <c r="AX521" s="540"/>
      <c r="AY521" s="540"/>
      <c r="AZ521" s="540"/>
      <c r="BA521" s="540"/>
      <c r="BB521" s="540"/>
      <c r="BC521" s="540"/>
      <c r="BD521" s="540"/>
      <c r="BE521" s="540"/>
      <c r="BF521" s="540"/>
      <c r="BG521" s="540"/>
      <c r="BH521" s="540"/>
      <c r="BI521" s="544"/>
      <c r="BJ521" s="798"/>
      <c r="BK521" s="798"/>
      <c r="BM521" s="596"/>
      <c r="BN521" s="596"/>
      <c r="BO521" s="596"/>
      <c r="BP521" s="596"/>
      <c r="BQ521" s="596"/>
      <c r="BR521" s="596"/>
      <c r="BS521" s="596"/>
      <c r="BT521" s="596"/>
      <c r="BU521" s="596"/>
      <c r="BV521" s="596"/>
      <c r="BW521" s="596"/>
      <c r="BX521" s="596"/>
      <c r="BY521" s="596"/>
      <c r="BZ521" s="596"/>
      <c r="CA521" s="596"/>
      <c r="CB521" s="596"/>
      <c r="CC521" s="596"/>
    </row>
    <row r="522" spans="1:81" s="551" customFormat="1" ht="12.75" hidden="1" customHeight="1">
      <c r="C522" s="799" t="s">
        <v>1548</v>
      </c>
      <c r="D522" s="715"/>
      <c r="E522" s="800"/>
      <c r="F522" s="801"/>
      <c r="G522" s="802"/>
      <c r="H522" s="802"/>
      <c r="I522" s="802"/>
      <c r="J522" s="802"/>
      <c r="K522" s="802"/>
      <c r="L522" s="802"/>
      <c r="M522" s="802"/>
      <c r="N522" s="802"/>
      <c r="O522" s="802"/>
      <c r="P522" s="802"/>
      <c r="Q522" s="802"/>
      <c r="R522" s="802"/>
      <c r="S522" s="802"/>
      <c r="T522" s="802"/>
      <c r="U522" s="802"/>
      <c r="V522" s="802"/>
      <c r="W522" s="802"/>
      <c r="X522" s="802"/>
      <c r="Y522" s="802"/>
      <c r="Z522" s="802"/>
      <c r="AA522" s="802"/>
      <c r="AB522" s="802"/>
      <c r="AC522" s="802"/>
      <c r="AD522" s="802"/>
      <c r="AE522" s="802"/>
      <c r="AF522" s="802"/>
      <c r="AG522" s="650"/>
      <c r="AH522" s="650"/>
      <c r="AI522" s="650"/>
      <c r="AJ522" s="650"/>
      <c r="AK522" s="746"/>
      <c r="AN522" s="598"/>
      <c r="AP522" s="540"/>
      <c r="AQ522" s="540"/>
      <c r="AR522" s="540"/>
      <c r="AS522" s="540"/>
      <c r="AT522" s="540"/>
      <c r="AU522" s="540"/>
      <c r="AV522" s="540"/>
      <c r="AW522" s="540"/>
      <c r="AX522" s="540"/>
      <c r="AY522" s="540"/>
      <c r="AZ522" s="540"/>
      <c r="BA522" s="540"/>
      <c r="BB522" s="540"/>
      <c r="BC522" s="540"/>
      <c r="BD522" s="540"/>
      <c r="BE522" s="540"/>
      <c r="BF522" s="540"/>
      <c r="BG522" s="540"/>
      <c r="BH522" s="540"/>
      <c r="BI522" s="638"/>
      <c r="BJ522" s="798"/>
      <c r="BK522" s="798"/>
      <c r="BM522" s="596"/>
      <c r="BN522" s="596"/>
      <c r="BO522" s="596"/>
      <c r="BP522" s="596"/>
      <c r="BQ522" s="596"/>
      <c r="BR522" s="596"/>
      <c r="BS522" s="596"/>
      <c r="BT522" s="596"/>
      <c r="BU522" s="596"/>
      <c r="BV522" s="596"/>
      <c r="BW522" s="596"/>
      <c r="BX522" s="596"/>
      <c r="BY522" s="596"/>
      <c r="BZ522" s="596"/>
      <c r="CA522" s="596"/>
      <c r="CB522" s="596"/>
      <c r="CC522" s="596"/>
    </row>
    <row r="523" spans="1:81" s="551" customFormat="1" ht="12.75" hidden="1" customHeight="1">
      <c r="C523" s="2536" t="s">
        <v>590</v>
      </c>
      <c r="D523" s="2537"/>
      <c r="E523" s="803" t="s">
        <v>1549</v>
      </c>
      <c r="F523" s="772" t="s">
        <v>1550</v>
      </c>
      <c r="G523" s="574"/>
      <c r="H523" s="574"/>
      <c r="I523" s="574"/>
      <c r="J523" s="574"/>
      <c r="K523" s="574"/>
      <c r="L523" s="574"/>
      <c r="M523" s="574"/>
      <c r="N523" s="574"/>
      <c r="O523" s="574"/>
      <c r="P523" s="574"/>
      <c r="Q523" s="574"/>
      <c r="R523" s="574"/>
      <c r="S523" s="574"/>
      <c r="T523" s="574"/>
      <c r="U523" s="574"/>
      <c r="V523" s="574"/>
      <c r="W523" s="574"/>
      <c r="X523" s="574"/>
      <c r="Y523" s="574"/>
      <c r="Z523" s="574"/>
      <c r="AA523" s="574"/>
      <c r="AB523" s="574"/>
      <c r="AC523" s="574"/>
      <c r="AD523" s="574"/>
      <c r="AE523" s="574"/>
      <c r="AF523" s="574"/>
      <c r="AG523" s="614">
        <f>IF(C$523="Yes",(VLOOKUP(F$524,$AO$494:$AP$497,2,FALSE)),0)</f>
        <v>0</v>
      </c>
      <c r="AH523" s="641" t="s">
        <v>1327</v>
      </c>
      <c r="AI523" s="552"/>
      <c r="AJ523" s="552"/>
      <c r="AK523" s="733"/>
      <c r="AN523" s="598"/>
      <c r="AP523" s="540"/>
      <c r="AQ523" s="540"/>
      <c r="AR523" s="540"/>
      <c r="AS523" s="540"/>
      <c r="AT523" s="540"/>
      <c r="AU523" s="540"/>
      <c r="AV523" s="540"/>
      <c r="AW523" s="540"/>
      <c r="AX523" s="540"/>
      <c r="AY523" s="540"/>
      <c r="AZ523" s="540"/>
      <c r="BA523" s="540"/>
      <c r="BB523" s="540"/>
      <c r="BC523" s="540"/>
      <c r="BD523" s="540"/>
      <c r="BE523" s="540"/>
      <c r="BF523" s="540"/>
      <c r="BG523" s="540"/>
      <c r="BH523" s="540"/>
      <c r="BI523" s="638"/>
      <c r="BJ523" s="798"/>
      <c r="BK523" s="798"/>
      <c r="BM523" s="537"/>
      <c r="BN523" s="537"/>
      <c r="BO523" s="537"/>
      <c r="BP523" s="537"/>
      <c r="BQ523" s="537"/>
      <c r="BR523" s="537"/>
      <c r="BS523" s="537"/>
      <c r="BT523" s="537"/>
      <c r="BU523" s="537"/>
      <c r="BV523" s="537"/>
      <c r="BW523" s="537"/>
      <c r="BX523" s="537"/>
      <c r="BY523" s="537"/>
      <c r="BZ523" s="537"/>
      <c r="CA523" s="537"/>
      <c r="CB523" s="537"/>
      <c r="CC523" s="537"/>
    </row>
    <row r="524" spans="1:81" s="551" customFormat="1" ht="12.75" hidden="1" customHeight="1">
      <c r="C524" s="719"/>
      <c r="E524" s="764"/>
      <c r="F524" s="2538" t="s">
        <v>590</v>
      </c>
      <c r="G524" s="2538"/>
      <c r="H524" s="2538"/>
      <c r="I524" s="2538"/>
      <c r="J524" s="2538"/>
      <c r="K524" s="2538"/>
      <c r="L524" s="2538"/>
      <c r="M524" s="2538"/>
      <c r="N524" s="2538"/>
      <c r="O524" s="2538"/>
      <c r="P524" s="2538"/>
      <c r="Q524" s="2538"/>
      <c r="R524" s="2538"/>
      <c r="S524" s="2538"/>
      <c r="T524" s="2538"/>
      <c r="U524" s="2538"/>
      <c r="V524" s="2538"/>
      <c r="W524" s="2538"/>
      <c r="X524" s="2538"/>
      <c r="Y524" s="2538"/>
      <c r="Z524" s="2538"/>
      <c r="AA524" s="2538"/>
      <c r="AB524" s="2538"/>
      <c r="AC524" s="2538"/>
      <c r="AD524" s="2538"/>
      <c r="AE524" s="2538"/>
      <c r="AF524" s="2538"/>
      <c r="AG524" s="552"/>
      <c r="AH524" s="552"/>
      <c r="AI524" s="552"/>
      <c r="AJ524" s="552"/>
      <c r="AK524" s="733"/>
      <c r="AN524" s="598"/>
      <c r="BM524" s="537"/>
      <c r="BN524" s="537"/>
      <c r="BO524" s="537"/>
      <c r="BP524" s="537"/>
      <c r="BQ524" s="537"/>
      <c r="BR524" s="537"/>
      <c r="BS524" s="537"/>
      <c r="BT524" s="537"/>
      <c r="BU524" s="537"/>
      <c r="BV524" s="537"/>
      <c r="BW524" s="537"/>
      <c r="BX524" s="537"/>
      <c r="BY524" s="537"/>
      <c r="BZ524" s="537"/>
      <c r="CA524" s="537"/>
      <c r="CB524" s="537"/>
      <c r="CC524" s="537"/>
    </row>
    <row r="525" spans="1:81" s="551" customFormat="1" ht="12.75" hidden="1" customHeight="1">
      <c r="C525" s="797"/>
      <c r="D525" s="728"/>
      <c r="E525" s="766"/>
      <c r="F525" s="2539"/>
      <c r="G525" s="2539"/>
      <c r="H525" s="2539"/>
      <c r="I525" s="2539"/>
      <c r="J525" s="2539"/>
      <c r="K525" s="2539"/>
      <c r="L525" s="2539"/>
      <c r="M525" s="2539"/>
      <c r="N525" s="2539"/>
      <c r="O525" s="2539"/>
      <c r="P525" s="2539"/>
      <c r="Q525" s="2539"/>
      <c r="R525" s="2539"/>
      <c r="S525" s="2539"/>
      <c r="T525" s="2539"/>
      <c r="U525" s="2539"/>
      <c r="V525" s="2539"/>
      <c r="W525" s="2539"/>
      <c r="X525" s="2539"/>
      <c r="Y525" s="2539"/>
      <c r="Z525" s="2539"/>
      <c r="AA525" s="2539"/>
      <c r="AB525" s="2539"/>
      <c r="AC525" s="2539"/>
      <c r="AD525" s="2539"/>
      <c r="AE525" s="2539"/>
      <c r="AF525" s="2539"/>
      <c r="AG525" s="659"/>
      <c r="AH525" s="659"/>
      <c r="AI525" s="659"/>
      <c r="AJ525" s="659"/>
      <c r="AK525" s="743"/>
      <c r="AN525" s="598"/>
      <c r="BM525" s="537"/>
      <c r="BN525" s="537"/>
      <c r="BO525" s="537"/>
      <c r="BP525" s="537"/>
      <c r="BQ525" s="537"/>
      <c r="BR525" s="537"/>
      <c r="BS525" s="537"/>
      <c r="BT525" s="537"/>
      <c r="BU525" s="537"/>
      <c r="BV525" s="537"/>
      <c r="BW525" s="537"/>
      <c r="BX525" s="537"/>
      <c r="BY525" s="537"/>
      <c r="BZ525" s="537"/>
      <c r="CA525" s="537"/>
      <c r="CB525" s="537"/>
      <c r="CC525" s="537"/>
    </row>
    <row r="526" spans="1:81" s="551" customFormat="1" ht="12.75" hidden="1" customHeight="1">
      <c r="A526" s="638"/>
      <c r="C526" s="552"/>
      <c r="E526" s="552"/>
      <c r="F526" s="772"/>
      <c r="G526" s="552"/>
      <c r="H526" s="552"/>
      <c r="I526" s="552"/>
      <c r="J526" s="552"/>
      <c r="K526" s="552"/>
      <c r="L526" s="552"/>
      <c r="M526" s="552"/>
      <c r="N526" s="552"/>
      <c r="O526" s="552"/>
      <c r="P526" s="552"/>
      <c r="Q526" s="552"/>
      <c r="R526" s="552"/>
      <c r="S526" s="552"/>
      <c r="T526" s="552"/>
      <c r="U526" s="552"/>
      <c r="V526" s="552"/>
      <c r="W526" s="552"/>
      <c r="X526" s="552"/>
      <c r="Y526" s="552"/>
      <c r="Z526" s="552"/>
      <c r="AA526" s="552"/>
      <c r="AB526" s="552"/>
      <c r="AC526" s="552"/>
      <c r="AD526" s="617"/>
      <c r="AE526" s="552"/>
      <c r="AF526" s="552"/>
      <c r="AG526" s="552"/>
      <c r="AH526" s="552"/>
      <c r="AN526" s="598"/>
      <c r="BM526" s="537"/>
      <c r="BN526" s="537"/>
      <c r="BO526" s="537"/>
      <c r="BP526" s="537"/>
      <c r="BQ526" s="537"/>
      <c r="BR526" s="537"/>
      <c r="BS526" s="537"/>
      <c r="BT526" s="537"/>
      <c r="BU526" s="537"/>
      <c r="BV526" s="537"/>
      <c r="BW526" s="537"/>
      <c r="BX526" s="537"/>
      <c r="BY526" s="537"/>
      <c r="BZ526" s="537"/>
      <c r="CA526" s="537"/>
      <c r="CB526" s="537"/>
      <c r="CC526" s="537"/>
    </row>
    <row r="527" spans="1:81" s="551" customFormat="1" ht="12.75" hidden="1" customHeight="1">
      <c r="A527" s="638"/>
      <c r="B527" s="551" t="s">
        <v>1551</v>
      </c>
      <c r="C527" s="552"/>
      <c r="E527" s="552"/>
      <c r="F527" s="552"/>
      <c r="G527" s="552"/>
      <c r="H527" s="552"/>
      <c r="I527" s="552"/>
      <c r="J527" s="552"/>
      <c r="K527" s="552"/>
      <c r="L527" s="552"/>
      <c r="M527" s="552"/>
      <c r="N527" s="552"/>
      <c r="O527" s="552"/>
      <c r="P527" s="552"/>
      <c r="Q527" s="552"/>
      <c r="R527" s="552"/>
      <c r="S527" s="552"/>
      <c r="T527" s="552"/>
      <c r="U527" s="552"/>
      <c r="V527" s="552"/>
      <c r="W527" s="552"/>
      <c r="X527" s="552"/>
      <c r="Y527" s="552"/>
      <c r="Z527" s="552"/>
      <c r="AA527" s="552"/>
      <c r="AB527" s="552"/>
      <c r="AC527" s="552"/>
      <c r="AD527" s="617"/>
      <c r="AE527" s="552"/>
      <c r="AF527" s="552"/>
      <c r="AG527" s="552"/>
      <c r="AH527" s="552"/>
      <c r="AN527" s="598"/>
      <c r="AP527" s="787"/>
      <c r="AQ527" s="787"/>
      <c r="AR527" s="787"/>
      <c r="AS527" s="787"/>
      <c r="AT527" s="787"/>
      <c r="AU527" s="787"/>
      <c r="AV527" s="787"/>
      <c r="AW527" s="787"/>
      <c r="AX527" s="787"/>
      <c r="AY527" s="787"/>
      <c r="BM527" s="537"/>
      <c r="BN527" s="537"/>
      <c r="BO527" s="537"/>
      <c r="BP527" s="537"/>
      <c r="BQ527" s="537"/>
      <c r="BR527" s="537"/>
      <c r="BS527" s="537"/>
      <c r="BT527" s="537"/>
      <c r="BU527" s="537"/>
      <c r="BV527" s="537"/>
      <c r="BW527" s="537"/>
      <c r="BX527" s="537"/>
      <c r="BY527" s="537"/>
      <c r="BZ527" s="537"/>
      <c r="CA527" s="537"/>
      <c r="CB527" s="537"/>
      <c r="CC527" s="537"/>
    </row>
    <row r="528" spans="1:81" s="551" customFormat="1" ht="12.75" hidden="1" customHeight="1">
      <c r="A528" s="638"/>
      <c r="B528" s="551" t="s">
        <v>1552</v>
      </c>
      <c r="C528" s="552"/>
      <c r="E528" s="552"/>
      <c r="F528" s="552"/>
      <c r="G528" s="552"/>
      <c r="H528" s="552"/>
      <c r="I528" s="552"/>
      <c r="J528" s="552"/>
      <c r="K528" s="552"/>
      <c r="L528" s="552"/>
      <c r="M528" s="552"/>
      <c r="N528" s="552"/>
      <c r="O528" s="552"/>
      <c r="P528" s="552"/>
      <c r="Q528" s="552"/>
      <c r="R528" s="552"/>
      <c r="S528" s="552"/>
      <c r="T528" s="552"/>
      <c r="U528" s="552"/>
      <c r="V528" s="552"/>
      <c r="W528" s="552"/>
      <c r="X528" s="552"/>
      <c r="Y528" s="552"/>
      <c r="Z528" s="552"/>
      <c r="AA528" s="552"/>
      <c r="AB528" s="552"/>
      <c r="AC528" s="552"/>
      <c r="AD528" s="617"/>
      <c r="AE528" s="552"/>
      <c r="AF528" s="552"/>
      <c r="AG528" s="552"/>
      <c r="AH528" s="552"/>
      <c r="AN528" s="598"/>
      <c r="AP528" s="804"/>
      <c r="AQ528" s="804"/>
      <c r="AR528" s="804"/>
      <c r="AS528" s="804"/>
      <c r="AT528" s="804"/>
      <c r="AU528" s="804"/>
      <c r="AV528" s="804"/>
      <c r="AW528" s="804"/>
      <c r="AX528" s="804"/>
      <c r="AY528" s="804"/>
      <c r="BM528" s="537"/>
      <c r="BN528" s="537"/>
      <c r="BO528" s="537"/>
      <c r="BP528" s="537"/>
      <c r="BQ528" s="537"/>
      <c r="BR528" s="537"/>
      <c r="BS528" s="537"/>
      <c r="BT528" s="537"/>
      <c r="BU528" s="537"/>
      <c r="BV528" s="537"/>
      <c r="BW528" s="537"/>
      <c r="BX528" s="537"/>
      <c r="BY528" s="537"/>
      <c r="BZ528" s="537"/>
      <c r="CA528" s="537"/>
      <c r="CB528" s="537"/>
      <c r="CC528" s="537"/>
    </row>
    <row r="529" spans="1:81" s="551" customFormat="1" ht="12.75" hidden="1" customHeight="1">
      <c r="A529" s="638"/>
      <c r="B529" s="551" t="s">
        <v>2029</v>
      </c>
      <c r="C529" s="552"/>
      <c r="E529" s="552"/>
      <c r="F529" s="552"/>
      <c r="G529" s="552"/>
      <c r="H529" s="552"/>
      <c r="I529" s="552"/>
      <c r="J529" s="552"/>
      <c r="K529" s="552"/>
      <c r="L529" s="552"/>
      <c r="M529" s="552"/>
      <c r="N529" s="552"/>
      <c r="O529" s="552"/>
      <c r="P529" s="552"/>
      <c r="Q529" s="552"/>
      <c r="R529" s="552"/>
      <c r="S529" s="552"/>
      <c r="T529" s="552"/>
      <c r="U529" s="552"/>
      <c r="V529" s="552"/>
      <c r="W529" s="552"/>
      <c r="X529" s="552"/>
      <c r="Y529" s="552"/>
      <c r="Z529" s="552"/>
      <c r="AA529" s="552"/>
      <c r="AB529" s="552"/>
      <c r="AC529" s="552"/>
      <c r="AD529" s="617"/>
      <c r="AE529" s="552"/>
      <c r="AF529" s="552"/>
      <c r="AG529" s="552"/>
      <c r="AH529" s="552"/>
      <c r="AN529" s="598"/>
      <c r="AP529" s="804"/>
      <c r="AQ529" s="804"/>
      <c r="AR529" s="804"/>
      <c r="AS529" s="804"/>
      <c r="AT529" s="804"/>
      <c r="AU529" s="804"/>
      <c r="AV529" s="804"/>
      <c r="AW529" s="804"/>
      <c r="AX529" s="804"/>
      <c r="AY529" s="804"/>
      <c r="BM529" s="537"/>
      <c r="BN529" s="537"/>
      <c r="BO529" s="537"/>
      <c r="BP529" s="537"/>
      <c r="BQ529" s="537"/>
      <c r="BR529" s="537"/>
      <c r="BS529" s="537"/>
      <c r="BT529" s="537"/>
      <c r="BU529" s="537"/>
      <c r="BV529" s="537"/>
      <c r="BW529" s="537"/>
      <c r="BX529" s="537"/>
      <c r="BY529" s="537"/>
      <c r="BZ529" s="537"/>
      <c r="CA529" s="537"/>
      <c r="CB529" s="537"/>
      <c r="CC529" s="537"/>
    </row>
    <row r="530" spans="1:81" s="551" customFormat="1" ht="12.75" hidden="1" customHeight="1">
      <c r="A530" s="638"/>
      <c r="B530" s="551" t="s">
        <v>1553</v>
      </c>
      <c r="C530" s="552"/>
      <c r="E530" s="552"/>
      <c r="F530" s="552"/>
      <c r="G530" s="552"/>
      <c r="H530" s="552"/>
      <c r="I530" s="552"/>
      <c r="J530" s="552"/>
      <c r="K530" s="552"/>
      <c r="L530" s="552"/>
      <c r="M530" s="552"/>
      <c r="N530" s="552"/>
      <c r="O530" s="552"/>
      <c r="P530" s="552"/>
      <c r="Q530" s="552"/>
      <c r="R530" s="552"/>
      <c r="S530" s="552"/>
      <c r="T530" s="552"/>
      <c r="U530" s="552"/>
      <c r="V530" s="552"/>
      <c r="W530" s="552"/>
      <c r="X530" s="552"/>
      <c r="Y530" s="552"/>
      <c r="Z530" s="552"/>
      <c r="AA530" s="552"/>
      <c r="AB530" s="552"/>
      <c r="AC530" s="552"/>
      <c r="AD530" s="617"/>
      <c r="AE530" s="552"/>
      <c r="AF530" s="552"/>
      <c r="AG530" s="552"/>
      <c r="AH530" s="552"/>
      <c r="AN530" s="598"/>
      <c r="AP530" s="804"/>
      <c r="AQ530" s="804"/>
      <c r="AR530" s="804"/>
      <c r="AS530" s="804"/>
      <c r="AT530" s="804"/>
      <c r="AU530" s="804"/>
      <c r="AV530" s="804"/>
      <c r="AW530" s="804"/>
      <c r="AX530" s="804"/>
      <c r="AY530" s="804"/>
      <c r="BM530" s="537"/>
      <c r="BN530" s="537"/>
      <c r="BO530" s="537"/>
      <c r="BP530" s="537"/>
      <c r="BQ530" s="537"/>
      <c r="BR530" s="537"/>
      <c r="BS530" s="537"/>
      <c r="BT530" s="537"/>
      <c r="BU530" s="537"/>
      <c r="BV530" s="537"/>
      <c r="BW530" s="537"/>
      <c r="BX530" s="537"/>
      <c r="BY530" s="537"/>
      <c r="BZ530" s="537"/>
      <c r="CA530" s="537"/>
      <c r="CB530" s="537"/>
      <c r="CC530" s="537"/>
    </row>
    <row r="531" spans="1:81" s="551" customFormat="1" ht="12.75" hidden="1" customHeight="1">
      <c r="A531" s="638"/>
      <c r="B531" s="551" t="s">
        <v>2030</v>
      </c>
      <c r="C531" s="552"/>
      <c r="E531" s="552"/>
      <c r="F531" s="552"/>
      <c r="G531" s="552"/>
      <c r="H531" s="552"/>
      <c r="I531" s="552"/>
      <c r="J531" s="552"/>
      <c r="K531" s="552"/>
      <c r="L531" s="552"/>
      <c r="M531" s="552"/>
      <c r="N531" s="552"/>
      <c r="O531" s="552"/>
      <c r="P531" s="552"/>
      <c r="Q531" s="552"/>
      <c r="R531" s="552"/>
      <c r="S531" s="552"/>
      <c r="T531" s="552"/>
      <c r="U531" s="552"/>
      <c r="V531" s="552"/>
      <c r="W531" s="552"/>
      <c r="X531" s="552"/>
      <c r="Y531" s="552"/>
      <c r="Z531" s="552"/>
      <c r="AA531" s="552"/>
      <c r="AB531" s="552"/>
      <c r="AC531" s="552"/>
      <c r="AD531" s="617"/>
      <c r="AE531" s="552"/>
      <c r="AF531" s="552"/>
      <c r="AG531" s="552"/>
      <c r="AH531" s="552"/>
      <c r="AN531" s="598"/>
      <c r="AP531" s="804"/>
      <c r="AQ531" s="804"/>
      <c r="AR531" s="804"/>
      <c r="AS531" s="804"/>
      <c r="AT531" s="804"/>
      <c r="AU531" s="804"/>
      <c r="AV531" s="804"/>
      <c r="AW531" s="804"/>
      <c r="AX531" s="804"/>
      <c r="AY531" s="804"/>
      <c r="BM531" s="537"/>
      <c r="BN531" s="537"/>
      <c r="BO531" s="537"/>
      <c r="BP531" s="537"/>
      <c r="BQ531" s="537"/>
      <c r="BR531" s="537"/>
      <c r="BS531" s="537"/>
      <c r="BT531" s="537"/>
      <c r="BU531" s="537"/>
      <c r="BV531" s="537"/>
      <c r="BW531" s="537"/>
      <c r="BX531" s="537"/>
      <c r="BY531" s="537"/>
      <c r="BZ531" s="537"/>
      <c r="CA531" s="537"/>
      <c r="CB531" s="537"/>
      <c r="CC531" s="537"/>
    </row>
    <row r="532" spans="1:81" s="551" customFormat="1" ht="12.75" hidden="1" customHeight="1">
      <c r="A532" s="638"/>
      <c r="B532" s="551" t="s">
        <v>1554</v>
      </c>
      <c r="C532" s="552"/>
      <c r="E532" s="552"/>
      <c r="F532" s="552"/>
      <c r="G532" s="552"/>
      <c r="H532" s="552"/>
      <c r="I532" s="552"/>
      <c r="J532" s="552"/>
      <c r="K532" s="552"/>
      <c r="L532" s="552"/>
      <c r="M532" s="552"/>
      <c r="N532" s="552"/>
      <c r="O532" s="552"/>
      <c r="P532" s="552"/>
      <c r="Q532" s="552"/>
      <c r="R532" s="552"/>
      <c r="S532" s="552"/>
      <c r="T532" s="552"/>
      <c r="U532" s="552"/>
      <c r="V532" s="552"/>
      <c r="W532" s="552"/>
      <c r="X532" s="552"/>
      <c r="Y532" s="552"/>
      <c r="Z532" s="552"/>
      <c r="AA532" s="552"/>
      <c r="AB532" s="552"/>
      <c r="AC532" s="552"/>
      <c r="AD532" s="617"/>
      <c r="AE532" s="552"/>
      <c r="AF532" s="552"/>
      <c r="AG532" s="552"/>
      <c r="AH532" s="552"/>
      <c r="AN532" s="598"/>
      <c r="AP532" s="804"/>
      <c r="AQ532" s="804"/>
      <c r="AR532" s="804"/>
      <c r="AS532" s="804"/>
      <c r="AT532" s="804"/>
      <c r="AU532" s="804"/>
      <c r="AV532" s="804"/>
      <c r="AW532" s="804"/>
      <c r="AX532" s="804"/>
      <c r="AY532" s="804"/>
      <c r="BM532" s="537"/>
      <c r="BN532" s="537"/>
      <c r="BO532" s="537"/>
      <c r="BP532" s="537"/>
      <c r="BQ532" s="537"/>
      <c r="BR532" s="537"/>
      <c r="BS532" s="537"/>
      <c r="BT532" s="537"/>
      <c r="BU532" s="537"/>
      <c r="BV532" s="537"/>
      <c r="BW532" s="537"/>
      <c r="BX532" s="537"/>
      <c r="BY532" s="537"/>
      <c r="BZ532" s="537"/>
      <c r="CA532" s="537"/>
      <c r="CB532" s="537"/>
      <c r="CC532" s="537"/>
    </row>
    <row r="533" spans="1:81" s="551" customFormat="1" ht="12.75" hidden="1" customHeight="1">
      <c r="A533" s="638"/>
      <c r="B533" s="551" t="s">
        <v>1555</v>
      </c>
      <c r="C533" s="552"/>
      <c r="E533" s="552"/>
      <c r="F533" s="552"/>
      <c r="G533" s="552"/>
      <c r="H533" s="552"/>
      <c r="I533" s="552"/>
      <c r="J533" s="552"/>
      <c r="K533" s="552"/>
      <c r="L533" s="552"/>
      <c r="M533" s="552"/>
      <c r="N533" s="552"/>
      <c r="O533" s="552"/>
      <c r="P533" s="552"/>
      <c r="Q533" s="552"/>
      <c r="R533" s="552"/>
      <c r="S533" s="552"/>
      <c r="T533" s="552"/>
      <c r="U533" s="552"/>
      <c r="V533" s="552"/>
      <c r="W533" s="552"/>
      <c r="X533" s="552"/>
      <c r="Y533" s="552"/>
      <c r="Z533" s="552"/>
      <c r="AA533" s="552"/>
      <c r="AB533" s="552"/>
      <c r="AC533" s="552"/>
      <c r="AD533" s="617"/>
      <c r="AE533" s="552"/>
      <c r="AF533" s="552"/>
      <c r="AG533" s="552"/>
      <c r="AH533" s="552"/>
      <c r="AN533" s="598"/>
    </row>
    <row r="534" spans="1:81" s="551" customFormat="1" ht="12.75" hidden="1" customHeight="1">
      <c r="A534" s="805"/>
      <c r="C534" s="552"/>
      <c r="E534" s="552"/>
      <c r="F534" s="552"/>
      <c r="G534" s="552"/>
      <c r="H534" s="552"/>
      <c r="I534" s="552"/>
      <c r="J534" s="552"/>
      <c r="K534" s="552"/>
      <c r="L534" s="552"/>
      <c r="M534" s="552"/>
      <c r="N534" s="552"/>
      <c r="O534" s="552"/>
      <c r="P534" s="552"/>
      <c r="Q534" s="552"/>
      <c r="R534" s="552"/>
      <c r="S534" s="552"/>
      <c r="T534" s="552"/>
      <c r="U534" s="552"/>
      <c r="V534" s="552"/>
      <c r="W534" s="552"/>
      <c r="X534" s="552"/>
      <c r="Y534" s="552"/>
      <c r="Z534" s="552"/>
      <c r="AA534" s="552"/>
      <c r="AB534" s="552"/>
      <c r="AC534" s="552"/>
      <c r="AD534" s="617"/>
      <c r="AE534" s="552"/>
      <c r="AF534" s="552"/>
      <c r="AG534" s="552"/>
      <c r="AH534" s="552"/>
      <c r="AN534" s="598"/>
    </row>
    <row r="535" spans="1:81" s="551" customFormat="1" ht="12.75" hidden="1" customHeight="1">
      <c r="A535" s="607"/>
      <c r="B535" s="665"/>
      <c r="C535" s="665"/>
      <c r="D535" s="665"/>
      <c r="E535" s="665"/>
      <c r="F535" s="665"/>
      <c r="G535" s="665"/>
      <c r="H535" s="665"/>
      <c r="I535" s="665"/>
      <c r="J535" s="665"/>
      <c r="K535" s="665"/>
      <c r="L535" s="665"/>
      <c r="M535" s="665"/>
      <c r="N535" s="665"/>
      <c r="O535" s="665"/>
      <c r="P535" s="665"/>
      <c r="Q535" s="665"/>
      <c r="R535" s="665"/>
      <c r="S535" s="665"/>
      <c r="T535" s="665"/>
      <c r="U535" s="665"/>
      <c r="V535" s="665"/>
      <c r="W535" s="665"/>
      <c r="X535" s="665"/>
      <c r="Y535" s="665"/>
      <c r="Z535" s="665"/>
      <c r="AA535" s="665"/>
      <c r="AB535" s="665"/>
      <c r="AC535" s="666"/>
      <c r="AD535" s="665"/>
      <c r="AE535" s="665"/>
      <c r="AF535" s="665"/>
      <c r="AG535" s="665"/>
      <c r="AH535" s="565"/>
      <c r="AI535" s="566"/>
      <c r="AJ535" s="566" t="s">
        <v>1556</v>
      </c>
      <c r="AK535" s="2440">
        <f>SUM(AG479:AG524)</f>
        <v>0</v>
      </c>
      <c r="AL535" s="2441"/>
      <c r="AM535" s="2442"/>
      <c r="AN535" s="598"/>
      <c r="AP535" s="537"/>
      <c r="AQ535" s="537"/>
      <c r="AR535" s="537"/>
      <c r="AS535" s="537"/>
      <c r="AT535" s="537"/>
      <c r="AU535" s="537"/>
      <c r="AV535" s="537"/>
      <c r="AW535" s="537"/>
      <c r="AX535" s="537"/>
      <c r="AY535" s="537"/>
      <c r="AZ535" s="537"/>
    </row>
    <row r="536" spans="1:81" s="551" customFormat="1" ht="12.75" hidden="1" customHeight="1">
      <c r="B536" s="552"/>
      <c r="C536" s="552"/>
      <c r="D536" s="552"/>
      <c r="E536" s="552"/>
      <c r="F536" s="552"/>
      <c r="G536" s="552"/>
      <c r="H536" s="552"/>
      <c r="I536" s="552"/>
      <c r="J536" s="552"/>
      <c r="K536" s="552"/>
      <c r="L536" s="552"/>
      <c r="M536" s="552"/>
      <c r="N536" s="552"/>
      <c r="O536" s="552"/>
      <c r="P536" s="552"/>
      <c r="Q536" s="552"/>
      <c r="R536" s="552"/>
      <c r="S536" s="552"/>
      <c r="T536" s="552"/>
      <c r="U536" s="552"/>
      <c r="V536" s="552"/>
      <c r="W536" s="552"/>
      <c r="X536" s="552"/>
      <c r="Y536" s="552"/>
      <c r="Z536" s="552"/>
      <c r="AA536" s="552"/>
      <c r="AB536" s="552"/>
      <c r="AC536" s="617"/>
      <c r="AD536" s="552"/>
      <c r="AE536" s="552"/>
      <c r="AF536" s="552"/>
      <c r="AG536" s="552"/>
      <c r="AI536" s="544"/>
      <c r="AJ536" s="544"/>
      <c r="AK536" s="596"/>
      <c r="AL536" s="596"/>
      <c r="AM536" s="596"/>
      <c r="AN536" s="598"/>
      <c r="AP536" s="537"/>
      <c r="AQ536" s="537"/>
      <c r="AR536" s="537"/>
      <c r="AS536" s="537"/>
      <c r="AT536" s="537"/>
      <c r="AU536" s="537"/>
      <c r="AV536" s="537"/>
      <c r="AW536" s="537"/>
      <c r="AX536" s="537"/>
      <c r="AY536" s="537"/>
      <c r="AZ536" s="537"/>
    </row>
    <row r="537" spans="1:81" ht="13" thickTop="1"/>
    <row r="538" spans="1:81" s="551" customFormat="1" ht="12.75" customHeight="1">
      <c r="A538" s="540" t="s">
        <v>1557</v>
      </c>
      <c r="B538" s="540" t="s">
        <v>1558</v>
      </c>
      <c r="C538" s="552"/>
      <c r="D538" s="552"/>
      <c r="E538" s="552"/>
      <c r="F538" s="552"/>
      <c r="G538" s="552"/>
      <c r="H538" s="552"/>
      <c r="I538" s="552"/>
      <c r="J538" s="552"/>
      <c r="K538" s="552"/>
      <c r="L538" s="552"/>
      <c r="M538" s="552"/>
      <c r="N538" s="552"/>
      <c r="O538" s="552"/>
      <c r="P538" s="552"/>
      <c r="Q538" s="552"/>
      <c r="R538" s="552"/>
      <c r="S538" s="552"/>
      <c r="T538" s="552"/>
      <c r="U538" s="552"/>
      <c r="V538" s="552"/>
      <c r="W538" s="552"/>
      <c r="X538" s="552"/>
      <c r="Y538" s="552"/>
      <c r="Z538" s="552"/>
      <c r="AA538" s="552"/>
      <c r="AB538" s="552"/>
      <c r="AC538" s="617"/>
      <c r="AD538" s="552"/>
      <c r="AE538" s="2473" t="s">
        <v>1559</v>
      </c>
      <c r="AF538" s="2473"/>
      <c r="AG538" s="2473"/>
      <c r="AH538" s="2473"/>
      <c r="AI538" s="2473"/>
      <c r="AJ538" s="2473"/>
      <c r="AK538" s="2473"/>
      <c r="AL538" s="596"/>
      <c r="AM538" s="596"/>
      <c r="AN538" s="598"/>
    </row>
    <row r="539" spans="1:81" s="551" customFormat="1" ht="12.75" customHeight="1">
      <c r="A539" s="540"/>
      <c r="B539" s="540" t="s">
        <v>1323</v>
      </c>
      <c r="C539" s="552"/>
      <c r="D539" s="552"/>
      <c r="E539" s="552"/>
      <c r="F539" s="552"/>
      <c r="G539" s="552"/>
      <c r="H539" s="552"/>
      <c r="I539" s="552"/>
      <c r="J539" s="552"/>
      <c r="K539" s="552"/>
      <c r="L539" s="552"/>
      <c r="M539" s="552"/>
      <c r="N539" s="552"/>
      <c r="O539" s="552"/>
      <c r="P539" s="552"/>
      <c r="Q539" s="552"/>
      <c r="R539" s="552"/>
      <c r="S539" s="552"/>
      <c r="T539" s="552"/>
      <c r="U539" s="552"/>
      <c r="V539" s="552"/>
      <c r="W539" s="552"/>
      <c r="X539" s="552"/>
      <c r="Y539" s="552"/>
      <c r="Z539" s="552"/>
      <c r="AA539" s="552"/>
      <c r="AB539" s="552"/>
      <c r="AC539" s="617"/>
      <c r="AD539" s="552"/>
      <c r="AE539" s="544"/>
      <c r="AF539" s="544"/>
      <c r="AG539" s="544"/>
      <c r="AH539" s="544"/>
      <c r="AI539" s="544"/>
      <c r="AJ539" s="544"/>
      <c r="AK539" s="544"/>
      <c r="AL539" s="596"/>
      <c r="AM539" s="596"/>
      <c r="AN539" s="598"/>
    </row>
    <row r="540" spans="1:81" s="551" customFormat="1" ht="12.75" customHeight="1">
      <c r="A540" s="540"/>
      <c r="B540" s="540"/>
      <c r="C540" s="552"/>
      <c r="D540" s="552"/>
      <c r="E540" s="552"/>
      <c r="F540" s="552"/>
      <c r="G540" s="552"/>
      <c r="H540" s="552"/>
      <c r="I540" s="552"/>
      <c r="J540" s="552"/>
      <c r="K540" s="552"/>
      <c r="L540" s="552"/>
      <c r="M540" s="552"/>
      <c r="N540" s="552"/>
      <c r="O540" s="552"/>
      <c r="P540" s="552"/>
      <c r="Q540" s="552"/>
      <c r="R540" s="552"/>
      <c r="S540" s="552"/>
      <c r="T540" s="552"/>
      <c r="U540" s="552"/>
      <c r="V540" s="552"/>
      <c r="W540" s="552"/>
      <c r="X540" s="552"/>
      <c r="Y540" s="552"/>
      <c r="Z540" s="552"/>
      <c r="AA540" s="552"/>
      <c r="AB540" s="552"/>
      <c r="AC540" s="617"/>
      <c r="AD540" s="552"/>
      <c r="AE540" s="544"/>
      <c r="AF540" s="544"/>
      <c r="AG540" s="544"/>
      <c r="AH540" s="544"/>
      <c r="AI540" s="544"/>
      <c r="AJ540" s="544"/>
      <c r="AK540" s="544"/>
      <c r="AL540" s="596"/>
      <c r="AM540" s="596"/>
      <c r="AN540" s="598"/>
    </row>
    <row r="541" spans="1:81" s="551" customFormat="1" ht="12.75" customHeight="1">
      <c r="A541" s="540"/>
      <c r="B541" s="540"/>
      <c r="C541" s="2454" t="s">
        <v>544</v>
      </c>
      <c r="D541" s="2454"/>
      <c r="E541" s="552"/>
      <c r="F541" s="2476" t="s">
        <v>1560</v>
      </c>
      <c r="G541" s="2477"/>
      <c r="H541" s="2477"/>
      <c r="I541" s="2477"/>
      <c r="J541" s="2477"/>
      <c r="K541" s="2477"/>
      <c r="L541" s="2477"/>
      <c r="M541" s="2477"/>
      <c r="N541" s="2477"/>
      <c r="O541" s="2477"/>
      <c r="P541" s="2477"/>
      <c r="Q541" s="2477"/>
      <c r="R541" s="2477"/>
      <c r="S541" s="2477"/>
      <c r="T541" s="2477"/>
      <c r="U541" s="2477"/>
      <c r="V541" s="2477"/>
      <c r="W541" s="2477"/>
      <c r="X541" s="2477"/>
      <c r="Y541" s="2477"/>
      <c r="Z541" s="2477"/>
      <c r="AA541" s="2477"/>
      <c r="AB541" s="2477"/>
      <c r="AC541" s="2477"/>
      <c r="AD541" s="2477"/>
      <c r="AE541" s="2477"/>
      <c r="AF541" s="2477"/>
      <c r="AG541" s="2477"/>
      <c r="AH541" s="2477"/>
      <c r="AI541" s="2477"/>
      <c r="AJ541" s="2477"/>
      <c r="AK541" s="2477"/>
      <c r="AL541" s="2478"/>
      <c r="AM541" s="596"/>
      <c r="AN541" s="598"/>
    </row>
    <row r="542" spans="1:81" s="551" customFormat="1" ht="12.75" customHeight="1">
      <c r="A542" s="540"/>
      <c r="B542" s="540"/>
      <c r="C542" s="552"/>
      <c r="D542" s="552"/>
      <c r="E542" s="552"/>
      <c r="F542" s="2479"/>
      <c r="G542" s="2480"/>
      <c r="H542" s="2480"/>
      <c r="I542" s="2480"/>
      <c r="J542" s="2480"/>
      <c r="K542" s="2480"/>
      <c r="L542" s="2480"/>
      <c r="M542" s="2480"/>
      <c r="N542" s="2480"/>
      <c r="O542" s="2480"/>
      <c r="P542" s="2480"/>
      <c r="Q542" s="2480"/>
      <c r="R542" s="2480"/>
      <c r="S542" s="2480"/>
      <c r="T542" s="2480"/>
      <c r="U542" s="2480"/>
      <c r="V542" s="2480"/>
      <c r="W542" s="2480"/>
      <c r="X542" s="2480"/>
      <c r="Y542" s="2480"/>
      <c r="Z542" s="2480"/>
      <c r="AA542" s="2480"/>
      <c r="AB542" s="2480"/>
      <c r="AC542" s="2480"/>
      <c r="AD542" s="2480"/>
      <c r="AE542" s="2480"/>
      <c r="AF542" s="2480"/>
      <c r="AG542" s="2480"/>
      <c r="AH542" s="2480"/>
      <c r="AI542" s="2480"/>
      <c r="AJ542" s="2480"/>
      <c r="AK542" s="2480"/>
      <c r="AL542" s="2481"/>
      <c r="AM542" s="596"/>
      <c r="AN542" s="598"/>
    </row>
    <row r="543" spans="1:81" s="551" customFormat="1" ht="12.75" customHeight="1">
      <c r="A543" s="540"/>
      <c r="B543" s="540"/>
      <c r="C543" s="552"/>
      <c r="D543" s="552"/>
      <c r="E543" s="552"/>
      <c r="F543" s="806"/>
      <c r="G543" s="806"/>
      <c r="H543" s="806"/>
      <c r="I543" s="806"/>
      <c r="J543" s="806"/>
      <c r="K543" s="806"/>
      <c r="L543" s="806"/>
      <c r="M543" s="806"/>
      <c r="N543" s="806"/>
      <c r="O543" s="806"/>
      <c r="P543" s="806"/>
      <c r="Q543" s="806"/>
      <c r="R543" s="806"/>
      <c r="S543" s="806"/>
      <c r="T543" s="806"/>
      <c r="U543" s="806"/>
      <c r="V543" s="806"/>
      <c r="W543" s="806"/>
      <c r="X543" s="806"/>
      <c r="Y543" s="806"/>
      <c r="Z543" s="806"/>
      <c r="AA543" s="806"/>
      <c r="AB543" s="806"/>
      <c r="AC543" s="806"/>
      <c r="AD543" s="806"/>
      <c r="AE543" s="806"/>
      <c r="AF543" s="806"/>
      <c r="AG543" s="806"/>
      <c r="AH543" s="806"/>
      <c r="AI543" s="806"/>
      <c r="AJ543" s="806"/>
      <c r="AK543" s="806"/>
      <c r="AL543" s="806"/>
      <c r="AM543" s="596"/>
      <c r="AN543" s="598"/>
    </row>
    <row r="544" spans="1:81" s="551" customFormat="1" ht="12.75" customHeight="1">
      <c r="A544" s="540"/>
      <c r="B544" s="807"/>
      <c r="C544" s="2454" t="s">
        <v>590</v>
      </c>
      <c r="D544" s="2454"/>
      <c r="E544" s="807"/>
      <c r="F544" s="645" t="s">
        <v>1561</v>
      </c>
      <c r="G544" s="808"/>
      <c r="H544" s="809"/>
      <c r="I544" s="809"/>
      <c r="J544" s="809"/>
      <c r="K544" s="809"/>
      <c r="L544" s="809"/>
      <c r="M544" s="809"/>
      <c r="N544" s="809"/>
      <c r="O544" s="809"/>
      <c r="P544" s="809"/>
      <c r="Q544" s="809"/>
      <c r="R544" s="809"/>
      <c r="S544" s="809"/>
      <c r="T544" s="809"/>
      <c r="U544" s="809"/>
      <c r="V544" s="809"/>
      <c r="W544" s="809"/>
      <c r="X544" s="809"/>
      <c r="Y544" s="809"/>
      <c r="Z544" s="809"/>
      <c r="AA544" s="809"/>
      <c r="AB544" s="809"/>
      <c r="AC544" s="809"/>
      <c r="AD544" s="809"/>
      <c r="AE544" s="809"/>
      <c r="AF544" s="809"/>
      <c r="AG544" s="809"/>
      <c r="AH544" s="809"/>
      <c r="AI544" s="809"/>
      <c r="AJ544" s="809"/>
      <c r="AK544" s="810"/>
      <c r="AL544" s="811"/>
      <c r="AM544" s="596"/>
      <c r="AN544" s="598"/>
    </row>
    <row r="545" spans="1:49" s="551" customFormat="1" ht="12.75" customHeight="1">
      <c r="B545" s="807"/>
      <c r="C545" s="807"/>
      <c r="D545" s="807"/>
      <c r="E545" s="807"/>
      <c r="F545" s="2432" t="s">
        <v>1562</v>
      </c>
      <c r="G545" s="2433"/>
      <c r="H545" s="2433"/>
      <c r="I545" s="2433"/>
      <c r="J545" s="2433"/>
      <c r="K545" s="2433"/>
      <c r="L545" s="2433"/>
      <c r="M545" s="2433"/>
      <c r="N545" s="2433"/>
      <c r="O545" s="2433"/>
      <c r="P545" s="2433"/>
      <c r="Q545" s="2433"/>
      <c r="R545" s="2433"/>
      <c r="S545" s="2433"/>
      <c r="T545" s="2433"/>
      <c r="U545" s="2433"/>
      <c r="V545" s="2433"/>
      <c r="W545" s="2433"/>
      <c r="X545" s="2433"/>
      <c r="Y545" s="2433"/>
      <c r="Z545" s="2433"/>
      <c r="AA545" s="2433"/>
      <c r="AB545" s="2433"/>
      <c r="AC545" s="2433"/>
      <c r="AD545" s="2433"/>
      <c r="AE545" s="2433"/>
      <c r="AF545" s="2433"/>
      <c r="AG545" s="2433"/>
      <c r="AH545" s="2433"/>
      <c r="AI545" s="2433"/>
      <c r="AJ545" s="2433"/>
      <c r="AK545" s="2433"/>
      <c r="AL545" s="2434"/>
      <c r="AM545" s="596"/>
      <c r="AN545" s="598"/>
      <c r="AS545" s="871"/>
      <c r="AT545" s="871"/>
      <c r="AU545" s="871"/>
      <c r="AV545" s="871"/>
      <c r="AW545" s="871"/>
    </row>
    <row r="546" spans="1:49" s="551" customFormat="1" ht="12.75" customHeight="1">
      <c r="B546" s="807"/>
      <c r="C546" s="807"/>
      <c r="D546" s="807"/>
      <c r="E546" s="807"/>
      <c r="F546" s="2432"/>
      <c r="G546" s="2433"/>
      <c r="H546" s="2433"/>
      <c r="I546" s="2433"/>
      <c r="J546" s="2433"/>
      <c r="K546" s="2433"/>
      <c r="L546" s="2433"/>
      <c r="M546" s="2433"/>
      <c r="N546" s="2433"/>
      <c r="O546" s="2433"/>
      <c r="P546" s="2433"/>
      <c r="Q546" s="2433"/>
      <c r="R546" s="2433"/>
      <c r="S546" s="2433"/>
      <c r="T546" s="2433"/>
      <c r="U546" s="2433"/>
      <c r="V546" s="2433"/>
      <c r="W546" s="2433"/>
      <c r="X546" s="2433"/>
      <c r="Y546" s="2433"/>
      <c r="Z546" s="2433"/>
      <c r="AA546" s="2433"/>
      <c r="AB546" s="2433"/>
      <c r="AC546" s="2433"/>
      <c r="AD546" s="2433"/>
      <c r="AE546" s="2433"/>
      <c r="AF546" s="2433"/>
      <c r="AG546" s="2433"/>
      <c r="AH546" s="2433"/>
      <c r="AI546" s="2433"/>
      <c r="AJ546" s="2433"/>
      <c r="AK546" s="2433"/>
      <c r="AL546" s="2434"/>
      <c r="AM546" s="596"/>
      <c r="AN546" s="598"/>
    </row>
    <row r="547" spans="1:49" s="551" customFormat="1" ht="12.75" customHeight="1">
      <c r="B547" s="807"/>
      <c r="C547" s="807"/>
      <c r="D547" s="807"/>
      <c r="E547" s="807"/>
      <c r="F547" s="812" t="s">
        <v>2031</v>
      </c>
      <c r="G547" s="617"/>
      <c r="H547" s="617"/>
      <c r="I547" s="617"/>
      <c r="J547" s="617"/>
      <c r="K547" s="617"/>
      <c r="L547" s="617"/>
      <c r="M547" s="617"/>
      <c r="N547" s="617"/>
      <c r="O547" s="617"/>
      <c r="P547" s="617"/>
      <c r="Q547" s="617"/>
      <c r="R547" s="617"/>
      <c r="S547" s="617"/>
      <c r="T547" s="617"/>
      <c r="U547" s="617"/>
      <c r="V547" s="617"/>
      <c r="W547" s="617"/>
      <c r="X547" s="617"/>
      <c r="Y547" s="617"/>
      <c r="Z547" s="617"/>
      <c r="AA547" s="617"/>
      <c r="AB547" s="617"/>
      <c r="AC547" s="617"/>
      <c r="AD547" s="617"/>
      <c r="AE547" s="617"/>
      <c r="AF547" s="617"/>
      <c r="AG547" s="617"/>
      <c r="AH547" s="617"/>
      <c r="AI547" s="617"/>
      <c r="AJ547" s="617"/>
      <c r="AK547" s="617"/>
      <c r="AL547" s="813"/>
      <c r="AM547" s="596"/>
      <c r="AN547" s="598"/>
    </row>
    <row r="548" spans="1:49" s="551" customFormat="1" ht="12.75" customHeight="1">
      <c r="B548" s="807"/>
      <c r="C548" s="807"/>
      <c r="D548" s="807"/>
      <c r="E548" s="807"/>
      <c r="F548" s="2432" t="s">
        <v>1563</v>
      </c>
      <c r="G548" s="2433"/>
      <c r="H548" s="2433"/>
      <c r="I548" s="2433"/>
      <c r="J548" s="2433"/>
      <c r="K548" s="2433"/>
      <c r="L548" s="2433"/>
      <c r="M548" s="2433"/>
      <c r="N548" s="2433"/>
      <c r="O548" s="2433"/>
      <c r="P548" s="2433"/>
      <c r="Q548" s="2433"/>
      <c r="R548" s="2433"/>
      <c r="S548" s="2433"/>
      <c r="T548" s="2433"/>
      <c r="U548" s="2433"/>
      <c r="V548" s="2433"/>
      <c r="W548" s="2433"/>
      <c r="X548" s="2433"/>
      <c r="Y548" s="2433"/>
      <c r="Z548" s="2433"/>
      <c r="AA548" s="2433"/>
      <c r="AB548" s="2433"/>
      <c r="AC548" s="2433"/>
      <c r="AD548" s="2433"/>
      <c r="AE548" s="2433"/>
      <c r="AF548" s="2433"/>
      <c r="AG548" s="2433"/>
      <c r="AH548" s="2433"/>
      <c r="AI548" s="2433"/>
      <c r="AJ548" s="2433"/>
      <c r="AK548" s="2433"/>
      <c r="AL548" s="814"/>
      <c r="AM548" s="596"/>
      <c r="AN548" s="598"/>
    </row>
    <row r="549" spans="1:49" s="551" customFormat="1" ht="12.75" customHeight="1">
      <c r="B549" s="807"/>
      <c r="C549" s="807"/>
      <c r="D549" s="807"/>
      <c r="E549" s="807"/>
      <c r="F549" s="2435"/>
      <c r="G549" s="2436"/>
      <c r="H549" s="2436"/>
      <c r="I549" s="2436"/>
      <c r="J549" s="2436"/>
      <c r="K549" s="2436"/>
      <c r="L549" s="2436"/>
      <c r="M549" s="2436"/>
      <c r="N549" s="2436"/>
      <c r="O549" s="2436"/>
      <c r="P549" s="2436"/>
      <c r="Q549" s="2436"/>
      <c r="R549" s="2436"/>
      <c r="S549" s="2436"/>
      <c r="T549" s="2436"/>
      <c r="U549" s="2436"/>
      <c r="V549" s="2436"/>
      <c r="W549" s="2436"/>
      <c r="X549" s="2436"/>
      <c r="Y549" s="2436"/>
      <c r="Z549" s="2436"/>
      <c r="AA549" s="2436"/>
      <c r="AB549" s="2436"/>
      <c r="AC549" s="2436"/>
      <c r="AD549" s="2436"/>
      <c r="AE549" s="2436"/>
      <c r="AF549" s="2436"/>
      <c r="AG549" s="2436"/>
      <c r="AH549" s="2436"/>
      <c r="AI549" s="2436"/>
      <c r="AJ549" s="2436"/>
      <c r="AK549" s="2436"/>
      <c r="AL549" s="815"/>
      <c r="AM549" s="596"/>
      <c r="AN549" s="598"/>
    </row>
    <row r="550" spans="1:49" s="551" customFormat="1" ht="12.75" customHeight="1">
      <c r="B550" s="807"/>
      <c r="C550" s="807"/>
      <c r="D550" s="807"/>
      <c r="E550" s="807"/>
      <c r="F550" s="643"/>
      <c r="G550" s="643"/>
      <c r="H550" s="643"/>
      <c r="I550" s="643"/>
      <c r="J550" s="643"/>
      <c r="K550" s="643"/>
      <c r="L550" s="643"/>
      <c r="M550" s="643"/>
      <c r="N550" s="643"/>
      <c r="O550" s="643"/>
      <c r="P550" s="643"/>
      <c r="Q550" s="643"/>
      <c r="R550" s="643"/>
      <c r="S550" s="643"/>
      <c r="T550" s="643"/>
      <c r="U550" s="643"/>
      <c r="V550" s="643"/>
      <c r="W550" s="643"/>
      <c r="X550" s="643"/>
      <c r="Y550" s="643"/>
      <c r="Z550" s="643"/>
      <c r="AA550" s="643"/>
      <c r="AB550" s="643"/>
      <c r="AC550" s="643"/>
      <c r="AD550" s="643"/>
      <c r="AE550" s="643"/>
      <c r="AF550" s="643"/>
      <c r="AG550" s="643"/>
      <c r="AH550" s="643"/>
      <c r="AI550" s="643"/>
      <c r="AJ550" s="643"/>
      <c r="AK550" s="643"/>
      <c r="AL550" s="596"/>
      <c r="AM550" s="596"/>
      <c r="AN550" s="598"/>
      <c r="AP550" s="2431">
        <f>Application!AJ992</f>
        <v>30890500</v>
      </c>
      <c r="AQ550" s="2431"/>
      <c r="AR550" s="2431"/>
      <c r="AS550" s="551" t="s">
        <v>2170</v>
      </c>
    </row>
    <row r="551" spans="1:49" s="551" customFormat="1" ht="12.75" customHeight="1">
      <c r="A551" s="499"/>
      <c r="B551" s="448" t="s">
        <v>1564</v>
      </c>
      <c r="C551" s="624"/>
      <c r="D551" s="624"/>
      <c r="E551" s="624"/>
      <c r="F551" s="14"/>
      <c r="G551" s="625"/>
      <c r="H551" s="625"/>
      <c r="I551" s="625"/>
      <c r="J551" s="625"/>
      <c r="K551" s="625"/>
      <c r="L551" s="625"/>
      <c r="M551" s="625"/>
      <c r="N551" s="625"/>
      <c r="O551" s="625"/>
      <c r="P551" s="625"/>
      <c r="Q551" s="625"/>
      <c r="R551" s="14"/>
      <c r="S551" s="14"/>
      <c r="T551" s="14"/>
      <c r="U551" s="14"/>
      <c r="V551" s="14"/>
      <c r="W551" s="14"/>
      <c r="X551" s="625"/>
      <c r="Y551" s="625"/>
      <c r="Z551" s="625"/>
      <c r="AA551" s="623"/>
      <c r="AB551" s="623"/>
      <c r="AC551" s="623"/>
      <c r="AD551" s="623"/>
      <c r="AE551" s="14"/>
      <c r="AF551" s="2437">
        <f>'Sources and Uses Budget'!S107+'Sources and Uses Budget'!T107</f>
        <v>27081513</v>
      </c>
      <c r="AG551" s="2437"/>
      <c r="AH551" s="2437"/>
      <c r="AI551" s="2437"/>
      <c r="AJ551" s="2437"/>
      <c r="AK551" s="596"/>
      <c r="AL551" s="596"/>
      <c r="AM551" s="596"/>
      <c r="AN551" s="598"/>
    </row>
    <row r="552" spans="1:49" s="551" customFormat="1" ht="12.75" customHeight="1">
      <c r="A552" s="626"/>
      <c r="B552" s="626" t="s">
        <v>1565</v>
      </c>
      <c r="C552" s="625"/>
      <c r="D552" s="625"/>
      <c r="E552" s="627"/>
      <c r="F552" s="627"/>
      <c r="G552" s="627"/>
      <c r="H552" s="627"/>
      <c r="I552" s="627"/>
      <c r="J552" s="627"/>
      <c r="K552" s="627"/>
      <c r="L552" s="625"/>
      <c r="M552" s="627"/>
      <c r="N552" s="627"/>
      <c r="O552" s="627"/>
      <c r="P552" s="627"/>
      <c r="Q552" s="627"/>
      <c r="R552" s="14"/>
      <c r="S552" s="14"/>
      <c r="T552" s="14"/>
      <c r="U552" s="14"/>
      <c r="V552" s="14"/>
      <c r="W552" s="14"/>
      <c r="X552" s="625"/>
      <c r="Y552" s="625"/>
      <c r="Z552" s="625"/>
      <c r="AA552" s="623"/>
      <c r="AB552" s="623"/>
      <c r="AC552" s="623"/>
      <c r="AD552" s="623"/>
      <c r="AE552" s="14"/>
      <c r="AF552" s="2438">
        <f>IFERROR(AP559,0)</f>
        <v>58691950</v>
      </c>
      <c r="AG552" s="2438"/>
      <c r="AH552" s="2438"/>
      <c r="AI552" s="2438"/>
      <c r="AJ552" s="2438"/>
      <c r="AK552" s="596"/>
      <c r="AL552" s="596"/>
      <c r="AM552" s="596"/>
      <c r="AN552" s="598"/>
      <c r="AP552" s="2431">
        <f>Application!AJ1045</f>
        <v>15445250</v>
      </c>
      <c r="AQ552" s="2431"/>
      <c r="AR552" s="2431"/>
      <c r="AS552" s="551" t="s">
        <v>1864</v>
      </c>
    </row>
    <row r="553" spans="1:49" s="551" customFormat="1" ht="12.75" customHeight="1">
      <c r="A553" s="625"/>
      <c r="B553" s="625" t="s">
        <v>13</v>
      </c>
      <c r="C553" s="625"/>
      <c r="D553" s="625"/>
      <c r="E553" s="625"/>
      <c r="F553" s="625"/>
      <c r="G553" s="625"/>
      <c r="H553" s="625"/>
      <c r="I553" s="625"/>
      <c r="J553" s="625"/>
      <c r="K553" s="625"/>
      <c r="L553" s="625"/>
      <c r="M553" s="625"/>
      <c r="N553" s="625"/>
      <c r="O553" s="625"/>
      <c r="P553" s="625"/>
      <c r="Q553" s="625"/>
      <c r="R553" s="14"/>
      <c r="S553" s="14"/>
      <c r="T553" s="14"/>
      <c r="U553" s="14"/>
      <c r="V553" s="14"/>
      <c r="W553" s="14"/>
      <c r="X553" s="625"/>
      <c r="Y553" s="625"/>
      <c r="Z553" s="625"/>
      <c r="AA553" s="623"/>
      <c r="AB553" s="623"/>
      <c r="AC553" s="623"/>
      <c r="AD553" s="623"/>
      <c r="AE553" s="14"/>
      <c r="AF553" s="2439">
        <f>IFERROR(ROUNDDOWN(IF(C544="YES",((1-(AF551/AF552))*2),(1-(AF551/AF552))),2),0)</f>
        <v>0.53</v>
      </c>
      <c r="AG553" s="2439"/>
      <c r="AH553" s="2439"/>
      <c r="AI553" s="2439"/>
      <c r="AJ553" s="2439"/>
      <c r="AK553" s="596"/>
      <c r="AL553" s="596"/>
      <c r="AM553" s="596"/>
      <c r="AN553" s="598"/>
      <c r="AP553" s="2427">
        <f>Application!AJ1049</f>
        <v>30890500</v>
      </c>
      <c r="AQ553" s="2427"/>
      <c r="AR553" s="2427"/>
      <c r="AS553" s="551" t="s">
        <v>2171</v>
      </c>
    </row>
    <row r="554" spans="1:49" s="551" customFormat="1" ht="12.75" customHeight="1">
      <c r="A554" s="625"/>
      <c r="B554" s="625"/>
      <c r="C554" s="625"/>
      <c r="D554" s="625"/>
      <c r="E554" s="625"/>
      <c r="F554" s="625"/>
      <c r="G554" s="625"/>
      <c r="H554" s="625"/>
      <c r="I554" s="625"/>
      <c r="J554" s="625"/>
      <c r="K554" s="625"/>
      <c r="L554" s="625"/>
      <c r="M554" s="625"/>
      <c r="N554" s="625"/>
      <c r="O554" s="625"/>
      <c r="P554" s="625"/>
      <c r="Q554" s="625"/>
      <c r="R554" s="14"/>
      <c r="S554" s="14"/>
      <c r="T554" s="14"/>
      <c r="U554" s="14"/>
      <c r="V554" s="14"/>
      <c r="W554" s="14"/>
      <c r="X554" s="625"/>
      <c r="Y554" s="625"/>
      <c r="Z554" s="625"/>
      <c r="AA554" s="623"/>
      <c r="AB554" s="623"/>
      <c r="AC554" s="623"/>
      <c r="AD554" s="623"/>
      <c r="AE554" s="14"/>
      <c r="AF554" s="816"/>
      <c r="AG554" s="816"/>
      <c r="AH554" s="816"/>
      <c r="AI554" s="816"/>
      <c r="AJ554" s="816"/>
      <c r="AK554" s="596"/>
      <c r="AL554" s="596"/>
      <c r="AM554" s="596"/>
      <c r="AN554" s="598"/>
      <c r="AP554" s="2446">
        <f>IF(((AP552+AP553)/AP550)&gt;0.8,0.8,((AP552+AP553)/AP550))</f>
        <v>0.8</v>
      </c>
      <c r="AQ554" s="2446"/>
      <c r="AR554" s="2446"/>
      <c r="AS554" s="551" t="s">
        <v>2172</v>
      </c>
    </row>
    <row r="555" spans="1:49" s="551" customFormat="1" ht="12.75" customHeight="1">
      <c r="A555" s="625"/>
      <c r="B555" s="2513" t="s">
        <v>2032</v>
      </c>
      <c r="C555" s="2514"/>
      <c r="D555" s="2514"/>
      <c r="E555" s="2514"/>
      <c r="F555" s="2514"/>
      <c r="G555" s="2514"/>
      <c r="H555" s="2514"/>
      <c r="I555" s="2514"/>
      <c r="J555" s="2514"/>
      <c r="K555" s="2514"/>
      <c r="L555" s="2514"/>
      <c r="M555" s="2514"/>
      <c r="N555" s="2514"/>
      <c r="O555" s="2514"/>
      <c r="P555" s="2514"/>
      <c r="Q555" s="2514"/>
      <c r="R555" s="2514"/>
      <c r="S555" s="2514"/>
      <c r="T555" s="2514"/>
      <c r="U555" s="2514"/>
      <c r="V555" s="2514"/>
      <c r="W555" s="2514"/>
      <c r="X555" s="2514"/>
      <c r="Y555" s="2514"/>
      <c r="Z555" s="2514"/>
      <c r="AA555" s="2514"/>
      <c r="AB555" s="2514"/>
      <c r="AC555" s="2514"/>
      <c r="AD555" s="2514"/>
      <c r="AE555" s="2514"/>
      <c r="AF555" s="2514"/>
      <c r="AG555" s="2514"/>
      <c r="AH555" s="2514"/>
      <c r="AI555" s="2514"/>
      <c r="AJ555" s="2515"/>
      <c r="AK555" s="596"/>
      <c r="AL555" s="596"/>
      <c r="AM555" s="596"/>
      <c r="AN555" s="598"/>
    </row>
    <row r="556" spans="1:49" s="551" customFormat="1" ht="12.75" customHeight="1">
      <c r="A556" s="625"/>
      <c r="B556" s="2516"/>
      <c r="C556" s="2517"/>
      <c r="D556" s="2517"/>
      <c r="E556" s="2517"/>
      <c r="F556" s="2517"/>
      <c r="G556" s="2517"/>
      <c r="H556" s="2517"/>
      <c r="I556" s="2517"/>
      <c r="J556" s="2517"/>
      <c r="K556" s="2517"/>
      <c r="L556" s="2517"/>
      <c r="M556" s="2517"/>
      <c r="N556" s="2517"/>
      <c r="O556" s="2517"/>
      <c r="P556" s="2517"/>
      <c r="Q556" s="2517"/>
      <c r="R556" s="2517"/>
      <c r="S556" s="2517"/>
      <c r="T556" s="2517"/>
      <c r="U556" s="2517"/>
      <c r="V556" s="2517"/>
      <c r="W556" s="2517"/>
      <c r="X556" s="2517"/>
      <c r="Y556" s="2517"/>
      <c r="Z556" s="2517"/>
      <c r="AA556" s="2517"/>
      <c r="AB556" s="2517"/>
      <c r="AC556" s="2517"/>
      <c r="AD556" s="2517"/>
      <c r="AE556" s="2517"/>
      <c r="AF556" s="2517"/>
      <c r="AG556" s="2517"/>
      <c r="AH556" s="2517"/>
      <c r="AI556" s="2517"/>
      <c r="AJ556" s="2518"/>
      <c r="AK556" s="596"/>
      <c r="AL556" s="596"/>
      <c r="AM556" s="596"/>
      <c r="AN556" s="598"/>
      <c r="AP556" s="2431">
        <f>AP557-AP552-AP553</f>
        <v>33979550</v>
      </c>
      <c r="AQ556" s="2447"/>
      <c r="AR556" s="2447"/>
      <c r="AS556" s="551" t="s">
        <v>2174</v>
      </c>
    </row>
    <row r="557" spans="1:49" s="551" customFormat="1" ht="12.75" customHeight="1">
      <c r="A557" s="625"/>
      <c r="B557" s="2519"/>
      <c r="C557" s="2520"/>
      <c r="D557" s="2520"/>
      <c r="E557" s="2520"/>
      <c r="F557" s="2520"/>
      <c r="G557" s="2520"/>
      <c r="H557" s="2520"/>
      <c r="I557" s="2520"/>
      <c r="J557" s="2520"/>
      <c r="K557" s="2520"/>
      <c r="L557" s="2520"/>
      <c r="M557" s="2520"/>
      <c r="N557" s="2520"/>
      <c r="O557" s="2520"/>
      <c r="P557" s="2520"/>
      <c r="Q557" s="2520"/>
      <c r="R557" s="2520"/>
      <c r="S557" s="2520"/>
      <c r="T557" s="2520"/>
      <c r="U557" s="2520"/>
      <c r="V557" s="2520"/>
      <c r="W557" s="2520"/>
      <c r="X557" s="2520"/>
      <c r="Y557" s="2520"/>
      <c r="Z557" s="2520"/>
      <c r="AA557" s="2520"/>
      <c r="AB557" s="2520"/>
      <c r="AC557" s="2520"/>
      <c r="AD557" s="2520"/>
      <c r="AE557" s="2520"/>
      <c r="AF557" s="2520"/>
      <c r="AG557" s="2520"/>
      <c r="AH557" s="2520"/>
      <c r="AI557" s="2520"/>
      <c r="AJ557" s="2521"/>
      <c r="AK557" s="596"/>
      <c r="AL557" s="596"/>
      <c r="AM557" s="596"/>
      <c r="AN557" s="598"/>
      <c r="AP557" s="2431">
        <f>Application!AJ1053</f>
        <v>80315300</v>
      </c>
      <c r="AQ557" s="2431"/>
      <c r="AR557" s="2431"/>
      <c r="AS557" s="551" t="s">
        <v>2173</v>
      </c>
    </row>
    <row r="558" spans="1:49" s="551" customFormat="1" ht="12.75" customHeight="1">
      <c r="B558" s="552"/>
      <c r="C558" s="552"/>
      <c r="D558" s="552"/>
      <c r="E558" s="552"/>
      <c r="F558" s="552"/>
      <c r="G558" s="552"/>
      <c r="H558" s="552"/>
      <c r="I558" s="552"/>
      <c r="J558" s="552"/>
      <c r="K558" s="552"/>
      <c r="L558" s="552"/>
      <c r="M558" s="552"/>
      <c r="N558" s="552"/>
      <c r="O558" s="552"/>
      <c r="P558" s="552"/>
      <c r="Q558" s="552"/>
      <c r="R558" s="552"/>
      <c r="S558" s="552"/>
      <c r="T558" s="552"/>
      <c r="U558" s="552"/>
      <c r="V558" s="552"/>
      <c r="W558" s="552"/>
      <c r="X558" s="552"/>
      <c r="Y558" s="552"/>
      <c r="Z558" s="552"/>
      <c r="AA558" s="552"/>
      <c r="AB558" s="552"/>
      <c r="AC558" s="617"/>
      <c r="AD558" s="552"/>
      <c r="AI558" s="544"/>
      <c r="AJ558" s="544"/>
      <c r="AK558" s="596"/>
      <c r="AL558" s="596"/>
      <c r="AM558" s="596"/>
      <c r="AN558" s="598"/>
    </row>
    <row r="559" spans="1:49" s="551" customFormat="1" ht="12.75" customHeight="1">
      <c r="A559" s="629"/>
      <c r="B559" s="629"/>
      <c r="C559" s="629"/>
      <c r="D559" s="629"/>
      <c r="E559" s="629"/>
      <c r="F559" s="629"/>
      <c r="G559" s="629"/>
      <c r="H559" s="629"/>
      <c r="I559" s="629"/>
      <c r="J559" s="629"/>
      <c r="K559" s="629"/>
      <c r="L559" s="629"/>
      <c r="M559" s="629"/>
      <c r="N559" s="629"/>
      <c r="O559" s="629"/>
      <c r="P559" s="629"/>
      <c r="Q559" s="629"/>
      <c r="R559" s="629"/>
      <c r="S559" s="629"/>
      <c r="T559" s="629"/>
      <c r="U559" s="629"/>
      <c r="V559" s="629"/>
      <c r="W559" s="629"/>
      <c r="X559" s="629"/>
      <c r="Y559" s="629"/>
      <c r="Z559" s="629"/>
      <c r="AA559" s="629"/>
      <c r="AB559" s="629"/>
      <c r="AC559" s="629"/>
      <c r="AD559" s="629"/>
      <c r="AE559" s="629"/>
      <c r="AF559" s="629"/>
      <c r="AG559" s="629"/>
      <c r="AH559" s="630"/>
      <c r="AI559" s="566"/>
      <c r="AJ559" s="566" t="s">
        <v>1566</v>
      </c>
      <c r="AK559" s="2522">
        <f>IFERROR(IF(AND(C541="N/A",C544="N/A"),0,IF(AF553=0,0,IF((AF553*100)&gt;12,12,(AF553*100)))),0)</f>
        <v>12</v>
      </c>
      <c r="AL559" s="2522"/>
      <c r="AM559" s="2523"/>
      <c r="AN559" s="598"/>
      <c r="AP559" s="2416">
        <f>AP556+(AP550*AP554)</f>
        <v>58691950</v>
      </c>
      <c r="AQ559" s="2417"/>
      <c r="AR559" s="2418"/>
    </row>
    <row r="560" spans="1:49" s="551" customFormat="1" ht="12.75" customHeight="1" thickBot="1">
      <c r="A560" s="760"/>
      <c r="B560" s="760"/>
      <c r="C560" s="760"/>
      <c r="D560" s="760"/>
      <c r="E560" s="760"/>
      <c r="F560" s="760"/>
      <c r="G560" s="760"/>
      <c r="H560" s="760"/>
      <c r="I560" s="760"/>
      <c r="J560" s="760"/>
      <c r="K560" s="760"/>
      <c r="L560" s="760"/>
      <c r="M560" s="760"/>
      <c r="N560" s="760"/>
      <c r="O560" s="760"/>
      <c r="P560" s="760"/>
      <c r="Q560" s="760"/>
      <c r="R560" s="760"/>
      <c r="S560" s="760"/>
      <c r="T560" s="760"/>
      <c r="U560" s="760"/>
      <c r="V560" s="760"/>
      <c r="W560" s="760"/>
      <c r="X560" s="760"/>
      <c r="Y560" s="760"/>
      <c r="Z560" s="760"/>
      <c r="AA560" s="760"/>
      <c r="AB560" s="760"/>
      <c r="AC560" s="760"/>
      <c r="AD560" s="760"/>
      <c r="AE560" s="760"/>
      <c r="AF560" s="760"/>
      <c r="AG560" s="760"/>
      <c r="AH560" s="760"/>
      <c r="AI560" s="760"/>
      <c r="AJ560" s="760"/>
      <c r="AK560" s="760"/>
      <c r="AL560" s="760"/>
      <c r="AM560" s="761"/>
      <c r="AN560" s="598"/>
    </row>
    <row r="561" spans="1:42" s="551" customFormat="1" ht="12.75" customHeight="1" thickTop="1">
      <c r="A561" s="667"/>
      <c r="B561" s="668"/>
      <c r="C561" s="667"/>
      <c r="D561" s="668"/>
      <c r="E561" s="668"/>
      <c r="F561" s="668"/>
      <c r="G561" s="668"/>
      <c r="H561" s="668"/>
      <c r="I561" s="668"/>
      <c r="J561" s="668"/>
      <c r="K561" s="668"/>
      <c r="L561" s="668"/>
      <c r="M561" s="668"/>
      <c r="N561" s="668"/>
      <c r="O561" s="668"/>
      <c r="P561" s="668"/>
      <c r="Q561" s="668"/>
      <c r="R561" s="668"/>
      <c r="S561" s="668"/>
      <c r="T561" s="668"/>
      <c r="U561" s="668"/>
      <c r="V561" s="668"/>
      <c r="W561" s="668"/>
      <c r="X561" s="668"/>
      <c r="Y561" s="668"/>
      <c r="Z561" s="668"/>
      <c r="AA561" s="668"/>
      <c r="AB561" s="668"/>
      <c r="AC561" s="669"/>
      <c r="AD561" s="669"/>
      <c r="AE561" s="669"/>
      <c r="AF561" s="668"/>
      <c r="AG561" s="668"/>
      <c r="AH561" s="668"/>
      <c r="AI561" s="668"/>
      <c r="AJ561" s="668"/>
      <c r="AK561" s="668"/>
      <c r="AL561" s="668"/>
      <c r="AM561" s="670"/>
      <c r="AN561" s="598"/>
    </row>
    <row r="562" spans="1:42" s="551" customFormat="1" ht="12.75" customHeight="1">
      <c r="A562" s="539" t="s">
        <v>2022</v>
      </c>
      <c r="C562" s="539"/>
      <c r="D562" s="604"/>
      <c r="E562" s="604"/>
      <c r="F562" s="604"/>
      <c r="G562" s="604"/>
      <c r="H562" s="604"/>
      <c r="I562" s="604"/>
      <c r="J562" s="604"/>
      <c r="K562" s="604"/>
      <c r="L562" s="604"/>
      <c r="M562" s="604"/>
      <c r="N562" s="604"/>
      <c r="O562" s="604"/>
      <c r="P562" s="604"/>
      <c r="Q562" s="604"/>
      <c r="R562" s="604"/>
      <c r="S562" s="604"/>
      <c r="T562" s="604"/>
      <c r="U562" s="604"/>
      <c r="V562" s="604"/>
      <c r="W562" s="604"/>
      <c r="X562" s="604"/>
      <c r="Y562" s="604"/>
      <c r="Z562" s="604"/>
      <c r="AA562" s="604"/>
      <c r="AB562" s="604"/>
      <c r="AC562" s="604"/>
      <c r="AD562" s="604"/>
      <c r="AE562" s="2473" t="s">
        <v>1313</v>
      </c>
      <c r="AF562" s="2473"/>
      <c r="AG562" s="2473"/>
      <c r="AH562" s="2473"/>
      <c r="AI562" s="2473"/>
      <c r="AJ562" s="2473"/>
      <c r="AK562" s="2473"/>
      <c r="AL562" s="592"/>
      <c r="AM562" s="604"/>
      <c r="AN562" s="598"/>
    </row>
    <row r="563" spans="1:42" s="551" customFormat="1" ht="12.75" customHeight="1">
      <c r="C563" s="604"/>
      <c r="D563" s="604"/>
      <c r="E563" s="604"/>
      <c r="F563" s="604"/>
      <c r="G563" s="604"/>
      <c r="H563" s="604"/>
      <c r="I563" s="604"/>
      <c r="J563" s="604"/>
      <c r="K563" s="604"/>
      <c r="L563" s="604"/>
      <c r="M563" s="604"/>
      <c r="N563" s="604"/>
      <c r="O563" s="604"/>
      <c r="P563" s="604"/>
      <c r="Q563" s="604"/>
      <c r="R563" s="604"/>
      <c r="S563" s="604"/>
      <c r="T563" s="604"/>
      <c r="U563" s="604"/>
      <c r="V563" s="604"/>
      <c r="W563" s="604"/>
      <c r="X563" s="604"/>
      <c r="Y563" s="604"/>
      <c r="Z563" s="604"/>
      <c r="AA563" s="604"/>
      <c r="AB563" s="604"/>
      <c r="AC563" s="604"/>
      <c r="AD563" s="604"/>
      <c r="AE563" s="604"/>
      <c r="AF563" s="604"/>
      <c r="AG563" s="604"/>
      <c r="AH563" s="604"/>
      <c r="AI563" s="604"/>
      <c r="AJ563" s="604"/>
      <c r="AK563" s="604"/>
      <c r="AL563" s="604"/>
      <c r="AM563" s="604"/>
      <c r="AN563" s="598"/>
    </row>
    <row r="564" spans="1:42" s="551" customFormat="1" ht="12.75" customHeight="1">
      <c r="A564" s="604"/>
      <c r="B564" s="2433" t="s">
        <v>2023</v>
      </c>
      <c r="C564" s="2433"/>
      <c r="D564" s="2433"/>
      <c r="E564" s="2433"/>
      <c r="F564" s="2433"/>
      <c r="G564" s="2433"/>
      <c r="H564" s="2433"/>
      <c r="I564" s="2433"/>
      <c r="J564" s="2433"/>
      <c r="K564" s="2433"/>
      <c r="L564" s="2433"/>
      <c r="M564" s="2433"/>
      <c r="N564" s="2433"/>
      <c r="O564" s="2433"/>
      <c r="P564" s="2433"/>
      <c r="Q564" s="2433"/>
      <c r="R564" s="2433"/>
      <c r="S564" s="2433"/>
      <c r="T564" s="2433"/>
      <c r="U564" s="2433"/>
      <c r="V564" s="2433"/>
      <c r="W564" s="2433"/>
      <c r="X564" s="2433"/>
      <c r="Y564" s="2433"/>
      <c r="Z564" s="2433"/>
      <c r="AA564" s="2433"/>
      <c r="AB564" s="2433"/>
      <c r="AC564" s="2433"/>
      <c r="AD564" s="2433"/>
      <c r="AE564" s="2433"/>
      <c r="AF564" s="2433"/>
      <c r="AG564" s="2433"/>
      <c r="AH564" s="2433"/>
      <c r="AI564" s="2433"/>
      <c r="AJ564" s="2433"/>
      <c r="AK564" s="643"/>
      <c r="AL564" s="574"/>
      <c r="AM564" s="604"/>
      <c r="AN564" s="598"/>
    </row>
    <row r="565" spans="1:42" s="551" customFormat="1" ht="12.75" customHeight="1">
      <c r="A565" s="604"/>
      <c r="B565" s="2433"/>
      <c r="C565" s="2433"/>
      <c r="D565" s="2433"/>
      <c r="E565" s="2433"/>
      <c r="F565" s="2433"/>
      <c r="G565" s="2433"/>
      <c r="H565" s="2433"/>
      <c r="I565" s="2433"/>
      <c r="J565" s="2433"/>
      <c r="K565" s="2433"/>
      <c r="L565" s="2433"/>
      <c r="M565" s="2433"/>
      <c r="N565" s="2433"/>
      <c r="O565" s="2433"/>
      <c r="P565" s="2433"/>
      <c r="Q565" s="2433"/>
      <c r="R565" s="2433"/>
      <c r="S565" s="2433"/>
      <c r="T565" s="2433"/>
      <c r="U565" s="2433"/>
      <c r="V565" s="2433"/>
      <c r="W565" s="2433"/>
      <c r="X565" s="2433"/>
      <c r="Y565" s="2433"/>
      <c r="Z565" s="2433"/>
      <c r="AA565" s="2433"/>
      <c r="AB565" s="2433"/>
      <c r="AC565" s="2433"/>
      <c r="AD565" s="2433"/>
      <c r="AE565" s="2433"/>
      <c r="AF565" s="2433"/>
      <c r="AG565" s="2433"/>
      <c r="AH565" s="2433"/>
      <c r="AI565" s="2433"/>
      <c r="AJ565" s="2433"/>
      <c r="AK565" s="643"/>
      <c r="AL565" s="574"/>
      <c r="AM565" s="604"/>
      <c r="AN565" s="598"/>
    </row>
    <row r="566" spans="1:42" s="551" customFormat="1" ht="12.75" customHeight="1">
      <c r="A566" s="604"/>
      <c r="B566" s="2433"/>
      <c r="C566" s="2433"/>
      <c r="D566" s="2433"/>
      <c r="E566" s="2433"/>
      <c r="F566" s="2433"/>
      <c r="G566" s="2433"/>
      <c r="H566" s="2433"/>
      <c r="I566" s="2433"/>
      <c r="J566" s="2433"/>
      <c r="K566" s="2433"/>
      <c r="L566" s="2433"/>
      <c r="M566" s="2433"/>
      <c r="N566" s="2433"/>
      <c r="O566" s="2433"/>
      <c r="P566" s="2433"/>
      <c r="Q566" s="2433"/>
      <c r="R566" s="2433"/>
      <c r="S566" s="2433"/>
      <c r="T566" s="2433"/>
      <c r="U566" s="2433"/>
      <c r="V566" s="2433"/>
      <c r="W566" s="2433"/>
      <c r="X566" s="2433"/>
      <c r="Y566" s="2433"/>
      <c r="Z566" s="2433"/>
      <c r="AA566" s="2433"/>
      <c r="AB566" s="2433"/>
      <c r="AC566" s="2433"/>
      <c r="AD566" s="2433"/>
      <c r="AE566" s="2433"/>
      <c r="AF566" s="2433"/>
      <c r="AG566" s="2433"/>
      <c r="AH566" s="2433"/>
      <c r="AI566" s="2433"/>
      <c r="AJ566" s="2433"/>
      <c r="AK566" s="643"/>
      <c r="AL566" s="574"/>
      <c r="AM566" s="604"/>
      <c r="AN566" s="598"/>
    </row>
    <row r="567" spans="1:42" s="551" customFormat="1" ht="12.75" customHeight="1">
      <c r="A567" s="604"/>
      <c r="B567" s="2433"/>
      <c r="C567" s="2433"/>
      <c r="D567" s="2433"/>
      <c r="E567" s="2433"/>
      <c r="F567" s="2433"/>
      <c r="G567" s="2433"/>
      <c r="H567" s="2433"/>
      <c r="I567" s="2433"/>
      <c r="J567" s="2433"/>
      <c r="K567" s="2433"/>
      <c r="L567" s="2433"/>
      <c r="M567" s="2433"/>
      <c r="N567" s="2433"/>
      <c r="O567" s="2433"/>
      <c r="P567" s="2433"/>
      <c r="Q567" s="2433"/>
      <c r="R567" s="2433"/>
      <c r="S567" s="2433"/>
      <c r="T567" s="2433"/>
      <c r="U567" s="2433"/>
      <c r="V567" s="2433"/>
      <c r="W567" s="2433"/>
      <c r="X567" s="2433"/>
      <c r="Y567" s="2433"/>
      <c r="Z567" s="2433"/>
      <c r="AA567" s="2433"/>
      <c r="AB567" s="2433"/>
      <c r="AC567" s="2433"/>
      <c r="AD567" s="2433"/>
      <c r="AE567" s="2433"/>
      <c r="AF567" s="2433"/>
      <c r="AG567" s="2433"/>
      <c r="AH567" s="2433"/>
      <c r="AI567" s="2433"/>
      <c r="AJ567" s="2433"/>
      <c r="AK567" s="643"/>
      <c r="AL567" s="574"/>
      <c r="AM567" s="604"/>
      <c r="AN567" s="598"/>
    </row>
    <row r="568" spans="1:42" s="551" customFormat="1" ht="12.75" customHeight="1">
      <c r="A568" s="604"/>
      <c r="B568" s="2433"/>
      <c r="C568" s="2433"/>
      <c r="D568" s="2433"/>
      <c r="E568" s="2433"/>
      <c r="F568" s="2433"/>
      <c r="G568" s="2433"/>
      <c r="H568" s="2433"/>
      <c r="I568" s="2433"/>
      <c r="J568" s="2433"/>
      <c r="K568" s="2433"/>
      <c r="L568" s="2433"/>
      <c r="M568" s="2433"/>
      <c r="N568" s="2433"/>
      <c r="O568" s="2433"/>
      <c r="P568" s="2433"/>
      <c r="Q568" s="2433"/>
      <c r="R568" s="2433"/>
      <c r="S568" s="2433"/>
      <c r="T568" s="2433"/>
      <c r="U568" s="2433"/>
      <c r="V568" s="2433"/>
      <c r="W568" s="2433"/>
      <c r="X568" s="2433"/>
      <c r="Y568" s="2433"/>
      <c r="Z568" s="2433"/>
      <c r="AA568" s="2433"/>
      <c r="AB568" s="2433"/>
      <c r="AC568" s="2433"/>
      <c r="AD568" s="2433"/>
      <c r="AE568" s="2433"/>
      <c r="AF568" s="2433"/>
      <c r="AG568" s="2433"/>
      <c r="AH568" s="2433"/>
      <c r="AI568" s="2433"/>
      <c r="AJ568" s="2433"/>
      <c r="AK568" s="643"/>
      <c r="AL568" s="574"/>
      <c r="AM568" s="604"/>
      <c r="AN568" s="598"/>
    </row>
    <row r="569" spans="1:42" s="551" customFormat="1" ht="12.75" customHeight="1">
      <c r="A569" s="604"/>
      <c r="B569" s="2433"/>
      <c r="C569" s="2433"/>
      <c r="D569" s="2433"/>
      <c r="E569" s="2433"/>
      <c r="F569" s="2433"/>
      <c r="G569" s="2433"/>
      <c r="H569" s="2433"/>
      <c r="I569" s="2433"/>
      <c r="J569" s="2433"/>
      <c r="K569" s="2433"/>
      <c r="L569" s="2433"/>
      <c r="M569" s="2433"/>
      <c r="N569" s="2433"/>
      <c r="O569" s="2433"/>
      <c r="P569" s="2433"/>
      <c r="Q569" s="2433"/>
      <c r="R569" s="2433"/>
      <c r="S569" s="2433"/>
      <c r="T569" s="2433"/>
      <c r="U569" s="2433"/>
      <c r="V569" s="2433"/>
      <c r="W569" s="2433"/>
      <c r="X569" s="2433"/>
      <c r="Y569" s="2433"/>
      <c r="Z569" s="2433"/>
      <c r="AA569" s="2433"/>
      <c r="AB569" s="2433"/>
      <c r="AC569" s="2433"/>
      <c r="AD569" s="2433"/>
      <c r="AE569" s="2433"/>
      <c r="AF569" s="2433"/>
      <c r="AG569" s="2433"/>
      <c r="AH569" s="2433"/>
      <c r="AI569" s="2433"/>
      <c r="AJ569" s="2433"/>
      <c r="AK569" s="643"/>
      <c r="AL569" s="574"/>
      <c r="AM569" s="604"/>
      <c r="AN569" s="598"/>
    </row>
    <row r="570" spans="1:42" s="551" customFormat="1" ht="12.75" customHeight="1">
      <c r="A570" s="604"/>
      <c r="B570" s="2433"/>
      <c r="C570" s="2433"/>
      <c r="D570" s="2433"/>
      <c r="E570" s="2433"/>
      <c r="F570" s="2433"/>
      <c r="G570" s="2433"/>
      <c r="H570" s="2433"/>
      <c r="I570" s="2433"/>
      <c r="J570" s="2433"/>
      <c r="K570" s="2433"/>
      <c r="L570" s="2433"/>
      <c r="M570" s="2433"/>
      <c r="N570" s="2433"/>
      <c r="O570" s="2433"/>
      <c r="P570" s="2433"/>
      <c r="Q570" s="2433"/>
      <c r="R570" s="2433"/>
      <c r="S570" s="2433"/>
      <c r="T570" s="2433"/>
      <c r="U570" s="2433"/>
      <c r="V570" s="2433"/>
      <c r="W570" s="2433"/>
      <c r="X570" s="2433"/>
      <c r="Y570" s="2433"/>
      <c r="Z570" s="2433"/>
      <c r="AA570" s="2433"/>
      <c r="AB570" s="2433"/>
      <c r="AC570" s="2433"/>
      <c r="AD570" s="2433"/>
      <c r="AE570" s="2433"/>
      <c r="AF570" s="2433"/>
      <c r="AG570" s="2433"/>
      <c r="AH570" s="2433"/>
      <c r="AI570" s="2433"/>
      <c r="AJ570" s="2433"/>
      <c r="AK570" s="643"/>
      <c r="AL570" s="574"/>
      <c r="AM570" s="604"/>
      <c r="AN570" s="598"/>
    </row>
    <row r="571" spans="1:42" ht="12.75" customHeight="1">
      <c r="A571" s="604"/>
      <c r="B571" s="2433"/>
      <c r="C571" s="2433"/>
      <c r="D571" s="2433"/>
      <c r="E571" s="2433"/>
      <c r="F571" s="2433"/>
      <c r="G571" s="2433"/>
      <c r="H571" s="2433"/>
      <c r="I571" s="2433"/>
      <c r="J571" s="2433"/>
      <c r="K571" s="2433"/>
      <c r="L571" s="2433"/>
      <c r="M571" s="2433"/>
      <c r="N571" s="2433"/>
      <c r="O571" s="2433"/>
      <c r="P571" s="2433"/>
      <c r="Q571" s="2433"/>
      <c r="R571" s="2433"/>
      <c r="S571" s="2433"/>
      <c r="T571" s="2433"/>
      <c r="U571" s="2433"/>
      <c r="V571" s="2433"/>
      <c r="W571" s="2433"/>
      <c r="X571" s="2433"/>
      <c r="Y571" s="2433"/>
      <c r="Z571" s="2433"/>
      <c r="AA571" s="2433"/>
      <c r="AB571" s="2433"/>
      <c r="AC571" s="2433"/>
      <c r="AD571" s="2433"/>
      <c r="AE571" s="2433"/>
      <c r="AF571" s="2433"/>
      <c r="AG571" s="2433"/>
      <c r="AH571" s="2433"/>
      <c r="AI571" s="2433"/>
      <c r="AJ571" s="2433"/>
      <c r="AK571" s="643"/>
      <c r="AL571" s="574"/>
      <c r="AM571" s="604"/>
    </row>
    <row r="572" spans="1:42" s="551" customFormat="1" ht="12.75" customHeight="1">
      <c r="B572" s="2433"/>
      <c r="C572" s="2433"/>
      <c r="D572" s="2433"/>
      <c r="E572" s="2433"/>
      <c r="F572" s="2433"/>
      <c r="G572" s="2433"/>
      <c r="H572" s="2433"/>
      <c r="I572" s="2433"/>
      <c r="J572" s="2433"/>
      <c r="K572" s="2433"/>
      <c r="L572" s="2433"/>
      <c r="M572" s="2433"/>
      <c r="N572" s="2433"/>
      <c r="O572" s="2433"/>
      <c r="P572" s="2433"/>
      <c r="Q572" s="2433"/>
      <c r="R572" s="2433"/>
      <c r="S572" s="2433"/>
      <c r="T572" s="2433"/>
      <c r="U572" s="2433"/>
      <c r="V572" s="2433"/>
      <c r="W572" s="2433"/>
      <c r="X572" s="2433"/>
      <c r="Y572" s="2433"/>
      <c r="Z572" s="2433"/>
      <c r="AA572" s="2433"/>
      <c r="AB572" s="2433"/>
      <c r="AC572" s="2433"/>
      <c r="AD572" s="2433"/>
      <c r="AE572" s="2433"/>
      <c r="AF572" s="2433"/>
      <c r="AG572" s="2433"/>
      <c r="AH572" s="2433"/>
      <c r="AI572" s="2433"/>
      <c r="AJ572" s="2433"/>
      <c r="AK572" s="643"/>
      <c r="AL572" s="574"/>
      <c r="AN572" s="598"/>
    </row>
    <row r="573" spans="1:42" s="551" customFormat="1" ht="12.75" customHeight="1">
      <c r="B573" s="643"/>
      <c r="C573" s="643"/>
      <c r="D573" s="643"/>
      <c r="E573" s="643"/>
      <c r="F573" s="643"/>
      <c r="G573" s="643"/>
      <c r="H573" s="643"/>
      <c r="I573" s="643"/>
      <c r="J573" s="643"/>
      <c r="K573" s="643"/>
      <c r="L573" s="643"/>
      <c r="M573" s="643"/>
      <c r="N573" s="643"/>
      <c r="O573" s="643"/>
      <c r="P573" s="643"/>
      <c r="Q573" s="643"/>
      <c r="R573" s="643"/>
      <c r="S573" s="643"/>
      <c r="T573" s="643"/>
      <c r="U573" s="643"/>
      <c r="V573" s="643"/>
      <c r="W573" s="643"/>
      <c r="X573" s="643"/>
      <c r="Y573" s="643"/>
      <c r="Z573" s="643"/>
      <c r="AA573" s="643"/>
      <c r="AB573" s="643"/>
      <c r="AC573" s="643"/>
      <c r="AD573" s="643"/>
      <c r="AE573" s="643"/>
      <c r="AF573" s="643"/>
      <c r="AG573" s="643"/>
      <c r="AH573" s="643"/>
      <c r="AI573" s="643"/>
      <c r="AJ573" s="643"/>
      <c r="AK573" s="643"/>
      <c r="AL573" s="574"/>
      <c r="AN573" s="598"/>
    </row>
    <row r="574" spans="1:42" s="551" customFormat="1" ht="12.75" customHeight="1">
      <c r="B574" s="664" t="s">
        <v>1393</v>
      </c>
      <c r="C574" s="672"/>
      <c r="D574" s="574"/>
      <c r="E574" s="574"/>
      <c r="F574" s="574"/>
      <c r="G574" s="574"/>
      <c r="H574" s="574"/>
      <c r="I574" s="574"/>
      <c r="J574" s="574"/>
      <c r="K574" s="574"/>
      <c r="L574" s="574"/>
      <c r="M574" s="574"/>
      <c r="N574" s="574"/>
      <c r="O574" s="574"/>
      <c r="P574" s="574"/>
      <c r="Q574" s="574"/>
      <c r="R574" s="574"/>
      <c r="S574" s="574"/>
      <c r="T574" s="574"/>
      <c r="U574" s="574"/>
      <c r="V574" s="574"/>
      <c r="W574" s="574"/>
      <c r="X574" s="574"/>
      <c r="Y574" s="574"/>
      <c r="Z574" s="574"/>
      <c r="AA574" s="574"/>
      <c r="AB574" s="574"/>
      <c r="AC574" s="574"/>
      <c r="AD574" s="574"/>
      <c r="AE574" s="574"/>
      <c r="AF574" s="574"/>
      <c r="AG574" s="574"/>
      <c r="AH574" s="574"/>
      <c r="AI574" s="574"/>
      <c r="AN574" s="598"/>
      <c r="AP574" s="551" t="s">
        <v>590</v>
      </c>
    </row>
    <row r="575" spans="1:42" s="551" customFormat="1" ht="12.75" customHeight="1">
      <c r="B575" s="537"/>
      <c r="C575" s="672"/>
      <c r="D575" s="574"/>
      <c r="E575" s="574"/>
      <c r="F575" s="574"/>
      <c r="G575" s="574"/>
      <c r="H575" s="574"/>
      <c r="I575" s="574"/>
      <c r="J575" s="574"/>
      <c r="K575" s="574"/>
      <c r="L575" s="574"/>
      <c r="M575" s="574"/>
      <c r="N575" s="574"/>
      <c r="O575" s="574"/>
      <c r="P575" s="574"/>
      <c r="Q575" s="574"/>
      <c r="R575" s="574"/>
      <c r="S575" s="574"/>
      <c r="T575" s="574"/>
      <c r="U575" s="574"/>
      <c r="V575" s="574"/>
      <c r="W575" s="574"/>
      <c r="X575" s="574"/>
      <c r="Y575" s="574"/>
      <c r="Z575" s="574"/>
      <c r="AA575" s="574"/>
      <c r="AB575" s="574"/>
      <c r="AC575" s="574"/>
      <c r="AD575" s="574"/>
      <c r="AE575" s="574"/>
      <c r="AF575" s="574"/>
      <c r="AG575" s="574"/>
      <c r="AH575" s="574"/>
      <c r="AI575" s="574"/>
      <c r="AN575" s="598"/>
      <c r="AP575" s="551" t="s">
        <v>544</v>
      </c>
    </row>
    <row r="576" spans="1:42" s="551" customFormat="1" ht="12.75" customHeight="1">
      <c r="C576" s="540" t="s">
        <v>1394</v>
      </c>
      <c r="D576" s="673"/>
      <c r="E576" s="574"/>
      <c r="F576" s="574"/>
      <c r="G576" s="574"/>
      <c r="H576" s="574"/>
      <c r="I576" s="574"/>
      <c r="J576" s="574"/>
      <c r="K576" s="574"/>
      <c r="L576" s="574"/>
      <c r="M576" s="574"/>
      <c r="N576" s="574"/>
      <c r="O576" s="574"/>
      <c r="P576" s="574"/>
      <c r="Q576" s="574"/>
      <c r="R576" s="574"/>
      <c r="S576" s="574"/>
      <c r="T576" s="574"/>
      <c r="U576" s="574"/>
      <c r="V576" s="574"/>
      <c r="W576" s="574"/>
      <c r="X576" s="574"/>
      <c r="Y576" s="574"/>
      <c r="Z576" s="574"/>
      <c r="AA576" s="574"/>
      <c r="AB576" s="574"/>
      <c r="AC576" s="574"/>
      <c r="AD576" s="574"/>
      <c r="AE576" s="574"/>
      <c r="AF576" s="574"/>
      <c r="AG576" s="574"/>
      <c r="AH576" s="574"/>
      <c r="AI576" s="574"/>
      <c r="AN576" s="598"/>
    </row>
    <row r="577" spans="1:42" s="551" customFormat="1" ht="12.75" customHeight="1">
      <c r="B577" s="537"/>
      <c r="C577" s="537"/>
      <c r="D577" s="641"/>
      <c r="E577" s="644"/>
      <c r="F577" s="644"/>
      <c r="G577" s="644"/>
      <c r="H577" s="644"/>
      <c r="I577" s="644"/>
      <c r="J577" s="644"/>
      <c r="K577" s="644"/>
      <c r="L577" s="644"/>
      <c r="M577" s="644"/>
      <c r="N577" s="644"/>
      <c r="O577" s="644"/>
      <c r="P577" s="644"/>
      <c r="Q577" s="644"/>
      <c r="R577" s="644"/>
      <c r="S577" s="644"/>
      <c r="T577" s="644"/>
      <c r="U577" s="644"/>
      <c r="V577" s="644"/>
      <c r="W577" s="644"/>
      <c r="X577" s="644"/>
      <c r="Y577" s="644"/>
      <c r="Z577" s="644"/>
      <c r="AA577" s="644"/>
      <c r="AB577" s="644"/>
      <c r="AC577" s="644"/>
      <c r="AD577" s="644"/>
      <c r="AE577" s="644"/>
      <c r="AF577" s="537"/>
      <c r="AG577" s="537"/>
      <c r="AH577" s="537"/>
      <c r="AI577" s="537"/>
      <c r="AJ577" s="537"/>
      <c r="AK577" s="537"/>
      <c r="AL577" s="537"/>
      <c r="AN577" s="598"/>
    </row>
    <row r="578" spans="1:42" s="551" customFormat="1" ht="12.75" customHeight="1">
      <c r="B578" s="537"/>
      <c r="C578" s="537"/>
      <c r="D578" s="664" t="s">
        <v>686</v>
      </c>
      <c r="E578" s="839" t="s">
        <v>1697</v>
      </c>
      <c r="F578" s="643"/>
      <c r="G578" s="643"/>
      <c r="H578" s="643"/>
      <c r="I578" s="643"/>
      <c r="J578" s="643"/>
      <c r="K578" s="643"/>
      <c r="L578" s="643"/>
      <c r="M578" s="643"/>
      <c r="N578" s="643"/>
      <c r="O578" s="643"/>
      <c r="P578" s="643"/>
      <c r="Q578" s="643"/>
      <c r="R578" s="643"/>
      <c r="S578" s="643"/>
      <c r="T578" s="643"/>
      <c r="U578" s="643"/>
      <c r="V578" s="643"/>
      <c r="W578" s="643"/>
      <c r="X578" s="643"/>
      <c r="Y578" s="643"/>
      <c r="Z578" s="643"/>
      <c r="AA578" s="643"/>
      <c r="AB578" s="643"/>
      <c r="AC578" s="537"/>
      <c r="AD578" s="537"/>
      <c r="AE578" s="537"/>
      <c r="AF578" s="2533" t="s">
        <v>1337</v>
      </c>
      <c r="AG578" s="2533"/>
      <c r="AH578" s="2533"/>
      <c r="AI578" s="2533"/>
      <c r="AJ578" s="2533"/>
      <c r="AK578" s="2533"/>
      <c r="AL578" s="2533"/>
      <c r="AN578" s="598"/>
    </row>
    <row r="579" spans="1:42" s="551" customFormat="1" ht="12.75" customHeight="1">
      <c r="B579" s="537"/>
      <c r="C579" s="617"/>
      <c r="D579" s="664"/>
      <c r="E579" s="839" t="s">
        <v>1698</v>
      </c>
      <c r="F579" s="643"/>
      <c r="G579" s="643"/>
      <c r="H579" s="643"/>
      <c r="I579" s="643"/>
      <c r="J579" s="643"/>
      <c r="K579" s="643"/>
      <c r="L579" s="643"/>
      <c r="M579" s="643"/>
      <c r="N579" s="643"/>
      <c r="O579" s="643"/>
      <c r="P579" s="643"/>
      <c r="Q579" s="643"/>
      <c r="R579" s="643"/>
      <c r="S579" s="643"/>
      <c r="T579" s="643"/>
      <c r="U579" s="643"/>
      <c r="V579" s="643"/>
      <c r="W579" s="643"/>
      <c r="X579" s="643"/>
      <c r="Y579" s="643"/>
      <c r="Z579" s="643"/>
      <c r="AA579" s="643"/>
      <c r="AB579" s="643"/>
      <c r="AC579" s="537"/>
      <c r="AD579" s="537"/>
      <c r="AE579" s="617"/>
      <c r="AF579" s="617"/>
      <c r="AG579" s="617"/>
      <c r="AH579" s="617"/>
      <c r="AI579" s="617"/>
      <c r="AJ579" s="617"/>
      <c r="AK579" s="617"/>
      <c r="AL579" s="617"/>
      <c r="AN579" s="598"/>
    </row>
    <row r="580" spans="1:42" s="551" customFormat="1" ht="12.75" customHeight="1">
      <c r="B580" s="537"/>
      <c r="C580" s="617"/>
      <c r="D580" s="664"/>
      <c r="E580" s="839" t="s">
        <v>1699</v>
      </c>
      <c r="F580" s="643"/>
      <c r="G580" s="643"/>
      <c r="H580" s="643"/>
      <c r="I580" s="643"/>
      <c r="J580" s="643"/>
      <c r="K580" s="643"/>
      <c r="L580" s="643"/>
      <c r="M580" s="643"/>
      <c r="N580" s="643"/>
      <c r="O580" s="643"/>
      <c r="P580" s="643"/>
      <c r="Q580" s="643"/>
      <c r="R580" s="643"/>
      <c r="S580" s="643"/>
      <c r="T580" s="643"/>
      <c r="U580" s="643"/>
      <c r="V580" s="643"/>
      <c r="W580" s="643"/>
      <c r="X580" s="643"/>
      <c r="Y580" s="643"/>
      <c r="Z580" s="643"/>
      <c r="AA580" s="643"/>
      <c r="AB580" s="643"/>
      <c r="AC580" s="537"/>
      <c r="AD580" s="537"/>
      <c r="AE580" s="617"/>
      <c r="AF580" s="617"/>
      <c r="AG580" s="617"/>
      <c r="AH580" s="617"/>
      <c r="AI580" s="617"/>
      <c r="AJ580" s="617"/>
      <c r="AK580" s="617"/>
      <c r="AL580" s="617"/>
      <c r="AN580" s="598"/>
    </row>
    <row r="581" spans="1:42" s="551" customFormat="1" ht="12.75" customHeight="1">
      <c r="B581" s="537"/>
      <c r="C581" s="617"/>
      <c r="D581" s="664"/>
      <c r="E581" s="839" t="s">
        <v>1700</v>
      </c>
      <c r="F581" s="643"/>
      <c r="G581" s="643"/>
      <c r="H581" s="643"/>
      <c r="I581" s="643"/>
      <c r="J581" s="643"/>
      <c r="K581" s="643"/>
      <c r="L581" s="643"/>
      <c r="M581" s="643"/>
      <c r="N581" s="643"/>
      <c r="O581" s="643"/>
      <c r="P581" s="643"/>
      <c r="Q581" s="643"/>
      <c r="R581" s="643"/>
      <c r="S581" s="643"/>
      <c r="T581" s="643"/>
      <c r="U581" s="643"/>
      <c r="V581" s="643"/>
      <c r="W581" s="643"/>
      <c r="X581" s="643"/>
      <c r="Y581" s="643"/>
      <c r="Z581" s="643"/>
      <c r="AA581" s="643"/>
      <c r="AB581" s="643"/>
      <c r="AC581" s="537"/>
      <c r="AD581" s="537"/>
      <c r="AE581" s="617"/>
      <c r="AF581" s="617"/>
      <c r="AG581" s="617"/>
      <c r="AH581" s="617"/>
      <c r="AI581" s="617"/>
      <c r="AJ581" s="617"/>
      <c r="AK581" s="617"/>
      <c r="AL581" s="617"/>
      <c r="AN581" s="598"/>
    </row>
    <row r="582" spans="1:42" s="551" customFormat="1" ht="12.75" customHeight="1">
      <c r="B582" s="537"/>
      <c r="C582" s="617"/>
      <c r="D582" s="664"/>
      <c r="E582" s="839" t="s">
        <v>1701</v>
      </c>
      <c r="F582" s="643"/>
      <c r="G582" s="643"/>
      <c r="H582" s="643"/>
      <c r="I582" s="643"/>
      <c r="J582" s="643"/>
      <c r="K582" s="643"/>
      <c r="L582" s="643"/>
      <c r="M582" s="643"/>
      <c r="N582" s="643"/>
      <c r="O582" s="643"/>
      <c r="P582" s="643"/>
      <c r="Q582" s="643"/>
      <c r="R582" s="643"/>
      <c r="S582" s="643"/>
      <c r="T582" s="643"/>
      <c r="U582" s="643"/>
      <c r="V582" s="643"/>
      <c r="W582" s="643"/>
      <c r="X582" s="643"/>
      <c r="Y582" s="643"/>
      <c r="Z582" s="643"/>
      <c r="AA582" s="643"/>
      <c r="AB582" s="643"/>
      <c r="AC582" s="537"/>
      <c r="AD582" s="537"/>
      <c r="AE582" s="617"/>
      <c r="AF582" s="617"/>
      <c r="AG582" s="617"/>
      <c r="AH582" s="617"/>
      <c r="AI582" s="617"/>
      <c r="AJ582" s="617"/>
      <c r="AK582" s="617"/>
      <c r="AL582" s="617"/>
      <c r="AN582" s="598"/>
      <c r="AO582" s="22" t="s">
        <v>2175</v>
      </c>
      <c r="AP582" s="551" t="b">
        <f>IF(Application!AF418&gt;=25,TRUE,FALSE)</f>
        <v>1</v>
      </c>
    </row>
    <row r="583" spans="1:42" s="551" customFormat="1" ht="12.75" customHeight="1">
      <c r="B583" s="537"/>
      <c r="C583" s="617"/>
      <c r="D583" s="664"/>
      <c r="E583" s="839" t="s">
        <v>1702</v>
      </c>
      <c r="F583" s="643"/>
      <c r="G583" s="643"/>
      <c r="H583" s="643"/>
      <c r="I583" s="643"/>
      <c r="J583" s="643"/>
      <c r="K583" s="643"/>
      <c r="L583" s="643"/>
      <c r="M583" s="643"/>
      <c r="N583" s="643"/>
      <c r="O583" s="643"/>
      <c r="P583" s="643"/>
      <c r="Q583" s="643"/>
      <c r="R583" s="643"/>
      <c r="S583" s="643"/>
      <c r="T583" s="643"/>
      <c r="U583" s="643"/>
      <c r="V583" s="643"/>
      <c r="W583" s="643"/>
      <c r="X583" s="643"/>
      <c r="Y583" s="643"/>
      <c r="Z583" s="643"/>
      <c r="AA583" s="643"/>
      <c r="AB583" s="643"/>
      <c r="AC583" s="537"/>
      <c r="AD583" s="537"/>
      <c r="AE583" s="617"/>
      <c r="AF583" s="617"/>
      <c r="AG583" s="617"/>
      <c r="AH583" s="617"/>
      <c r="AI583" s="617"/>
      <c r="AJ583" s="617"/>
      <c r="AK583" s="617"/>
      <c r="AL583" s="617"/>
      <c r="AN583" s="598"/>
      <c r="AO583" s="22" t="s">
        <v>2176</v>
      </c>
      <c r="AP583" s="551" t="b">
        <f>Application!T199="Yes"</f>
        <v>0</v>
      </c>
    </row>
    <row r="584" spans="1:42" s="551" customFormat="1" ht="12.75" customHeight="1">
      <c r="B584" s="537"/>
      <c r="C584" s="617"/>
      <c r="D584" s="664"/>
      <c r="E584" s="839"/>
      <c r="F584" s="643"/>
      <c r="G584" s="643"/>
      <c r="H584" s="643"/>
      <c r="I584" s="643"/>
      <c r="J584" s="643"/>
      <c r="K584" s="643"/>
      <c r="L584" s="643"/>
      <c r="M584" s="643"/>
      <c r="N584" s="643"/>
      <c r="O584" s="643"/>
      <c r="P584" s="643"/>
      <c r="Q584" s="643"/>
      <c r="R584" s="643"/>
      <c r="S584" s="643"/>
      <c r="T584" s="643"/>
      <c r="U584" s="643"/>
      <c r="V584" s="643"/>
      <c r="W584" s="643"/>
      <c r="X584" s="643"/>
      <c r="Y584" s="643"/>
      <c r="Z584" s="643"/>
      <c r="AA584" s="643"/>
      <c r="AB584" s="643"/>
      <c r="AC584" s="537"/>
      <c r="AD584" s="537"/>
      <c r="AE584" s="617"/>
      <c r="AF584" s="537"/>
      <c r="AG584" s="537"/>
      <c r="AH584" s="537"/>
      <c r="AI584" s="537"/>
      <c r="AJ584" s="537"/>
      <c r="AK584" s="537"/>
      <c r="AL584" s="537"/>
      <c r="AN584" s="598"/>
    </row>
    <row r="585" spans="1:42" s="551" customFormat="1" ht="12.75" customHeight="1">
      <c r="A585" s="638"/>
      <c r="B585" s="537"/>
      <c r="C585" s="932"/>
      <c r="D585" s="664" t="s">
        <v>508</v>
      </c>
      <c r="E585" s="839" t="s">
        <v>1703</v>
      </c>
      <c r="F585" s="933"/>
      <c r="G585" s="933"/>
      <c r="H585" s="933"/>
      <c r="I585" s="933"/>
      <c r="J585" s="933"/>
      <c r="K585" s="933"/>
      <c r="L585" s="933"/>
      <c r="M585" s="933"/>
      <c r="N585" s="933"/>
      <c r="O585" s="933"/>
      <c r="P585" s="933"/>
      <c r="Q585" s="933"/>
      <c r="R585" s="933"/>
      <c r="S585" s="933"/>
      <c r="T585" s="933"/>
      <c r="U585" s="933"/>
      <c r="V585" s="933"/>
      <c r="W585" s="933"/>
      <c r="X585" s="933"/>
      <c r="Y585" s="933"/>
      <c r="Z585" s="933"/>
      <c r="AA585" s="933"/>
      <c r="AB585" s="933"/>
      <c r="AC585" s="537"/>
      <c r="AD585" s="537"/>
      <c r="AE585" s="537"/>
      <c r="AF585" s="2533" t="s">
        <v>1395</v>
      </c>
      <c r="AG585" s="2533"/>
      <c r="AH585" s="2533"/>
      <c r="AI585" s="2533"/>
      <c r="AJ585" s="2533"/>
      <c r="AK585" s="2533"/>
      <c r="AL585" s="2533"/>
      <c r="AN585" s="598"/>
    </row>
    <row r="586" spans="1:42" s="551" customFormat="1" ht="12.75" customHeight="1">
      <c r="B586" s="537"/>
      <c r="C586" s="934"/>
      <c r="D586" s="664"/>
      <c r="E586" s="839" t="s">
        <v>1704</v>
      </c>
      <c r="F586" s="933"/>
      <c r="G586" s="933"/>
      <c r="H586" s="933"/>
      <c r="I586" s="933"/>
      <c r="J586" s="933"/>
      <c r="K586" s="933"/>
      <c r="L586" s="933"/>
      <c r="M586" s="933"/>
      <c r="N586" s="933"/>
      <c r="O586" s="933"/>
      <c r="P586" s="933"/>
      <c r="Q586" s="933"/>
      <c r="R586" s="933"/>
      <c r="S586" s="933"/>
      <c r="T586" s="933"/>
      <c r="U586" s="933"/>
      <c r="V586" s="933"/>
      <c r="W586" s="933"/>
      <c r="X586" s="933"/>
      <c r="Y586" s="933"/>
      <c r="Z586" s="933"/>
      <c r="AA586" s="933"/>
      <c r="AB586" s="933"/>
      <c r="AC586" s="537"/>
      <c r="AD586" s="537"/>
      <c r="AE586" s="537"/>
      <c r="AF586" s="537"/>
      <c r="AG586" s="537"/>
      <c r="AH586" s="537"/>
      <c r="AI586" s="537"/>
      <c r="AJ586" s="537"/>
      <c r="AK586" s="537"/>
      <c r="AL586" s="537"/>
      <c r="AN586" s="598"/>
      <c r="AO586" s="551" t="s">
        <v>590</v>
      </c>
      <c r="AP586" s="674">
        <v>0</v>
      </c>
    </row>
    <row r="587" spans="1:42" s="551" customFormat="1" ht="12.75" customHeight="1">
      <c r="B587" s="611"/>
      <c r="C587" s="932"/>
      <c r="D587" s="664"/>
      <c r="E587" s="839" t="s">
        <v>1705</v>
      </c>
      <c r="F587" s="933"/>
      <c r="G587" s="933"/>
      <c r="H587" s="933"/>
      <c r="I587" s="933"/>
      <c r="J587" s="933"/>
      <c r="K587" s="933"/>
      <c r="L587" s="933"/>
      <c r="M587" s="933"/>
      <c r="N587" s="933"/>
      <c r="O587" s="933"/>
      <c r="P587" s="933"/>
      <c r="Q587" s="933"/>
      <c r="R587" s="933"/>
      <c r="S587" s="933"/>
      <c r="T587" s="933"/>
      <c r="U587" s="933"/>
      <c r="V587" s="933"/>
      <c r="W587" s="933"/>
      <c r="X587" s="933"/>
      <c r="Y587" s="933"/>
      <c r="Z587" s="933"/>
      <c r="AA587" s="933"/>
      <c r="AB587" s="933"/>
      <c r="AC587" s="537"/>
      <c r="AD587" s="537"/>
      <c r="AE587" s="537"/>
      <c r="AF587" s="537"/>
      <c r="AG587" s="537"/>
      <c r="AH587" s="537"/>
      <c r="AI587" s="537"/>
      <c r="AJ587" s="537"/>
      <c r="AK587" s="537"/>
      <c r="AL587" s="537"/>
      <c r="AN587" s="598"/>
      <c r="AO587" s="612" t="s">
        <v>686</v>
      </c>
      <c r="AP587" s="551">
        <f>7*AP582</f>
        <v>7</v>
      </c>
    </row>
    <row r="588" spans="1:42" s="551" customFormat="1" ht="12.75" customHeight="1">
      <c r="B588" s="611"/>
      <c r="C588" s="932"/>
      <c r="D588" s="664"/>
      <c r="E588" s="839" t="s">
        <v>1707</v>
      </c>
      <c r="F588" s="933"/>
      <c r="G588" s="933"/>
      <c r="H588" s="933"/>
      <c r="I588" s="933"/>
      <c r="J588" s="933"/>
      <c r="K588" s="933"/>
      <c r="L588" s="933"/>
      <c r="M588" s="933"/>
      <c r="N588" s="933"/>
      <c r="O588" s="933"/>
      <c r="P588" s="933"/>
      <c r="Q588" s="933"/>
      <c r="R588" s="933"/>
      <c r="S588" s="933"/>
      <c r="T588" s="933"/>
      <c r="U588" s="933"/>
      <c r="V588" s="933"/>
      <c r="W588" s="933"/>
      <c r="X588" s="933"/>
      <c r="Y588" s="933"/>
      <c r="Z588" s="933"/>
      <c r="AA588" s="933"/>
      <c r="AB588" s="933"/>
      <c r="AC588" s="537"/>
      <c r="AD588" s="537"/>
      <c r="AE588" s="537"/>
      <c r="AF588" s="537"/>
      <c r="AG588" s="537"/>
      <c r="AH588" s="537"/>
      <c r="AI588" s="537"/>
      <c r="AJ588" s="537"/>
      <c r="AK588" s="537"/>
      <c r="AL588" s="537"/>
      <c r="AN588" s="598"/>
      <c r="AO588" s="612" t="s">
        <v>508</v>
      </c>
      <c r="AP588" s="551">
        <v>6</v>
      </c>
    </row>
    <row r="589" spans="1:42" s="551" customFormat="1" ht="12.75" customHeight="1">
      <c r="B589" s="611"/>
      <c r="C589" s="932"/>
      <c r="D589" s="664"/>
      <c r="E589" s="839" t="s">
        <v>1706</v>
      </c>
      <c r="F589" s="933"/>
      <c r="G589" s="933"/>
      <c r="H589" s="933"/>
      <c r="I589" s="933"/>
      <c r="J589" s="933"/>
      <c r="K589" s="933"/>
      <c r="L589" s="933"/>
      <c r="M589" s="933"/>
      <c r="N589" s="933"/>
      <c r="O589" s="933"/>
      <c r="P589" s="933"/>
      <c r="Q589" s="933"/>
      <c r="R589" s="933"/>
      <c r="S589" s="933"/>
      <c r="T589" s="933"/>
      <c r="U589" s="933"/>
      <c r="V589" s="933"/>
      <c r="W589" s="933"/>
      <c r="X589" s="933"/>
      <c r="Y589" s="933"/>
      <c r="Z589" s="933"/>
      <c r="AA589" s="933"/>
      <c r="AB589" s="933"/>
      <c r="AC589" s="537"/>
      <c r="AD589" s="537"/>
      <c r="AE589" s="537"/>
      <c r="AF589" s="537"/>
      <c r="AG589" s="537"/>
      <c r="AH589" s="537"/>
      <c r="AI589" s="537"/>
      <c r="AJ589" s="537"/>
      <c r="AK589" s="537"/>
      <c r="AL589" s="537"/>
      <c r="AN589" s="598"/>
      <c r="AO589" s="612" t="s">
        <v>277</v>
      </c>
      <c r="AP589" s="551">
        <v>5</v>
      </c>
    </row>
    <row r="590" spans="1:42" s="551" customFormat="1" ht="12.75" customHeight="1">
      <c r="B590" s="611"/>
      <c r="C590" s="932"/>
      <c r="D590" s="664"/>
      <c r="E590" s="935"/>
      <c r="F590" s="936"/>
      <c r="G590" s="936"/>
      <c r="H590" s="936"/>
      <c r="I590" s="617"/>
      <c r="J590" s="617"/>
      <c r="K590" s="617"/>
      <c r="L590" s="617"/>
      <c r="M590" s="617"/>
      <c r="N590" s="617"/>
      <c r="O590" s="617"/>
      <c r="P590" s="617"/>
      <c r="Q590" s="617"/>
      <c r="R590" s="617"/>
      <c r="S590" s="617"/>
      <c r="T590" s="617"/>
      <c r="U590" s="617"/>
      <c r="V590" s="617"/>
      <c r="W590" s="617"/>
      <c r="X590" s="617"/>
      <c r="Y590" s="617"/>
      <c r="Z590" s="617"/>
      <c r="AA590" s="617"/>
      <c r="AB590" s="617"/>
      <c r="AC590" s="537"/>
      <c r="AD590" s="537"/>
      <c r="AE590" s="617"/>
      <c r="AF590" s="537"/>
      <c r="AG590" s="537"/>
      <c r="AH590" s="537"/>
      <c r="AI590" s="537"/>
      <c r="AJ590" s="537"/>
      <c r="AK590" s="537"/>
      <c r="AL590" s="537"/>
      <c r="AN590" s="598"/>
      <c r="AO590" s="612" t="s">
        <v>1396</v>
      </c>
      <c r="AP590" s="551">
        <v>4</v>
      </c>
    </row>
    <row r="591" spans="1:42" s="551" customFormat="1" ht="12.75" customHeight="1">
      <c r="B591" s="537"/>
      <c r="C591" s="932"/>
      <c r="D591" s="664" t="s">
        <v>277</v>
      </c>
      <c r="E591" s="839" t="s">
        <v>1708</v>
      </c>
      <c r="F591" s="933"/>
      <c r="G591" s="933"/>
      <c r="H591" s="933"/>
      <c r="I591" s="933"/>
      <c r="J591" s="933"/>
      <c r="K591" s="933"/>
      <c r="L591" s="933"/>
      <c r="M591" s="933"/>
      <c r="N591" s="933"/>
      <c r="O591" s="933"/>
      <c r="P591" s="933"/>
      <c r="Q591" s="933"/>
      <c r="R591" s="933"/>
      <c r="S591" s="933"/>
      <c r="T591" s="933"/>
      <c r="U591" s="933"/>
      <c r="V591" s="933"/>
      <c r="W591" s="933"/>
      <c r="X591" s="933"/>
      <c r="Y591" s="933"/>
      <c r="Z591" s="933"/>
      <c r="AA591" s="933"/>
      <c r="AB591" s="933"/>
      <c r="AC591" s="537"/>
      <c r="AD591" s="537"/>
      <c r="AE591" s="537"/>
      <c r="AF591" s="2533" t="s">
        <v>1377</v>
      </c>
      <c r="AG591" s="2533"/>
      <c r="AH591" s="2533"/>
      <c r="AI591" s="2533"/>
      <c r="AJ591" s="2533"/>
      <c r="AK591" s="2533"/>
      <c r="AL591" s="2533"/>
      <c r="AN591" s="598"/>
      <c r="AO591" s="612" t="s">
        <v>1397</v>
      </c>
      <c r="AP591" s="551">
        <v>3</v>
      </c>
    </row>
    <row r="592" spans="1:42" s="551" customFormat="1" ht="12.75" customHeight="1">
      <c r="B592" s="537"/>
      <c r="C592" s="934"/>
      <c r="D592" s="664"/>
      <c r="E592" s="839" t="s">
        <v>1704</v>
      </c>
      <c r="F592" s="933"/>
      <c r="G592" s="933"/>
      <c r="H592" s="933"/>
      <c r="I592" s="933"/>
      <c r="J592" s="933"/>
      <c r="K592" s="933"/>
      <c r="L592" s="933"/>
      <c r="M592" s="933"/>
      <c r="N592" s="933"/>
      <c r="O592" s="933"/>
      <c r="P592" s="933"/>
      <c r="Q592" s="933"/>
      <c r="R592" s="933"/>
      <c r="S592" s="933"/>
      <c r="T592" s="933"/>
      <c r="U592" s="933"/>
      <c r="V592" s="933"/>
      <c r="W592" s="933"/>
      <c r="X592" s="933"/>
      <c r="Y592" s="933"/>
      <c r="Z592" s="933"/>
      <c r="AA592" s="933"/>
      <c r="AB592" s="933"/>
      <c r="AC592" s="537"/>
      <c r="AD592" s="537"/>
      <c r="AE592" s="537"/>
      <c r="AF592" s="537"/>
      <c r="AG592" s="537"/>
      <c r="AH592" s="537"/>
      <c r="AI592" s="537"/>
      <c r="AJ592" s="537"/>
      <c r="AK592" s="537"/>
      <c r="AL592" s="537"/>
      <c r="AN592" s="598"/>
    </row>
    <row r="593" spans="1:53" s="551" customFormat="1" ht="12.75" customHeight="1">
      <c r="B593" s="537"/>
      <c r="C593" s="934"/>
      <c r="D593" s="664"/>
      <c r="E593" s="839" t="s">
        <v>1705</v>
      </c>
      <c r="F593" s="933"/>
      <c r="G593" s="933"/>
      <c r="H593" s="933"/>
      <c r="I593" s="933"/>
      <c r="J593" s="933"/>
      <c r="K593" s="933"/>
      <c r="L593" s="933"/>
      <c r="M593" s="933"/>
      <c r="N593" s="933"/>
      <c r="O593" s="933"/>
      <c r="P593" s="933"/>
      <c r="Q593" s="933"/>
      <c r="R593" s="933"/>
      <c r="S593" s="933"/>
      <c r="T593" s="933"/>
      <c r="U593" s="933"/>
      <c r="V593" s="933"/>
      <c r="W593" s="933"/>
      <c r="X593" s="933"/>
      <c r="Y593" s="933"/>
      <c r="Z593" s="933"/>
      <c r="AA593" s="933"/>
      <c r="AB593" s="933"/>
      <c r="AC593" s="537"/>
      <c r="AD593" s="537"/>
      <c r="AE593" s="537"/>
      <c r="AF593" s="537"/>
      <c r="AG593" s="537"/>
      <c r="AH593" s="537"/>
      <c r="AI593" s="537"/>
      <c r="AJ593" s="537"/>
      <c r="AK593" s="537"/>
      <c r="AL593" s="537"/>
      <c r="AN593" s="598"/>
      <c r="AO593" s="22" t="s">
        <v>2178</v>
      </c>
    </row>
    <row r="594" spans="1:53" s="551" customFormat="1" ht="12.75" customHeight="1">
      <c r="B594" s="537"/>
      <c r="C594" s="934"/>
      <c r="D594" s="664"/>
      <c r="E594" s="839" t="s">
        <v>1707</v>
      </c>
      <c r="F594" s="933"/>
      <c r="G594" s="933"/>
      <c r="H594" s="933"/>
      <c r="I594" s="933"/>
      <c r="J594" s="933"/>
      <c r="K594" s="933"/>
      <c r="L594" s="933"/>
      <c r="M594" s="933"/>
      <c r="N594" s="933"/>
      <c r="O594" s="933"/>
      <c r="P594" s="933"/>
      <c r="Q594" s="933"/>
      <c r="R594" s="933"/>
      <c r="S594" s="933"/>
      <c r="T594" s="933"/>
      <c r="U594" s="933"/>
      <c r="V594" s="933"/>
      <c r="W594" s="933"/>
      <c r="X594" s="933"/>
      <c r="Y594" s="933"/>
      <c r="Z594" s="933"/>
      <c r="AA594" s="933"/>
      <c r="AB594" s="933"/>
      <c r="AC594" s="537"/>
      <c r="AD594" s="537"/>
      <c r="AE594" s="537"/>
      <c r="AF594" s="537"/>
      <c r="AG594" s="537"/>
      <c r="AH594" s="537"/>
      <c r="AI594" s="537"/>
      <c r="AJ594" s="537"/>
      <c r="AK594" s="537"/>
      <c r="AL594" s="537"/>
      <c r="AN594" s="598"/>
      <c r="AO594" s="22" t="s">
        <v>2179</v>
      </c>
    </row>
    <row r="595" spans="1:53" s="551" customFormat="1" ht="12.75" customHeight="1">
      <c r="B595" s="537"/>
      <c r="C595" s="934"/>
      <c r="D595" s="664"/>
      <c r="E595" s="839" t="s">
        <v>1706</v>
      </c>
      <c r="F595" s="933"/>
      <c r="G595" s="933"/>
      <c r="H595" s="933"/>
      <c r="I595" s="933"/>
      <c r="J595" s="933"/>
      <c r="K595" s="933"/>
      <c r="L595" s="933"/>
      <c r="M595" s="933"/>
      <c r="N595" s="933"/>
      <c r="O595" s="933"/>
      <c r="P595" s="933"/>
      <c r="Q595" s="933"/>
      <c r="R595" s="933"/>
      <c r="S595" s="933"/>
      <c r="T595" s="933"/>
      <c r="U595" s="933"/>
      <c r="V595" s="933"/>
      <c r="W595" s="933"/>
      <c r="X595" s="933"/>
      <c r="Y595" s="933"/>
      <c r="Z595" s="933"/>
      <c r="AA595" s="933"/>
      <c r="AB595" s="933"/>
      <c r="AC595" s="537"/>
      <c r="AD595" s="537"/>
      <c r="AE595" s="537"/>
      <c r="AF595" s="537"/>
      <c r="AG595" s="537"/>
      <c r="AH595" s="537"/>
      <c r="AI595" s="537"/>
      <c r="AJ595" s="537"/>
      <c r="AK595" s="537"/>
      <c r="AL595" s="537"/>
      <c r="AN595" s="598"/>
      <c r="AO595" s="22" t="s">
        <v>2180</v>
      </c>
    </row>
    <row r="596" spans="1:53" s="551" customFormat="1" ht="12.75" customHeight="1">
      <c r="A596" s="14"/>
      <c r="B596" s="14"/>
      <c r="C596" s="14"/>
      <c r="D596" s="664"/>
      <c r="E596" s="675"/>
      <c r="F596" s="14"/>
      <c r="G596" s="14"/>
      <c r="H596" s="14"/>
      <c r="I596" s="14"/>
      <c r="J596" s="14"/>
      <c r="K596" s="14"/>
      <c r="L596" s="14"/>
      <c r="M596" s="14"/>
      <c r="N596" s="14"/>
      <c r="O596" s="14"/>
      <c r="P596" s="14"/>
      <c r="Q596" s="14"/>
      <c r="R596" s="14"/>
      <c r="S596" s="14"/>
      <c r="T596" s="14"/>
      <c r="U596" s="14"/>
      <c r="V596" s="14"/>
      <c r="W596" s="14"/>
      <c r="X596" s="14"/>
      <c r="Y596" s="14"/>
      <c r="Z596" s="14"/>
      <c r="AA596" s="14"/>
      <c r="AB596" s="14"/>
      <c r="AC596" s="537"/>
      <c r="AD596" s="537"/>
      <c r="AE596" s="14"/>
      <c r="AF596" s="537"/>
      <c r="AG596" s="537"/>
      <c r="AH596" s="537"/>
      <c r="AI596" s="537"/>
      <c r="AJ596" s="537"/>
      <c r="AK596" s="537"/>
      <c r="AL596" s="537"/>
      <c r="AM596" s="14"/>
      <c r="AN596" s="598"/>
    </row>
    <row r="597" spans="1:53" s="551" customFormat="1" ht="12.75" customHeight="1">
      <c r="B597" s="537"/>
      <c r="C597" s="932"/>
      <c r="D597" s="664" t="s">
        <v>1396</v>
      </c>
      <c r="E597" s="839" t="s">
        <v>1709</v>
      </c>
      <c r="F597" s="933"/>
      <c r="G597" s="933"/>
      <c r="H597" s="933"/>
      <c r="I597" s="933"/>
      <c r="J597" s="933"/>
      <c r="K597" s="933"/>
      <c r="L597" s="933"/>
      <c r="M597" s="933"/>
      <c r="N597" s="933"/>
      <c r="O597" s="933"/>
      <c r="P597" s="933"/>
      <c r="Q597" s="933"/>
      <c r="R597" s="933"/>
      <c r="S597" s="933"/>
      <c r="T597" s="933"/>
      <c r="U597" s="933"/>
      <c r="V597" s="933"/>
      <c r="W597" s="933"/>
      <c r="X597" s="933"/>
      <c r="Y597" s="933"/>
      <c r="Z597" s="933"/>
      <c r="AA597" s="933"/>
      <c r="AB597" s="933"/>
      <c r="AC597" s="537"/>
      <c r="AD597" s="537"/>
      <c r="AE597" s="537"/>
      <c r="AF597" s="2533" t="s">
        <v>1398</v>
      </c>
      <c r="AG597" s="2533"/>
      <c r="AH597" s="2533"/>
      <c r="AI597" s="2533"/>
      <c r="AJ597" s="2533"/>
      <c r="AK597" s="2533"/>
      <c r="AL597" s="2533"/>
      <c r="AN597" s="598"/>
      <c r="AO597" s="551" t="str">
        <f>X634</f>
        <v>N/A</v>
      </c>
    </row>
    <row r="598" spans="1:53" s="551" customFormat="1" ht="12.75" customHeight="1">
      <c r="B598" s="537"/>
      <c r="C598" s="934"/>
      <c r="D598" s="664"/>
      <c r="E598" s="839" t="s">
        <v>1710</v>
      </c>
      <c r="F598" s="933"/>
      <c r="G598" s="933"/>
      <c r="H598" s="933"/>
      <c r="I598" s="933"/>
      <c r="J598" s="933"/>
      <c r="K598" s="933"/>
      <c r="L598" s="933"/>
      <c r="M598" s="933"/>
      <c r="N598" s="933"/>
      <c r="O598" s="933"/>
      <c r="P598" s="933"/>
      <c r="Q598" s="933"/>
      <c r="R598" s="933"/>
      <c r="S598" s="933"/>
      <c r="T598" s="933"/>
      <c r="U598" s="933"/>
      <c r="V598" s="933"/>
      <c r="W598" s="933"/>
      <c r="X598" s="933"/>
      <c r="Y598" s="933"/>
      <c r="Z598" s="933"/>
      <c r="AA598" s="933"/>
      <c r="AB598" s="933"/>
      <c r="AC598" s="14"/>
      <c r="AD598" s="14"/>
      <c r="AE598" s="537"/>
      <c r="AF598" s="537"/>
      <c r="AG598" s="537"/>
      <c r="AH598" s="537"/>
      <c r="AI598" s="537"/>
      <c r="AJ598" s="537"/>
      <c r="AK598" s="537"/>
      <c r="AL598" s="537"/>
      <c r="AN598" s="598"/>
      <c r="AU598" s="595"/>
      <c r="AV598" s="595"/>
      <c r="AW598" s="595"/>
      <c r="AX598" s="595"/>
      <c r="AY598" s="595"/>
      <c r="AZ598" s="595"/>
      <c r="BA598" s="595"/>
    </row>
    <row r="599" spans="1:53" s="551" customFormat="1" ht="12.75" customHeight="1">
      <c r="B599" s="611"/>
      <c r="C599" s="932"/>
      <c r="D599" s="664"/>
      <c r="E599" s="839" t="s">
        <v>1711</v>
      </c>
      <c r="F599" s="933"/>
      <c r="G599" s="933"/>
      <c r="H599" s="933"/>
      <c r="I599" s="933"/>
      <c r="J599" s="933"/>
      <c r="K599" s="933"/>
      <c r="L599" s="933"/>
      <c r="M599" s="933"/>
      <c r="N599" s="933"/>
      <c r="O599" s="933"/>
      <c r="P599" s="933"/>
      <c r="Q599" s="933"/>
      <c r="R599" s="933"/>
      <c r="S599" s="933"/>
      <c r="T599" s="933"/>
      <c r="U599" s="933"/>
      <c r="V599" s="933"/>
      <c r="W599" s="933"/>
      <c r="X599" s="933"/>
      <c r="Y599" s="933"/>
      <c r="Z599" s="933"/>
      <c r="AA599" s="933"/>
      <c r="AB599" s="933"/>
      <c r="AC599" s="537"/>
      <c r="AD599" s="537"/>
      <c r="AE599" s="537"/>
      <c r="AF599" s="537"/>
      <c r="AG599" s="537"/>
      <c r="AH599" s="537"/>
      <c r="AI599" s="537"/>
      <c r="AJ599" s="537"/>
      <c r="AK599" s="537"/>
      <c r="AL599" s="537"/>
      <c r="AN599" s="598"/>
      <c r="AO599" s="22" t="s">
        <v>2181</v>
      </c>
    </row>
    <row r="600" spans="1:53" s="551" customFormat="1" ht="12.75" customHeight="1">
      <c r="B600" s="611"/>
      <c r="C600" s="932"/>
      <c r="D600" s="664"/>
      <c r="E600" s="839"/>
      <c r="F600" s="933"/>
      <c r="G600" s="933"/>
      <c r="H600" s="933"/>
      <c r="I600" s="933"/>
      <c r="J600" s="933"/>
      <c r="K600" s="933"/>
      <c r="L600" s="933"/>
      <c r="M600" s="933"/>
      <c r="N600" s="933"/>
      <c r="O600" s="933"/>
      <c r="P600" s="933"/>
      <c r="Q600" s="933"/>
      <c r="R600" s="933"/>
      <c r="S600" s="933"/>
      <c r="T600" s="933"/>
      <c r="U600" s="933"/>
      <c r="V600" s="933"/>
      <c r="W600" s="933"/>
      <c r="X600" s="933"/>
      <c r="Y600" s="933"/>
      <c r="Z600" s="933"/>
      <c r="AA600" s="933"/>
      <c r="AB600" s="933"/>
      <c r="AC600" s="537"/>
      <c r="AD600" s="537"/>
      <c r="AE600" s="537"/>
      <c r="AF600" s="537"/>
      <c r="AG600" s="537"/>
      <c r="AH600" s="537"/>
      <c r="AI600" s="537"/>
      <c r="AJ600" s="537"/>
      <c r="AK600" s="537"/>
      <c r="AL600" s="537"/>
      <c r="AN600" s="598"/>
      <c r="AO600" s="22" t="s">
        <v>2182</v>
      </c>
    </row>
    <row r="601" spans="1:53" s="551" customFormat="1" ht="12.75" customHeight="1">
      <c r="B601" s="611"/>
      <c r="C601" s="932"/>
      <c r="D601" s="664"/>
      <c r="E601" s="537" t="s">
        <v>1865</v>
      </c>
      <c r="O601" s="2549" t="s">
        <v>1183</v>
      </c>
      <c r="P601" s="2549"/>
      <c r="Q601" s="2549"/>
      <c r="R601" s="2549"/>
      <c r="S601" s="2549"/>
      <c r="T601" s="2549"/>
      <c r="U601" s="2549"/>
      <c r="V601" s="2549"/>
      <c r="W601" s="2549"/>
      <c r="X601" s="2549"/>
      <c r="Y601" s="2549"/>
      <c r="Z601" s="2549"/>
      <c r="AA601" s="2549"/>
      <c r="AB601" s="2549"/>
      <c r="AH601" s="537"/>
      <c r="AI601" s="537"/>
      <c r="AJ601" s="537"/>
      <c r="AK601" s="537"/>
      <c r="AL601" s="537"/>
      <c r="AN601" s="598"/>
    </row>
    <row r="602" spans="1:53" s="551" customFormat="1" ht="12.75" customHeight="1">
      <c r="B602" s="611"/>
      <c r="C602" s="932"/>
      <c r="D602" s="664"/>
      <c r="E602" s="839"/>
      <c r="F602" s="933"/>
      <c r="G602" s="933"/>
      <c r="H602" s="933"/>
      <c r="I602" s="933"/>
      <c r="J602" s="933"/>
      <c r="K602" s="933"/>
      <c r="L602" s="933"/>
      <c r="M602" s="933"/>
      <c r="N602" s="933"/>
      <c r="O602" s="933"/>
      <c r="P602" s="933"/>
      <c r="Q602" s="933"/>
      <c r="R602" s="933"/>
      <c r="S602" s="933"/>
      <c r="T602" s="933"/>
      <c r="U602" s="933"/>
      <c r="V602" s="933"/>
      <c r="W602" s="933"/>
      <c r="X602" s="933"/>
      <c r="Y602" s="933"/>
      <c r="Z602" s="933"/>
      <c r="AA602" s="933"/>
      <c r="AB602" s="933"/>
      <c r="AC602" s="537"/>
      <c r="AD602" s="537"/>
      <c r="AE602" s="537"/>
      <c r="AF602" s="537"/>
      <c r="AG602" s="537"/>
      <c r="AH602" s="537"/>
      <c r="AI602" s="537"/>
      <c r="AJ602" s="537"/>
      <c r="AK602" s="537"/>
      <c r="AL602" s="537"/>
      <c r="AN602" s="598"/>
    </row>
    <row r="603" spans="1:53" s="551" customFormat="1" ht="12.75" customHeight="1">
      <c r="B603" s="537"/>
      <c r="C603" s="932"/>
      <c r="D603" s="664" t="s">
        <v>1397</v>
      </c>
      <c r="E603" s="839" t="s">
        <v>1713</v>
      </c>
      <c r="F603" s="933"/>
      <c r="G603" s="933"/>
      <c r="H603" s="933"/>
      <c r="I603" s="933"/>
      <c r="J603" s="933"/>
      <c r="K603" s="933"/>
      <c r="L603" s="933"/>
      <c r="M603" s="933"/>
      <c r="N603" s="933"/>
      <c r="O603" s="933"/>
      <c r="P603" s="933"/>
      <c r="Q603" s="933"/>
      <c r="R603" s="933"/>
      <c r="S603" s="933"/>
      <c r="T603" s="933"/>
      <c r="U603" s="933"/>
      <c r="V603" s="933"/>
      <c r="W603" s="933"/>
      <c r="X603" s="933"/>
      <c r="Y603" s="933"/>
      <c r="Z603" s="933"/>
      <c r="AA603" s="933"/>
      <c r="AB603" s="933"/>
      <c r="AC603" s="537"/>
      <c r="AD603" s="537"/>
      <c r="AE603" s="537"/>
      <c r="AF603" s="2533" t="s">
        <v>1351</v>
      </c>
      <c r="AG603" s="2533"/>
      <c r="AH603" s="2533"/>
      <c r="AI603" s="2533"/>
      <c r="AJ603" s="2533"/>
      <c r="AK603" s="2533"/>
      <c r="AL603" s="2533"/>
      <c r="AN603" s="598"/>
    </row>
    <row r="604" spans="1:53" s="551" customFormat="1" ht="12.75" customHeight="1">
      <c r="B604" s="537"/>
      <c r="C604" s="932"/>
      <c r="D604" s="664"/>
      <c r="E604" s="839" t="s">
        <v>1712</v>
      </c>
      <c r="F604" s="933"/>
      <c r="G604" s="933"/>
      <c r="H604" s="933"/>
      <c r="I604" s="933"/>
      <c r="J604" s="933"/>
      <c r="K604" s="933"/>
      <c r="L604" s="933"/>
      <c r="M604" s="933"/>
      <c r="N604" s="933"/>
      <c r="O604" s="933"/>
      <c r="P604" s="933"/>
      <c r="Q604" s="933"/>
      <c r="R604" s="933"/>
      <c r="S604" s="933"/>
      <c r="T604" s="933"/>
      <c r="U604" s="933"/>
      <c r="V604" s="933"/>
      <c r="W604" s="933"/>
      <c r="X604" s="933"/>
      <c r="Y604" s="933"/>
      <c r="Z604" s="933"/>
      <c r="AA604" s="933"/>
      <c r="AB604" s="933"/>
      <c r="AC604" s="537"/>
      <c r="AD604" s="537"/>
      <c r="AE604" s="595"/>
      <c r="AF604" s="537"/>
      <c r="AG604" s="537"/>
      <c r="AH604" s="537"/>
      <c r="AI604" s="537"/>
      <c r="AJ604" s="537"/>
      <c r="AK604" s="537"/>
      <c r="AL604" s="537"/>
      <c r="AN604" s="598"/>
    </row>
    <row r="605" spans="1:53" s="551" customFormat="1" ht="12.75" customHeight="1">
      <c r="B605" s="537"/>
      <c r="C605" s="934"/>
      <c r="D605" s="537"/>
      <c r="E605" s="617"/>
      <c r="F605" s="937"/>
      <c r="G605" s="937"/>
      <c r="H605" s="937"/>
      <c r="I605" s="937"/>
      <c r="J605" s="937"/>
      <c r="K605" s="937"/>
      <c r="L605" s="937"/>
      <c r="M605" s="937"/>
      <c r="N605" s="937"/>
      <c r="O605" s="937"/>
      <c r="P605" s="937"/>
      <c r="Q605" s="937"/>
      <c r="R605" s="937"/>
      <c r="S605" s="937"/>
      <c r="T605" s="937"/>
      <c r="U605" s="937"/>
      <c r="V605" s="937"/>
      <c r="W605" s="937"/>
      <c r="X605" s="937"/>
      <c r="Y605" s="937"/>
      <c r="Z605" s="937"/>
      <c r="AA605" s="937"/>
      <c r="AB605" s="937"/>
      <c r="AC605" s="537"/>
      <c r="AD605" s="537"/>
      <c r="AE605" s="537"/>
      <c r="AF605" s="537"/>
      <c r="AG605" s="537"/>
      <c r="AH605" s="537"/>
      <c r="AI605" s="537"/>
      <c r="AJ605" s="537"/>
      <c r="AK605" s="537"/>
      <c r="AL605" s="537"/>
      <c r="AN605" s="598"/>
      <c r="AO605" s="551" t="s">
        <v>590</v>
      </c>
      <c r="AP605" s="674">
        <v>0</v>
      </c>
      <c r="AT605" s="551" t="s">
        <v>590</v>
      </c>
      <c r="AU605" s="674">
        <v>0</v>
      </c>
    </row>
    <row r="606" spans="1:53" s="551" customFormat="1" ht="12.75" customHeight="1">
      <c r="B606" s="537"/>
      <c r="C606" s="934"/>
      <c r="D606" s="537" t="s">
        <v>1399</v>
      </c>
      <c r="E606" s="937"/>
      <c r="F606" s="937"/>
      <c r="G606" s="937"/>
      <c r="H606" s="2457" t="s">
        <v>686</v>
      </c>
      <c r="I606" s="2457"/>
      <c r="J606" s="937"/>
      <c r="K606" s="937"/>
      <c r="L606" s="937"/>
      <c r="N606" s="22"/>
      <c r="O606" s="22"/>
      <c r="P606" s="22"/>
      <c r="Q606" s="1153" t="s">
        <v>2177</v>
      </c>
      <c r="R606" s="2550"/>
      <c r="S606" s="2550"/>
      <c r="T606" s="2550"/>
      <c r="U606" s="2550"/>
      <c r="V606" s="2550"/>
      <c r="W606" s="2550"/>
      <c r="X606" s="537"/>
      <c r="Y606" s="537"/>
      <c r="Z606" s="537"/>
      <c r="AA606" s="537"/>
      <c r="AB606" s="537"/>
      <c r="AC606" s="537"/>
      <c r="AD606" s="537"/>
      <c r="AE606" s="537"/>
      <c r="AF606" s="537"/>
      <c r="AG606" s="537"/>
      <c r="AH606" s="537"/>
      <c r="AI606" s="537"/>
      <c r="AJ606" s="537"/>
      <c r="AK606" s="537"/>
      <c r="AL606" s="537"/>
      <c r="AN606" s="598"/>
      <c r="AO606" s="612" t="s">
        <v>686</v>
      </c>
      <c r="AP606" s="551">
        <v>3</v>
      </c>
      <c r="AT606" s="612" t="s">
        <v>686</v>
      </c>
      <c r="AU606" s="551">
        <v>3</v>
      </c>
    </row>
    <row r="607" spans="1:53" s="551" customFormat="1" ht="12.75" customHeight="1">
      <c r="B607" s="537"/>
      <c r="C607" s="934"/>
      <c r="D607" s="537"/>
      <c r="E607" s="937"/>
      <c r="F607" s="937"/>
      <c r="G607" s="937"/>
      <c r="H607" s="937"/>
      <c r="I607" s="937"/>
      <c r="J607" s="937"/>
      <c r="K607" s="937"/>
      <c r="L607" s="937"/>
      <c r="M607" s="937"/>
      <c r="N607" s="537"/>
      <c r="O607" s="537"/>
      <c r="P607" s="537"/>
      <c r="Q607" s="537"/>
      <c r="R607" s="537"/>
      <c r="S607" s="537"/>
      <c r="T607" s="537"/>
      <c r="U607" s="537"/>
      <c r="V607" s="537"/>
      <c r="W607" s="537"/>
      <c r="X607" s="537"/>
      <c r="Y607" s="2551" t="str">
        <f>IF(AND(H606="(i)",NOT(AP582)),AO599,IF(AND(H606="(iv)",OR(R606=AO595,R606=AO594),NOT(AP583)),AO600,""))</f>
        <v/>
      </c>
      <c r="Z607" s="2551"/>
      <c r="AA607" s="2551"/>
      <c r="AB607" s="2551"/>
      <c r="AC607" s="2551"/>
      <c r="AD607" s="2551"/>
      <c r="AE607" s="2551"/>
      <c r="AF607" s="2551"/>
      <c r="AG607" s="2551"/>
      <c r="AH607" s="2551"/>
      <c r="AI607" s="2551"/>
      <c r="AJ607" s="2551"/>
      <c r="AK607" s="2551"/>
      <c r="AL607" s="2551"/>
      <c r="AM607" s="2552"/>
      <c r="AN607" s="598"/>
      <c r="AO607" s="612" t="s">
        <v>508</v>
      </c>
      <c r="AP607" s="551">
        <v>2</v>
      </c>
      <c r="AT607" s="612" t="s">
        <v>508</v>
      </c>
      <c r="AU607" s="551">
        <v>2</v>
      </c>
    </row>
    <row r="608" spans="1:53" s="551" customFormat="1" ht="12.75" customHeight="1">
      <c r="B608" s="537"/>
      <c r="C608" s="934"/>
      <c r="D608" s="537"/>
      <c r="E608" s="937"/>
      <c r="F608" s="937"/>
      <c r="G608" s="937"/>
      <c r="H608" s="937"/>
      <c r="I608" s="937"/>
      <c r="J608" s="937"/>
      <c r="K608" s="937"/>
      <c r="L608" s="937"/>
      <c r="M608" s="937"/>
      <c r="N608" s="537"/>
      <c r="O608" s="537"/>
      <c r="P608" s="537"/>
      <c r="Q608" s="537"/>
      <c r="X608" s="537"/>
      <c r="Y608" s="2551"/>
      <c r="Z608" s="2551"/>
      <c r="AA608" s="2551"/>
      <c r="AB608" s="2551"/>
      <c r="AC608" s="2551"/>
      <c r="AD608" s="2551"/>
      <c r="AE608" s="2551"/>
      <c r="AF608" s="2551"/>
      <c r="AG608" s="2551"/>
      <c r="AH608" s="2551"/>
      <c r="AI608" s="2551"/>
      <c r="AJ608" s="2551"/>
      <c r="AK608" s="2551"/>
      <c r="AL608" s="2551"/>
      <c r="AM608" s="2552"/>
      <c r="AN608" s="598"/>
      <c r="AO608" s="612"/>
      <c r="AT608" s="612"/>
    </row>
    <row r="609" spans="1:42" s="551" customFormat="1" ht="12.75" customHeight="1">
      <c r="B609" s="537"/>
      <c r="C609" s="934"/>
      <c r="D609" s="537" t="s">
        <v>1714</v>
      </c>
      <c r="E609" s="937"/>
      <c r="F609" s="937"/>
      <c r="G609" s="937"/>
      <c r="H609" s="937"/>
      <c r="I609" s="937"/>
      <c r="J609" s="937"/>
      <c r="K609" s="937"/>
      <c r="L609" s="937"/>
      <c r="M609" s="937"/>
      <c r="N609" s="537"/>
      <c r="O609" s="537"/>
      <c r="P609" s="537"/>
      <c r="Q609" s="537"/>
      <c r="R609" s="537"/>
      <c r="S609" s="537"/>
      <c r="T609" s="537"/>
      <c r="U609" s="537"/>
      <c r="V609" s="537"/>
      <c r="W609" s="537"/>
      <c r="X609" s="537"/>
      <c r="Y609" s="537"/>
      <c r="Z609" s="537"/>
      <c r="AA609" s="537"/>
      <c r="AB609" s="537"/>
      <c r="AC609" s="537"/>
      <c r="AD609" s="537"/>
      <c r="AE609" s="537"/>
      <c r="AF609" s="537"/>
      <c r="AG609" s="537"/>
      <c r="AH609" s="537"/>
      <c r="AI609" s="537"/>
      <c r="AJ609" s="537"/>
      <c r="AK609" s="537"/>
      <c r="AL609" s="537"/>
      <c r="AN609" s="598"/>
    </row>
    <row r="610" spans="1:42" s="551" customFormat="1" ht="12.75" customHeight="1">
      <c r="B610" s="537"/>
      <c r="C610" s="934"/>
      <c r="D610" s="537" t="s">
        <v>1715</v>
      </c>
      <c r="E610" s="937"/>
      <c r="F610" s="937"/>
      <c r="G610" s="937"/>
      <c r="H610" s="937"/>
      <c r="I610" s="937"/>
      <c r="J610" s="937"/>
      <c r="K610" s="937"/>
      <c r="L610" s="937"/>
      <c r="M610" s="937"/>
      <c r="N610" s="537"/>
      <c r="O610" s="537"/>
      <c r="P610" s="537"/>
      <c r="Q610" s="537"/>
      <c r="R610" s="537"/>
      <c r="S610" s="537"/>
      <c r="T610" s="537"/>
      <c r="U610" s="537"/>
      <c r="V610" s="537"/>
      <c r="W610" s="537"/>
      <c r="X610" s="537"/>
      <c r="Y610" s="537"/>
      <c r="Z610" s="537"/>
      <c r="AA610" s="537"/>
      <c r="AB610" s="537"/>
      <c r="AC610" s="537"/>
      <c r="AD610" s="537"/>
      <c r="AE610" s="537"/>
      <c r="AF610" s="537"/>
      <c r="AG610" s="537"/>
      <c r="AH610" s="537"/>
      <c r="AI610" s="537"/>
      <c r="AJ610" s="537"/>
      <c r="AK610" s="537"/>
      <c r="AL610" s="537"/>
      <c r="AN610" s="598"/>
    </row>
    <row r="611" spans="1:42" s="551" customFormat="1" ht="12.75" customHeight="1">
      <c r="B611" s="537"/>
      <c r="C611" s="934"/>
      <c r="D611" s="537" t="s">
        <v>1716</v>
      </c>
      <c r="E611" s="937"/>
      <c r="F611" s="937"/>
      <c r="G611" s="937"/>
      <c r="H611" s="937"/>
      <c r="I611" s="937"/>
      <c r="J611" s="937"/>
      <c r="K611" s="937"/>
      <c r="L611" s="937"/>
      <c r="M611" s="937"/>
      <c r="N611" s="537"/>
      <c r="O611" s="537"/>
      <c r="P611" s="537"/>
      <c r="Q611" s="537"/>
      <c r="R611" s="537"/>
      <c r="S611" s="537"/>
      <c r="T611" s="537"/>
      <c r="U611" s="537"/>
      <c r="V611" s="537"/>
      <c r="W611" s="537"/>
      <c r="X611" s="537"/>
      <c r="Y611" s="537"/>
      <c r="Z611" s="537"/>
      <c r="AA611" s="537"/>
      <c r="AB611" s="537"/>
      <c r="AC611" s="537"/>
      <c r="AD611" s="537"/>
      <c r="AE611" s="537"/>
      <c r="AF611" s="537"/>
      <c r="AG611" s="537"/>
      <c r="AH611" s="537"/>
      <c r="AI611" s="537"/>
      <c r="AJ611" s="537"/>
      <c r="AK611" s="537"/>
      <c r="AL611" s="537"/>
      <c r="AN611" s="598"/>
    </row>
    <row r="612" spans="1:42" s="551" customFormat="1" ht="12.75" customHeight="1">
      <c r="B612" s="537"/>
      <c r="C612" s="934"/>
      <c r="D612" s="606" t="s">
        <v>1717</v>
      </c>
      <c r="E612" s="937"/>
      <c r="F612" s="937"/>
      <c r="G612" s="937"/>
      <c r="H612" s="937"/>
      <c r="I612" s="937"/>
      <c r="J612" s="937"/>
      <c r="K612" s="937"/>
      <c r="L612" s="937"/>
      <c r="M612" s="937"/>
      <c r="N612" s="537"/>
      <c r="O612" s="537"/>
      <c r="P612" s="537"/>
      <c r="Q612" s="537"/>
      <c r="R612" s="537"/>
      <c r="S612" s="537"/>
      <c r="T612" s="537"/>
      <c r="U612" s="537"/>
      <c r="V612" s="537"/>
      <c r="W612" s="537"/>
      <c r="X612" s="537"/>
      <c r="Y612" s="537"/>
      <c r="Z612" s="537"/>
      <c r="AA612" s="537"/>
      <c r="AB612" s="537"/>
      <c r="AC612" s="537"/>
      <c r="AD612" s="537"/>
      <c r="AE612" s="537"/>
      <c r="AF612" s="537"/>
      <c r="AG612" s="537"/>
      <c r="AH612" s="537"/>
      <c r="AI612" s="537"/>
      <c r="AJ612" s="537"/>
      <c r="AK612" s="537"/>
      <c r="AL612" s="537"/>
      <c r="AN612" s="598"/>
    </row>
    <row r="613" spans="1:42" s="551" customFormat="1" ht="12.75" customHeight="1">
      <c r="B613" s="537"/>
      <c r="C613" s="934"/>
      <c r="D613" s="537"/>
      <c r="E613" s="537"/>
      <c r="F613" s="537"/>
      <c r="G613" s="537"/>
      <c r="H613" s="537"/>
      <c r="I613" s="537"/>
      <c r="J613" s="537"/>
      <c r="K613" s="537"/>
      <c r="L613" s="537"/>
      <c r="M613" s="537"/>
      <c r="N613" s="537"/>
      <c r="O613" s="537"/>
      <c r="P613" s="537"/>
      <c r="Q613" s="537"/>
      <c r="R613" s="537"/>
      <c r="S613" s="537"/>
      <c r="T613" s="537"/>
      <c r="U613" s="537"/>
      <c r="V613" s="537"/>
      <c r="W613" s="537"/>
      <c r="X613" s="537"/>
      <c r="Y613" s="537"/>
      <c r="Z613" s="537"/>
      <c r="AA613" s="537"/>
      <c r="AB613" s="537"/>
      <c r="AC613" s="537"/>
      <c r="AD613" s="537"/>
      <c r="AE613" s="537"/>
      <c r="AF613" s="537"/>
      <c r="AG613" s="537"/>
      <c r="AH613" s="537"/>
      <c r="AI613" s="537"/>
      <c r="AJ613" s="537"/>
      <c r="AK613" s="537"/>
      <c r="AL613" s="537"/>
      <c r="AN613" s="598"/>
      <c r="AO613" s="551" t="s">
        <v>590</v>
      </c>
      <c r="AP613" s="674">
        <v>0</v>
      </c>
    </row>
    <row r="614" spans="1:42" s="551" customFormat="1" ht="12.75" customHeight="1">
      <c r="B614" s="537"/>
      <c r="C614" s="934"/>
      <c r="D614" s="537"/>
      <c r="E614" s="537" t="s">
        <v>1399</v>
      </c>
      <c r="F614" s="937"/>
      <c r="G614" s="937"/>
      <c r="I614" s="2548" t="s">
        <v>590</v>
      </c>
      <c r="J614" s="2548"/>
      <c r="K614" s="2548"/>
      <c r="L614" s="2548"/>
      <c r="M614" s="2548"/>
      <c r="N614" s="2548"/>
      <c r="O614" s="2548"/>
      <c r="P614" s="2548"/>
      <c r="Q614" s="2548"/>
      <c r="R614" s="2548"/>
      <c r="S614" s="2548"/>
      <c r="T614" s="2548"/>
      <c r="U614" s="2548"/>
      <c r="V614" s="2548"/>
      <c r="W614" s="2548"/>
      <c r="X614" s="2548"/>
      <c r="Y614" s="2548"/>
      <c r="Z614" s="2548"/>
      <c r="AA614" s="2548"/>
      <c r="AB614" s="2548"/>
      <c r="AC614" s="2548"/>
      <c r="AD614" s="2548"/>
      <c r="AE614" s="2548"/>
      <c r="AF614" s="537"/>
      <c r="AG614" s="537"/>
      <c r="AH614" s="537"/>
      <c r="AI614" s="537"/>
      <c r="AJ614" s="537"/>
      <c r="AK614" s="537"/>
      <c r="AL614" s="537"/>
      <c r="AN614" s="598"/>
      <c r="AO614" s="551" t="s">
        <v>1400</v>
      </c>
      <c r="AP614" s="551">
        <v>3</v>
      </c>
    </row>
    <row r="615" spans="1:42" s="551" customFormat="1" ht="12.75" customHeight="1">
      <c r="B615" s="537"/>
      <c r="C615" s="537"/>
      <c r="D615" s="537"/>
      <c r="E615" s="537"/>
      <c r="F615" s="643"/>
      <c r="G615" s="643"/>
      <c r="H615" s="643"/>
      <c r="I615" s="643"/>
      <c r="J615" s="643"/>
      <c r="K615" s="643"/>
      <c r="L615" s="643"/>
      <c r="M615" s="643"/>
      <c r="N615" s="643"/>
      <c r="O615" s="643"/>
      <c r="P615" s="643"/>
      <c r="Q615" s="643"/>
      <c r="R615" s="643"/>
      <c r="S615" s="643"/>
      <c r="T615" s="643"/>
      <c r="U615" s="643"/>
      <c r="V615" s="643"/>
      <c r="W615" s="643"/>
      <c r="X615" s="643"/>
      <c r="Y615" s="643"/>
      <c r="Z615" s="643"/>
      <c r="AA615" s="643"/>
      <c r="AB615" s="643"/>
      <c r="AC615" s="643"/>
      <c r="AD615" s="643"/>
      <c r="AE615" s="643"/>
      <c r="AF615" s="643"/>
      <c r="AG615" s="643"/>
      <c r="AH615" s="643"/>
      <c r="AI615" s="643"/>
      <c r="AJ615" s="643"/>
      <c r="AK615" s="643"/>
      <c r="AL615" s="643"/>
      <c r="AN615" s="598"/>
      <c r="AO615" s="551" t="s">
        <v>1401</v>
      </c>
      <c r="AP615" s="551">
        <v>2</v>
      </c>
    </row>
    <row r="616" spans="1:42" s="551" customFormat="1" ht="12.75" customHeight="1">
      <c r="B616" s="2405" t="s">
        <v>590</v>
      </c>
      <c r="C616" s="2405"/>
      <c r="D616" s="643"/>
      <c r="E616" s="2433" t="s">
        <v>1402</v>
      </c>
      <c r="F616" s="2433"/>
      <c r="G616" s="2433"/>
      <c r="H616" s="2433"/>
      <c r="I616" s="2433"/>
      <c r="J616" s="2433"/>
      <c r="K616" s="2433"/>
      <c r="L616" s="2433"/>
      <c r="M616" s="2433"/>
      <c r="N616" s="2433"/>
      <c r="O616" s="2433"/>
      <c r="P616" s="2433"/>
      <c r="Q616" s="2433"/>
      <c r="R616" s="2433"/>
      <c r="S616" s="2433"/>
      <c r="T616" s="2433"/>
      <c r="U616" s="2433"/>
      <c r="V616" s="2433"/>
      <c r="W616" s="2433"/>
      <c r="X616" s="2433"/>
      <c r="Y616" s="2433"/>
      <c r="Z616" s="2433"/>
      <c r="AA616" s="2433"/>
      <c r="AB616" s="2433"/>
      <c r="AC616" s="2433"/>
      <c r="AD616" s="2433"/>
      <c r="AE616" s="2433"/>
      <c r="AF616" s="2433"/>
      <c r="AG616" s="2433"/>
      <c r="AH616" s="643"/>
      <c r="AI616" s="643"/>
      <c r="AJ616" s="643"/>
      <c r="AK616" s="643"/>
      <c r="AL616" s="643"/>
      <c r="AN616" s="598"/>
    </row>
    <row r="617" spans="1:42" s="551" customFormat="1" ht="12.75" customHeight="1">
      <c r="B617" s="537"/>
      <c r="C617" s="934"/>
      <c r="D617" s="643"/>
      <c r="E617" s="2433"/>
      <c r="F617" s="2433"/>
      <c r="G617" s="2433"/>
      <c r="H617" s="2433"/>
      <c r="I617" s="2433"/>
      <c r="J617" s="2433"/>
      <c r="K617" s="2433"/>
      <c r="L617" s="2433"/>
      <c r="M617" s="2433"/>
      <c r="N617" s="2433"/>
      <c r="O617" s="2433"/>
      <c r="P617" s="2433"/>
      <c r="Q617" s="2433"/>
      <c r="R617" s="2433"/>
      <c r="S617" s="2433"/>
      <c r="T617" s="2433"/>
      <c r="U617" s="2433"/>
      <c r="V617" s="2433"/>
      <c r="W617" s="2433"/>
      <c r="X617" s="2433"/>
      <c r="Y617" s="2433"/>
      <c r="Z617" s="2433"/>
      <c r="AA617" s="2433"/>
      <c r="AB617" s="2433"/>
      <c r="AC617" s="2433"/>
      <c r="AD617" s="2433"/>
      <c r="AE617" s="2433"/>
      <c r="AF617" s="2433"/>
      <c r="AG617" s="2433"/>
      <c r="AH617" s="643"/>
      <c r="AI617" s="643"/>
      <c r="AJ617" s="643"/>
      <c r="AK617" s="643"/>
      <c r="AL617" s="643"/>
      <c r="AN617" s="598"/>
    </row>
    <row r="618" spans="1:42" s="551" customFormat="1" ht="12.75" customHeight="1">
      <c r="B618" s="537"/>
      <c r="C618" s="934"/>
      <c r="D618" s="643"/>
      <c r="E618" s="2433"/>
      <c r="F618" s="2433"/>
      <c r="G618" s="2433"/>
      <c r="H618" s="2433"/>
      <c r="I618" s="2433"/>
      <c r="J618" s="2433"/>
      <c r="K618" s="2433"/>
      <c r="L618" s="2433"/>
      <c r="M618" s="2433"/>
      <c r="N618" s="2433"/>
      <c r="O618" s="2433"/>
      <c r="P618" s="2433"/>
      <c r="Q618" s="2433"/>
      <c r="R618" s="2433"/>
      <c r="S618" s="2433"/>
      <c r="T618" s="2433"/>
      <c r="U618" s="2433"/>
      <c r="V618" s="2433"/>
      <c r="W618" s="2433"/>
      <c r="X618" s="2433"/>
      <c r="Y618" s="2433"/>
      <c r="Z618" s="2433"/>
      <c r="AA618" s="2433"/>
      <c r="AB618" s="2433"/>
      <c r="AC618" s="2433"/>
      <c r="AD618" s="2433"/>
      <c r="AE618" s="2433"/>
      <c r="AF618" s="2433"/>
      <c r="AG618" s="2433"/>
      <c r="AH618" s="643"/>
      <c r="AI618" s="643"/>
      <c r="AJ618" s="643"/>
      <c r="AK618" s="643"/>
      <c r="AL618" s="643"/>
      <c r="AN618" s="598"/>
    </row>
    <row r="619" spans="1:42" s="551" customFormat="1" ht="12.75" customHeight="1">
      <c r="B619" s="537"/>
      <c r="C619" s="934"/>
      <c r="D619" s="643"/>
      <c r="E619" s="2433"/>
      <c r="F619" s="2433"/>
      <c r="G619" s="2433"/>
      <c r="H619" s="2433"/>
      <c r="I619" s="2433"/>
      <c r="J619" s="2433"/>
      <c r="K619" s="2433"/>
      <c r="L619" s="2433"/>
      <c r="M619" s="2433"/>
      <c r="N619" s="2433"/>
      <c r="O619" s="2433"/>
      <c r="P619" s="2433"/>
      <c r="Q619" s="2433"/>
      <c r="R619" s="2433"/>
      <c r="S619" s="2433"/>
      <c r="T619" s="2433"/>
      <c r="U619" s="2433"/>
      <c r="V619" s="2433"/>
      <c r="W619" s="2433"/>
      <c r="X619" s="2433"/>
      <c r="Y619" s="2433"/>
      <c r="Z619" s="2433"/>
      <c r="AA619" s="2433"/>
      <c r="AB619" s="2433"/>
      <c r="AC619" s="2433"/>
      <c r="AD619" s="2433"/>
      <c r="AE619" s="2433"/>
      <c r="AF619" s="2433"/>
      <c r="AG619" s="2433"/>
      <c r="AH619" s="643"/>
      <c r="AI619" s="643"/>
      <c r="AJ619" s="643"/>
      <c r="AK619" s="643"/>
      <c r="AL619" s="643"/>
      <c r="AN619" s="598"/>
    </row>
    <row r="620" spans="1:42" s="551" customFormat="1" ht="12.75" customHeight="1">
      <c r="B620" s="537"/>
      <c r="C620" s="934"/>
      <c r="D620" s="938"/>
      <c r="E620" s="958"/>
      <c r="F620" s="958"/>
      <c r="G620" s="958"/>
      <c r="H620" s="958"/>
      <c r="I620" s="958"/>
      <c r="J620" s="958"/>
      <c r="K620" s="958"/>
      <c r="L620" s="958"/>
      <c r="M620" s="958"/>
      <c r="N620" s="958"/>
      <c r="O620" s="958"/>
      <c r="P620" s="958"/>
      <c r="Q620" s="958"/>
      <c r="R620" s="958"/>
      <c r="S620" s="958"/>
      <c r="T620" s="958"/>
      <c r="U620" s="958"/>
      <c r="V620" s="958"/>
      <c r="W620" s="958"/>
      <c r="X620" s="958"/>
      <c r="Y620" s="958"/>
      <c r="Z620" s="958"/>
      <c r="AA620" s="958"/>
      <c r="AB620" s="958"/>
      <c r="AC620" s="958"/>
      <c r="AD620" s="958"/>
      <c r="AE620" s="958"/>
      <c r="AF620" s="958"/>
      <c r="AG620" s="958"/>
      <c r="AH620" s="938"/>
      <c r="AI620" s="938"/>
      <c r="AJ620" s="938"/>
      <c r="AK620" s="938"/>
      <c r="AL620" s="643"/>
      <c r="AN620" s="598"/>
    </row>
    <row r="621" spans="1:42" s="551" customFormat="1" ht="12.75" customHeight="1">
      <c r="A621" s="607"/>
      <c r="B621" s="602"/>
      <c r="C621" s="939"/>
      <c r="D621" s="602"/>
      <c r="E621" s="940"/>
      <c r="F621" s="940"/>
      <c r="G621" s="940"/>
      <c r="H621" s="940"/>
      <c r="I621" s="940"/>
      <c r="J621" s="940"/>
      <c r="K621" s="940"/>
      <c r="L621" s="940"/>
      <c r="M621" s="940"/>
      <c r="N621" s="940"/>
      <c r="O621" s="940"/>
      <c r="P621" s="940"/>
      <c r="Q621" s="940"/>
      <c r="R621" s="940"/>
      <c r="S621" s="940"/>
      <c r="T621" s="940"/>
      <c r="U621" s="940"/>
      <c r="V621" s="940"/>
      <c r="W621" s="940"/>
      <c r="X621" s="940"/>
      <c r="Y621" s="940"/>
      <c r="Z621" s="940"/>
      <c r="AA621" s="940"/>
      <c r="AB621" s="602"/>
      <c r="AC621" s="602"/>
      <c r="AD621" s="602"/>
      <c r="AE621" s="602"/>
      <c r="AF621" s="602"/>
      <c r="AG621" s="602"/>
      <c r="AH621" s="602"/>
      <c r="AI621" s="566" t="s">
        <v>1403</v>
      </c>
      <c r="AJ621" s="2440">
        <f>VLOOKUP($H$606,$AO$586:$AP$591,2,FALSE)+IF(R606=AO594,0,VLOOKUP($I$614,$AO$613:$AP$615,2,FALSE))</f>
        <v>7</v>
      </c>
      <c r="AK621" s="2442"/>
      <c r="AL621" s="596"/>
      <c r="AM621" s="676"/>
      <c r="AN621" s="598"/>
    </row>
    <row r="622" spans="1:42" s="551" customFormat="1" ht="12.75" customHeight="1">
      <c r="B622" s="537"/>
      <c r="C622" s="934"/>
      <c r="D622" s="537"/>
      <c r="E622" s="937"/>
      <c r="F622" s="937"/>
      <c r="G622" s="937"/>
      <c r="H622" s="937"/>
      <c r="I622" s="937"/>
      <c r="J622" s="937"/>
      <c r="K622" s="937"/>
      <c r="L622" s="937"/>
      <c r="M622" s="937"/>
      <c r="N622" s="937"/>
      <c r="O622" s="937"/>
      <c r="P622" s="937"/>
      <c r="Q622" s="937"/>
      <c r="R622" s="937"/>
      <c r="S622" s="937"/>
      <c r="T622" s="937"/>
      <c r="U622" s="937"/>
      <c r="V622" s="937"/>
      <c r="W622" s="937"/>
      <c r="X622" s="937"/>
      <c r="Y622" s="937"/>
      <c r="Z622" s="937"/>
      <c r="AA622" s="937"/>
      <c r="AB622" s="937"/>
      <c r="AC622" s="537"/>
      <c r="AD622" s="537"/>
      <c r="AE622" s="937"/>
      <c r="AF622" s="937"/>
      <c r="AG622" s="937"/>
      <c r="AH622" s="937"/>
      <c r="AI622" s="937"/>
      <c r="AJ622" s="937"/>
      <c r="AK622" s="937"/>
      <c r="AL622" s="937"/>
      <c r="AM622" s="676"/>
      <c r="AN622" s="598"/>
    </row>
    <row r="623" spans="1:42" s="551" customFormat="1" ht="12.75" customHeight="1">
      <c r="B623" s="537"/>
      <c r="C623" s="540" t="s">
        <v>1404</v>
      </c>
      <c r="D623" s="540"/>
      <c r="E623" s="937"/>
      <c r="F623" s="937"/>
      <c r="G623" s="937"/>
      <c r="H623" s="937"/>
      <c r="I623" s="937"/>
      <c r="J623" s="937"/>
      <c r="K623" s="937"/>
      <c r="L623" s="937"/>
      <c r="M623" s="937"/>
      <c r="N623" s="937"/>
      <c r="O623" s="937"/>
      <c r="P623" s="937"/>
      <c r="Q623" s="937"/>
      <c r="R623" s="937"/>
      <c r="S623" s="937"/>
      <c r="T623" s="937"/>
      <c r="U623" s="937"/>
      <c r="V623" s="937"/>
      <c r="W623" s="937"/>
      <c r="X623" s="937"/>
      <c r="Y623" s="937"/>
      <c r="Z623" s="937"/>
      <c r="AA623" s="937"/>
      <c r="AB623" s="937"/>
      <c r="AC623" s="537"/>
      <c r="AD623" s="537"/>
      <c r="AE623" s="537"/>
      <c r="AF623" s="537"/>
      <c r="AG623" s="537"/>
      <c r="AH623" s="537"/>
      <c r="AI623" s="537"/>
      <c r="AJ623" s="537"/>
      <c r="AK623" s="537"/>
      <c r="AL623" s="537"/>
      <c r="AN623" s="598"/>
    </row>
    <row r="624" spans="1:42" s="551" customFormat="1" ht="12.75" customHeight="1">
      <c r="B624" s="611"/>
      <c r="C624" s="537"/>
      <c r="D624" s="936"/>
      <c r="E624" s="937"/>
      <c r="F624" s="937"/>
      <c r="G624" s="937"/>
      <c r="H624" s="937"/>
      <c r="I624" s="937"/>
      <c r="J624" s="937"/>
      <c r="K624" s="937"/>
      <c r="L624" s="937"/>
      <c r="M624" s="937"/>
      <c r="N624" s="937"/>
      <c r="O624" s="937"/>
      <c r="P624" s="937"/>
      <c r="Q624" s="937"/>
      <c r="R624" s="937"/>
      <c r="S624" s="937"/>
      <c r="T624" s="937"/>
      <c r="U624" s="937"/>
      <c r="V624" s="937"/>
      <c r="W624" s="937"/>
      <c r="X624" s="937"/>
      <c r="Y624" s="937"/>
      <c r="Z624" s="937"/>
      <c r="AA624" s="937"/>
      <c r="AB624" s="937"/>
      <c r="AC624" s="537"/>
      <c r="AD624" s="537"/>
      <c r="AE624" s="537"/>
      <c r="AF624" s="537"/>
      <c r="AG624" s="537"/>
      <c r="AH624" s="537"/>
      <c r="AI624" s="537"/>
      <c r="AJ624" s="537"/>
      <c r="AK624" s="537"/>
      <c r="AL624" s="537"/>
      <c r="AN624" s="598"/>
    </row>
    <row r="625" spans="1:42" s="597" customFormat="1" ht="12.75" customHeight="1">
      <c r="A625" s="551"/>
      <c r="B625" s="537"/>
      <c r="C625" s="537"/>
      <c r="D625" s="664" t="s">
        <v>686</v>
      </c>
      <c r="E625" s="2547" t="s">
        <v>1693</v>
      </c>
      <c r="F625" s="2547"/>
      <c r="G625" s="2547"/>
      <c r="H625" s="2547"/>
      <c r="I625" s="2547"/>
      <c r="J625" s="2547"/>
      <c r="K625" s="2547"/>
      <c r="L625" s="2547"/>
      <c r="M625" s="2547"/>
      <c r="N625" s="2547"/>
      <c r="O625" s="2547"/>
      <c r="P625" s="2547"/>
      <c r="Q625" s="2547"/>
      <c r="R625" s="2547"/>
      <c r="S625" s="2547"/>
      <c r="T625" s="2547"/>
      <c r="U625" s="2547"/>
      <c r="V625" s="2547"/>
      <c r="W625" s="2547"/>
      <c r="X625" s="2547"/>
      <c r="Y625" s="2547"/>
      <c r="Z625" s="2547"/>
      <c r="AA625" s="2547"/>
      <c r="AB625" s="2547"/>
      <c r="AC625" s="2547"/>
      <c r="AD625" s="2547"/>
      <c r="AE625" s="540"/>
      <c r="AF625" s="2533" t="s">
        <v>1351</v>
      </c>
      <c r="AG625" s="2533"/>
      <c r="AH625" s="2533"/>
      <c r="AI625" s="2533"/>
      <c r="AJ625" s="2533"/>
      <c r="AK625" s="2533"/>
      <c r="AL625" s="2533"/>
      <c r="AM625" s="551"/>
      <c r="AN625" s="679"/>
    </row>
    <row r="626" spans="1:42" s="551" customFormat="1" ht="12.75" customHeight="1">
      <c r="A626" s="680"/>
      <c r="B626" s="537"/>
      <c r="C626" s="934"/>
      <c r="D626" s="664"/>
      <c r="E626" s="2547"/>
      <c r="F626" s="2547"/>
      <c r="G626" s="2547"/>
      <c r="H626" s="2547"/>
      <c r="I626" s="2547"/>
      <c r="J626" s="2547"/>
      <c r="K626" s="2547"/>
      <c r="L626" s="2547"/>
      <c r="M626" s="2547"/>
      <c r="N626" s="2547"/>
      <c r="O626" s="2547"/>
      <c r="P626" s="2547"/>
      <c r="Q626" s="2547"/>
      <c r="R626" s="2547"/>
      <c r="S626" s="2547"/>
      <c r="T626" s="2547"/>
      <c r="U626" s="2547"/>
      <c r="V626" s="2547"/>
      <c r="W626" s="2547"/>
      <c r="X626" s="2547"/>
      <c r="Y626" s="2547"/>
      <c r="Z626" s="2547"/>
      <c r="AA626" s="2547"/>
      <c r="AB626" s="2547"/>
      <c r="AC626" s="2547"/>
      <c r="AD626" s="2547"/>
      <c r="AE626" s="537"/>
      <c r="AF626" s="537"/>
      <c r="AG626" s="537"/>
      <c r="AH626" s="537"/>
      <c r="AI626" s="537"/>
      <c r="AJ626" s="537"/>
      <c r="AK626" s="537"/>
      <c r="AL626" s="537"/>
      <c r="AN626" s="598"/>
    </row>
    <row r="627" spans="1:42" s="551" customFormat="1" ht="12.75" customHeight="1">
      <c r="B627" s="537"/>
      <c r="C627" s="932"/>
      <c r="D627" s="664"/>
      <c r="E627" s="2547"/>
      <c r="F627" s="2547"/>
      <c r="G627" s="2547"/>
      <c r="H627" s="2547"/>
      <c r="I627" s="2547"/>
      <c r="J627" s="2547"/>
      <c r="K627" s="2547"/>
      <c r="L627" s="2547"/>
      <c r="M627" s="2547"/>
      <c r="N627" s="2547"/>
      <c r="O627" s="2547"/>
      <c r="P627" s="2547"/>
      <c r="Q627" s="2547"/>
      <c r="R627" s="2547"/>
      <c r="S627" s="2547"/>
      <c r="T627" s="2547"/>
      <c r="U627" s="2547"/>
      <c r="V627" s="2547"/>
      <c r="W627" s="2547"/>
      <c r="X627" s="2547"/>
      <c r="Y627" s="2547"/>
      <c r="Z627" s="2547"/>
      <c r="AA627" s="2547"/>
      <c r="AB627" s="2547"/>
      <c r="AC627" s="2547"/>
      <c r="AD627" s="2547"/>
      <c r="AE627" s="537"/>
      <c r="AF627" s="537"/>
      <c r="AG627" s="537"/>
      <c r="AH627" s="537"/>
      <c r="AI627" s="537"/>
      <c r="AJ627" s="537"/>
      <c r="AK627" s="537"/>
      <c r="AL627" s="537"/>
      <c r="AN627" s="598"/>
    </row>
    <row r="628" spans="1:42" s="551" customFormat="1" ht="12.75" customHeight="1">
      <c r="B628" s="537"/>
      <c r="C628" s="932"/>
      <c r="D628" s="664"/>
      <c r="E628" s="2547"/>
      <c r="F628" s="2547"/>
      <c r="G628" s="2547"/>
      <c r="H628" s="2547"/>
      <c r="I628" s="2547"/>
      <c r="J628" s="2547"/>
      <c r="K628" s="2547"/>
      <c r="L628" s="2547"/>
      <c r="M628" s="2547"/>
      <c r="N628" s="2547"/>
      <c r="O628" s="2547"/>
      <c r="P628" s="2547"/>
      <c r="Q628" s="2547"/>
      <c r="R628" s="2547"/>
      <c r="S628" s="2547"/>
      <c r="T628" s="2547"/>
      <c r="U628" s="2547"/>
      <c r="V628" s="2547"/>
      <c r="W628" s="2547"/>
      <c r="X628" s="2547"/>
      <c r="Y628" s="2547"/>
      <c r="Z628" s="2547"/>
      <c r="AA628" s="2547"/>
      <c r="AB628" s="2547"/>
      <c r="AC628" s="2547"/>
      <c r="AD628" s="2547"/>
      <c r="AE628" s="537"/>
      <c r="AF628" s="537"/>
      <c r="AG628" s="537"/>
      <c r="AH628" s="537"/>
      <c r="AI628" s="537"/>
      <c r="AJ628" s="537"/>
      <c r="AK628" s="537"/>
      <c r="AL628" s="537"/>
      <c r="AN628" s="598"/>
    </row>
    <row r="629" spans="1:42" s="551" customFormat="1" ht="12.75" customHeight="1">
      <c r="B629" s="537"/>
      <c r="C629" s="932"/>
      <c r="D629" s="664"/>
      <c r="E629" s="2547"/>
      <c r="F629" s="2547"/>
      <c r="G629" s="2547"/>
      <c r="H629" s="2547"/>
      <c r="I629" s="2547"/>
      <c r="J629" s="2547"/>
      <c r="K629" s="2547"/>
      <c r="L629" s="2547"/>
      <c r="M629" s="2547"/>
      <c r="N629" s="2547"/>
      <c r="O629" s="2547"/>
      <c r="P629" s="2547"/>
      <c r="Q629" s="2547"/>
      <c r="R629" s="2547"/>
      <c r="S629" s="2547"/>
      <c r="T629" s="2547"/>
      <c r="U629" s="2547"/>
      <c r="V629" s="2547"/>
      <c r="W629" s="2547"/>
      <c r="X629" s="2547"/>
      <c r="Y629" s="2547"/>
      <c r="Z629" s="2547"/>
      <c r="AA629" s="2547"/>
      <c r="AB629" s="2547"/>
      <c r="AC629" s="2547"/>
      <c r="AD629" s="2547"/>
      <c r="AE629" s="537"/>
      <c r="AF629" s="537"/>
      <c r="AG629" s="537"/>
      <c r="AH629" s="537"/>
      <c r="AI629" s="537"/>
      <c r="AJ629" s="537"/>
      <c r="AK629" s="537"/>
      <c r="AL629" s="537"/>
      <c r="AN629" s="598"/>
    </row>
    <row r="630" spans="1:42" s="551" customFormat="1" ht="12.75" customHeight="1">
      <c r="B630" s="537"/>
      <c r="C630" s="932"/>
      <c r="D630" s="664"/>
      <c r="E630" s="2547"/>
      <c r="F630" s="2547"/>
      <c r="G630" s="2547"/>
      <c r="H630" s="2547"/>
      <c r="I630" s="2547"/>
      <c r="J630" s="2547"/>
      <c r="K630" s="2547"/>
      <c r="L630" s="2547"/>
      <c r="M630" s="2547"/>
      <c r="N630" s="2547"/>
      <c r="O630" s="2547"/>
      <c r="P630" s="2547"/>
      <c r="Q630" s="2547"/>
      <c r="R630" s="2547"/>
      <c r="S630" s="2547"/>
      <c r="T630" s="2547"/>
      <c r="U630" s="2547"/>
      <c r="V630" s="2547"/>
      <c r="W630" s="2547"/>
      <c r="X630" s="2547"/>
      <c r="Y630" s="2547"/>
      <c r="Z630" s="2547"/>
      <c r="AA630" s="2547"/>
      <c r="AB630" s="2547"/>
      <c r="AC630" s="2547"/>
      <c r="AD630" s="2547"/>
      <c r="AE630" s="537"/>
      <c r="AF630" s="537"/>
      <c r="AG630" s="537"/>
      <c r="AH630" s="537"/>
      <c r="AI630" s="537"/>
      <c r="AJ630" s="537"/>
      <c r="AK630" s="537"/>
      <c r="AL630" s="537"/>
      <c r="AN630" s="598"/>
    </row>
    <row r="631" spans="1:42" s="551" customFormat="1" ht="12.75" customHeight="1">
      <c r="A631" s="638"/>
      <c r="B631" s="617"/>
      <c r="C631" s="941"/>
      <c r="D631" s="664"/>
      <c r="E631" s="2547"/>
      <c r="F631" s="2547"/>
      <c r="G631" s="2547"/>
      <c r="H631" s="2547"/>
      <c r="I631" s="2547"/>
      <c r="J631" s="2547"/>
      <c r="K631" s="2547"/>
      <c r="L631" s="2547"/>
      <c r="M631" s="2547"/>
      <c r="N631" s="2547"/>
      <c r="O631" s="2547"/>
      <c r="P631" s="2547"/>
      <c r="Q631" s="2547"/>
      <c r="R631" s="2547"/>
      <c r="S631" s="2547"/>
      <c r="T631" s="2547"/>
      <c r="U631" s="2547"/>
      <c r="V631" s="2547"/>
      <c r="W631" s="2547"/>
      <c r="X631" s="2547"/>
      <c r="Y631" s="2547"/>
      <c r="Z631" s="2547"/>
      <c r="AA631" s="2547"/>
      <c r="AB631" s="2547"/>
      <c r="AC631" s="2547"/>
      <c r="AD631" s="2547"/>
      <c r="AE631" s="617"/>
      <c r="AF631" s="617"/>
      <c r="AG631" s="617"/>
      <c r="AH631" s="617"/>
      <c r="AI631" s="617"/>
      <c r="AJ631" s="617"/>
      <c r="AK631" s="537"/>
      <c r="AL631" s="537"/>
      <c r="AN631" s="598"/>
    </row>
    <row r="632" spans="1:42" s="551" customFormat="1" ht="12.75" customHeight="1">
      <c r="B632" s="617"/>
      <c r="C632" s="941"/>
      <c r="D632" s="664"/>
      <c r="E632" s="2547"/>
      <c r="F632" s="2547"/>
      <c r="G632" s="2547"/>
      <c r="H632" s="2547"/>
      <c r="I632" s="2547"/>
      <c r="J632" s="2547"/>
      <c r="K632" s="2547"/>
      <c r="L632" s="2547"/>
      <c r="M632" s="2547"/>
      <c r="N632" s="2547"/>
      <c r="O632" s="2547"/>
      <c r="P632" s="2547"/>
      <c r="Q632" s="2547"/>
      <c r="R632" s="2547"/>
      <c r="S632" s="2547"/>
      <c r="T632" s="2547"/>
      <c r="U632" s="2547"/>
      <c r="V632" s="2547"/>
      <c r="W632" s="2547"/>
      <c r="X632" s="2547"/>
      <c r="Y632" s="2547"/>
      <c r="Z632" s="2547"/>
      <c r="AA632" s="2547"/>
      <c r="AB632" s="2547"/>
      <c r="AC632" s="2547"/>
      <c r="AD632" s="2547"/>
      <c r="AE632" s="617"/>
      <c r="AF632" s="617"/>
      <c r="AG632" s="617"/>
      <c r="AH632" s="617"/>
      <c r="AI632" s="617"/>
      <c r="AJ632" s="617"/>
      <c r="AK632" s="537"/>
      <c r="AL632" s="537"/>
      <c r="AN632" s="598"/>
    </row>
    <row r="633" spans="1:42" s="551" customFormat="1" ht="12" customHeight="1">
      <c r="B633" s="617"/>
      <c r="C633" s="941"/>
      <c r="D633" s="664"/>
      <c r="E633" s="957"/>
      <c r="F633" s="957"/>
      <c r="G633" s="957"/>
      <c r="H633" s="957"/>
      <c r="I633" s="957"/>
      <c r="J633" s="957"/>
      <c r="K633" s="957"/>
      <c r="L633" s="957"/>
      <c r="M633" s="957"/>
      <c r="N633" s="957"/>
      <c r="O633" s="957"/>
      <c r="P633" s="957"/>
      <c r="Q633" s="957"/>
      <c r="R633" s="957"/>
      <c r="S633" s="957"/>
      <c r="T633" s="957"/>
      <c r="U633" s="957"/>
      <c r="V633" s="957"/>
      <c r="W633" s="957"/>
      <c r="X633" s="957"/>
      <c r="Y633" s="957"/>
      <c r="Z633" s="957"/>
      <c r="AA633" s="957"/>
      <c r="AB633" s="957"/>
      <c r="AC633" s="957"/>
      <c r="AD633" s="957"/>
      <c r="AE633" s="617"/>
      <c r="AF633" s="617"/>
      <c r="AG633" s="617"/>
      <c r="AH633" s="617"/>
      <c r="AI633" s="617"/>
      <c r="AJ633" s="617"/>
      <c r="AK633" s="537"/>
      <c r="AL633" s="537"/>
      <c r="AN633" s="598"/>
      <c r="AO633" s="551" t="s">
        <v>590</v>
      </c>
      <c r="AP633" s="674">
        <v>0</v>
      </c>
    </row>
    <row r="634" spans="1:42" s="551" customFormat="1" ht="12.75" customHeight="1">
      <c r="B634" s="617"/>
      <c r="C634" s="932"/>
      <c r="D634" s="664"/>
      <c r="E634" s="617" t="s">
        <v>1405</v>
      </c>
      <c r="F634" s="942"/>
      <c r="G634" s="942"/>
      <c r="H634" s="942"/>
      <c r="I634" s="942"/>
      <c r="J634" s="942"/>
      <c r="K634" s="942"/>
      <c r="L634" s="942"/>
      <c r="M634" s="942"/>
      <c r="N634" s="942"/>
      <c r="O634" s="942"/>
      <c r="P634" s="942"/>
      <c r="Q634" s="942"/>
      <c r="R634" s="942"/>
      <c r="U634" s="942"/>
      <c r="V634" s="942"/>
      <c r="W634" s="942"/>
      <c r="X634" s="2405" t="s">
        <v>590</v>
      </c>
      <c r="Y634" s="2405"/>
      <c r="Z634" s="942"/>
      <c r="AA634" s="942"/>
      <c r="AB634" s="942"/>
      <c r="AC634" s="942"/>
      <c r="AD634" s="942"/>
      <c r="AE634" s="537"/>
      <c r="AF634" s="617"/>
      <c r="AG634" s="617"/>
      <c r="AH634" s="617"/>
      <c r="AI634" s="617"/>
      <c r="AJ634" s="617"/>
      <c r="AK634" s="537"/>
      <c r="AL634" s="537"/>
      <c r="AN634" s="598"/>
      <c r="AO634" s="612" t="s">
        <v>686</v>
      </c>
      <c r="AP634" s="551">
        <v>5</v>
      </c>
    </row>
    <row r="635" spans="1:42" s="551" customFormat="1" ht="12.75" customHeight="1">
      <c r="B635" s="617"/>
      <c r="C635" s="941"/>
      <c r="D635" s="537"/>
      <c r="E635" s="537"/>
      <c r="F635" s="537"/>
      <c r="G635" s="537"/>
      <c r="H635" s="537"/>
      <c r="I635" s="537"/>
      <c r="J635" s="537"/>
      <c r="K635" s="537"/>
      <c r="L635" s="537"/>
      <c r="M635" s="537"/>
      <c r="N635" s="537"/>
      <c r="O635" s="537"/>
      <c r="P635" s="537"/>
      <c r="Q635" s="537"/>
      <c r="R635" s="537"/>
      <c r="S635" s="537"/>
      <c r="T635" s="537"/>
      <c r="U635" s="537"/>
      <c r="V635" s="537"/>
      <c r="W635" s="617"/>
      <c r="X635" s="617"/>
      <c r="Y635" s="617"/>
      <c r="Z635" s="617"/>
      <c r="AA635" s="617"/>
      <c r="AB635" s="617"/>
      <c r="AC635" s="537"/>
      <c r="AD635" s="537"/>
      <c r="AE635" s="537"/>
      <c r="AF635" s="537"/>
      <c r="AG635" s="537"/>
      <c r="AH635" s="537"/>
      <c r="AI635" s="537"/>
      <c r="AJ635" s="537"/>
      <c r="AK635" s="537"/>
      <c r="AL635" s="537"/>
      <c r="AN635" s="598"/>
      <c r="AO635" s="612" t="s">
        <v>508</v>
      </c>
      <c r="AP635" s="681">
        <v>4</v>
      </c>
    </row>
    <row r="636" spans="1:42" s="551" customFormat="1" ht="12.75" customHeight="1">
      <c r="B636" s="537"/>
      <c r="C636" s="932"/>
      <c r="D636" s="664" t="s">
        <v>508</v>
      </c>
      <c r="E636" s="556" t="s">
        <v>1406</v>
      </c>
      <c r="F636" s="943"/>
      <c r="G636" s="943"/>
      <c r="H636" s="943"/>
      <c r="I636" s="943"/>
      <c r="J636" s="943"/>
      <c r="K636" s="943"/>
      <c r="L636" s="943"/>
      <c r="M636" s="943"/>
      <c r="N636" s="943"/>
      <c r="O636" s="943"/>
      <c r="P636" s="943"/>
      <c r="Q636" s="943"/>
      <c r="R636" s="943"/>
      <c r="S636" s="943"/>
      <c r="T636" s="943"/>
      <c r="U636" s="537"/>
      <c r="V636" s="537"/>
      <c r="W636" s="943"/>
      <c r="X636" s="943"/>
      <c r="Y636" s="943"/>
      <c r="Z636" s="943"/>
      <c r="AA636" s="943"/>
      <c r="AB636" s="943"/>
      <c r="AC636" s="537"/>
      <c r="AD636" s="537"/>
      <c r="AE636" s="537"/>
      <c r="AF636" s="2533" t="s">
        <v>1407</v>
      </c>
      <c r="AG636" s="2533"/>
      <c r="AH636" s="2533"/>
      <c r="AI636" s="2533"/>
      <c r="AJ636" s="2533"/>
      <c r="AK636" s="2533"/>
      <c r="AL636" s="2533"/>
      <c r="AN636" s="598"/>
      <c r="AO636" s="612" t="s">
        <v>277</v>
      </c>
      <c r="AP636" s="551">
        <v>3</v>
      </c>
    </row>
    <row r="637" spans="1:42" s="551" customFormat="1" ht="12.75" customHeight="1">
      <c r="B637" s="537"/>
      <c r="C637" s="932"/>
      <c r="D637" s="537"/>
      <c r="E637" s="537"/>
      <c r="F637" s="943"/>
      <c r="G637" s="943"/>
      <c r="H637" s="943"/>
      <c r="I637" s="943"/>
      <c r="J637" s="943"/>
      <c r="K637" s="943"/>
      <c r="L637" s="943"/>
      <c r="M637" s="943"/>
      <c r="N637" s="943"/>
      <c r="O637" s="943"/>
      <c r="P637" s="943"/>
      <c r="Q637" s="943"/>
      <c r="R637" s="943"/>
      <c r="S637" s="943"/>
      <c r="T637" s="943"/>
      <c r="U637" s="537"/>
      <c r="V637" s="537"/>
      <c r="W637" s="537"/>
      <c r="X637" s="943"/>
      <c r="Y637" s="943"/>
      <c r="Z637" s="943"/>
      <c r="AA637" s="943"/>
      <c r="AB637" s="943"/>
      <c r="AC637" s="537"/>
      <c r="AD637" s="537"/>
      <c r="AE637" s="537"/>
      <c r="AF637" s="537"/>
      <c r="AG637" s="537"/>
      <c r="AH637" s="537"/>
      <c r="AI637" s="537"/>
      <c r="AJ637" s="537"/>
      <c r="AK637" s="537"/>
      <c r="AL637" s="537"/>
      <c r="AN637" s="598"/>
      <c r="AO637" s="612" t="s">
        <v>1396</v>
      </c>
      <c r="AP637" s="681">
        <v>4</v>
      </c>
    </row>
    <row r="638" spans="1:42" s="551" customFormat="1" ht="12.75" customHeight="1">
      <c r="B638" s="537"/>
      <c r="C638" s="932"/>
      <c r="D638" s="537" t="s">
        <v>1399</v>
      </c>
      <c r="E638" s="937"/>
      <c r="F638" s="937"/>
      <c r="G638" s="937"/>
      <c r="H638" s="2457" t="s">
        <v>686</v>
      </c>
      <c r="I638" s="2457"/>
      <c r="J638" s="943"/>
      <c r="K638" s="943"/>
      <c r="L638" s="943"/>
      <c r="M638" s="943"/>
      <c r="N638" s="943"/>
      <c r="O638" s="943"/>
      <c r="P638" s="943"/>
      <c r="Q638" s="943"/>
      <c r="R638" s="943"/>
      <c r="S638" s="943"/>
      <c r="T638" s="943"/>
      <c r="U638" s="937"/>
      <c r="V638" s="937"/>
      <c r="W638" s="937"/>
      <c r="X638" s="537"/>
      <c r="Y638" s="537"/>
      <c r="Z638" s="537"/>
      <c r="AA638" s="537"/>
      <c r="AB638" s="537"/>
      <c r="AC638" s="537"/>
      <c r="AD638" s="537"/>
      <c r="AE638" s="537"/>
      <c r="AF638" s="537"/>
      <c r="AG638" s="537"/>
      <c r="AH638" s="537"/>
      <c r="AI638" s="537"/>
      <c r="AJ638" s="537"/>
      <c r="AK638" s="537"/>
      <c r="AL638" s="537"/>
      <c r="AN638" s="598"/>
      <c r="AO638" s="612" t="s">
        <v>1397</v>
      </c>
      <c r="AP638" s="551">
        <v>3</v>
      </c>
    </row>
    <row r="639" spans="1:42" s="551" customFormat="1" ht="12.75" customHeight="1">
      <c r="B639" s="537"/>
      <c r="C639" s="932"/>
      <c r="D639" s="537"/>
      <c r="E639" s="937"/>
      <c r="F639" s="943"/>
      <c r="G639" s="943"/>
      <c r="H639" s="943"/>
      <c r="I639" s="944"/>
      <c r="J639" s="943"/>
      <c r="K639" s="943"/>
      <c r="L639" s="943"/>
      <c r="M639" s="943"/>
      <c r="N639" s="943"/>
      <c r="O639" s="943"/>
      <c r="P639" s="943"/>
      <c r="Q639" s="943"/>
      <c r="R639" s="537"/>
      <c r="S639" s="537"/>
      <c r="T639" s="943"/>
      <c r="U639" s="937"/>
      <c r="V639" s="937"/>
      <c r="W639" s="937"/>
      <c r="X639" s="937"/>
      <c r="Y639" s="937"/>
      <c r="Z639" s="937"/>
      <c r="AA639" s="937"/>
      <c r="AB639" s="937"/>
      <c r="AC639" s="537"/>
      <c r="AD639" s="537"/>
      <c r="AE639" s="537"/>
      <c r="AF639" s="537"/>
      <c r="AG639" s="537"/>
      <c r="AH639" s="537"/>
      <c r="AI639" s="943"/>
      <c r="AJ639" s="943"/>
      <c r="AK639" s="943"/>
      <c r="AL639" s="943"/>
      <c r="AM639" s="682"/>
      <c r="AN639" s="598"/>
      <c r="AO639" s="612" t="s">
        <v>1408</v>
      </c>
      <c r="AP639" s="551">
        <v>2</v>
      </c>
    </row>
    <row r="640" spans="1:42" s="551" customFormat="1" ht="12.75" customHeight="1">
      <c r="A640" s="607"/>
      <c r="B640" s="602"/>
      <c r="C640" s="945"/>
      <c r="D640" s="602"/>
      <c r="E640" s="940"/>
      <c r="F640" s="940"/>
      <c r="G640" s="946"/>
      <c r="H640" s="946"/>
      <c r="I640" s="946"/>
      <c r="J640" s="946"/>
      <c r="K640" s="946"/>
      <c r="L640" s="946"/>
      <c r="M640" s="946"/>
      <c r="N640" s="946"/>
      <c r="O640" s="946"/>
      <c r="P640" s="946"/>
      <c r="Q640" s="946"/>
      <c r="R640" s="946"/>
      <c r="S640" s="946"/>
      <c r="T640" s="940"/>
      <c r="U640" s="940"/>
      <c r="V640" s="940"/>
      <c r="W640" s="940"/>
      <c r="X640" s="940"/>
      <c r="Y640" s="940"/>
      <c r="Z640" s="940"/>
      <c r="AA640" s="940"/>
      <c r="AB640" s="602"/>
      <c r="AC640" s="602"/>
      <c r="AD640" s="602"/>
      <c r="AE640" s="602"/>
      <c r="AF640" s="602"/>
      <c r="AG640" s="602"/>
      <c r="AH640" s="602"/>
      <c r="AI640" s="566" t="s">
        <v>1409</v>
      </c>
      <c r="AJ640" s="2440">
        <f>VLOOKUP($H$638,$AO$605:$AP$607,2,FALSE)</f>
        <v>3</v>
      </c>
      <c r="AK640" s="2442"/>
      <c r="AL640" s="596"/>
      <c r="AN640" s="598"/>
      <c r="AO640" s="612" t="s">
        <v>1410</v>
      </c>
      <c r="AP640" s="551">
        <v>1</v>
      </c>
    </row>
    <row r="641" spans="1:42" s="551" customFormat="1" ht="12.75" customHeight="1">
      <c r="B641" s="537"/>
      <c r="C641" s="932"/>
      <c r="D641" s="537"/>
      <c r="E641" s="937"/>
      <c r="F641" s="937"/>
      <c r="G641" s="937"/>
      <c r="H641" s="537"/>
      <c r="I641" s="537"/>
      <c r="J641" s="943"/>
      <c r="K641" s="943"/>
      <c r="L641" s="943"/>
      <c r="M641" s="943"/>
      <c r="N641" s="943"/>
      <c r="O641" s="943"/>
      <c r="P641" s="943"/>
      <c r="Q641" s="943"/>
      <c r="R641" s="943"/>
      <c r="S641" s="943"/>
      <c r="T641" s="943"/>
      <c r="U641" s="937"/>
      <c r="V641" s="937"/>
      <c r="W641" s="937"/>
      <c r="X641" s="937"/>
      <c r="Y641" s="937"/>
      <c r="Z641" s="937"/>
      <c r="AA641" s="937"/>
      <c r="AB641" s="937"/>
      <c r="AC641" s="537"/>
      <c r="AD641" s="537"/>
      <c r="AE641" s="537"/>
      <c r="AF641" s="537"/>
      <c r="AG641" s="537"/>
      <c r="AH641" s="537"/>
      <c r="AI641" s="537"/>
      <c r="AJ641" s="544"/>
      <c r="AK641" s="537"/>
      <c r="AL641" s="537"/>
      <c r="AN641" s="598"/>
    </row>
    <row r="642" spans="1:42" s="551" customFormat="1" ht="12.75" customHeight="1">
      <c r="B642" s="537"/>
      <c r="C642" s="540" t="s">
        <v>1411</v>
      </c>
      <c r="D642" s="537"/>
      <c r="E642" s="937"/>
      <c r="F642" s="943"/>
      <c r="G642" s="943"/>
      <c r="H642" s="943"/>
      <c r="I642" s="943"/>
      <c r="J642" s="943"/>
      <c r="K642" s="943"/>
      <c r="L642" s="943"/>
      <c r="M642" s="943"/>
      <c r="N642" s="943"/>
      <c r="O642" s="943"/>
      <c r="P642" s="943"/>
      <c r="Q642" s="943"/>
      <c r="R642" s="943"/>
      <c r="S642" s="943"/>
      <c r="T642" s="943"/>
      <c r="U642" s="537"/>
      <c r="V642" s="537"/>
      <c r="W642" s="943"/>
      <c r="X642" s="943"/>
      <c r="Y642" s="943"/>
      <c r="Z642" s="943"/>
      <c r="AA642" s="943"/>
      <c r="AB642" s="943"/>
      <c r="AC642" s="595"/>
      <c r="AD642" s="595"/>
      <c r="AE642" s="595"/>
      <c r="AF642" s="595"/>
      <c r="AG642" s="595"/>
      <c r="AH642" s="595"/>
      <c r="AI642" s="595"/>
      <c r="AJ642" s="537"/>
      <c r="AK642" s="537"/>
      <c r="AL642" s="537"/>
      <c r="AN642" s="598"/>
    </row>
    <row r="643" spans="1:42" s="551" customFormat="1" ht="12.75" customHeight="1">
      <c r="A643" s="638"/>
      <c r="B643" s="537"/>
      <c r="C643" s="934"/>
      <c r="D643" s="537"/>
      <c r="E643" s="943"/>
      <c r="F643" s="943"/>
      <c r="G643" s="943"/>
      <c r="H643" s="943"/>
      <c r="I643" s="943"/>
      <c r="J643" s="943"/>
      <c r="K643" s="943"/>
      <c r="L643" s="943"/>
      <c r="M643" s="943"/>
      <c r="N643" s="943"/>
      <c r="O643" s="943"/>
      <c r="P643" s="943"/>
      <c r="Q643" s="943"/>
      <c r="R643" s="943"/>
      <c r="S643" s="943"/>
      <c r="T643" s="943"/>
      <c r="U643" s="943"/>
      <c r="V643" s="943"/>
      <c r="W643" s="943"/>
      <c r="X643" s="943"/>
      <c r="Y643" s="943"/>
      <c r="Z643" s="943"/>
      <c r="AA643" s="943"/>
      <c r="AB643" s="943"/>
      <c r="AC643" s="537"/>
      <c r="AD643" s="537"/>
      <c r="AE643" s="537"/>
      <c r="AF643" s="537"/>
      <c r="AG643" s="537"/>
      <c r="AH643" s="537"/>
      <c r="AI643" s="537"/>
      <c r="AJ643" s="537"/>
      <c r="AK643" s="537"/>
      <c r="AL643" s="537"/>
      <c r="AN643" s="598"/>
    </row>
    <row r="644" spans="1:42" s="551" customFormat="1" ht="12.75" customHeight="1">
      <c r="B644" s="537"/>
      <c r="C644" s="537"/>
      <c r="D644" s="664" t="s">
        <v>686</v>
      </c>
      <c r="E644" s="2433" t="s">
        <v>2098</v>
      </c>
      <c r="F644" s="2433"/>
      <c r="G644" s="2433"/>
      <c r="H644" s="2433"/>
      <c r="I644" s="2433"/>
      <c r="J644" s="2433"/>
      <c r="K644" s="2433"/>
      <c r="L644" s="2433"/>
      <c r="M644" s="2433"/>
      <c r="N644" s="2433"/>
      <c r="O644" s="2433"/>
      <c r="P644" s="2433"/>
      <c r="Q644" s="2433"/>
      <c r="R644" s="2433"/>
      <c r="S644" s="2433"/>
      <c r="T644" s="2433"/>
      <c r="U644" s="2433"/>
      <c r="V644" s="2433"/>
      <c r="W644" s="2433"/>
      <c r="X644" s="2433"/>
      <c r="Y644" s="2433"/>
      <c r="Z644" s="2433"/>
      <c r="AA644" s="2433"/>
      <c r="AB644" s="2433"/>
      <c r="AC644" s="2433"/>
      <c r="AD644" s="2433"/>
      <c r="AE644" s="537"/>
      <c r="AF644" s="2533" t="s">
        <v>1351</v>
      </c>
      <c r="AG644" s="2533"/>
      <c r="AH644" s="2533"/>
      <c r="AI644" s="2533"/>
      <c r="AJ644" s="2533"/>
      <c r="AK644" s="2533"/>
      <c r="AL644" s="2533"/>
      <c r="AN644" s="598"/>
    </row>
    <row r="645" spans="1:42" s="551" customFormat="1" ht="12.75" customHeight="1">
      <c r="B645" s="537"/>
      <c r="C645" s="537"/>
      <c r="D645" s="664"/>
      <c r="E645" s="2433"/>
      <c r="F645" s="2433"/>
      <c r="G645" s="2433"/>
      <c r="H645" s="2433"/>
      <c r="I645" s="2433"/>
      <c r="J645" s="2433"/>
      <c r="K645" s="2433"/>
      <c r="L645" s="2433"/>
      <c r="M645" s="2433"/>
      <c r="N645" s="2433"/>
      <c r="O645" s="2433"/>
      <c r="P645" s="2433"/>
      <c r="Q645" s="2433"/>
      <c r="R645" s="2433"/>
      <c r="S645" s="2433"/>
      <c r="T645" s="2433"/>
      <c r="U645" s="2433"/>
      <c r="V645" s="2433"/>
      <c r="W645" s="2433"/>
      <c r="X645" s="2433"/>
      <c r="Y645" s="2433"/>
      <c r="Z645" s="2433"/>
      <c r="AA645" s="2433"/>
      <c r="AB645" s="2433"/>
      <c r="AC645" s="2433"/>
      <c r="AD645" s="2433"/>
      <c r="AE645" s="595"/>
      <c r="AF645" s="595"/>
      <c r="AG645" s="595"/>
      <c r="AH645" s="595"/>
      <c r="AI645" s="595"/>
      <c r="AJ645" s="595"/>
      <c r="AK645" s="595"/>
      <c r="AL645" s="595"/>
      <c r="AN645" s="598"/>
    </row>
    <row r="646" spans="1:42" s="551" customFormat="1" ht="12.75" customHeight="1">
      <c r="B646" s="617"/>
      <c r="C646" s="941"/>
      <c r="D646" s="664"/>
      <c r="E646" s="617"/>
      <c r="F646" s="617"/>
      <c r="G646" s="617"/>
      <c r="H646" s="617"/>
      <c r="I646" s="617"/>
      <c r="J646" s="617"/>
      <c r="K646" s="617"/>
      <c r="L646" s="617"/>
      <c r="M646" s="617"/>
      <c r="N646" s="617"/>
      <c r="O646" s="617"/>
      <c r="P646" s="617"/>
      <c r="Q646" s="617"/>
      <c r="R646" s="617"/>
      <c r="S646" s="617"/>
      <c r="T646" s="617"/>
      <c r="U646" s="617"/>
      <c r="V646" s="617"/>
      <c r="W646" s="617"/>
      <c r="X646" s="617"/>
      <c r="Y646" s="617"/>
      <c r="Z646" s="617"/>
      <c r="AA646" s="617"/>
      <c r="AB646" s="617"/>
      <c r="AC646" s="537"/>
      <c r="AD646" s="537"/>
      <c r="AE646" s="617"/>
      <c r="AF646" s="537"/>
      <c r="AG646" s="537"/>
      <c r="AH646" s="537"/>
      <c r="AI646" s="537"/>
      <c r="AJ646" s="537"/>
      <c r="AK646" s="537"/>
      <c r="AL646" s="537"/>
      <c r="AN646" s="598"/>
    </row>
    <row r="647" spans="1:42" s="551" customFormat="1" ht="12.75" customHeight="1">
      <c r="B647" s="537"/>
      <c r="C647" s="932"/>
      <c r="D647" s="664" t="s">
        <v>508</v>
      </c>
      <c r="E647" s="617" t="s">
        <v>1412</v>
      </c>
      <c r="F647" s="617"/>
      <c r="G647" s="617"/>
      <c r="H647" s="617"/>
      <c r="I647" s="617"/>
      <c r="J647" s="617"/>
      <c r="K647" s="617"/>
      <c r="L647" s="617"/>
      <c r="M647" s="617"/>
      <c r="N647" s="617"/>
      <c r="O647" s="617"/>
      <c r="P647" s="617"/>
      <c r="Q647" s="617"/>
      <c r="R647" s="617"/>
      <c r="S647" s="617"/>
      <c r="T647" s="617"/>
      <c r="U647" s="617"/>
      <c r="V647" s="617"/>
      <c r="W647" s="617"/>
      <c r="X647" s="617"/>
      <c r="Y647" s="617"/>
      <c r="Z647" s="617"/>
      <c r="AA647" s="617"/>
      <c r="AB647" s="617"/>
      <c r="AC647" s="537"/>
      <c r="AD647" s="537"/>
      <c r="AE647" s="537"/>
      <c r="AF647" s="2533" t="s">
        <v>1407</v>
      </c>
      <c r="AG647" s="2533"/>
      <c r="AH647" s="2533"/>
      <c r="AI647" s="2533"/>
      <c r="AJ647" s="2533"/>
      <c r="AK647" s="2533"/>
      <c r="AL647" s="2533"/>
      <c r="AN647" s="598"/>
    </row>
    <row r="648" spans="1:42" s="551" customFormat="1" ht="12.75" customHeight="1">
      <c r="B648" s="537"/>
      <c r="C648" s="932"/>
      <c r="D648" s="664"/>
      <c r="E648" s="617" t="s">
        <v>1413</v>
      </c>
      <c r="F648" s="617"/>
      <c r="G648" s="617"/>
      <c r="H648" s="617"/>
      <c r="I648" s="617"/>
      <c r="J648" s="617"/>
      <c r="K648" s="617"/>
      <c r="L648" s="617"/>
      <c r="M648" s="617"/>
      <c r="N648" s="617"/>
      <c r="O648" s="617"/>
      <c r="P648" s="617"/>
      <c r="Q648" s="617"/>
      <c r="R648" s="617"/>
      <c r="S648" s="617"/>
      <c r="T648" s="617"/>
      <c r="U648" s="617"/>
      <c r="V648" s="617"/>
      <c r="W648" s="617"/>
      <c r="X648" s="617"/>
      <c r="Y648" s="617"/>
      <c r="Z648" s="617"/>
      <c r="AA648" s="617"/>
      <c r="AB648" s="617"/>
      <c r="AC648" s="537"/>
      <c r="AD648" s="537"/>
      <c r="AE648" s="595"/>
      <c r="AF648" s="595"/>
      <c r="AG648" s="595"/>
      <c r="AH648" s="595"/>
      <c r="AI648" s="595"/>
      <c r="AJ648" s="595"/>
      <c r="AK648" s="595"/>
      <c r="AL648" s="595"/>
      <c r="AN648" s="598"/>
    </row>
    <row r="649" spans="1:42" s="551" customFormat="1" ht="12.75" customHeight="1">
      <c r="B649" s="537"/>
      <c r="C649" s="932"/>
      <c r="D649" s="537"/>
      <c r="E649" s="617"/>
      <c r="F649" s="617"/>
      <c r="G649" s="617"/>
      <c r="H649" s="617"/>
      <c r="I649" s="617"/>
      <c r="J649" s="617"/>
      <c r="K649" s="617"/>
      <c r="L649" s="617"/>
      <c r="M649" s="617"/>
      <c r="N649" s="617"/>
      <c r="O649" s="617"/>
      <c r="P649" s="617"/>
      <c r="Q649" s="617"/>
      <c r="R649" s="617"/>
      <c r="S649" s="617"/>
      <c r="T649" s="617"/>
      <c r="U649" s="617"/>
      <c r="V649" s="617"/>
      <c r="W649" s="617"/>
      <c r="X649" s="617"/>
      <c r="Y649" s="617"/>
      <c r="Z649" s="617"/>
      <c r="AA649" s="617"/>
      <c r="AB649" s="617"/>
      <c r="AC649" s="537"/>
      <c r="AD649" s="537"/>
      <c r="AE649" s="537"/>
      <c r="AF649" s="537"/>
      <c r="AG649" s="537"/>
      <c r="AH649" s="537"/>
      <c r="AI649" s="537"/>
      <c r="AJ649" s="537"/>
      <c r="AK649" s="537"/>
      <c r="AL649" s="537"/>
      <c r="AN649" s="598"/>
      <c r="AP649" s="681"/>
    </row>
    <row r="650" spans="1:42" s="551" customFormat="1" ht="12.75" customHeight="1">
      <c r="B650" s="537"/>
      <c r="C650" s="932"/>
      <c r="D650" s="537" t="s">
        <v>1399</v>
      </c>
      <c r="E650" s="937"/>
      <c r="F650" s="937"/>
      <c r="G650" s="937"/>
      <c r="H650" s="2457" t="s">
        <v>686</v>
      </c>
      <c r="I650" s="2457"/>
      <c r="J650" s="617"/>
      <c r="K650" s="617"/>
      <c r="L650" s="617"/>
      <c r="M650" s="617"/>
      <c r="N650" s="617"/>
      <c r="O650" s="617"/>
      <c r="P650" s="617"/>
      <c r="Q650" s="617"/>
      <c r="R650" s="617"/>
      <c r="S650" s="617"/>
      <c r="T650" s="617"/>
      <c r="U650" s="617"/>
      <c r="V650" s="617"/>
      <c r="W650" s="537"/>
      <c r="X650" s="537"/>
      <c r="Y650" s="537"/>
      <c r="Z650" s="537"/>
      <c r="AA650" s="537"/>
      <c r="AB650" s="537"/>
      <c r="AC650" s="537"/>
      <c r="AD650" s="537"/>
      <c r="AE650" s="537"/>
      <c r="AF650" s="537"/>
      <c r="AG650" s="537"/>
      <c r="AH650" s="537"/>
      <c r="AI650" s="537"/>
      <c r="AJ650" s="537"/>
      <c r="AK650" s="537"/>
      <c r="AL650" s="537"/>
      <c r="AN650" s="598"/>
    </row>
    <row r="651" spans="1:42" s="551" customFormat="1" ht="12.75" customHeight="1">
      <c r="B651" s="537"/>
      <c r="C651" s="932"/>
      <c r="D651" s="537"/>
      <c r="E651" s="937"/>
      <c r="F651" s="937"/>
      <c r="G651" s="617"/>
      <c r="H651" s="617"/>
      <c r="I651" s="617"/>
      <c r="J651" s="617"/>
      <c r="K651" s="617"/>
      <c r="L651" s="617"/>
      <c r="M651" s="617"/>
      <c r="N651" s="617"/>
      <c r="O651" s="617"/>
      <c r="P651" s="617"/>
      <c r="Q651" s="617"/>
      <c r="R651" s="617"/>
      <c r="S651" s="617"/>
      <c r="T651" s="617"/>
      <c r="U651" s="617"/>
      <c r="V651" s="617"/>
      <c r="W651" s="617"/>
      <c r="X651" s="617"/>
      <c r="Y651" s="617"/>
      <c r="Z651" s="937"/>
      <c r="AA651" s="937"/>
      <c r="AB651" s="937"/>
      <c r="AC651" s="537"/>
      <c r="AD651" s="537"/>
      <c r="AE651" s="537"/>
      <c r="AF651" s="537"/>
      <c r="AG651" s="537"/>
      <c r="AH651" s="537"/>
      <c r="AI651" s="537"/>
      <c r="AJ651" s="617"/>
      <c r="AK651" s="617"/>
      <c r="AL651" s="617"/>
      <c r="AM651" s="552"/>
      <c r="AN651" s="598"/>
    </row>
    <row r="652" spans="1:42" s="551" customFormat="1" ht="12.75" customHeight="1">
      <c r="A652" s="607"/>
      <c r="B652" s="602"/>
      <c r="C652" s="945"/>
      <c r="D652" s="602"/>
      <c r="E652" s="940"/>
      <c r="F652" s="940"/>
      <c r="G652" s="666"/>
      <c r="H652" s="666"/>
      <c r="I652" s="666"/>
      <c r="J652" s="666"/>
      <c r="K652" s="666"/>
      <c r="L652" s="666"/>
      <c r="M652" s="666"/>
      <c r="N652" s="666"/>
      <c r="O652" s="666"/>
      <c r="P652" s="666"/>
      <c r="Q652" s="666"/>
      <c r="R652" s="666"/>
      <c r="S652" s="666"/>
      <c r="T652" s="666"/>
      <c r="U652" s="666"/>
      <c r="V652" s="666"/>
      <c r="W652" s="666"/>
      <c r="X652" s="666"/>
      <c r="Y652" s="940"/>
      <c r="Z652" s="940"/>
      <c r="AA652" s="940"/>
      <c r="AB652" s="602"/>
      <c r="AC652" s="602"/>
      <c r="AD652" s="602"/>
      <c r="AE652" s="602"/>
      <c r="AF652" s="602"/>
      <c r="AG652" s="602"/>
      <c r="AH652" s="602"/>
      <c r="AI652" s="566" t="s">
        <v>1414</v>
      </c>
      <c r="AJ652" s="2440">
        <f>VLOOKUP(H650,AT605:AU607,2,FALSE)</f>
        <v>3</v>
      </c>
      <c r="AK652" s="2442"/>
      <c r="AL652" s="596"/>
      <c r="AN652" s="598"/>
    </row>
    <row r="653" spans="1:42" s="551" customFormat="1" ht="12.75" customHeight="1">
      <c r="B653" s="537"/>
      <c r="C653" s="932"/>
      <c r="D653" s="537"/>
      <c r="E653" s="537"/>
      <c r="F653" s="537"/>
      <c r="G653" s="537"/>
      <c r="H653" s="537"/>
      <c r="I653" s="537"/>
      <c r="J653" s="537"/>
      <c r="K653" s="537"/>
      <c r="L653" s="537"/>
      <c r="M653" s="537"/>
      <c r="N653" s="537"/>
      <c r="O653" s="537"/>
      <c r="P653" s="537"/>
      <c r="Q653" s="537"/>
      <c r="R653" s="537"/>
      <c r="S653" s="537"/>
      <c r="T653" s="537"/>
      <c r="U653" s="537"/>
      <c r="V653" s="537"/>
      <c r="W653" s="537"/>
      <c r="X653" s="537"/>
      <c r="Y653" s="537"/>
      <c r="Z653" s="537"/>
      <c r="AA653" s="537"/>
      <c r="AB653" s="537"/>
      <c r="AC653" s="537"/>
      <c r="AD653" s="537"/>
      <c r="AE653" s="537"/>
      <c r="AF653" s="537"/>
      <c r="AG653" s="537"/>
      <c r="AH653" s="537"/>
      <c r="AI653" s="537"/>
      <c r="AJ653" s="537"/>
      <c r="AK653" s="537"/>
      <c r="AL653" s="537"/>
      <c r="AN653" s="598"/>
    </row>
    <row r="654" spans="1:42" s="551" customFormat="1" ht="12.75" customHeight="1">
      <c r="B654" s="537"/>
      <c r="C654" s="540" t="s">
        <v>1415</v>
      </c>
      <c r="D654" s="537"/>
      <c r="E654" s="537"/>
      <c r="F654" s="537"/>
      <c r="G654" s="537"/>
      <c r="H654" s="537"/>
      <c r="I654" s="537"/>
      <c r="J654" s="537"/>
      <c r="K654" s="537"/>
      <c r="L654" s="537"/>
      <c r="M654" s="537"/>
      <c r="N654" s="537"/>
      <c r="O654" s="537"/>
      <c r="P654" s="537"/>
      <c r="Q654" s="537"/>
      <c r="R654" s="537"/>
      <c r="S654" s="537"/>
      <c r="T654" s="537"/>
      <c r="U654" s="537"/>
      <c r="V654" s="537"/>
      <c r="W654" s="537"/>
      <c r="X654" s="537"/>
      <c r="Y654" s="537"/>
      <c r="Z654" s="537"/>
      <c r="AA654" s="537"/>
      <c r="AB654" s="537"/>
      <c r="AC654" s="537"/>
      <c r="AD654" s="537"/>
      <c r="AE654" s="537"/>
      <c r="AF654" s="537"/>
      <c r="AG654" s="537"/>
      <c r="AH654" s="537"/>
      <c r="AI654" s="537"/>
      <c r="AJ654" s="537"/>
      <c r="AK654" s="537"/>
      <c r="AL654" s="537"/>
      <c r="AN654" s="598"/>
    </row>
    <row r="655" spans="1:42" s="551" customFormat="1" ht="12.75" customHeight="1">
      <c r="B655" s="537"/>
      <c r="C655" s="540"/>
      <c r="D655" s="683" t="s">
        <v>1416</v>
      </c>
      <c r="E655" s="537"/>
      <c r="F655" s="537"/>
      <c r="G655" s="537"/>
      <c r="H655" s="537"/>
      <c r="I655" s="537"/>
      <c r="J655" s="537"/>
      <c r="K655" s="537"/>
      <c r="L655" s="537"/>
      <c r="M655" s="537"/>
      <c r="N655" s="537"/>
      <c r="O655" s="537"/>
      <c r="P655" s="537"/>
      <c r="Q655" s="537"/>
      <c r="R655" s="537"/>
      <c r="S655" s="537"/>
      <c r="T655" s="537"/>
      <c r="U655" s="537"/>
      <c r="V655" s="537"/>
      <c r="W655" s="537"/>
      <c r="X655" s="537"/>
      <c r="Y655" s="537"/>
      <c r="Z655" s="537"/>
      <c r="AA655" s="537"/>
      <c r="AB655" s="537"/>
      <c r="AC655" s="537"/>
      <c r="AD655" s="537"/>
      <c r="AE655" s="537"/>
      <c r="AF655" s="537"/>
      <c r="AG655" s="537"/>
      <c r="AH655" s="537"/>
      <c r="AI655" s="537"/>
      <c r="AJ655" s="537"/>
      <c r="AK655" s="537"/>
      <c r="AL655" s="537"/>
      <c r="AN655" s="598"/>
    </row>
    <row r="656" spans="1:42" s="551" customFormat="1" ht="12.75" customHeight="1">
      <c r="B656" s="537"/>
      <c r="C656" s="540"/>
      <c r="D656" s="537"/>
      <c r="E656" s="537"/>
      <c r="F656" s="537"/>
      <c r="G656" s="537"/>
      <c r="H656" s="537"/>
      <c r="I656" s="537"/>
      <c r="J656" s="537"/>
      <c r="K656" s="537"/>
      <c r="L656" s="537"/>
      <c r="M656" s="537"/>
      <c r="N656" s="537"/>
      <c r="O656" s="537"/>
      <c r="P656" s="537"/>
      <c r="Q656" s="537"/>
      <c r="R656" s="537"/>
      <c r="S656" s="537"/>
      <c r="T656" s="537"/>
      <c r="U656" s="537"/>
      <c r="V656" s="537"/>
      <c r="W656" s="537"/>
      <c r="X656" s="537"/>
      <c r="Y656" s="537"/>
      <c r="Z656" s="537"/>
      <c r="AA656" s="537"/>
      <c r="AB656" s="537"/>
      <c r="AC656" s="537"/>
      <c r="AD656" s="537"/>
      <c r="AE656" s="537"/>
      <c r="AF656" s="537"/>
      <c r="AG656" s="537"/>
      <c r="AH656" s="537"/>
      <c r="AI656" s="537"/>
      <c r="AJ656" s="537"/>
      <c r="AK656" s="537"/>
      <c r="AL656" s="537"/>
      <c r="AN656" s="598"/>
    </row>
    <row r="657" spans="1:42" s="551" customFormat="1" ht="12.75" customHeight="1">
      <c r="B657" s="537"/>
      <c r="C657" s="540"/>
      <c r="D657" s="664" t="s">
        <v>686</v>
      </c>
      <c r="E657" s="2433" t="s">
        <v>1417</v>
      </c>
      <c r="F657" s="2433"/>
      <c r="G657" s="2433"/>
      <c r="H657" s="2433"/>
      <c r="I657" s="2433"/>
      <c r="J657" s="2433"/>
      <c r="K657" s="2433"/>
      <c r="L657" s="2433"/>
      <c r="M657" s="2433"/>
      <c r="N657" s="2433"/>
      <c r="O657" s="2433"/>
      <c r="P657" s="2433"/>
      <c r="Q657" s="2433"/>
      <c r="R657" s="2433"/>
      <c r="S657" s="2433"/>
      <c r="T657" s="2433"/>
      <c r="U657" s="2433"/>
      <c r="V657" s="2433"/>
      <c r="W657" s="2433"/>
      <c r="X657" s="2433"/>
      <c r="Y657" s="2433"/>
      <c r="Z657" s="2433"/>
      <c r="AA657" s="2433"/>
      <c r="AB657" s="2433"/>
      <c r="AC657" s="2433"/>
      <c r="AD657" s="537"/>
      <c r="AE657" s="537"/>
      <c r="AF657" s="2533" t="s">
        <v>1377</v>
      </c>
      <c r="AG657" s="2533"/>
      <c r="AH657" s="2533"/>
      <c r="AI657" s="2533"/>
      <c r="AJ657" s="2533"/>
      <c r="AK657" s="2533"/>
      <c r="AL657" s="2533"/>
      <c r="AN657" s="598"/>
    </row>
    <row r="658" spans="1:42" s="551" customFormat="1" ht="12.75" customHeight="1">
      <c r="B658" s="537"/>
      <c r="C658" s="540"/>
      <c r="D658" s="537"/>
      <c r="E658" s="2433"/>
      <c r="F658" s="2433"/>
      <c r="G658" s="2433"/>
      <c r="H658" s="2433"/>
      <c r="I658" s="2433"/>
      <c r="J658" s="2433"/>
      <c r="K658" s="2433"/>
      <c r="L658" s="2433"/>
      <c r="M658" s="2433"/>
      <c r="N658" s="2433"/>
      <c r="O658" s="2433"/>
      <c r="P658" s="2433"/>
      <c r="Q658" s="2433"/>
      <c r="R658" s="2433"/>
      <c r="S658" s="2433"/>
      <c r="T658" s="2433"/>
      <c r="U658" s="2433"/>
      <c r="V658" s="2433"/>
      <c r="W658" s="2433"/>
      <c r="X658" s="2433"/>
      <c r="Y658" s="2433"/>
      <c r="Z658" s="2433"/>
      <c r="AA658" s="2433"/>
      <c r="AB658" s="2433"/>
      <c r="AC658" s="2433"/>
      <c r="AD658" s="537"/>
      <c r="AE658" s="537"/>
      <c r="AF658" s="537"/>
      <c r="AG658" s="537"/>
      <c r="AH658" s="537"/>
      <c r="AI658" s="537"/>
      <c r="AJ658" s="537"/>
      <c r="AK658" s="537"/>
      <c r="AL658" s="537"/>
      <c r="AN658" s="598"/>
    </row>
    <row r="659" spans="1:42" s="551" customFormat="1" ht="12.75" customHeight="1">
      <c r="B659" s="537"/>
      <c r="C659" s="540"/>
      <c r="D659" s="664"/>
      <c r="E659" s="2433"/>
      <c r="F659" s="2433"/>
      <c r="G659" s="2433"/>
      <c r="H659" s="2433"/>
      <c r="I659" s="2433"/>
      <c r="J659" s="2433"/>
      <c r="K659" s="2433"/>
      <c r="L659" s="2433"/>
      <c r="M659" s="2433"/>
      <c r="N659" s="2433"/>
      <c r="O659" s="2433"/>
      <c r="P659" s="2433"/>
      <c r="Q659" s="2433"/>
      <c r="R659" s="2433"/>
      <c r="S659" s="2433"/>
      <c r="T659" s="2433"/>
      <c r="U659" s="2433"/>
      <c r="V659" s="2433"/>
      <c r="W659" s="2433"/>
      <c r="X659" s="2433"/>
      <c r="Y659" s="2433"/>
      <c r="Z659" s="2433"/>
      <c r="AA659" s="2433"/>
      <c r="AB659" s="2433"/>
      <c r="AC659" s="2433"/>
      <c r="AD659" s="537"/>
      <c r="AE659" s="537"/>
      <c r="AF659" s="537"/>
      <c r="AG659" s="537"/>
      <c r="AH659" s="537"/>
      <c r="AI659" s="537"/>
      <c r="AJ659" s="537"/>
      <c r="AK659" s="537"/>
      <c r="AL659" s="537"/>
      <c r="AN659" s="598"/>
    </row>
    <row r="660" spans="1:42" s="551" customFormat="1" ht="15" customHeight="1">
      <c r="B660" s="537"/>
      <c r="C660" s="540"/>
      <c r="D660" s="537"/>
      <c r="E660" s="947"/>
      <c r="F660" s="947"/>
      <c r="G660" s="947"/>
      <c r="H660" s="947"/>
      <c r="I660" s="947"/>
      <c r="J660" s="947"/>
      <c r="K660" s="947"/>
      <c r="L660" s="947"/>
      <c r="M660" s="947"/>
      <c r="N660" s="947"/>
      <c r="O660" s="947"/>
      <c r="P660" s="947"/>
      <c r="Q660" s="947"/>
      <c r="R660" s="947"/>
      <c r="S660" s="947"/>
      <c r="T660" s="947"/>
      <c r="U660" s="947"/>
      <c r="V660" s="947"/>
      <c r="W660" s="947"/>
      <c r="X660" s="947"/>
      <c r="Y660" s="947"/>
      <c r="Z660" s="947"/>
      <c r="AA660" s="947"/>
      <c r="AB660" s="947"/>
      <c r="AC660" s="537"/>
      <c r="AD660" s="537"/>
      <c r="AE660" s="537"/>
      <c r="AF660" s="537"/>
      <c r="AG660" s="537"/>
      <c r="AH660" s="537"/>
      <c r="AI660" s="537"/>
      <c r="AJ660" s="537"/>
      <c r="AK660" s="537"/>
      <c r="AL660" s="537"/>
      <c r="AN660" s="598"/>
    </row>
    <row r="661" spans="1:42" s="551" customFormat="1" ht="12.75" customHeight="1">
      <c r="B661" s="537"/>
      <c r="C661" s="540"/>
      <c r="D661" s="664" t="s">
        <v>508</v>
      </c>
      <c r="E661" s="2433" t="s">
        <v>1418</v>
      </c>
      <c r="F661" s="2433"/>
      <c r="G661" s="2433"/>
      <c r="H661" s="2433"/>
      <c r="I661" s="2433"/>
      <c r="J661" s="2433"/>
      <c r="K661" s="2433"/>
      <c r="L661" s="2433"/>
      <c r="M661" s="2433"/>
      <c r="N661" s="2433"/>
      <c r="O661" s="2433"/>
      <c r="P661" s="2433"/>
      <c r="Q661" s="2433"/>
      <c r="R661" s="2433"/>
      <c r="S661" s="2433"/>
      <c r="T661" s="2433"/>
      <c r="U661" s="2433"/>
      <c r="V661" s="2433"/>
      <c r="W661" s="2433"/>
      <c r="X661" s="2433"/>
      <c r="Y661" s="2433"/>
      <c r="Z661" s="2433"/>
      <c r="AA661" s="2433"/>
      <c r="AB661" s="2433"/>
      <c r="AC661" s="2433"/>
      <c r="AD661" s="537"/>
      <c r="AE661" s="537"/>
      <c r="AF661" s="2533" t="s">
        <v>1398</v>
      </c>
      <c r="AG661" s="2533"/>
      <c r="AH661" s="2533"/>
      <c r="AI661" s="2533"/>
      <c r="AJ661" s="2533"/>
      <c r="AK661" s="2533"/>
      <c r="AL661" s="2533"/>
      <c r="AN661" s="598"/>
    </row>
    <row r="662" spans="1:42" s="551" customFormat="1" ht="12.75" customHeight="1">
      <c r="B662" s="537"/>
      <c r="C662" s="540"/>
      <c r="D662" s="537"/>
      <c r="E662" s="2433"/>
      <c r="F662" s="2433"/>
      <c r="G662" s="2433"/>
      <c r="H662" s="2433"/>
      <c r="I662" s="2433"/>
      <c r="J662" s="2433"/>
      <c r="K662" s="2433"/>
      <c r="L662" s="2433"/>
      <c r="M662" s="2433"/>
      <c r="N662" s="2433"/>
      <c r="O662" s="2433"/>
      <c r="P662" s="2433"/>
      <c r="Q662" s="2433"/>
      <c r="R662" s="2433"/>
      <c r="S662" s="2433"/>
      <c r="T662" s="2433"/>
      <c r="U662" s="2433"/>
      <c r="V662" s="2433"/>
      <c r="W662" s="2433"/>
      <c r="X662" s="2433"/>
      <c r="Y662" s="2433"/>
      <c r="Z662" s="2433"/>
      <c r="AA662" s="2433"/>
      <c r="AB662" s="2433"/>
      <c r="AC662" s="2433"/>
      <c r="AD662" s="537"/>
      <c r="AE662" s="537"/>
      <c r="AF662" s="537"/>
      <c r="AG662" s="537"/>
      <c r="AH662" s="537"/>
      <c r="AI662" s="537"/>
      <c r="AJ662" s="537"/>
      <c r="AK662" s="537"/>
      <c r="AL662" s="537"/>
      <c r="AN662" s="598"/>
    </row>
    <row r="663" spans="1:42" s="551" customFormat="1" ht="15" customHeight="1">
      <c r="B663" s="537"/>
      <c r="C663" s="540"/>
      <c r="D663" s="664"/>
      <c r="E663" s="2433"/>
      <c r="F663" s="2433"/>
      <c r="G663" s="2433"/>
      <c r="H663" s="2433"/>
      <c r="I663" s="2433"/>
      <c r="J663" s="2433"/>
      <c r="K663" s="2433"/>
      <c r="L663" s="2433"/>
      <c r="M663" s="2433"/>
      <c r="N663" s="2433"/>
      <c r="O663" s="2433"/>
      <c r="P663" s="2433"/>
      <c r="Q663" s="2433"/>
      <c r="R663" s="2433"/>
      <c r="S663" s="2433"/>
      <c r="T663" s="2433"/>
      <c r="U663" s="2433"/>
      <c r="V663" s="2433"/>
      <c r="W663" s="2433"/>
      <c r="X663" s="2433"/>
      <c r="Y663" s="2433"/>
      <c r="Z663" s="2433"/>
      <c r="AA663" s="2433"/>
      <c r="AB663" s="2433"/>
      <c r="AC663" s="2433"/>
      <c r="AD663" s="537"/>
      <c r="AE663" s="537"/>
      <c r="AF663" s="537"/>
      <c r="AG663" s="537"/>
      <c r="AH663" s="537"/>
      <c r="AI663" s="537"/>
      <c r="AJ663" s="537"/>
      <c r="AK663" s="537"/>
      <c r="AL663" s="537"/>
      <c r="AN663" s="598"/>
    </row>
    <row r="664" spans="1:42" s="551" customFormat="1" ht="12.75" customHeight="1">
      <c r="B664" s="537"/>
      <c r="C664" s="540"/>
      <c r="D664" s="537"/>
      <c r="E664" s="947"/>
      <c r="F664" s="947"/>
      <c r="G664" s="947"/>
      <c r="H664" s="947"/>
      <c r="I664" s="947"/>
      <c r="J664" s="947"/>
      <c r="K664" s="947"/>
      <c r="L664" s="947"/>
      <c r="M664" s="947"/>
      <c r="N664" s="947"/>
      <c r="O664" s="947"/>
      <c r="P664" s="947"/>
      <c r="Q664" s="947"/>
      <c r="R664" s="947"/>
      <c r="S664" s="947"/>
      <c r="T664" s="947"/>
      <c r="U664" s="947"/>
      <c r="V664" s="947"/>
      <c r="W664" s="947"/>
      <c r="X664" s="947"/>
      <c r="Y664" s="947"/>
      <c r="Z664" s="947"/>
      <c r="AA664" s="947"/>
      <c r="AB664" s="947"/>
      <c r="AC664" s="537"/>
      <c r="AD664" s="537"/>
      <c r="AE664" s="537"/>
      <c r="AF664" s="537"/>
      <c r="AG664" s="537"/>
      <c r="AH664" s="537"/>
      <c r="AI664" s="537"/>
      <c r="AJ664" s="537"/>
      <c r="AK664" s="537"/>
      <c r="AL664" s="537"/>
      <c r="AN664" s="598"/>
    </row>
    <row r="665" spans="1:42" s="551" customFormat="1" ht="12.75" customHeight="1">
      <c r="B665" s="537"/>
      <c r="C665" s="540"/>
      <c r="D665" s="664" t="s">
        <v>277</v>
      </c>
      <c r="E665" s="2433" t="s">
        <v>1419</v>
      </c>
      <c r="F665" s="2433"/>
      <c r="G665" s="2433"/>
      <c r="H665" s="2433"/>
      <c r="I665" s="2433"/>
      <c r="J665" s="2433"/>
      <c r="K665" s="2433"/>
      <c r="L665" s="2433"/>
      <c r="M665" s="2433"/>
      <c r="N665" s="2433"/>
      <c r="O665" s="2433"/>
      <c r="P665" s="2433"/>
      <c r="Q665" s="2433"/>
      <c r="R665" s="2433"/>
      <c r="S665" s="2433"/>
      <c r="T665" s="2433"/>
      <c r="U665" s="2433"/>
      <c r="V665" s="2433"/>
      <c r="W665" s="2433"/>
      <c r="X665" s="2433"/>
      <c r="Y665" s="2433"/>
      <c r="Z665" s="2433"/>
      <c r="AA665" s="2433"/>
      <c r="AB665" s="2433"/>
      <c r="AC665" s="2433"/>
      <c r="AD665" s="537"/>
      <c r="AE665" s="537"/>
      <c r="AF665" s="2533" t="s">
        <v>1351</v>
      </c>
      <c r="AG665" s="2533"/>
      <c r="AH665" s="2533"/>
      <c r="AI665" s="2533"/>
      <c r="AJ665" s="2533"/>
      <c r="AK665" s="2533"/>
      <c r="AL665" s="2533"/>
      <c r="AN665" s="598"/>
    </row>
    <row r="666" spans="1:42" s="551" customFormat="1" ht="12.75" customHeight="1">
      <c r="B666" s="537"/>
      <c r="C666" s="932"/>
      <c r="D666" s="537"/>
      <c r="E666" s="2433"/>
      <c r="F666" s="2433"/>
      <c r="G666" s="2433"/>
      <c r="H666" s="2433"/>
      <c r="I666" s="2433"/>
      <c r="J666" s="2433"/>
      <c r="K666" s="2433"/>
      <c r="L666" s="2433"/>
      <c r="M666" s="2433"/>
      <c r="N666" s="2433"/>
      <c r="O666" s="2433"/>
      <c r="P666" s="2433"/>
      <c r="Q666" s="2433"/>
      <c r="R666" s="2433"/>
      <c r="S666" s="2433"/>
      <c r="T666" s="2433"/>
      <c r="U666" s="2433"/>
      <c r="V666" s="2433"/>
      <c r="W666" s="2433"/>
      <c r="X666" s="2433"/>
      <c r="Y666" s="2433"/>
      <c r="Z666" s="2433"/>
      <c r="AA666" s="2433"/>
      <c r="AB666" s="2433"/>
      <c r="AC666" s="2433"/>
      <c r="AD666" s="537"/>
      <c r="AE666" s="2533"/>
      <c r="AF666" s="2533"/>
      <c r="AG666" s="2533"/>
      <c r="AH666" s="2533"/>
      <c r="AI666" s="2533"/>
      <c r="AJ666" s="2533"/>
      <c r="AK666" s="2533"/>
      <c r="AL666" s="595"/>
      <c r="AN666" s="598"/>
      <c r="AO666" s="551" t="s">
        <v>590</v>
      </c>
      <c r="AP666" s="674">
        <v>0</v>
      </c>
    </row>
    <row r="667" spans="1:42" s="551" customFormat="1" ht="12.75" customHeight="1">
      <c r="A667" s="680"/>
      <c r="B667" s="537"/>
      <c r="C667" s="537"/>
      <c r="D667" s="664"/>
      <c r="E667" s="2433"/>
      <c r="F667" s="2433"/>
      <c r="G667" s="2433"/>
      <c r="H667" s="2433"/>
      <c r="I667" s="2433"/>
      <c r="J667" s="2433"/>
      <c r="K667" s="2433"/>
      <c r="L667" s="2433"/>
      <c r="M667" s="2433"/>
      <c r="N667" s="2433"/>
      <c r="O667" s="2433"/>
      <c r="P667" s="2433"/>
      <c r="Q667" s="2433"/>
      <c r="R667" s="2433"/>
      <c r="S667" s="2433"/>
      <c r="T667" s="2433"/>
      <c r="U667" s="2433"/>
      <c r="V667" s="2433"/>
      <c r="W667" s="2433"/>
      <c r="X667" s="2433"/>
      <c r="Y667" s="2433"/>
      <c r="Z667" s="2433"/>
      <c r="AA667" s="2433"/>
      <c r="AB667" s="2433"/>
      <c r="AC667" s="2433"/>
      <c r="AD667" s="537"/>
      <c r="AE667" s="537"/>
      <c r="AF667" s="537"/>
      <c r="AG667" s="537"/>
      <c r="AH667" s="537"/>
      <c r="AI667" s="537"/>
      <c r="AJ667" s="537"/>
      <c r="AK667" s="537"/>
      <c r="AL667" s="537"/>
      <c r="AN667" s="598"/>
      <c r="AO667" s="612" t="s">
        <v>686</v>
      </c>
      <c r="AP667" s="551">
        <v>3</v>
      </c>
    </row>
    <row r="668" spans="1:42" s="551" customFormat="1" ht="12.75" customHeight="1">
      <c r="B668" s="537"/>
      <c r="C668" s="932"/>
      <c r="D668" s="664"/>
      <c r="E668" s="576"/>
      <c r="F668" s="576"/>
      <c r="G668" s="576"/>
      <c r="H668" s="576"/>
      <c r="I668" s="576"/>
      <c r="J668" s="576"/>
      <c r="K668" s="576"/>
      <c r="L668" s="576"/>
      <c r="M668" s="576"/>
      <c r="N668" s="576"/>
      <c r="O668" s="576"/>
      <c r="P668" s="576"/>
      <c r="Q668" s="576"/>
      <c r="R668" s="576"/>
      <c r="S668" s="576"/>
      <c r="T668" s="576"/>
      <c r="U668" s="576"/>
      <c r="V668" s="576"/>
      <c r="W668" s="576"/>
      <c r="X668" s="576"/>
      <c r="Y668" s="576"/>
      <c r="Z668" s="576"/>
      <c r="AA668" s="576"/>
      <c r="AB668" s="576"/>
      <c r="AC668" s="537"/>
      <c r="AD668" s="537"/>
      <c r="AE668" s="537"/>
      <c r="AF668" s="537"/>
      <c r="AG668" s="537"/>
      <c r="AH668" s="537"/>
      <c r="AI668" s="537"/>
      <c r="AJ668" s="537"/>
      <c r="AK668" s="537"/>
      <c r="AL668" s="537"/>
      <c r="AN668" s="598"/>
      <c r="AO668" s="612" t="s">
        <v>508</v>
      </c>
      <c r="AP668" s="551">
        <v>2</v>
      </c>
    </row>
    <row r="669" spans="1:42" s="551" customFormat="1" ht="12.75" customHeight="1">
      <c r="A669" s="671"/>
      <c r="B669" s="537"/>
      <c r="C669" s="948"/>
      <c r="D669" s="664" t="s">
        <v>1396</v>
      </c>
      <c r="E669" s="2433" t="s">
        <v>1420</v>
      </c>
      <c r="F669" s="2433"/>
      <c r="G669" s="2433"/>
      <c r="H669" s="2433"/>
      <c r="I669" s="2433"/>
      <c r="J669" s="2433"/>
      <c r="K669" s="2433"/>
      <c r="L669" s="2433"/>
      <c r="M669" s="2433"/>
      <c r="N669" s="2433"/>
      <c r="O669" s="2433"/>
      <c r="P669" s="2433"/>
      <c r="Q669" s="2433"/>
      <c r="R669" s="2433"/>
      <c r="S669" s="2433"/>
      <c r="T669" s="2433"/>
      <c r="U669" s="2433"/>
      <c r="V669" s="2433"/>
      <c r="W669" s="2433"/>
      <c r="X669" s="2433"/>
      <c r="Y669" s="2433"/>
      <c r="Z669" s="2433"/>
      <c r="AA669" s="2433"/>
      <c r="AB669" s="2433"/>
      <c r="AC669" s="2433"/>
      <c r="AD669" s="537"/>
      <c r="AE669" s="537"/>
      <c r="AF669" s="2533" t="s">
        <v>1398</v>
      </c>
      <c r="AG669" s="2533"/>
      <c r="AH669" s="2533"/>
      <c r="AI669" s="2533"/>
      <c r="AJ669" s="2533"/>
      <c r="AK669" s="2533"/>
      <c r="AL669" s="2533"/>
      <c r="AN669" s="598"/>
    </row>
    <row r="670" spans="1:42" s="551" customFormat="1" ht="12.75" customHeight="1">
      <c r="A670" s="671"/>
      <c r="B670" s="537"/>
      <c r="C670" s="948"/>
      <c r="D670" s="664"/>
      <c r="E670" s="2433"/>
      <c r="F670" s="2433"/>
      <c r="G670" s="2433"/>
      <c r="H670" s="2433"/>
      <c r="I670" s="2433"/>
      <c r="J670" s="2433"/>
      <c r="K670" s="2433"/>
      <c r="L670" s="2433"/>
      <c r="M670" s="2433"/>
      <c r="N670" s="2433"/>
      <c r="O670" s="2433"/>
      <c r="P670" s="2433"/>
      <c r="Q670" s="2433"/>
      <c r="R670" s="2433"/>
      <c r="S670" s="2433"/>
      <c r="T670" s="2433"/>
      <c r="U670" s="2433"/>
      <c r="V670" s="2433"/>
      <c r="W670" s="2433"/>
      <c r="X670" s="2433"/>
      <c r="Y670" s="2433"/>
      <c r="Z670" s="2433"/>
      <c r="AA670" s="2433"/>
      <c r="AB670" s="2433"/>
      <c r="AC670" s="2433"/>
      <c r="AD670" s="537"/>
      <c r="AE670" s="595"/>
      <c r="AF670" s="595"/>
      <c r="AG670" s="595"/>
      <c r="AH670" s="595"/>
      <c r="AI670" s="595"/>
      <c r="AJ670" s="595"/>
      <c r="AK670" s="595"/>
      <c r="AL670" s="595"/>
      <c r="AM670" s="597"/>
      <c r="AN670" s="598"/>
    </row>
    <row r="671" spans="1:42" s="551" customFormat="1" ht="12.75" customHeight="1">
      <c r="A671" s="671"/>
      <c r="B671" s="537"/>
      <c r="C671" s="948"/>
      <c r="D671" s="664"/>
      <c r="E671" s="2433"/>
      <c r="F671" s="2433"/>
      <c r="G671" s="2433"/>
      <c r="H671" s="2433"/>
      <c r="I671" s="2433"/>
      <c r="J671" s="2433"/>
      <c r="K671" s="2433"/>
      <c r="L671" s="2433"/>
      <c r="M671" s="2433"/>
      <c r="N671" s="2433"/>
      <c r="O671" s="2433"/>
      <c r="P671" s="2433"/>
      <c r="Q671" s="2433"/>
      <c r="R671" s="2433"/>
      <c r="S671" s="2433"/>
      <c r="T671" s="2433"/>
      <c r="U671" s="2433"/>
      <c r="V671" s="2433"/>
      <c r="W671" s="2433"/>
      <c r="X671" s="2433"/>
      <c r="Y671" s="2433"/>
      <c r="Z671" s="2433"/>
      <c r="AA671" s="2433"/>
      <c r="AB671" s="2433"/>
      <c r="AC671" s="2433"/>
      <c r="AD671" s="537"/>
      <c r="AE671" s="595"/>
      <c r="AF671" s="595"/>
      <c r="AG671" s="595"/>
      <c r="AH671" s="595"/>
      <c r="AI671" s="595"/>
      <c r="AJ671" s="595"/>
      <c r="AK671" s="595"/>
      <c r="AL671" s="595"/>
      <c r="AM671" s="597"/>
      <c r="AN671" s="598"/>
    </row>
    <row r="672" spans="1:42" s="551" customFormat="1" ht="12.75" customHeight="1">
      <c r="B672" s="537"/>
      <c r="C672" s="932"/>
      <c r="D672" s="664"/>
      <c r="E672" s="643"/>
      <c r="F672" s="643"/>
      <c r="G672" s="643"/>
      <c r="H672" s="643"/>
      <c r="I672" s="643"/>
      <c r="J672" s="643"/>
      <c r="K672" s="643"/>
      <c r="L672" s="643"/>
      <c r="M672" s="643"/>
      <c r="N672" s="643"/>
      <c r="O672" s="643"/>
      <c r="P672" s="643"/>
      <c r="Q672" s="643"/>
      <c r="R672" s="643"/>
      <c r="S672" s="643"/>
      <c r="T672" s="643"/>
      <c r="U672" s="643"/>
      <c r="V672" s="643"/>
      <c r="W672" s="643"/>
      <c r="X672" s="643"/>
      <c r="Y672" s="643"/>
      <c r="Z672" s="643"/>
      <c r="AA672" s="643"/>
      <c r="AB672" s="643"/>
      <c r="AC672" s="540"/>
      <c r="AD672" s="540"/>
      <c r="AE672" s="537"/>
      <c r="AF672" s="537"/>
      <c r="AG672" s="537"/>
      <c r="AH672" s="537"/>
      <c r="AI672" s="537"/>
      <c r="AJ672" s="537"/>
      <c r="AK672" s="537"/>
      <c r="AL672" s="595"/>
      <c r="AM672" s="597"/>
      <c r="AN672" s="598"/>
    </row>
    <row r="673" spans="1:42" s="551" customFormat="1" ht="12.75" customHeight="1">
      <c r="B673" s="537"/>
      <c r="C673" s="932"/>
      <c r="D673" s="664" t="s">
        <v>1397</v>
      </c>
      <c r="E673" s="2433" t="s">
        <v>1421</v>
      </c>
      <c r="F673" s="2433"/>
      <c r="G673" s="2433"/>
      <c r="H673" s="2433"/>
      <c r="I673" s="2433"/>
      <c r="J673" s="2433"/>
      <c r="K673" s="2433"/>
      <c r="L673" s="2433"/>
      <c r="M673" s="2433"/>
      <c r="N673" s="2433"/>
      <c r="O673" s="2433"/>
      <c r="P673" s="2433"/>
      <c r="Q673" s="2433"/>
      <c r="R673" s="2433"/>
      <c r="S673" s="2433"/>
      <c r="T673" s="2433"/>
      <c r="U673" s="2433"/>
      <c r="V673" s="2433"/>
      <c r="W673" s="2433"/>
      <c r="X673" s="2433"/>
      <c r="Y673" s="2433"/>
      <c r="Z673" s="2433"/>
      <c r="AA673" s="2433"/>
      <c r="AB673" s="2433"/>
      <c r="AC673" s="2433"/>
      <c r="AD673" s="537"/>
      <c r="AE673" s="537"/>
      <c r="AF673" s="2533" t="s">
        <v>1351</v>
      </c>
      <c r="AG673" s="2533"/>
      <c r="AH673" s="2533"/>
      <c r="AI673" s="2533"/>
      <c r="AJ673" s="2533"/>
      <c r="AK673" s="2533"/>
      <c r="AL673" s="2533"/>
      <c r="AM673" s="597"/>
      <c r="AN673" s="598"/>
    </row>
    <row r="674" spans="1:42" s="551" customFormat="1" ht="12.75" customHeight="1">
      <c r="B674" s="537"/>
      <c r="C674" s="932"/>
      <c r="D674" s="664"/>
      <c r="E674" s="2433"/>
      <c r="F674" s="2433"/>
      <c r="G674" s="2433"/>
      <c r="H674" s="2433"/>
      <c r="I674" s="2433"/>
      <c r="J674" s="2433"/>
      <c r="K674" s="2433"/>
      <c r="L674" s="2433"/>
      <c r="M674" s="2433"/>
      <c r="N674" s="2433"/>
      <c r="O674" s="2433"/>
      <c r="P674" s="2433"/>
      <c r="Q674" s="2433"/>
      <c r="R674" s="2433"/>
      <c r="S674" s="2433"/>
      <c r="T674" s="2433"/>
      <c r="U674" s="2433"/>
      <c r="V674" s="2433"/>
      <c r="W674" s="2433"/>
      <c r="X674" s="2433"/>
      <c r="Y674" s="2433"/>
      <c r="Z674" s="2433"/>
      <c r="AA674" s="2433"/>
      <c r="AB674" s="2433"/>
      <c r="AC674" s="2433"/>
      <c r="AD674" s="537"/>
      <c r="AE674" s="537"/>
      <c r="AF674" s="537"/>
      <c r="AG674" s="537"/>
      <c r="AH674" s="537"/>
      <c r="AI674" s="537"/>
      <c r="AJ674" s="537"/>
      <c r="AK674" s="537"/>
      <c r="AL674" s="537"/>
      <c r="AM674" s="597"/>
      <c r="AN674" s="598"/>
    </row>
    <row r="675" spans="1:42" s="551" customFormat="1" ht="12.75" customHeight="1">
      <c r="B675" s="537"/>
      <c r="C675" s="932"/>
      <c r="D675" s="664"/>
      <c r="E675" s="2433"/>
      <c r="F675" s="2433"/>
      <c r="G675" s="2433"/>
      <c r="H675" s="2433"/>
      <c r="I675" s="2433"/>
      <c r="J675" s="2433"/>
      <c r="K675" s="2433"/>
      <c r="L675" s="2433"/>
      <c r="M675" s="2433"/>
      <c r="N675" s="2433"/>
      <c r="O675" s="2433"/>
      <c r="P675" s="2433"/>
      <c r="Q675" s="2433"/>
      <c r="R675" s="2433"/>
      <c r="S675" s="2433"/>
      <c r="T675" s="2433"/>
      <c r="U675" s="2433"/>
      <c r="V675" s="2433"/>
      <c r="W675" s="2433"/>
      <c r="X675" s="2433"/>
      <c r="Y675" s="2433"/>
      <c r="Z675" s="2433"/>
      <c r="AA675" s="2433"/>
      <c r="AB675" s="2433"/>
      <c r="AC675" s="2433"/>
      <c r="AD675" s="537"/>
      <c r="AE675" s="537"/>
      <c r="AF675" s="537"/>
      <c r="AG675" s="537"/>
      <c r="AH675" s="537"/>
      <c r="AI675" s="537"/>
      <c r="AJ675" s="537"/>
      <c r="AK675" s="537"/>
      <c r="AL675" s="537"/>
      <c r="AM675" s="597"/>
      <c r="AN675" s="598"/>
    </row>
    <row r="676" spans="1:42" s="551" customFormat="1" ht="12.75" customHeight="1">
      <c r="B676" s="537"/>
      <c r="C676" s="932"/>
      <c r="D676" s="664"/>
      <c r="E676" s="537"/>
      <c r="F676" s="537"/>
      <c r="G676" s="537"/>
      <c r="H676" s="537"/>
      <c r="I676" s="537"/>
      <c r="J676" s="537"/>
      <c r="K676" s="537"/>
      <c r="L676" s="537"/>
      <c r="M676" s="537"/>
      <c r="N676" s="537"/>
      <c r="O676" s="537"/>
      <c r="P676" s="537"/>
      <c r="Q676" s="537"/>
      <c r="R676" s="537"/>
      <c r="S676" s="537"/>
      <c r="T676" s="537"/>
      <c r="U676" s="537"/>
      <c r="V676" s="537"/>
      <c r="W676" s="537"/>
      <c r="X676" s="537"/>
      <c r="Y676" s="537"/>
      <c r="Z676" s="537"/>
      <c r="AA676" s="537"/>
      <c r="AB676" s="537"/>
      <c r="AC676" s="537"/>
      <c r="AD676" s="537"/>
      <c r="AE676" s="537"/>
      <c r="AF676" s="537"/>
      <c r="AG676" s="537"/>
      <c r="AH676" s="537"/>
      <c r="AI676" s="537"/>
      <c r="AJ676" s="537"/>
      <c r="AK676" s="537"/>
      <c r="AL676" s="537"/>
      <c r="AM676" s="597"/>
      <c r="AN676" s="598"/>
    </row>
    <row r="677" spans="1:42" s="551" customFormat="1" ht="12.75" customHeight="1">
      <c r="A677" s="680"/>
      <c r="B677" s="537"/>
      <c r="C677" s="932"/>
      <c r="D677" s="664" t="s">
        <v>1408</v>
      </c>
      <c r="E677" s="2433" t="s">
        <v>1422</v>
      </c>
      <c r="F677" s="2433"/>
      <c r="G677" s="2433"/>
      <c r="H677" s="2433"/>
      <c r="I677" s="2433"/>
      <c r="J677" s="2433"/>
      <c r="K677" s="2433"/>
      <c r="L677" s="2433"/>
      <c r="M677" s="2433"/>
      <c r="N677" s="2433"/>
      <c r="O677" s="2433"/>
      <c r="P677" s="2433"/>
      <c r="Q677" s="2433"/>
      <c r="R677" s="2433"/>
      <c r="S677" s="2433"/>
      <c r="T677" s="2433"/>
      <c r="U677" s="2433"/>
      <c r="V677" s="2433"/>
      <c r="W677" s="2433"/>
      <c r="X677" s="2433"/>
      <c r="Y677" s="2433"/>
      <c r="Z677" s="2433"/>
      <c r="AA677" s="2433"/>
      <c r="AB677" s="2433"/>
      <c r="AC677" s="2433"/>
      <c r="AD677" s="537"/>
      <c r="AE677" s="537"/>
      <c r="AF677" s="2533" t="s">
        <v>1407</v>
      </c>
      <c r="AG677" s="2533"/>
      <c r="AH677" s="2533"/>
      <c r="AI677" s="2533"/>
      <c r="AJ677" s="2533"/>
      <c r="AK677" s="2533"/>
      <c r="AL677" s="2533"/>
      <c r="AM677" s="597"/>
      <c r="AN677" s="598"/>
    </row>
    <row r="678" spans="1:42" s="551" customFormat="1" ht="12.75" customHeight="1">
      <c r="A678" s="680"/>
      <c r="B678" s="537"/>
      <c r="C678" s="932"/>
      <c r="D678" s="664"/>
      <c r="E678" s="2433"/>
      <c r="F678" s="2433"/>
      <c r="G678" s="2433"/>
      <c r="H678" s="2433"/>
      <c r="I678" s="2433"/>
      <c r="J678" s="2433"/>
      <c r="K678" s="2433"/>
      <c r="L678" s="2433"/>
      <c r="M678" s="2433"/>
      <c r="N678" s="2433"/>
      <c r="O678" s="2433"/>
      <c r="P678" s="2433"/>
      <c r="Q678" s="2433"/>
      <c r="R678" s="2433"/>
      <c r="S678" s="2433"/>
      <c r="T678" s="2433"/>
      <c r="U678" s="2433"/>
      <c r="V678" s="2433"/>
      <c r="W678" s="2433"/>
      <c r="X678" s="2433"/>
      <c r="Y678" s="2433"/>
      <c r="Z678" s="2433"/>
      <c r="AA678" s="2433"/>
      <c r="AB678" s="2433"/>
      <c r="AC678" s="2433"/>
      <c r="AD678" s="537"/>
      <c r="AE678" s="537"/>
      <c r="AF678" s="595"/>
      <c r="AG678" s="595"/>
      <c r="AH678" s="595"/>
      <c r="AI678" s="595"/>
      <c r="AJ678" s="595"/>
      <c r="AK678" s="595"/>
      <c r="AL678" s="595"/>
      <c r="AM678" s="597"/>
      <c r="AN678" s="598"/>
    </row>
    <row r="679" spans="1:42" s="551" customFormat="1" ht="12.75" customHeight="1">
      <c r="A679" s="680"/>
      <c r="B679" s="537"/>
      <c r="C679" s="932"/>
      <c r="D679" s="664"/>
      <c r="E679" s="2433"/>
      <c r="F679" s="2433"/>
      <c r="G679" s="2433"/>
      <c r="H679" s="2433"/>
      <c r="I679" s="2433"/>
      <c r="J679" s="2433"/>
      <c r="K679" s="2433"/>
      <c r="L679" s="2433"/>
      <c r="M679" s="2433"/>
      <c r="N679" s="2433"/>
      <c r="O679" s="2433"/>
      <c r="P679" s="2433"/>
      <c r="Q679" s="2433"/>
      <c r="R679" s="2433"/>
      <c r="S679" s="2433"/>
      <c r="T679" s="2433"/>
      <c r="U679" s="2433"/>
      <c r="V679" s="2433"/>
      <c r="W679" s="2433"/>
      <c r="X679" s="2433"/>
      <c r="Y679" s="2433"/>
      <c r="Z679" s="2433"/>
      <c r="AA679" s="2433"/>
      <c r="AB679" s="2433"/>
      <c r="AC679" s="2433"/>
      <c r="AD679" s="537"/>
      <c r="AE679" s="595"/>
      <c r="AF679" s="595"/>
      <c r="AG679" s="595"/>
      <c r="AH679" s="595"/>
      <c r="AI679" s="595"/>
      <c r="AJ679" s="595"/>
      <c r="AK679" s="595"/>
      <c r="AL679" s="595"/>
      <c r="AM679" s="597"/>
      <c r="AN679" s="598"/>
    </row>
    <row r="680" spans="1:42" s="551" customFormat="1" ht="12.75" customHeight="1">
      <c r="A680" s="680"/>
      <c r="B680" s="537"/>
      <c r="C680" s="932"/>
      <c r="D680" s="664"/>
      <c r="E680" s="643"/>
      <c r="F680" s="643"/>
      <c r="G680" s="643"/>
      <c r="H680" s="643"/>
      <c r="I680" s="643"/>
      <c r="J680" s="643"/>
      <c r="K680" s="643"/>
      <c r="L680" s="643"/>
      <c r="M680" s="643"/>
      <c r="N680" s="643"/>
      <c r="O680" s="643"/>
      <c r="P680" s="643"/>
      <c r="Q680" s="643"/>
      <c r="R680" s="643"/>
      <c r="S680" s="643"/>
      <c r="T680" s="643"/>
      <c r="U680" s="643"/>
      <c r="V680" s="643"/>
      <c r="W680" s="643"/>
      <c r="X680" s="643"/>
      <c r="Y680" s="643"/>
      <c r="Z680" s="643"/>
      <c r="AA680" s="643"/>
      <c r="AB680" s="643"/>
      <c r="AC680" s="643"/>
      <c r="AD680" s="537"/>
      <c r="AE680" s="595"/>
      <c r="AF680" s="537"/>
      <c r="AG680" s="537"/>
      <c r="AH680" s="537"/>
      <c r="AI680" s="537"/>
      <c r="AJ680" s="537"/>
      <c r="AK680" s="537"/>
      <c r="AL680" s="537"/>
      <c r="AM680" s="597"/>
      <c r="AN680" s="598"/>
      <c r="AO680" s="551" t="s">
        <v>590</v>
      </c>
      <c r="AP680" s="638">
        <v>0</v>
      </c>
    </row>
    <row r="681" spans="1:42" s="551" customFormat="1" ht="12.75" customHeight="1">
      <c r="A681" s="680"/>
      <c r="B681" s="537"/>
      <c r="C681" s="932"/>
      <c r="D681" s="664" t="s">
        <v>1410</v>
      </c>
      <c r="E681" s="2433" t="s">
        <v>1423</v>
      </c>
      <c r="F681" s="2433"/>
      <c r="G681" s="2433"/>
      <c r="H681" s="2433"/>
      <c r="I681" s="2433"/>
      <c r="J681" s="2433"/>
      <c r="K681" s="2433"/>
      <c r="L681" s="2433"/>
      <c r="M681" s="2433"/>
      <c r="N681" s="2433"/>
      <c r="O681" s="2433"/>
      <c r="P681" s="2433"/>
      <c r="Q681" s="2433"/>
      <c r="R681" s="2433"/>
      <c r="S681" s="2433"/>
      <c r="T681" s="2433"/>
      <c r="U681" s="2433"/>
      <c r="V681" s="2433"/>
      <c r="W681" s="2433"/>
      <c r="X681" s="2433"/>
      <c r="Y681" s="2433"/>
      <c r="Z681" s="2433"/>
      <c r="AA681" s="2433"/>
      <c r="AB681" s="2433"/>
      <c r="AC681" s="2433"/>
      <c r="AD681" s="537"/>
      <c r="AE681" s="537"/>
      <c r="AF681" s="2533" t="s">
        <v>1424</v>
      </c>
      <c r="AG681" s="2533"/>
      <c r="AH681" s="2533"/>
      <c r="AI681" s="2533"/>
      <c r="AJ681" s="2533"/>
      <c r="AK681" s="2533"/>
      <c r="AL681" s="2533"/>
      <c r="AM681" s="597"/>
      <c r="AN681" s="598"/>
      <c r="AO681" s="612" t="s">
        <v>686</v>
      </c>
      <c r="AP681" s="551">
        <v>3</v>
      </c>
    </row>
    <row r="682" spans="1:42" s="551" customFormat="1" ht="12.75" customHeight="1">
      <c r="A682" s="680"/>
      <c r="B682" s="537"/>
      <c r="C682" s="932"/>
      <c r="D682" s="664"/>
      <c r="E682" s="2433"/>
      <c r="F682" s="2433"/>
      <c r="G682" s="2433"/>
      <c r="H682" s="2433"/>
      <c r="I682" s="2433"/>
      <c r="J682" s="2433"/>
      <c r="K682" s="2433"/>
      <c r="L682" s="2433"/>
      <c r="M682" s="2433"/>
      <c r="N682" s="2433"/>
      <c r="O682" s="2433"/>
      <c r="P682" s="2433"/>
      <c r="Q682" s="2433"/>
      <c r="R682" s="2433"/>
      <c r="S682" s="2433"/>
      <c r="T682" s="2433"/>
      <c r="U682" s="2433"/>
      <c r="V682" s="2433"/>
      <c r="W682" s="2433"/>
      <c r="X682" s="2433"/>
      <c r="Y682" s="2433"/>
      <c r="Z682" s="2433"/>
      <c r="AA682" s="2433"/>
      <c r="AB682" s="2433"/>
      <c r="AC682" s="2433"/>
      <c r="AD682" s="537"/>
      <c r="AE682" s="537"/>
      <c r="AF682" s="595"/>
      <c r="AG682" s="595"/>
      <c r="AH682" s="595"/>
      <c r="AI682" s="595"/>
      <c r="AJ682" s="595"/>
      <c r="AK682" s="595"/>
      <c r="AL682" s="595"/>
      <c r="AM682" s="597"/>
      <c r="AN682" s="598"/>
      <c r="AO682" s="612" t="s">
        <v>508</v>
      </c>
      <c r="AP682" s="551">
        <v>2</v>
      </c>
    </row>
    <row r="683" spans="1:42" s="551" customFormat="1" ht="12.75" customHeight="1">
      <c r="A683" s="680"/>
      <c r="B683" s="537"/>
      <c r="C683" s="932"/>
      <c r="D683" s="664"/>
      <c r="E683" s="2433"/>
      <c r="F683" s="2433"/>
      <c r="G683" s="2433"/>
      <c r="H683" s="2433"/>
      <c r="I683" s="2433"/>
      <c r="J683" s="2433"/>
      <c r="K683" s="2433"/>
      <c r="L683" s="2433"/>
      <c r="M683" s="2433"/>
      <c r="N683" s="2433"/>
      <c r="O683" s="2433"/>
      <c r="P683" s="2433"/>
      <c r="Q683" s="2433"/>
      <c r="R683" s="2433"/>
      <c r="S683" s="2433"/>
      <c r="T683" s="2433"/>
      <c r="U683" s="2433"/>
      <c r="V683" s="2433"/>
      <c r="W683" s="2433"/>
      <c r="X683" s="2433"/>
      <c r="Y683" s="2433"/>
      <c r="Z683" s="2433"/>
      <c r="AA683" s="2433"/>
      <c r="AB683" s="2433"/>
      <c r="AC683" s="2433"/>
      <c r="AD683" s="537"/>
      <c r="AE683" s="595"/>
      <c r="AF683" s="595"/>
      <c r="AG683" s="595"/>
      <c r="AH683" s="595"/>
      <c r="AI683" s="595"/>
      <c r="AJ683" s="595"/>
      <c r="AK683" s="595"/>
      <c r="AL683" s="595"/>
      <c r="AM683" s="597"/>
      <c r="AN683" s="598"/>
    </row>
    <row r="684" spans="1:42" s="551" customFormat="1" ht="12.75" customHeight="1">
      <c r="A684" s="671"/>
      <c r="B684" s="537"/>
      <c r="C684" s="948"/>
      <c r="D684" s="664"/>
      <c r="E684" s="644"/>
      <c r="F684" s="644"/>
      <c r="G684" s="644"/>
      <c r="H684" s="644"/>
      <c r="I684" s="644"/>
      <c r="J684" s="644"/>
      <c r="K684" s="644"/>
      <c r="L684" s="644"/>
      <c r="M684" s="644"/>
      <c r="N684" s="644"/>
      <c r="O684" s="644"/>
      <c r="P684" s="644"/>
      <c r="Q684" s="644"/>
      <c r="R684" s="644"/>
      <c r="S684" s="644"/>
      <c r="T684" s="644"/>
      <c r="U684" s="644"/>
      <c r="V684" s="644"/>
      <c r="W684" s="644"/>
      <c r="X684" s="644"/>
      <c r="Y684" s="644"/>
      <c r="Z684" s="644"/>
      <c r="AA684" s="644"/>
      <c r="AB684" s="644"/>
      <c r="AC684" s="644"/>
      <c r="AD684" s="537"/>
      <c r="AE684" s="595"/>
      <c r="AF684" s="595"/>
      <c r="AG684" s="595"/>
      <c r="AH684" s="595"/>
      <c r="AI684" s="595"/>
      <c r="AJ684" s="595"/>
      <c r="AK684" s="595"/>
      <c r="AL684" s="595"/>
      <c r="AM684" s="597"/>
      <c r="AN684" s="598"/>
    </row>
    <row r="685" spans="1:42" s="551" customFormat="1" ht="12.75" customHeight="1">
      <c r="A685" s="680"/>
      <c r="B685" s="537"/>
      <c r="C685" s="932"/>
      <c r="D685" s="537" t="s">
        <v>1399</v>
      </c>
      <c r="E685" s="937"/>
      <c r="F685" s="937"/>
      <c r="G685" s="937"/>
      <c r="H685" s="2457" t="s">
        <v>508</v>
      </c>
      <c r="I685" s="2457"/>
      <c r="J685" s="617"/>
      <c r="K685" s="617"/>
      <c r="L685" s="537"/>
      <c r="M685" s="537"/>
      <c r="N685" s="537"/>
      <c r="O685" s="537"/>
      <c r="P685" s="537"/>
      <c r="Q685" s="537"/>
      <c r="R685" s="537"/>
      <c r="S685" s="537"/>
      <c r="T685" s="537"/>
      <c r="U685" s="537"/>
      <c r="V685" s="537"/>
      <c r="W685" s="537"/>
      <c r="X685" s="537"/>
      <c r="Y685" s="537"/>
      <c r="Z685" s="537"/>
      <c r="AA685" s="537"/>
      <c r="AB685" s="537"/>
      <c r="AC685" s="537"/>
      <c r="AD685" s="537"/>
      <c r="AE685" s="537"/>
      <c r="AF685" s="537"/>
      <c r="AG685" s="537"/>
      <c r="AH685" s="537"/>
      <c r="AI685" s="537"/>
      <c r="AJ685" s="537"/>
      <c r="AK685" s="537"/>
      <c r="AL685" s="537"/>
      <c r="AN685" s="598"/>
    </row>
    <row r="686" spans="1:42" s="551" customFormat="1" ht="12.75" customHeight="1">
      <c r="A686" s="680"/>
      <c r="B686" s="537"/>
      <c r="C686" s="932"/>
      <c r="D686" s="537"/>
      <c r="E686" s="937"/>
      <c r="F686" s="937"/>
      <c r="G686" s="617"/>
      <c r="H686" s="617"/>
      <c r="I686" s="617"/>
      <c r="J686" s="617"/>
      <c r="K686" s="617"/>
      <c r="L686" s="617"/>
      <c r="M686" s="617"/>
      <c r="N686" s="617"/>
      <c r="O686" s="617"/>
      <c r="P686" s="617"/>
      <c r="Q686" s="617"/>
      <c r="R686" s="617"/>
      <c r="S686" s="617"/>
      <c r="T686" s="617"/>
      <c r="U686" s="617"/>
      <c r="V686" s="617"/>
      <c r="W686" s="617"/>
      <c r="X686" s="617"/>
      <c r="Y686" s="617"/>
      <c r="Z686" s="937"/>
      <c r="AA686" s="937"/>
      <c r="AB686" s="937"/>
      <c r="AC686" s="537"/>
      <c r="AD686" s="537"/>
      <c r="AE686" s="537"/>
      <c r="AF686" s="537"/>
      <c r="AG686" s="617"/>
      <c r="AH686" s="617"/>
      <c r="AI686" s="617"/>
      <c r="AJ686" s="617"/>
      <c r="AK686" s="617"/>
      <c r="AL686" s="617"/>
      <c r="AM686" s="552"/>
      <c r="AN686" s="598"/>
    </row>
    <row r="687" spans="1:42" s="551" customFormat="1" ht="12.75" customHeight="1">
      <c r="A687" s="684"/>
      <c r="B687" s="602"/>
      <c r="C687" s="945"/>
      <c r="D687" s="602"/>
      <c r="E687" s="940"/>
      <c r="F687" s="666"/>
      <c r="G687" s="666"/>
      <c r="H687" s="666"/>
      <c r="I687" s="666"/>
      <c r="J687" s="666"/>
      <c r="K687" s="666"/>
      <c r="L687" s="666"/>
      <c r="M687" s="666"/>
      <c r="N687" s="666"/>
      <c r="O687" s="666"/>
      <c r="P687" s="666"/>
      <c r="Q687" s="666"/>
      <c r="R687" s="666"/>
      <c r="S687" s="666"/>
      <c r="T687" s="666"/>
      <c r="U687" s="666"/>
      <c r="V687" s="666"/>
      <c r="W687" s="666"/>
      <c r="X687" s="666"/>
      <c r="Y687" s="940"/>
      <c r="Z687" s="940"/>
      <c r="AA687" s="940"/>
      <c r="AB687" s="602"/>
      <c r="AC687" s="602"/>
      <c r="AD687" s="602"/>
      <c r="AE687" s="602"/>
      <c r="AF687" s="602"/>
      <c r="AG687" s="602"/>
      <c r="AH687" s="602"/>
      <c r="AI687" s="566" t="s">
        <v>1425</v>
      </c>
      <c r="AJ687" s="2440">
        <f>VLOOKUP($H$685,$AO$633:$AP$640,2,FALSE)</f>
        <v>4</v>
      </c>
      <c r="AK687" s="2442"/>
      <c r="AL687" s="596"/>
      <c r="AN687" s="598"/>
    </row>
    <row r="688" spans="1:42" s="551" customFormat="1" ht="12.75" customHeight="1">
      <c r="A688" s="680"/>
      <c r="B688" s="537"/>
      <c r="C688" s="932"/>
      <c r="D688" s="537"/>
      <c r="E688" s="617"/>
      <c r="F688" s="617"/>
      <c r="G688" s="617"/>
      <c r="H688" s="617"/>
      <c r="I688" s="617"/>
      <c r="J688" s="617"/>
      <c r="K688" s="617"/>
      <c r="L688" s="617"/>
      <c r="M688" s="617"/>
      <c r="N688" s="617"/>
      <c r="O688" s="617"/>
      <c r="P688" s="617"/>
      <c r="Q688" s="617"/>
      <c r="R688" s="617"/>
      <c r="S688" s="617"/>
      <c r="T688" s="617"/>
      <c r="U688" s="617"/>
      <c r="V688" s="617"/>
      <c r="W688" s="617"/>
      <c r="X688" s="617"/>
      <c r="Y688" s="617"/>
      <c r="Z688" s="617"/>
      <c r="AA688" s="617"/>
      <c r="AB688" s="617"/>
      <c r="AC688" s="617"/>
      <c r="AD688" s="641"/>
      <c r="AE688" s="537"/>
      <c r="AF688" s="537"/>
      <c r="AG688" s="537"/>
      <c r="AH688" s="537"/>
      <c r="AI688" s="537"/>
      <c r="AJ688" s="537"/>
      <c r="AK688" s="537"/>
      <c r="AL688" s="537"/>
      <c r="AN688" s="598"/>
    </row>
    <row r="689" spans="1:51" s="551" customFormat="1" ht="12.75" customHeight="1">
      <c r="A689" s="680"/>
      <c r="B689" s="537"/>
      <c r="C689" s="540" t="s">
        <v>2136</v>
      </c>
      <c r="D689" s="713"/>
      <c r="E689" s="617"/>
      <c r="F689" s="617"/>
      <c r="G689" s="617"/>
      <c r="H689" s="617"/>
      <c r="I689" s="617"/>
      <c r="J689" s="617"/>
      <c r="K689" s="617"/>
      <c r="L689" s="617"/>
      <c r="M689" s="617"/>
      <c r="N689" s="617"/>
      <c r="O689" s="617"/>
      <c r="P689" s="617"/>
      <c r="Q689" s="617"/>
      <c r="R689" s="617"/>
      <c r="S689" s="617"/>
      <c r="T689" s="617"/>
      <c r="U689" s="617"/>
      <c r="V689" s="617"/>
      <c r="W689" s="617"/>
      <c r="X689" s="617"/>
      <c r="Y689" s="617"/>
      <c r="Z689" s="617"/>
      <c r="AA689" s="617"/>
      <c r="AB689" s="617"/>
      <c r="AC689" s="617"/>
      <c r="AD689" s="641"/>
      <c r="AE689" s="537"/>
      <c r="AF689" s="537"/>
      <c r="AG689" s="537"/>
      <c r="AH689" s="537"/>
      <c r="AI689" s="537"/>
      <c r="AJ689" s="537"/>
      <c r="AK689" s="537"/>
      <c r="AL689" s="537"/>
      <c r="AN689" s="598"/>
      <c r="AW689" s="22" t="s">
        <v>2183</v>
      </c>
      <c r="AX689" s="551">
        <f>Application!Q212</f>
        <v>0</v>
      </c>
    </row>
    <row r="690" spans="1:51" s="551" customFormat="1" ht="12.75" customHeight="1">
      <c r="A690" s="680"/>
      <c r="B690" s="537"/>
      <c r="C690" s="949"/>
      <c r="D690" s="537"/>
      <c r="E690" s="537"/>
      <c r="F690" s="537"/>
      <c r="G690" s="537"/>
      <c r="H690" s="537"/>
      <c r="I690" s="537"/>
      <c r="J690" s="537"/>
      <c r="K690" s="537"/>
      <c r="L690" s="537"/>
      <c r="M690" s="537"/>
      <c r="N690" s="537"/>
      <c r="O690" s="537"/>
      <c r="P690" s="537"/>
      <c r="Q690" s="537"/>
      <c r="R690" s="537"/>
      <c r="S690" s="537"/>
      <c r="T690" s="537"/>
      <c r="U690" s="537"/>
      <c r="V690" s="537"/>
      <c r="W690" s="537"/>
      <c r="X690" s="537"/>
      <c r="Y690" s="537"/>
      <c r="Z690" s="537"/>
      <c r="AA690" s="537"/>
      <c r="AB690" s="537"/>
      <c r="AC690" s="537"/>
      <c r="AD690" s="537"/>
      <c r="AE690" s="537"/>
      <c r="AF690" s="537"/>
      <c r="AG690" s="537"/>
      <c r="AH690" s="537"/>
      <c r="AI690" s="537"/>
      <c r="AJ690" s="537"/>
      <c r="AK690" s="537"/>
      <c r="AL690" s="537"/>
      <c r="AN690" s="598"/>
      <c r="AW690" s="22" t="s">
        <v>2184</v>
      </c>
      <c r="AX690" s="1154">
        <f>Application!G753</f>
        <v>60</v>
      </c>
    </row>
    <row r="691" spans="1:51" s="551" customFormat="1" ht="12.75" customHeight="1">
      <c r="A691" s="680"/>
      <c r="B691" s="537"/>
      <c r="C691" s="949"/>
      <c r="D691" s="664" t="s">
        <v>686</v>
      </c>
      <c r="E691" s="2403" t="s">
        <v>2190</v>
      </c>
      <c r="F691" s="2403"/>
      <c r="G691" s="2403"/>
      <c r="H691" s="2403"/>
      <c r="I691" s="2403"/>
      <c r="J691" s="2403"/>
      <c r="K691" s="2403"/>
      <c r="L691" s="2403"/>
      <c r="M691" s="2403"/>
      <c r="N691" s="2403"/>
      <c r="O691" s="2403"/>
      <c r="P691" s="2403"/>
      <c r="Q691" s="2403"/>
      <c r="R691" s="2403"/>
      <c r="S691" s="2403"/>
      <c r="T691" s="2403"/>
      <c r="U691" s="2403"/>
      <c r="V691" s="2403"/>
      <c r="W691" s="2403"/>
      <c r="X691" s="2403"/>
      <c r="Y691" s="2403"/>
      <c r="Z691" s="2403"/>
      <c r="AA691" s="2403"/>
      <c r="AB691" s="2403"/>
      <c r="AC691" s="537"/>
      <c r="AD691" s="537"/>
      <c r="AE691" s="537"/>
      <c r="AF691" s="2533" t="s">
        <v>1351</v>
      </c>
      <c r="AG691" s="2533"/>
      <c r="AH691" s="2533"/>
      <c r="AI691" s="2533"/>
      <c r="AJ691" s="2533"/>
      <c r="AK691" s="2533"/>
      <c r="AL691" s="2533"/>
      <c r="AN691" s="598"/>
      <c r="AW691" s="22" t="s">
        <v>2185</v>
      </c>
      <c r="AX691" s="551">
        <f>Application!DE753</f>
        <v>0</v>
      </c>
    </row>
    <row r="692" spans="1:51" s="551" customFormat="1" ht="12.75" customHeight="1">
      <c r="A692" s="680"/>
      <c r="B692" s="537"/>
      <c r="C692" s="949"/>
      <c r="D692" s="664"/>
      <c r="E692" s="2403"/>
      <c r="F692" s="2403"/>
      <c r="G692" s="2403"/>
      <c r="H692" s="2403"/>
      <c r="I692" s="2403"/>
      <c r="J692" s="2403"/>
      <c r="K692" s="2403"/>
      <c r="L692" s="2403"/>
      <c r="M692" s="2403"/>
      <c r="N692" s="2403"/>
      <c r="O692" s="2403"/>
      <c r="P692" s="2403"/>
      <c r="Q692" s="2403"/>
      <c r="R692" s="2403"/>
      <c r="S692" s="2403"/>
      <c r="T692" s="2403"/>
      <c r="U692" s="2403"/>
      <c r="V692" s="2403"/>
      <c r="W692" s="2403"/>
      <c r="X692" s="2403"/>
      <c r="Y692" s="2403"/>
      <c r="Z692" s="2403"/>
      <c r="AA692" s="2403"/>
      <c r="AB692" s="2403"/>
      <c r="AC692" s="537"/>
      <c r="AD692" s="537"/>
      <c r="AE692" s="537"/>
      <c r="AF692" s="537"/>
      <c r="AG692" s="537"/>
      <c r="AH692" s="537"/>
      <c r="AI692" s="537"/>
      <c r="AJ692" s="537"/>
      <c r="AK692" s="537"/>
      <c r="AL692" s="537"/>
      <c r="AN692" s="598"/>
      <c r="AW692" s="22" t="s">
        <v>2186</v>
      </c>
      <c r="AX692" s="551">
        <f>Application!DJ753</f>
        <v>0</v>
      </c>
    </row>
    <row r="693" spans="1:51" s="551" customFormat="1" ht="12.75" customHeight="1">
      <c r="A693" s="680"/>
      <c r="B693" s="537"/>
      <c r="C693" s="949"/>
      <c r="D693" s="664"/>
      <c r="E693" s="537"/>
      <c r="F693" s="537"/>
      <c r="G693" s="537"/>
      <c r="H693" s="537"/>
      <c r="I693" s="537"/>
      <c r="J693" s="537"/>
      <c r="K693" s="537"/>
      <c r="L693" s="537"/>
      <c r="M693" s="537"/>
      <c r="N693" s="537"/>
      <c r="O693" s="537"/>
      <c r="P693" s="537"/>
      <c r="Q693" s="537"/>
      <c r="R693" s="537"/>
      <c r="S693" s="537"/>
      <c r="T693" s="537"/>
      <c r="U693" s="537"/>
      <c r="V693" s="537"/>
      <c r="W693" s="537"/>
      <c r="X693" s="537"/>
      <c r="Y693" s="537"/>
      <c r="Z693" s="537"/>
      <c r="AA693" s="537"/>
      <c r="AB693" s="537"/>
      <c r="AC693" s="537"/>
      <c r="AD693" s="537"/>
      <c r="AE693" s="537"/>
      <c r="AF693" s="537"/>
      <c r="AG693" s="537"/>
      <c r="AH693" s="537"/>
      <c r="AI693" s="537"/>
      <c r="AJ693" s="537"/>
      <c r="AK693" s="537"/>
      <c r="AL693" s="537"/>
      <c r="AN693" s="598"/>
      <c r="AW693" s="22" t="s">
        <v>2187</v>
      </c>
      <c r="AX693" s="551">
        <f>Application!DO753</f>
        <v>0</v>
      </c>
    </row>
    <row r="694" spans="1:51" s="551" customFormat="1" ht="12.75" customHeight="1">
      <c r="B694" s="537"/>
      <c r="C694" s="932"/>
      <c r="D694" s="664" t="s">
        <v>508</v>
      </c>
      <c r="E694" s="2433" t="s">
        <v>2134</v>
      </c>
      <c r="F694" s="2433"/>
      <c r="G694" s="2433"/>
      <c r="H694" s="2433"/>
      <c r="I694" s="2433"/>
      <c r="J694" s="2433"/>
      <c r="K694" s="2433"/>
      <c r="L694" s="2433"/>
      <c r="M694" s="2433"/>
      <c r="N694" s="2433"/>
      <c r="O694" s="2433"/>
      <c r="P694" s="2433"/>
      <c r="Q694" s="2433"/>
      <c r="R694" s="2433"/>
      <c r="S694" s="2433"/>
      <c r="T694" s="2433"/>
      <c r="U694" s="2433"/>
      <c r="V694" s="2433"/>
      <c r="W694" s="2433"/>
      <c r="X694" s="2433"/>
      <c r="Y694" s="2433"/>
      <c r="Z694" s="2433"/>
      <c r="AA694" s="2433"/>
      <c r="AB694" s="2433"/>
      <c r="AC694" s="537"/>
      <c r="AD694" s="537"/>
      <c r="AE694" s="537"/>
      <c r="AF694" s="2533" t="s">
        <v>1351</v>
      </c>
      <c r="AG694" s="2533"/>
      <c r="AH694" s="2533"/>
      <c r="AI694" s="2533"/>
      <c r="AJ694" s="2533"/>
      <c r="AK694" s="2533"/>
      <c r="AL694" s="2533"/>
      <c r="AN694" s="598"/>
      <c r="AW694" s="22" t="s">
        <v>2188</v>
      </c>
      <c r="AX694" s="551">
        <f>AX691+AX692+AX693</f>
        <v>0</v>
      </c>
    </row>
    <row r="695" spans="1:51" s="551" customFormat="1" ht="12.75" customHeight="1">
      <c r="B695" s="537"/>
      <c r="C695" s="941"/>
      <c r="D695" s="664"/>
      <c r="E695" s="2433"/>
      <c r="F695" s="2433"/>
      <c r="G695" s="2433"/>
      <c r="H695" s="2433"/>
      <c r="I695" s="2433"/>
      <c r="J695" s="2433"/>
      <c r="K695" s="2433"/>
      <c r="L695" s="2433"/>
      <c r="M695" s="2433"/>
      <c r="N695" s="2433"/>
      <c r="O695" s="2433"/>
      <c r="P695" s="2433"/>
      <c r="Q695" s="2433"/>
      <c r="R695" s="2433"/>
      <c r="S695" s="2433"/>
      <c r="T695" s="2433"/>
      <c r="U695" s="2433"/>
      <c r="V695" s="2433"/>
      <c r="W695" s="2433"/>
      <c r="X695" s="2433"/>
      <c r="Y695" s="2433"/>
      <c r="Z695" s="2433"/>
      <c r="AA695" s="2433"/>
      <c r="AB695" s="2433"/>
      <c r="AC695" s="537"/>
      <c r="AD695" s="537"/>
      <c r="AE695" s="617"/>
      <c r="AF695" s="537"/>
      <c r="AG695" s="537"/>
      <c r="AH695" s="537"/>
      <c r="AI695" s="537"/>
      <c r="AJ695" s="537"/>
      <c r="AK695" s="537"/>
      <c r="AL695" s="537"/>
      <c r="AN695" s="598"/>
      <c r="AO695" s="2447" t="b">
        <f>IF(Application!D211="Special Needs",IF(AY695&gt;=0.25,TRUE,FALSE),IF(AX695&gt;=0.25,TRUE,FALSE))</f>
        <v>0</v>
      </c>
      <c r="AP695" s="2447"/>
      <c r="AW695" s="22" t="s">
        <v>2189</v>
      </c>
      <c r="AX695" s="551">
        <f>IFERROR(AX694/AX690,0)</f>
        <v>0</v>
      </c>
      <c r="AY695" s="551">
        <f>IFERROR(AX694/(AX690-AX689),0)</f>
        <v>0</v>
      </c>
    </row>
    <row r="696" spans="1:51" s="551" customFormat="1" ht="12.75" customHeight="1">
      <c r="B696" s="537"/>
      <c r="C696" s="941"/>
      <c r="E696" s="2433"/>
      <c r="F696" s="2433"/>
      <c r="G696" s="2433"/>
      <c r="H696" s="2433"/>
      <c r="I696" s="2433"/>
      <c r="J696" s="2433"/>
      <c r="K696" s="2433"/>
      <c r="L696" s="2433"/>
      <c r="M696" s="2433"/>
      <c r="N696" s="2433"/>
      <c r="O696" s="2433"/>
      <c r="P696" s="2433"/>
      <c r="Q696" s="2433"/>
      <c r="R696" s="2433"/>
      <c r="S696" s="2433"/>
      <c r="T696" s="2433"/>
      <c r="U696" s="2433"/>
      <c r="V696" s="2433"/>
      <c r="W696" s="2433"/>
      <c r="X696" s="2433"/>
      <c r="Y696" s="2433"/>
      <c r="Z696" s="2433"/>
      <c r="AA696" s="2433"/>
      <c r="AB696" s="2433"/>
      <c r="AC696" s="537"/>
      <c r="AD696" s="537"/>
      <c r="AE696" s="617"/>
      <c r="AF696" s="617"/>
      <c r="AG696" s="617"/>
      <c r="AH696" s="617"/>
      <c r="AI696" s="617"/>
      <c r="AJ696" s="617"/>
      <c r="AK696" s="617"/>
      <c r="AL696" s="617"/>
      <c r="AN696" s="598"/>
      <c r="AW696" s="14"/>
    </row>
    <row r="697" spans="1:51" s="551" customFormat="1" ht="28.5" customHeight="1">
      <c r="B697" s="537"/>
      <c r="C697" s="941"/>
      <c r="D697" s="537"/>
      <c r="E697" s="2433"/>
      <c r="F697" s="2433"/>
      <c r="G697" s="2433"/>
      <c r="H697" s="2433"/>
      <c r="I697" s="2433"/>
      <c r="J697" s="2433"/>
      <c r="K697" s="2433"/>
      <c r="L697" s="2433"/>
      <c r="M697" s="2433"/>
      <c r="N697" s="2433"/>
      <c r="O697" s="2433"/>
      <c r="P697" s="2433"/>
      <c r="Q697" s="2433"/>
      <c r="R697" s="2433"/>
      <c r="S697" s="2433"/>
      <c r="T697" s="2433"/>
      <c r="U697" s="2433"/>
      <c r="V697" s="2433"/>
      <c r="W697" s="2433"/>
      <c r="X697" s="2433"/>
      <c r="Y697" s="2433"/>
      <c r="Z697" s="2433"/>
      <c r="AA697" s="2433"/>
      <c r="AB697" s="2433"/>
      <c r="AC697" s="537"/>
      <c r="AD697" s="537"/>
      <c r="AE697" s="617"/>
      <c r="AF697" s="617"/>
      <c r="AG697" s="617"/>
      <c r="AH697" s="617"/>
      <c r="AI697" s="617"/>
      <c r="AJ697" s="617"/>
      <c r="AK697" s="617"/>
      <c r="AL697" s="617"/>
      <c r="AN697" s="598"/>
      <c r="AO697" s="551" t="s">
        <v>590</v>
      </c>
      <c r="AP697" s="674">
        <v>0</v>
      </c>
    </row>
    <row r="698" spans="1:51" s="551" customFormat="1" ht="12.75" customHeight="1">
      <c r="B698" s="537"/>
      <c r="C698" s="941"/>
      <c r="E698" s="576"/>
      <c r="F698" s="576"/>
      <c r="G698" s="576"/>
      <c r="H698" s="576"/>
      <c r="I698" s="576"/>
      <c r="J698" s="576"/>
      <c r="K698" s="576"/>
      <c r="L698" s="576"/>
      <c r="M698" s="576"/>
      <c r="N698" s="576"/>
      <c r="O698" s="576"/>
      <c r="P698" s="576"/>
      <c r="Q698" s="576"/>
      <c r="R698" s="576"/>
      <c r="S698" s="576"/>
      <c r="T698" s="576"/>
      <c r="U698" s="576"/>
      <c r="V698" s="576"/>
      <c r="W698" s="576"/>
      <c r="X698" s="576"/>
      <c r="Y698" s="576"/>
      <c r="Z698" s="576"/>
      <c r="AA698" s="576"/>
      <c r="AB698" s="576"/>
      <c r="AC698" s="537"/>
      <c r="AD698" s="537"/>
      <c r="AE698" s="617"/>
      <c r="AF698" s="617"/>
      <c r="AG698" s="617"/>
      <c r="AH698" s="617"/>
      <c r="AI698" s="617"/>
      <c r="AJ698" s="617"/>
      <c r="AK698" s="617"/>
      <c r="AL698" s="617"/>
      <c r="AN698" s="598"/>
      <c r="AO698" s="612" t="s">
        <v>686</v>
      </c>
      <c r="AP698" s="551">
        <v>2</v>
      </c>
    </row>
    <row r="699" spans="1:51" s="551" customFormat="1" ht="12.75" customHeight="1">
      <c r="B699" s="537"/>
      <c r="C699" s="932"/>
      <c r="D699" s="664" t="s">
        <v>277</v>
      </c>
      <c r="E699" s="2433" t="s">
        <v>2135</v>
      </c>
      <c r="F699" s="2433"/>
      <c r="G699" s="2433"/>
      <c r="H699" s="2433"/>
      <c r="I699" s="2433"/>
      <c r="J699" s="2433"/>
      <c r="K699" s="2433"/>
      <c r="L699" s="2433"/>
      <c r="M699" s="2433"/>
      <c r="N699" s="2433"/>
      <c r="O699" s="2433"/>
      <c r="P699" s="2433"/>
      <c r="Q699" s="2433"/>
      <c r="R699" s="2433"/>
      <c r="S699" s="2433"/>
      <c r="T699" s="2433"/>
      <c r="U699" s="2433"/>
      <c r="V699" s="2433"/>
      <c r="W699" s="2433"/>
      <c r="X699" s="2433"/>
      <c r="Y699" s="2433"/>
      <c r="Z699" s="2433"/>
      <c r="AA699" s="2433"/>
      <c r="AB699" s="2433"/>
      <c r="AC699" s="537"/>
      <c r="AD699" s="537"/>
      <c r="AE699" s="537"/>
      <c r="AF699" s="2533" t="s">
        <v>1407</v>
      </c>
      <c r="AG699" s="2533"/>
      <c r="AH699" s="2533"/>
      <c r="AI699" s="2533"/>
      <c r="AJ699" s="2533"/>
      <c r="AK699" s="2533"/>
      <c r="AL699" s="2533"/>
      <c r="AN699" s="598"/>
      <c r="AO699" s="612" t="s">
        <v>508</v>
      </c>
      <c r="AP699" s="551">
        <v>1</v>
      </c>
    </row>
    <row r="700" spans="1:51" s="551" customFormat="1" ht="12" customHeight="1">
      <c r="B700" s="537"/>
      <c r="C700" s="932"/>
      <c r="E700" s="2433"/>
      <c r="F700" s="2433"/>
      <c r="G700" s="2433"/>
      <c r="H700" s="2433"/>
      <c r="I700" s="2433"/>
      <c r="J700" s="2433"/>
      <c r="K700" s="2433"/>
      <c r="L700" s="2433"/>
      <c r="M700" s="2433"/>
      <c r="N700" s="2433"/>
      <c r="O700" s="2433"/>
      <c r="P700" s="2433"/>
      <c r="Q700" s="2433"/>
      <c r="R700" s="2433"/>
      <c r="S700" s="2433"/>
      <c r="T700" s="2433"/>
      <c r="U700" s="2433"/>
      <c r="V700" s="2433"/>
      <c r="W700" s="2433"/>
      <c r="X700" s="2433"/>
      <c r="Y700" s="2433"/>
      <c r="Z700" s="2433"/>
      <c r="AA700" s="2433"/>
      <c r="AB700" s="2433"/>
      <c r="AC700" s="537"/>
      <c r="AD700" s="537"/>
      <c r="AE700" s="617"/>
      <c r="AF700" s="537"/>
      <c r="AG700" s="537"/>
      <c r="AH700" s="537"/>
      <c r="AI700" s="537"/>
      <c r="AJ700" s="537"/>
      <c r="AK700" s="537"/>
      <c r="AL700" s="537"/>
      <c r="AN700" s="598"/>
    </row>
    <row r="701" spans="1:51" s="551" customFormat="1" ht="12" customHeight="1">
      <c r="B701" s="537"/>
      <c r="C701" s="932"/>
      <c r="D701" s="537"/>
      <c r="E701" s="2433"/>
      <c r="F701" s="2433"/>
      <c r="G701" s="2433"/>
      <c r="H701" s="2433"/>
      <c r="I701" s="2433"/>
      <c r="J701" s="2433"/>
      <c r="K701" s="2433"/>
      <c r="L701" s="2433"/>
      <c r="M701" s="2433"/>
      <c r="N701" s="2433"/>
      <c r="O701" s="2433"/>
      <c r="P701" s="2433"/>
      <c r="Q701" s="2433"/>
      <c r="R701" s="2433"/>
      <c r="S701" s="2433"/>
      <c r="T701" s="2433"/>
      <c r="U701" s="2433"/>
      <c r="V701" s="2433"/>
      <c r="W701" s="2433"/>
      <c r="X701" s="2433"/>
      <c r="Y701" s="2433"/>
      <c r="Z701" s="2433"/>
      <c r="AA701" s="2433"/>
      <c r="AB701" s="2433"/>
      <c r="AC701" s="537"/>
      <c r="AD701" s="537"/>
      <c r="AE701" s="617"/>
      <c r="AF701" s="537"/>
      <c r="AG701" s="537"/>
      <c r="AH701" s="537"/>
      <c r="AI701" s="537"/>
      <c r="AJ701" s="537"/>
      <c r="AK701" s="537"/>
      <c r="AL701" s="537"/>
      <c r="AN701" s="598"/>
    </row>
    <row r="702" spans="1:51" s="551" customFormat="1" ht="12" customHeight="1">
      <c r="B702" s="537"/>
      <c r="C702" s="932"/>
      <c r="D702" s="537"/>
      <c r="E702" s="2433"/>
      <c r="F702" s="2433"/>
      <c r="G702" s="2433"/>
      <c r="H702" s="2433"/>
      <c r="I702" s="2433"/>
      <c r="J702" s="2433"/>
      <c r="K702" s="2433"/>
      <c r="L702" s="2433"/>
      <c r="M702" s="2433"/>
      <c r="N702" s="2433"/>
      <c r="O702" s="2433"/>
      <c r="P702" s="2433"/>
      <c r="Q702" s="2433"/>
      <c r="R702" s="2433"/>
      <c r="S702" s="2433"/>
      <c r="T702" s="2433"/>
      <c r="U702" s="2433"/>
      <c r="V702" s="2433"/>
      <c r="W702" s="2433"/>
      <c r="X702" s="2433"/>
      <c r="Y702" s="2433"/>
      <c r="Z702" s="2433"/>
      <c r="AA702" s="2433"/>
      <c r="AB702" s="2433"/>
      <c r="AC702" s="537"/>
      <c r="AD702" s="537"/>
      <c r="AE702" s="617"/>
      <c r="AF702" s="537"/>
      <c r="AG702" s="537"/>
      <c r="AH702" s="537"/>
      <c r="AI702" s="537"/>
      <c r="AJ702" s="537"/>
      <c r="AK702" s="537"/>
      <c r="AL702" s="537"/>
      <c r="AN702" s="598"/>
    </row>
    <row r="703" spans="1:51" s="571" customFormat="1" ht="13" customHeight="1">
      <c r="A703" s="551"/>
      <c r="B703" s="537"/>
      <c r="C703" s="932"/>
      <c r="D703" s="537"/>
      <c r="E703" s="2433"/>
      <c r="F703" s="2433"/>
      <c r="G703" s="2433"/>
      <c r="H703" s="2433"/>
      <c r="I703" s="2433"/>
      <c r="J703" s="2433"/>
      <c r="K703" s="2433"/>
      <c r="L703" s="2433"/>
      <c r="M703" s="2433"/>
      <c r="N703" s="2433"/>
      <c r="O703" s="2433"/>
      <c r="P703" s="2433"/>
      <c r="Q703" s="2433"/>
      <c r="R703" s="2433"/>
      <c r="S703" s="2433"/>
      <c r="T703" s="2433"/>
      <c r="U703" s="2433"/>
      <c r="V703" s="2433"/>
      <c r="W703" s="2433"/>
      <c r="X703" s="2433"/>
      <c r="Y703" s="2433"/>
      <c r="Z703" s="2433"/>
      <c r="AA703" s="2433"/>
      <c r="AB703" s="2433"/>
      <c r="AC703" s="537"/>
      <c r="AD703" s="537"/>
      <c r="AE703" s="617"/>
      <c r="AF703" s="617"/>
      <c r="AG703" s="617"/>
      <c r="AH703" s="617"/>
      <c r="AI703" s="617"/>
      <c r="AJ703" s="537"/>
      <c r="AK703" s="537"/>
      <c r="AL703" s="537"/>
      <c r="AM703" s="551"/>
      <c r="AN703" s="685"/>
      <c r="AO703" s="551" t="s">
        <v>590</v>
      </c>
      <c r="AP703" s="674">
        <v>0</v>
      </c>
    </row>
    <row r="704" spans="1:51" s="571" customFormat="1" ht="12" customHeight="1">
      <c r="A704" s="551"/>
      <c r="B704" s="537"/>
      <c r="C704" s="932"/>
      <c r="D704" s="537"/>
      <c r="E704" s="644"/>
      <c r="F704" s="644"/>
      <c r="G704" s="644"/>
      <c r="H704" s="644"/>
      <c r="I704" s="644"/>
      <c r="J704" s="644"/>
      <c r="K704" s="644"/>
      <c r="L704" s="644"/>
      <c r="M704" s="644"/>
      <c r="N704" s="644"/>
      <c r="O704" s="644"/>
      <c r="P704" s="644"/>
      <c r="Q704" s="644"/>
      <c r="R704" s="644"/>
      <c r="S704" s="644"/>
      <c r="T704" s="644"/>
      <c r="U704" s="644"/>
      <c r="V704" s="644"/>
      <c r="W704" s="644"/>
      <c r="X704" s="644"/>
      <c r="Y704" s="644"/>
      <c r="Z704" s="644"/>
      <c r="AA704" s="644"/>
      <c r="AB704" s="644"/>
      <c r="AC704" s="537"/>
      <c r="AD704" s="537"/>
      <c r="AE704" s="617"/>
      <c r="AF704" s="617"/>
      <c r="AG704" s="617"/>
      <c r="AH704" s="617"/>
      <c r="AI704" s="617"/>
      <c r="AJ704" s="537"/>
      <c r="AK704" s="537"/>
      <c r="AL704" s="537"/>
      <c r="AM704" s="551"/>
      <c r="AN704" s="685"/>
      <c r="AO704" s="612" t="s">
        <v>686</v>
      </c>
      <c r="AP704" s="551">
        <v>3</v>
      </c>
    </row>
    <row r="705" spans="1:43" s="571" customFormat="1" ht="12.75" customHeight="1">
      <c r="A705" s="551"/>
      <c r="B705" s="537"/>
      <c r="C705" s="932"/>
      <c r="D705" s="537"/>
      <c r="E705" s="2433" t="s">
        <v>1692</v>
      </c>
      <c r="F705" s="2433"/>
      <c r="G705" s="2433"/>
      <c r="H705" s="2433"/>
      <c r="I705" s="2433"/>
      <c r="J705" s="2433"/>
      <c r="K705" s="2433"/>
      <c r="L705" s="2433"/>
      <c r="M705" s="2433"/>
      <c r="N705" s="2433"/>
      <c r="O705" s="2433"/>
      <c r="P705" s="2433"/>
      <c r="Q705" s="2433"/>
      <c r="R705" s="2433"/>
      <c r="S705" s="2433"/>
      <c r="T705" s="2433"/>
      <c r="U705" s="2433"/>
      <c r="V705" s="2433"/>
      <c r="W705" s="2433"/>
      <c r="X705" s="2433"/>
      <c r="Y705" s="2433"/>
      <c r="Z705" s="2433"/>
      <c r="AA705" s="2433"/>
      <c r="AB705" s="2433"/>
      <c r="AC705" s="537"/>
      <c r="AD705" s="537"/>
      <c r="AE705" s="617"/>
      <c r="AF705" s="617"/>
      <c r="AG705" s="617"/>
      <c r="AH705" s="617"/>
      <c r="AI705" s="617"/>
      <c r="AJ705" s="537"/>
      <c r="AK705" s="537"/>
      <c r="AL705" s="537"/>
      <c r="AM705" s="551"/>
      <c r="AN705" s="685"/>
      <c r="AO705" s="612" t="s">
        <v>508</v>
      </c>
      <c r="AP705" s="551">
        <f>3*$AO$695</f>
        <v>0</v>
      </c>
    </row>
    <row r="706" spans="1:43" s="571" customFormat="1" ht="12.75" customHeight="1">
      <c r="A706" s="551"/>
      <c r="B706" s="537"/>
      <c r="C706" s="932"/>
      <c r="D706" s="537"/>
      <c r="E706" s="2433"/>
      <c r="F706" s="2433"/>
      <c r="G706" s="2433"/>
      <c r="H706" s="2433"/>
      <c r="I706" s="2433"/>
      <c r="J706" s="2433"/>
      <c r="K706" s="2433"/>
      <c r="L706" s="2433"/>
      <c r="M706" s="2433"/>
      <c r="N706" s="2433"/>
      <c r="O706" s="2433"/>
      <c r="P706" s="2433"/>
      <c r="Q706" s="2433"/>
      <c r="R706" s="2433"/>
      <c r="S706" s="2433"/>
      <c r="T706" s="2433"/>
      <c r="U706" s="2433"/>
      <c r="V706" s="2433"/>
      <c r="W706" s="2433"/>
      <c r="X706" s="2433"/>
      <c r="Y706" s="2433"/>
      <c r="Z706" s="2433"/>
      <c r="AA706" s="2433"/>
      <c r="AB706" s="2433"/>
      <c r="AC706" s="537"/>
      <c r="AD706" s="537"/>
      <c r="AE706" s="617"/>
      <c r="AF706" s="617"/>
      <c r="AG706" s="617"/>
      <c r="AH706" s="617"/>
      <c r="AI706" s="617"/>
      <c r="AJ706" s="537"/>
      <c r="AK706" s="537"/>
      <c r="AL706" s="537"/>
      <c r="AM706" s="551"/>
      <c r="AN706" s="685"/>
      <c r="AO706" s="612" t="s">
        <v>277</v>
      </c>
      <c r="AP706" s="551">
        <f>2*$AO$695</f>
        <v>0</v>
      </c>
    </row>
    <row r="707" spans="1:43" s="571" customFormat="1" ht="12.75" customHeight="1">
      <c r="A707" s="551"/>
      <c r="B707" s="537"/>
      <c r="C707" s="932"/>
      <c r="D707" s="537"/>
      <c r="E707" s="2433"/>
      <c r="F707" s="2433"/>
      <c r="G707" s="2433"/>
      <c r="H707" s="2433"/>
      <c r="I707" s="2433"/>
      <c r="J707" s="2433"/>
      <c r="K707" s="2433"/>
      <c r="L707" s="2433"/>
      <c r="M707" s="2433"/>
      <c r="N707" s="2433"/>
      <c r="O707" s="2433"/>
      <c r="P707" s="2433"/>
      <c r="Q707" s="2433"/>
      <c r="R707" s="2433"/>
      <c r="S707" s="2433"/>
      <c r="T707" s="2433"/>
      <c r="U707" s="2433"/>
      <c r="V707" s="2433"/>
      <c r="W707" s="2433"/>
      <c r="X707" s="2433"/>
      <c r="Y707" s="2433"/>
      <c r="Z707" s="2433"/>
      <c r="AA707" s="2433"/>
      <c r="AB707" s="2433"/>
      <c r="AC707" s="537"/>
      <c r="AD707" s="537"/>
      <c r="AE707" s="617"/>
      <c r="AF707" s="617"/>
      <c r="AG707" s="617"/>
      <c r="AH707" s="617"/>
      <c r="AI707" s="617"/>
      <c r="AJ707" s="537"/>
      <c r="AK707" s="537"/>
      <c r="AL707" s="537"/>
      <c r="AM707" s="551"/>
      <c r="AN707" s="685"/>
    </row>
    <row r="708" spans="1:43" s="571" customFormat="1" ht="12.75" customHeight="1">
      <c r="A708" s="551"/>
      <c r="B708" s="537"/>
      <c r="C708" s="932"/>
      <c r="D708" s="537"/>
      <c r="E708" s="644"/>
      <c r="F708" s="644"/>
      <c r="G708" s="644"/>
      <c r="H708" s="644"/>
      <c r="I708" s="644"/>
      <c r="J708" s="644"/>
      <c r="K708" s="644"/>
      <c r="L708" s="644"/>
      <c r="M708" s="644"/>
      <c r="N708" s="644"/>
      <c r="O708" s="644"/>
      <c r="P708" s="644"/>
      <c r="Q708" s="644"/>
      <c r="R708" s="644"/>
      <c r="S708" s="644"/>
      <c r="T708" s="644"/>
      <c r="U708" s="644"/>
      <c r="V708" s="644"/>
      <c r="W708" s="644"/>
      <c r="X708" s="644"/>
      <c r="Y708" s="644"/>
      <c r="Z708" s="644"/>
      <c r="AA708" s="644"/>
      <c r="AB708" s="644"/>
      <c r="AC708" s="537"/>
      <c r="AD708" s="537"/>
      <c r="AE708" s="617"/>
      <c r="AF708" s="617"/>
      <c r="AG708" s="617"/>
      <c r="AH708" s="617"/>
      <c r="AI708" s="617"/>
      <c r="AJ708" s="537"/>
      <c r="AK708" s="537"/>
      <c r="AL708" s="537"/>
      <c r="AM708" s="551"/>
      <c r="AN708" s="685"/>
    </row>
    <row r="709" spans="1:43" s="571" customFormat="1" ht="12.75" customHeight="1">
      <c r="A709" s="551"/>
      <c r="B709" s="537"/>
      <c r="C709" s="932"/>
      <c r="D709" s="537" t="s">
        <v>1399</v>
      </c>
      <c r="E709" s="937"/>
      <c r="F709" s="937"/>
      <c r="G709" s="937"/>
      <c r="H709" s="2457" t="s">
        <v>590</v>
      </c>
      <c r="I709" s="2457"/>
      <c r="J709" s="644"/>
      <c r="K709" s="644"/>
      <c r="L709" s="644"/>
      <c r="M709" s="644"/>
      <c r="N709" s="644"/>
      <c r="O709" s="644"/>
      <c r="P709" s="644"/>
      <c r="Q709" s="644"/>
      <c r="R709" s="644"/>
      <c r="S709" s="644"/>
      <c r="T709" s="644"/>
      <c r="U709" s="644"/>
      <c r="V709" s="644"/>
      <c r="W709" s="644"/>
      <c r="X709" s="644"/>
      <c r="Y709" s="644"/>
      <c r="Z709" s="644"/>
      <c r="AA709" s="644"/>
      <c r="AB709" s="644"/>
      <c r="AC709" s="537"/>
      <c r="AD709" s="537"/>
      <c r="AE709" s="617"/>
      <c r="AF709" s="617"/>
      <c r="AG709" s="617"/>
      <c r="AH709" s="617"/>
      <c r="AI709" s="617"/>
      <c r="AJ709" s="537"/>
      <c r="AK709" s="537"/>
      <c r="AL709" s="537"/>
      <c r="AM709" s="551"/>
      <c r="AN709" s="685"/>
      <c r="AP709" s="571" t="s">
        <v>1426</v>
      </c>
    </row>
    <row r="710" spans="1:43" s="571" customFormat="1">
      <c r="A710" s="551"/>
      <c r="B710" s="537"/>
      <c r="C710" s="932"/>
      <c r="D710" s="537"/>
      <c r="E710" s="644"/>
      <c r="F710" s="644"/>
      <c r="G710" s="644"/>
      <c r="H710" s="644"/>
      <c r="I710" s="644"/>
      <c r="J710" s="644"/>
      <c r="K710" s="644"/>
      <c r="L710" s="644"/>
      <c r="M710" s="644"/>
      <c r="N710" s="644"/>
      <c r="O710" s="644"/>
      <c r="P710" s="644"/>
      <c r="Q710" s="644"/>
      <c r="R710" s="644"/>
      <c r="S710" s="644"/>
      <c r="T710" s="644"/>
      <c r="U710" s="644"/>
      <c r="V710" s="644"/>
      <c r="W710" s="644"/>
      <c r="X710" s="644"/>
      <c r="Y710" s="644"/>
      <c r="Z710" s="644"/>
      <c r="AA710" s="644"/>
      <c r="AB710" s="644"/>
      <c r="AC710" s="537"/>
      <c r="AD710" s="537"/>
      <c r="AE710" s="617"/>
      <c r="AF710" s="617"/>
      <c r="AG710" s="617"/>
      <c r="AH710" s="617"/>
      <c r="AI710" s="617"/>
      <c r="AJ710" s="537"/>
      <c r="AK710" s="537"/>
      <c r="AL710" s="537"/>
      <c r="AM710" s="551"/>
      <c r="AN710" s="685"/>
      <c r="AP710" s="571" t="s">
        <v>1404</v>
      </c>
    </row>
    <row r="711" spans="1:43" s="571" customFormat="1" ht="12.75" customHeight="1">
      <c r="A711" s="607"/>
      <c r="B711" s="602"/>
      <c r="C711" s="945"/>
      <c r="D711" s="602"/>
      <c r="E711" s="602"/>
      <c r="F711" s="602"/>
      <c r="G711" s="602"/>
      <c r="H711" s="602"/>
      <c r="I711" s="602"/>
      <c r="J711" s="950"/>
      <c r="K711" s="950"/>
      <c r="L711" s="666"/>
      <c r="M711" s="666"/>
      <c r="N711" s="666"/>
      <c r="O711" s="666"/>
      <c r="P711" s="666"/>
      <c r="Q711" s="666"/>
      <c r="R711" s="666"/>
      <c r="S711" s="666"/>
      <c r="T711" s="666"/>
      <c r="U711" s="666"/>
      <c r="V711" s="666"/>
      <c r="W711" s="666"/>
      <c r="X711" s="666"/>
      <c r="Y711" s="940"/>
      <c r="Z711" s="940"/>
      <c r="AA711" s="940"/>
      <c r="AB711" s="602"/>
      <c r="AC711" s="602"/>
      <c r="AD711" s="602"/>
      <c r="AE711" s="602"/>
      <c r="AF711" s="602"/>
      <c r="AG711" s="602"/>
      <c r="AH711" s="602"/>
      <c r="AI711" s="566" t="s">
        <v>2137</v>
      </c>
      <c r="AJ711" s="2440">
        <f>VLOOKUP($H$709,$AO$703:$AP$706,2,FALSE)</f>
        <v>0</v>
      </c>
      <c r="AK711" s="2442"/>
      <c r="AL711" s="596"/>
      <c r="AM711" s="551"/>
      <c r="AN711" s="685"/>
      <c r="AP711" s="571" t="s">
        <v>1411</v>
      </c>
    </row>
    <row r="712" spans="1:43" s="571" customFormat="1">
      <c r="A712" s="551"/>
      <c r="B712" s="537"/>
      <c r="C712" s="537"/>
      <c r="D712" s="537"/>
      <c r="E712" s="537"/>
      <c r="F712" s="537"/>
      <c r="G712" s="537"/>
      <c r="H712" s="537"/>
      <c r="I712" s="537"/>
      <c r="J712" s="537"/>
      <c r="K712" s="537"/>
      <c r="L712" s="537"/>
      <c r="M712" s="537"/>
      <c r="N712" s="537"/>
      <c r="O712" s="537"/>
      <c r="P712" s="537"/>
      <c r="Q712" s="537"/>
      <c r="R712" s="537"/>
      <c r="S712" s="537"/>
      <c r="T712" s="537"/>
      <c r="U712" s="537"/>
      <c r="V712" s="537"/>
      <c r="W712" s="537"/>
      <c r="X712" s="537"/>
      <c r="Y712" s="537"/>
      <c r="Z712" s="537"/>
      <c r="AA712" s="537"/>
      <c r="AB712" s="537"/>
      <c r="AC712" s="537"/>
      <c r="AD712" s="537"/>
      <c r="AE712" s="617"/>
      <c r="AF712" s="617"/>
      <c r="AG712" s="617"/>
      <c r="AH712" s="617"/>
      <c r="AI712" s="617"/>
      <c r="AJ712" s="537"/>
      <c r="AK712" s="537"/>
      <c r="AL712" s="537"/>
      <c r="AM712" s="551"/>
      <c r="AN712" s="685"/>
      <c r="AP712" s="571" t="s">
        <v>1427</v>
      </c>
    </row>
    <row r="713" spans="1:43" s="571" customFormat="1" ht="12.75" customHeight="1">
      <c r="A713" s="551"/>
      <c r="B713" s="537"/>
      <c r="C713" s="540" t="s">
        <v>1428</v>
      </c>
      <c r="D713" s="713"/>
      <c r="E713" s="537"/>
      <c r="F713" s="537"/>
      <c r="G713" s="537"/>
      <c r="H713" s="537"/>
      <c r="I713" s="537"/>
      <c r="J713" s="537"/>
      <c r="K713" s="537"/>
      <c r="L713" s="537"/>
      <c r="M713" s="537"/>
      <c r="N713" s="537"/>
      <c r="O713" s="537"/>
      <c r="P713" s="537"/>
      <c r="Q713" s="537"/>
      <c r="R713" s="537"/>
      <c r="S713" s="537"/>
      <c r="T713" s="537"/>
      <c r="U713" s="537"/>
      <c r="V713" s="537"/>
      <c r="W713" s="537"/>
      <c r="X713" s="537"/>
      <c r="Y713" s="537"/>
      <c r="Z713" s="537"/>
      <c r="AA713" s="537"/>
      <c r="AB713" s="537"/>
      <c r="AC713" s="537"/>
      <c r="AD713" s="537"/>
      <c r="AE713" s="617"/>
      <c r="AF713" s="617"/>
      <c r="AG713" s="617"/>
      <c r="AH713" s="617"/>
      <c r="AI713" s="617"/>
      <c r="AJ713" s="537"/>
      <c r="AK713" s="537"/>
      <c r="AL713" s="537"/>
      <c r="AM713" s="551"/>
      <c r="AN713" s="685"/>
      <c r="AP713" s="571" t="s">
        <v>1429</v>
      </c>
    </row>
    <row r="714" spans="1:43" s="571" customFormat="1" ht="12.75" customHeight="1">
      <c r="A714" s="551"/>
      <c r="B714" s="537"/>
      <c r="C714" s="932"/>
      <c r="D714" s="537"/>
      <c r="E714" s="537"/>
      <c r="F714" s="537"/>
      <c r="G714" s="537"/>
      <c r="H714" s="537"/>
      <c r="I714" s="537"/>
      <c r="J714" s="537"/>
      <c r="K714" s="537"/>
      <c r="L714" s="537"/>
      <c r="M714" s="537"/>
      <c r="N714" s="537"/>
      <c r="O714" s="537"/>
      <c r="P714" s="537"/>
      <c r="Q714" s="537"/>
      <c r="R714" s="537"/>
      <c r="S714" s="537"/>
      <c r="T714" s="537"/>
      <c r="U714" s="537"/>
      <c r="V714" s="537"/>
      <c r="W714" s="537"/>
      <c r="X714" s="537"/>
      <c r="Y714" s="537"/>
      <c r="Z714" s="537"/>
      <c r="AA714" s="537"/>
      <c r="AB714" s="537"/>
      <c r="AC714" s="537"/>
      <c r="AD714" s="537"/>
      <c r="AE714" s="617"/>
      <c r="AF714" s="617"/>
      <c r="AG714" s="617"/>
      <c r="AH714" s="617"/>
      <c r="AI714" s="617"/>
      <c r="AJ714" s="537"/>
      <c r="AK714" s="537"/>
      <c r="AL714" s="537"/>
      <c r="AM714" s="551"/>
      <c r="AN714" s="685"/>
      <c r="AP714" s="571" t="s">
        <v>1430</v>
      </c>
    </row>
    <row r="715" spans="1:43" s="571" customFormat="1" ht="12.75" customHeight="1">
      <c r="A715" s="638"/>
      <c r="B715" s="537"/>
      <c r="C715" s="932"/>
      <c r="D715" s="664" t="s">
        <v>686</v>
      </c>
      <c r="E715" s="2545" t="s">
        <v>1694</v>
      </c>
      <c r="F715" s="2545"/>
      <c r="G715" s="2545"/>
      <c r="H715" s="2545"/>
      <c r="I715" s="2545"/>
      <c r="J715" s="2545"/>
      <c r="K715" s="2545"/>
      <c r="L715" s="2545"/>
      <c r="M715" s="2545"/>
      <c r="N715" s="2545"/>
      <c r="O715" s="2545"/>
      <c r="P715" s="2545"/>
      <c r="Q715" s="2545"/>
      <c r="R715" s="2545"/>
      <c r="S715" s="2545"/>
      <c r="T715" s="2545"/>
      <c r="U715" s="2545"/>
      <c r="V715" s="2545"/>
      <c r="W715" s="2545"/>
      <c r="X715" s="2545"/>
      <c r="Y715" s="2545"/>
      <c r="Z715" s="2545"/>
      <c r="AA715" s="2545"/>
      <c r="AB715" s="2545"/>
      <c r="AC715" s="537"/>
      <c r="AD715" s="537"/>
      <c r="AE715" s="537"/>
      <c r="AF715" s="2533" t="s">
        <v>1351</v>
      </c>
      <c r="AG715" s="2533"/>
      <c r="AH715" s="2533"/>
      <c r="AI715" s="2533"/>
      <c r="AJ715" s="2533"/>
      <c r="AK715" s="2533"/>
      <c r="AL715" s="2533"/>
      <c r="AM715" s="551"/>
      <c r="AN715" s="685"/>
      <c r="AP715" s="571" t="s">
        <v>1431</v>
      </c>
    </row>
    <row r="716" spans="1:43" s="571" customFormat="1" ht="11.9" customHeight="1">
      <c r="A716" s="551"/>
      <c r="B716" s="537"/>
      <c r="C716" s="934"/>
      <c r="D716" s="664"/>
      <c r="E716" s="2545"/>
      <c r="F716" s="2545"/>
      <c r="G716" s="2545"/>
      <c r="H716" s="2545"/>
      <c r="I716" s="2545"/>
      <c r="J716" s="2545"/>
      <c r="K716" s="2545"/>
      <c r="L716" s="2545"/>
      <c r="M716" s="2545"/>
      <c r="N716" s="2545"/>
      <c r="O716" s="2545"/>
      <c r="P716" s="2545"/>
      <c r="Q716" s="2545"/>
      <c r="R716" s="2545"/>
      <c r="S716" s="2545"/>
      <c r="T716" s="2545"/>
      <c r="U716" s="2545"/>
      <c r="V716" s="2545"/>
      <c r="W716" s="2545"/>
      <c r="X716" s="2545"/>
      <c r="Y716" s="2545"/>
      <c r="Z716" s="2545"/>
      <c r="AA716" s="2545"/>
      <c r="AB716" s="2545"/>
      <c r="AC716" s="537"/>
      <c r="AD716" s="537"/>
      <c r="AE716" s="537"/>
      <c r="AF716" s="537"/>
      <c r="AG716" s="537"/>
      <c r="AH716" s="537"/>
      <c r="AI716" s="537"/>
      <c r="AJ716" s="537"/>
      <c r="AK716" s="537"/>
      <c r="AL716" s="537"/>
      <c r="AM716" s="551"/>
      <c r="AN716" s="685"/>
      <c r="AP716" s="571" t="s">
        <v>1432</v>
      </c>
    </row>
    <row r="717" spans="1:43" s="571" customFormat="1" ht="13.9" customHeight="1">
      <c r="A717" s="551"/>
      <c r="B717" s="611"/>
      <c r="C717" s="932"/>
      <c r="D717" s="664"/>
      <c r="E717" s="2545"/>
      <c r="F717" s="2545"/>
      <c r="G717" s="2545"/>
      <c r="H717" s="2545"/>
      <c r="I717" s="2545"/>
      <c r="J717" s="2545"/>
      <c r="K717" s="2545"/>
      <c r="L717" s="2545"/>
      <c r="M717" s="2545"/>
      <c r="N717" s="2545"/>
      <c r="O717" s="2545"/>
      <c r="P717" s="2545"/>
      <c r="Q717" s="2545"/>
      <c r="R717" s="2545"/>
      <c r="S717" s="2545"/>
      <c r="T717" s="2545"/>
      <c r="U717" s="2545"/>
      <c r="V717" s="2545"/>
      <c r="W717" s="2545"/>
      <c r="X717" s="2545"/>
      <c r="Y717" s="2545"/>
      <c r="Z717" s="2545"/>
      <c r="AA717" s="2545"/>
      <c r="AB717" s="2545"/>
      <c r="AC717" s="537"/>
      <c r="AD717" s="537"/>
      <c r="AE717" s="617"/>
      <c r="AF717" s="537"/>
      <c r="AG717" s="537"/>
      <c r="AH717" s="537"/>
      <c r="AI717" s="537"/>
      <c r="AJ717" s="537"/>
      <c r="AK717" s="537"/>
      <c r="AL717" s="537"/>
      <c r="AM717" s="551"/>
      <c r="AN717" s="685"/>
      <c r="AP717" s="571" t="s">
        <v>1433</v>
      </c>
    </row>
    <row r="718" spans="1:43" s="571" customFormat="1" ht="13.9" customHeight="1">
      <c r="A718" s="551"/>
      <c r="B718" s="611"/>
      <c r="C718" s="932"/>
      <c r="D718" s="664"/>
      <c r="E718" s="937"/>
      <c r="F718" s="937"/>
      <c r="G718" s="937"/>
      <c r="H718" s="937"/>
      <c r="I718" s="937"/>
      <c r="J718" s="937"/>
      <c r="K718" s="937"/>
      <c r="L718" s="937"/>
      <c r="M718" s="937"/>
      <c r="N718" s="937"/>
      <c r="O718" s="937"/>
      <c r="P718" s="937"/>
      <c r="Q718" s="937"/>
      <c r="R718" s="937"/>
      <c r="S718" s="937"/>
      <c r="T718" s="937"/>
      <c r="U718" s="937"/>
      <c r="V718" s="937"/>
      <c r="W718" s="937"/>
      <c r="X718" s="937"/>
      <c r="Y718" s="937"/>
      <c r="Z718" s="937"/>
      <c r="AA718" s="937"/>
      <c r="AB718" s="937"/>
      <c r="AC718" s="537"/>
      <c r="AD718" s="537"/>
      <c r="AE718" s="617"/>
      <c r="AF718" s="537"/>
      <c r="AG718" s="537"/>
      <c r="AH718" s="537"/>
      <c r="AI718" s="537"/>
      <c r="AJ718" s="537"/>
      <c r="AK718" s="537"/>
      <c r="AL718" s="537"/>
      <c r="AM718" s="551"/>
      <c r="AN718" s="685"/>
      <c r="AP718" s="687" t="s">
        <v>1435</v>
      </c>
    </row>
    <row r="719" spans="1:43" s="571" customFormat="1" ht="13.9" customHeight="1">
      <c r="A719" s="551"/>
      <c r="B719" s="537"/>
      <c r="C719" s="932"/>
      <c r="D719" s="664" t="s">
        <v>508</v>
      </c>
      <c r="E719" s="2546" t="s">
        <v>1434</v>
      </c>
      <c r="F719" s="2546"/>
      <c r="G719" s="2546"/>
      <c r="H719" s="2546"/>
      <c r="I719" s="2546"/>
      <c r="J719" s="2546"/>
      <c r="K719" s="2546"/>
      <c r="L719" s="2546"/>
      <c r="M719" s="2546"/>
      <c r="N719" s="2546"/>
      <c r="O719" s="2546"/>
      <c r="P719" s="2546"/>
      <c r="Q719" s="2546"/>
      <c r="R719" s="2546"/>
      <c r="S719" s="2546"/>
      <c r="T719" s="2546"/>
      <c r="U719" s="2546"/>
      <c r="V719" s="2546"/>
      <c r="W719" s="2546"/>
      <c r="X719" s="2546"/>
      <c r="Y719" s="2546"/>
      <c r="Z719" s="2546"/>
      <c r="AA719" s="2546"/>
      <c r="AB719" s="2546"/>
      <c r="AC719" s="537"/>
      <c r="AD719" s="537"/>
      <c r="AE719" s="537"/>
      <c r="AF719" s="2533" t="s">
        <v>1407</v>
      </c>
      <c r="AG719" s="2533"/>
      <c r="AH719" s="2533"/>
      <c r="AI719" s="2533"/>
      <c r="AJ719" s="2533"/>
      <c r="AK719" s="2533"/>
      <c r="AL719" s="2533"/>
      <c r="AM719" s="551"/>
      <c r="AN719" s="686"/>
    </row>
    <row r="720" spans="1:43" s="571" customFormat="1" ht="12.75" customHeight="1">
      <c r="A720" s="551"/>
      <c r="B720" s="537"/>
      <c r="C720" s="934"/>
      <c r="D720" s="537"/>
      <c r="E720" s="2546"/>
      <c r="F720" s="2546"/>
      <c r="G720" s="2546"/>
      <c r="H720" s="2546"/>
      <c r="I720" s="2546"/>
      <c r="J720" s="2546"/>
      <c r="K720" s="2546"/>
      <c r="L720" s="2546"/>
      <c r="M720" s="2546"/>
      <c r="N720" s="2546"/>
      <c r="O720" s="2546"/>
      <c r="P720" s="2546"/>
      <c r="Q720" s="2546"/>
      <c r="R720" s="2546"/>
      <c r="S720" s="2546"/>
      <c r="T720" s="2546"/>
      <c r="U720" s="2546"/>
      <c r="V720" s="2546"/>
      <c r="W720" s="2546"/>
      <c r="X720" s="2546"/>
      <c r="Y720" s="2546"/>
      <c r="Z720" s="2546"/>
      <c r="AA720" s="2546"/>
      <c r="AB720" s="2546"/>
      <c r="AC720" s="537"/>
      <c r="AD720" s="537"/>
      <c r="AE720" s="537"/>
      <c r="AF720" s="537"/>
      <c r="AG720" s="537"/>
      <c r="AH720" s="537"/>
      <c r="AI720" s="537"/>
      <c r="AJ720" s="537"/>
      <c r="AK720" s="537"/>
      <c r="AL720" s="537"/>
      <c r="AM720" s="551"/>
      <c r="AN720" s="685"/>
      <c r="AP720" s="551" t="s">
        <v>590</v>
      </c>
      <c r="AQ720" s="674">
        <v>0</v>
      </c>
    </row>
    <row r="721" spans="1:81" s="571" customFormat="1" ht="13.9" customHeight="1">
      <c r="A721" s="551"/>
      <c r="B721" s="537"/>
      <c r="C721" s="934"/>
      <c r="D721" s="537"/>
      <c r="E721" s="2546"/>
      <c r="F721" s="2546"/>
      <c r="G721" s="2546"/>
      <c r="H721" s="2546"/>
      <c r="I721" s="2546"/>
      <c r="J721" s="2546"/>
      <c r="K721" s="2546"/>
      <c r="L721" s="2546"/>
      <c r="M721" s="2546"/>
      <c r="N721" s="2546"/>
      <c r="O721" s="2546"/>
      <c r="P721" s="2546"/>
      <c r="Q721" s="2546"/>
      <c r="R721" s="2546"/>
      <c r="S721" s="2546"/>
      <c r="T721" s="2546"/>
      <c r="U721" s="2546"/>
      <c r="V721" s="2546"/>
      <c r="W721" s="2546"/>
      <c r="X721" s="2546"/>
      <c r="Y721" s="2546"/>
      <c r="Z721" s="2546"/>
      <c r="AA721" s="2546"/>
      <c r="AB721" s="2546"/>
      <c r="AC721" s="537"/>
      <c r="AD721" s="537"/>
      <c r="AE721" s="537"/>
      <c r="AF721" s="537"/>
      <c r="AG721" s="537"/>
      <c r="AH721" s="537"/>
      <c r="AI721" s="537"/>
      <c r="AJ721" s="537"/>
      <c r="AK721" s="537"/>
      <c r="AL721" s="537"/>
      <c r="AM721" s="551"/>
      <c r="AN721" s="685"/>
      <c r="AP721" s="612" t="s">
        <v>686</v>
      </c>
      <c r="AQ721" s="551">
        <v>3</v>
      </c>
    </row>
    <row r="722" spans="1:81" s="571" customFormat="1" ht="13.9" customHeight="1">
      <c r="A722" s="551"/>
      <c r="B722" s="537"/>
      <c r="C722" s="934"/>
      <c r="D722" s="537"/>
      <c r="E722" s="951"/>
      <c r="F722" s="951"/>
      <c r="G722" s="951"/>
      <c r="H722" s="951"/>
      <c r="I722" s="951"/>
      <c r="J722" s="951"/>
      <c r="K722" s="951"/>
      <c r="L722" s="951"/>
      <c r="M722" s="951"/>
      <c r="N722" s="951"/>
      <c r="O722" s="951"/>
      <c r="P722" s="951"/>
      <c r="Q722" s="951"/>
      <c r="R722" s="951"/>
      <c r="S722" s="951"/>
      <c r="T722" s="951"/>
      <c r="U722" s="951"/>
      <c r="V722" s="951"/>
      <c r="W722" s="951"/>
      <c r="X722" s="951"/>
      <c r="Y722" s="951"/>
      <c r="Z722" s="951"/>
      <c r="AA722" s="951"/>
      <c r="AB722" s="951"/>
      <c r="AC722" s="537"/>
      <c r="AD722" s="537"/>
      <c r="AE722" s="537"/>
      <c r="AF722" s="537"/>
      <c r="AG722" s="537"/>
      <c r="AH722" s="537"/>
      <c r="AI722" s="537"/>
      <c r="AJ722" s="537"/>
      <c r="AK722" s="537"/>
      <c r="AL722" s="537"/>
      <c r="AM722" s="551"/>
      <c r="AN722" s="685"/>
      <c r="AP722" s="612" t="s">
        <v>508</v>
      </c>
      <c r="AQ722" s="551">
        <v>2</v>
      </c>
    </row>
    <row r="723" spans="1:81" s="571" customFormat="1" ht="13.9" customHeight="1">
      <c r="A723" s="551"/>
      <c r="B723" s="537"/>
      <c r="C723" s="934"/>
      <c r="D723" s="537" t="s">
        <v>1399</v>
      </c>
      <c r="E723" s="937"/>
      <c r="F723" s="937"/>
      <c r="G723" s="937"/>
      <c r="H723" s="2457" t="s">
        <v>508</v>
      </c>
      <c r="I723" s="2457"/>
      <c r="J723" s="951"/>
      <c r="K723" s="951"/>
      <c r="L723" s="951"/>
      <c r="M723" s="951"/>
      <c r="N723" s="951"/>
      <c r="O723" s="951"/>
      <c r="P723" s="951"/>
      <c r="Q723" s="951"/>
      <c r="R723" s="951"/>
      <c r="S723" s="951"/>
      <c r="T723" s="951"/>
      <c r="U723" s="951"/>
      <c r="V723" s="951"/>
      <c r="W723" s="951"/>
      <c r="X723" s="951"/>
      <c r="Y723" s="951"/>
      <c r="Z723" s="951"/>
      <c r="AA723" s="951"/>
      <c r="AB723" s="951"/>
      <c r="AC723" s="537"/>
      <c r="AD723" s="537"/>
      <c r="AE723" s="537"/>
      <c r="AF723" s="537"/>
      <c r="AG723" s="537"/>
      <c r="AH723" s="537"/>
      <c r="AI723" s="537"/>
      <c r="AJ723" s="537"/>
      <c r="AK723" s="537"/>
      <c r="AL723" s="537"/>
      <c r="AM723" s="551"/>
      <c r="AN723" s="685"/>
    </row>
    <row r="724" spans="1:81" s="571" customFormat="1" ht="14.25" customHeight="1">
      <c r="A724" s="551"/>
      <c r="B724" s="537"/>
      <c r="C724" s="934"/>
      <c r="D724" s="537"/>
      <c r="E724" s="951"/>
      <c r="F724" s="951"/>
      <c r="G724" s="951"/>
      <c r="H724" s="951"/>
      <c r="I724" s="951"/>
      <c r="J724" s="951"/>
      <c r="K724" s="951"/>
      <c r="L724" s="951"/>
      <c r="M724" s="951"/>
      <c r="N724" s="951"/>
      <c r="O724" s="951"/>
      <c r="P724" s="951"/>
      <c r="Q724" s="951"/>
      <c r="R724" s="951"/>
      <c r="S724" s="951"/>
      <c r="T724" s="951"/>
      <c r="U724" s="951"/>
      <c r="V724" s="951"/>
      <c r="W724" s="951"/>
      <c r="X724" s="951"/>
      <c r="Y724" s="951"/>
      <c r="Z724" s="951"/>
      <c r="AA724" s="951"/>
      <c r="AB724" s="951"/>
      <c r="AC724" s="537"/>
      <c r="AD724" s="537"/>
      <c r="AE724" s="537"/>
      <c r="AF724" s="537"/>
      <c r="AG724" s="537"/>
      <c r="AH724" s="537"/>
      <c r="AI724" s="537"/>
      <c r="AJ724" s="537"/>
      <c r="AK724" s="537"/>
      <c r="AL724" s="537"/>
      <c r="AM724" s="551"/>
      <c r="AN724" s="685"/>
    </row>
    <row r="725" spans="1:81" s="571" customFormat="1" ht="12.75" customHeight="1">
      <c r="A725" s="607"/>
      <c r="B725" s="602"/>
      <c r="C725" s="939"/>
      <c r="D725" s="602"/>
      <c r="E725" s="602"/>
      <c r="F725" s="602"/>
      <c r="G725" s="602"/>
      <c r="H725" s="602"/>
      <c r="I725" s="602"/>
      <c r="J725" s="952"/>
      <c r="K725" s="952"/>
      <c r="L725" s="952"/>
      <c r="M725" s="952"/>
      <c r="N725" s="952"/>
      <c r="O725" s="952"/>
      <c r="P725" s="952"/>
      <c r="Q725" s="952"/>
      <c r="R725" s="952"/>
      <c r="S725" s="952"/>
      <c r="T725" s="952"/>
      <c r="U725" s="666"/>
      <c r="V725" s="666"/>
      <c r="W725" s="666"/>
      <c r="X725" s="666"/>
      <c r="Y725" s="940"/>
      <c r="Z725" s="940"/>
      <c r="AA725" s="940"/>
      <c r="AB725" s="602"/>
      <c r="AC725" s="602"/>
      <c r="AD725" s="602"/>
      <c r="AE725" s="602"/>
      <c r="AF725" s="602"/>
      <c r="AG725" s="602"/>
      <c r="AH725" s="602"/>
      <c r="AI725" s="566" t="s">
        <v>1436</v>
      </c>
      <c r="AJ725" s="2440">
        <f>VLOOKUP($H$723,$AP$720:$AQ$722,2,FALSE)</f>
        <v>2</v>
      </c>
      <c r="AK725" s="2442"/>
      <c r="AL725" s="596"/>
      <c r="AM725" s="551"/>
      <c r="AN725" s="685"/>
      <c r="AP725" s="2440"/>
      <c r="AQ725" s="2442"/>
    </row>
    <row r="726" spans="1:81" s="571" customFormat="1">
      <c r="A726" s="551"/>
      <c r="B726" s="611"/>
      <c r="C726" s="932"/>
      <c r="D726" s="936"/>
      <c r="E726" s="617"/>
      <c r="F726" s="617"/>
      <c r="G726" s="617"/>
      <c r="H726" s="617"/>
      <c r="I726" s="617"/>
      <c r="J726" s="617"/>
      <c r="K726" s="617"/>
      <c r="L726" s="617"/>
      <c r="M726" s="617"/>
      <c r="N726" s="617"/>
      <c r="O726" s="617"/>
      <c r="P726" s="617"/>
      <c r="Q726" s="617"/>
      <c r="R726" s="617"/>
      <c r="S726" s="617"/>
      <c r="T726" s="617"/>
      <c r="U726" s="617"/>
      <c r="V726" s="617"/>
      <c r="W726" s="617"/>
      <c r="X726" s="617"/>
      <c r="Y726" s="617"/>
      <c r="Z726" s="617"/>
      <c r="AA726" s="617"/>
      <c r="AB726" s="617"/>
      <c r="AC726" s="537"/>
      <c r="AD726" s="537"/>
      <c r="AE726" s="537"/>
      <c r="AF726" s="537"/>
      <c r="AG726" s="537"/>
      <c r="AH726" s="537"/>
      <c r="AI726" s="537"/>
      <c r="AJ726" s="537"/>
      <c r="AK726" s="537"/>
      <c r="AL726" s="537"/>
      <c r="AM726" s="551"/>
      <c r="AN726" s="685"/>
      <c r="AT726" s="14"/>
      <c r="AU726" s="14"/>
      <c r="AV726" s="14"/>
      <c r="AW726" s="14"/>
      <c r="AX726" s="14"/>
      <c r="AY726" s="14"/>
      <c r="AZ726" s="14"/>
    </row>
    <row r="727" spans="1:81" s="571" customFormat="1" ht="13">
      <c r="A727" s="551"/>
      <c r="B727" s="537"/>
      <c r="C727" s="540" t="s">
        <v>1437</v>
      </c>
      <c r="D727" s="953"/>
      <c r="E727" s="617"/>
      <c r="F727" s="617"/>
      <c r="G727" s="617"/>
      <c r="H727" s="617"/>
      <c r="I727" s="617"/>
      <c r="J727" s="617"/>
      <c r="K727" s="617"/>
      <c r="L727" s="617"/>
      <c r="M727" s="617"/>
      <c r="N727" s="617"/>
      <c r="O727" s="617"/>
      <c r="P727" s="617"/>
      <c r="Q727" s="617"/>
      <c r="R727" s="617"/>
      <c r="S727" s="617"/>
      <c r="T727" s="617"/>
      <c r="U727" s="617"/>
      <c r="V727" s="617"/>
      <c r="W727" s="617"/>
      <c r="X727" s="617"/>
      <c r="Y727" s="617"/>
      <c r="Z727" s="617"/>
      <c r="AA727" s="617"/>
      <c r="AB727" s="617"/>
      <c r="AC727" s="537"/>
      <c r="AD727" s="537"/>
      <c r="AE727" s="537"/>
      <c r="AF727" s="537"/>
      <c r="AG727" s="537"/>
      <c r="AH727" s="537"/>
      <c r="AI727" s="537"/>
      <c r="AJ727" s="537"/>
      <c r="AK727" s="537"/>
      <c r="AL727" s="537"/>
      <c r="AM727" s="551"/>
      <c r="AN727" s="685"/>
      <c r="AT727" s="14"/>
      <c r="AU727" s="14"/>
      <c r="AV727" s="14"/>
      <c r="AW727" s="14"/>
      <c r="AX727" s="14"/>
      <c r="AY727" s="14"/>
      <c r="AZ727" s="14"/>
    </row>
    <row r="728" spans="1:81" s="571" customFormat="1">
      <c r="A728" s="551"/>
      <c r="B728" s="611"/>
      <c r="C728" s="932"/>
      <c r="D728" s="936"/>
      <c r="E728" s="617"/>
      <c r="F728" s="617"/>
      <c r="G728" s="617"/>
      <c r="H728" s="617"/>
      <c r="I728" s="617"/>
      <c r="J728" s="617"/>
      <c r="K728" s="617"/>
      <c r="L728" s="617"/>
      <c r="M728" s="617"/>
      <c r="N728" s="617"/>
      <c r="O728" s="617"/>
      <c r="P728" s="617"/>
      <c r="Q728" s="617"/>
      <c r="R728" s="617"/>
      <c r="S728" s="617"/>
      <c r="T728" s="617"/>
      <c r="U728" s="617"/>
      <c r="V728" s="617"/>
      <c r="W728" s="617"/>
      <c r="X728" s="617"/>
      <c r="Y728" s="617"/>
      <c r="Z728" s="617"/>
      <c r="AA728" s="617"/>
      <c r="AB728" s="617"/>
      <c r="AC728" s="537"/>
      <c r="AD728" s="537"/>
      <c r="AE728" s="537"/>
      <c r="AF728" s="537"/>
      <c r="AG728" s="537"/>
      <c r="AH728" s="537"/>
      <c r="AI728" s="537"/>
      <c r="AJ728" s="537"/>
      <c r="AK728" s="537"/>
      <c r="AL728" s="537"/>
      <c r="AM728" s="551"/>
      <c r="AN728" s="685"/>
      <c r="AT728" s="14"/>
      <c r="AU728" s="14"/>
      <c r="AV728" s="14"/>
      <c r="AW728" s="14"/>
      <c r="AX728" s="14"/>
      <c r="AY728" s="14"/>
      <c r="AZ728" s="14"/>
    </row>
    <row r="729" spans="1:81" s="571" customFormat="1" ht="13">
      <c r="A729" s="551"/>
      <c r="B729" s="537"/>
      <c r="C729" s="932"/>
      <c r="D729" s="664" t="s">
        <v>686</v>
      </c>
      <c r="E729" s="2433" t="s">
        <v>1695</v>
      </c>
      <c r="F729" s="2433"/>
      <c r="G729" s="2433"/>
      <c r="H729" s="2433"/>
      <c r="I729" s="2433"/>
      <c r="J729" s="2433"/>
      <c r="K729" s="2433"/>
      <c r="L729" s="2433"/>
      <c r="M729" s="2433"/>
      <c r="N729" s="2433"/>
      <c r="O729" s="2433"/>
      <c r="P729" s="2433"/>
      <c r="Q729" s="2433"/>
      <c r="R729" s="2433"/>
      <c r="S729" s="2433"/>
      <c r="T729" s="2433"/>
      <c r="U729" s="2433"/>
      <c r="V729" s="2433"/>
      <c r="W729" s="2433"/>
      <c r="X729" s="2433"/>
      <c r="Y729" s="2433"/>
      <c r="Z729" s="2433"/>
      <c r="AA729" s="2433"/>
      <c r="AB729" s="2433"/>
      <c r="AC729" s="537"/>
      <c r="AD729" s="537"/>
      <c r="AE729" s="537"/>
      <c r="AF729" s="2533" t="s">
        <v>1351</v>
      </c>
      <c r="AG729" s="2533"/>
      <c r="AH729" s="2533"/>
      <c r="AI729" s="2533"/>
      <c r="AJ729" s="2533"/>
      <c r="AK729" s="2533"/>
      <c r="AL729" s="2533"/>
      <c r="AM729" s="551"/>
      <c r="AN729" s="685"/>
      <c r="AT729" s="14"/>
      <c r="AU729" s="14"/>
      <c r="AV729" s="14"/>
      <c r="AW729" s="14"/>
      <c r="AX729" s="14"/>
      <c r="AY729" s="14"/>
      <c r="AZ729" s="14"/>
    </row>
    <row r="730" spans="1:81" s="571" customFormat="1" ht="13">
      <c r="A730" s="551"/>
      <c r="B730" s="537"/>
      <c r="C730" s="934"/>
      <c r="D730" s="664"/>
      <c r="E730" s="2433"/>
      <c r="F730" s="2433"/>
      <c r="G730" s="2433"/>
      <c r="H730" s="2433"/>
      <c r="I730" s="2433"/>
      <c r="J730" s="2433"/>
      <c r="K730" s="2433"/>
      <c r="L730" s="2433"/>
      <c r="M730" s="2433"/>
      <c r="N730" s="2433"/>
      <c r="O730" s="2433"/>
      <c r="P730" s="2433"/>
      <c r="Q730" s="2433"/>
      <c r="R730" s="2433"/>
      <c r="S730" s="2433"/>
      <c r="T730" s="2433"/>
      <c r="U730" s="2433"/>
      <c r="V730" s="2433"/>
      <c r="W730" s="2433"/>
      <c r="X730" s="2433"/>
      <c r="Y730" s="2433"/>
      <c r="Z730" s="2433"/>
      <c r="AA730" s="2433"/>
      <c r="AB730" s="2433"/>
      <c r="AC730" s="537"/>
      <c r="AD730" s="537"/>
      <c r="AE730" s="537"/>
      <c r="AF730" s="537"/>
      <c r="AG730" s="537"/>
      <c r="AH730" s="537"/>
      <c r="AI730" s="537"/>
      <c r="AJ730" s="537"/>
      <c r="AK730" s="537"/>
      <c r="AL730" s="537"/>
      <c r="AM730" s="551"/>
      <c r="AN730" s="685"/>
      <c r="AT730" s="14"/>
      <c r="AU730" s="14"/>
      <c r="AV730" s="14"/>
      <c r="AW730" s="14"/>
      <c r="AX730" s="14"/>
      <c r="AY730" s="14"/>
      <c r="AZ730" s="14"/>
    </row>
    <row r="731" spans="1:81" s="571" customFormat="1">
      <c r="A731" s="551"/>
      <c r="B731" s="611"/>
      <c r="C731" s="932"/>
      <c r="D731" s="664"/>
      <c r="E731" s="617"/>
      <c r="F731" s="617"/>
      <c r="G731" s="617"/>
      <c r="H731" s="617"/>
      <c r="I731" s="617"/>
      <c r="J731" s="617"/>
      <c r="K731" s="617"/>
      <c r="L731" s="617"/>
      <c r="M731" s="617"/>
      <c r="N731" s="617"/>
      <c r="O731" s="617"/>
      <c r="P731" s="617"/>
      <c r="Q731" s="617"/>
      <c r="R731" s="617"/>
      <c r="S731" s="617"/>
      <c r="T731" s="617"/>
      <c r="U731" s="617"/>
      <c r="V731" s="617"/>
      <c r="W731" s="617"/>
      <c r="X731" s="617"/>
      <c r="Y731" s="617"/>
      <c r="Z731" s="617"/>
      <c r="AA731" s="617"/>
      <c r="AB731" s="617"/>
      <c r="AC731" s="537"/>
      <c r="AD731" s="537"/>
      <c r="AE731" s="537"/>
      <c r="AF731" s="537"/>
      <c r="AG731" s="537"/>
      <c r="AH731" s="537"/>
      <c r="AI731" s="537"/>
      <c r="AJ731" s="537"/>
      <c r="AK731" s="537"/>
      <c r="AL731" s="537"/>
      <c r="AM731" s="551"/>
      <c r="AN731" s="685"/>
      <c r="AT731" s="14"/>
      <c r="AU731" s="14"/>
      <c r="AV731" s="14"/>
      <c r="AW731" s="14"/>
      <c r="AX731" s="14"/>
      <c r="AY731" s="14"/>
      <c r="AZ731" s="14"/>
    </row>
    <row r="732" spans="1:81" s="571" customFormat="1" ht="12.75" customHeight="1">
      <c r="A732" s="551"/>
      <c r="B732" s="537"/>
      <c r="C732" s="932"/>
      <c r="D732" s="664" t="s">
        <v>508</v>
      </c>
      <c r="E732" s="2433" t="s">
        <v>1438</v>
      </c>
      <c r="F732" s="2433"/>
      <c r="G732" s="2433"/>
      <c r="H732" s="2433"/>
      <c r="I732" s="2433"/>
      <c r="J732" s="2433"/>
      <c r="K732" s="2433"/>
      <c r="L732" s="2433"/>
      <c r="M732" s="2433"/>
      <c r="N732" s="2433"/>
      <c r="O732" s="2433"/>
      <c r="P732" s="2433"/>
      <c r="Q732" s="2433"/>
      <c r="R732" s="2433"/>
      <c r="S732" s="2433"/>
      <c r="T732" s="2433"/>
      <c r="U732" s="2433"/>
      <c r="V732" s="2433"/>
      <c r="W732" s="2433"/>
      <c r="X732" s="2433"/>
      <c r="Y732" s="2433"/>
      <c r="Z732" s="2433"/>
      <c r="AA732" s="2433"/>
      <c r="AB732" s="2433"/>
      <c r="AC732" s="537"/>
      <c r="AD732" s="537"/>
      <c r="AE732" s="537"/>
      <c r="AF732" s="2533" t="s">
        <v>1407</v>
      </c>
      <c r="AG732" s="2533"/>
      <c r="AH732" s="2533"/>
      <c r="AI732" s="2533"/>
      <c r="AJ732" s="2533"/>
      <c r="AK732" s="2533"/>
      <c r="AL732" s="2533"/>
      <c r="AM732" s="551"/>
      <c r="AN732" s="685"/>
      <c r="AT732" s="14"/>
      <c r="AU732" s="14"/>
      <c r="AV732" s="14"/>
      <c r="AW732" s="14"/>
      <c r="AX732" s="14"/>
      <c r="AY732" s="14"/>
      <c r="AZ732" s="14"/>
    </row>
    <row r="733" spans="1:81" s="571" customFormat="1" ht="13">
      <c r="A733" s="551"/>
      <c r="B733" s="537"/>
      <c r="C733" s="934"/>
      <c r="D733" s="537"/>
      <c r="E733" s="2433"/>
      <c r="F733" s="2433"/>
      <c r="G733" s="2433"/>
      <c r="H733" s="2433"/>
      <c r="I733" s="2433"/>
      <c r="J733" s="2433"/>
      <c r="K733" s="2433"/>
      <c r="L733" s="2433"/>
      <c r="M733" s="2433"/>
      <c r="N733" s="2433"/>
      <c r="O733" s="2433"/>
      <c r="P733" s="2433"/>
      <c r="Q733" s="2433"/>
      <c r="R733" s="2433"/>
      <c r="S733" s="2433"/>
      <c r="T733" s="2433"/>
      <c r="U733" s="2433"/>
      <c r="V733" s="2433"/>
      <c r="W733" s="2433"/>
      <c r="X733" s="2433"/>
      <c r="Y733" s="2433"/>
      <c r="Z733" s="2433"/>
      <c r="AA733" s="2433"/>
      <c r="AB733" s="2433"/>
      <c r="AC733" s="537"/>
      <c r="AD733" s="537"/>
      <c r="AE733" s="537"/>
      <c r="AF733" s="537"/>
      <c r="AG733" s="537"/>
      <c r="AH733" s="537"/>
      <c r="AI733" s="537"/>
      <c r="AJ733" s="537"/>
      <c r="AK733" s="537"/>
      <c r="AL733" s="537"/>
      <c r="AM733" s="551"/>
      <c r="AN733" s="685"/>
      <c r="AT733" s="14"/>
      <c r="AU733" s="14"/>
      <c r="AV733" s="14"/>
      <c r="AW733" s="14"/>
      <c r="AX733" s="14"/>
      <c r="AY733" s="14"/>
      <c r="AZ733" s="14"/>
    </row>
    <row r="734" spans="1:81" s="571" customFormat="1" ht="13">
      <c r="A734" s="551"/>
      <c r="B734" s="537"/>
      <c r="C734" s="934"/>
      <c r="D734" s="537"/>
      <c r="E734" s="644"/>
      <c r="F734" s="644"/>
      <c r="G734" s="644"/>
      <c r="H734" s="644"/>
      <c r="I734" s="644"/>
      <c r="J734" s="644"/>
      <c r="K734" s="644"/>
      <c r="L734" s="644"/>
      <c r="M734" s="644"/>
      <c r="N734" s="644"/>
      <c r="O734" s="644"/>
      <c r="P734" s="644"/>
      <c r="Q734" s="644"/>
      <c r="R734" s="644"/>
      <c r="S734" s="644"/>
      <c r="T734" s="644"/>
      <c r="U734" s="644"/>
      <c r="V734" s="644"/>
      <c r="W734" s="644"/>
      <c r="X734" s="644"/>
      <c r="Y734" s="644"/>
      <c r="Z734" s="644"/>
      <c r="AA734" s="644"/>
      <c r="AB734" s="644"/>
      <c r="AC734" s="537"/>
      <c r="AD734" s="537"/>
      <c r="AE734" s="537"/>
      <c r="AF734" s="537"/>
      <c r="AG734" s="537"/>
      <c r="AH734" s="537"/>
      <c r="AI734" s="537"/>
      <c r="AJ734" s="537"/>
      <c r="AK734" s="537"/>
      <c r="AL734" s="537"/>
      <c r="AM734" s="551"/>
      <c r="AN734" s="685"/>
      <c r="AT734" s="14"/>
      <c r="AU734" s="14"/>
      <c r="AV734" s="14"/>
      <c r="AW734" s="14"/>
      <c r="AX734" s="14"/>
      <c r="AY734" s="14"/>
      <c r="AZ734" s="14"/>
    </row>
    <row r="735" spans="1:81" s="571" customFormat="1" ht="12.75" customHeight="1">
      <c r="A735" s="551"/>
      <c r="B735" s="537"/>
      <c r="C735" s="934"/>
      <c r="D735" s="537" t="s">
        <v>1399</v>
      </c>
      <c r="E735" s="937"/>
      <c r="F735" s="937"/>
      <c r="G735" s="937"/>
      <c r="H735" s="2457" t="s">
        <v>590</v>
      </c>
      <c r="I735" s="2457"/>
      <c r="J735" s="644"/>
      <c r="K735" s="644"/>
      <c r="L735" s="644"/>
      <c r="M735" s="644"/>
      <c r="N735" s="644"/>
      <c r="O735" s="644"/>
      <c r="P735" s="644"/>
      <c r="Q735" s="644"/>
      <c r="R735" s="644"/>
      <c r="S735" s="644"/>
      <c r="T735" s="644"/>
      <c r="U735" s="644"/>
      <c r="V735" s="644"/>
      <c r="W735" s="644"/>
      <c r="X735" s="644"/>
      <c r="Y735" s="644"/>
      <c r="Z735" s="644"/>
      <c r="AA735" s="644"/>
      <c r="AB735" s="644"/>
      <c r="AC735" s="537"/>
      <c r="AD735" s="537"/>
      <c r="AE735" s="537"/>
      <c r="AF735" s="537"/>
      <c r="AG735" s="537"/>
      <c r="AH735" s="537"/>
      <c r="AI735" s="537"/>
      <c r="AJ735" s="537"/>
      <c r="AK735" s="537"/>
      <c r="AL735" s="537"/>
      <c r="AM735" s="551"/>
      <c r="AN735" s="685"/>
      <c r="AT735" s="14"/>
      <c r="AU735" s="14"/>
      <c r="AV735" s="14"/>
      <c r="AW735" s="14"/>
      <c r="AX735" s="14"/>
      <c r="AY735" s="14"/>
      <c r="AZ735" s="14"/>
    </row>
    <row r="736" spans="1:81" s="571" customFormat="1" ht="13">
      <c r="A736" s="551"/>
      <c r="B736" s="537"/>
      <c r="C736" s="934"/>
      <c r="D736" s="537"/>
      <c r="E736" s="644"/>
      <c r="F736" s="644"/>
      <c r="G736" s="644"/>
      <c r="H736" s="644"/>
      <c r="I736" s="644"/>
      <c r="J736" s="644"/>
      <c r="K736" s="644"/>
      <c r="L736" s="644"/>
      <c r="M736" s="644"/>
      <c r="N736" s="644"/>
      <c r="O736" s="644"/>
      <c r="P736" s="644"/>
      <c r="Q736" s="644"/>
      <c r="R736" s="644"/>
      <c r="S736" s="644"/>
      <c r="T736" s="644"/>
      <c r="U736" s="644"/>
      <c r="V736" s="644"/>
      <c r="W736" s="644"/>
      <c r="X736" s="644"/>
      <c r="Y736" s="644"/>
      <c r="Z736" s="644"/>
      <c r="AA736" s="644"/>
      <c r="AB736" s="644"/>
      <c r="AC736" s="537"/>
      <c r="AD736" s="537"/>
      <c r="AE736" s="537"/>
      <c r="AF736" s="537"/>
      <c r="AG736" s="537"/>
      <c r="AH736" s="537"/>
      <c r="AI736" s="537"/>
      <c r="AJ736" s="537"/>
      <c r="AK736" s="537"/>
      <c r="AL736" s="537"/>
      <c r="AM736" s="551"/>
      <c r="AN736" s="685"/>
      <c r="AS736" s="14"/>
      <c r="AT736" s="14"/>
      <c r="AU736" s="14"/>
      <c r="AV736" s="14"/>
      <c r="AW736" s="14"/>
      <c r="AX736" s="14"/>
      <c r="AY736" s="14"/>
      <c r="AZ736" s="14"/>
      <c r="BA736" s="14"/>
      <c r="BB736" s="14"/>
      <c r="BC736" s="14"/>
      <c r="BD736" s="32"/>
      <c r="BE736" s="32"/>
      <c r="BF736" s="32"/>
      <c r="BG736" s="32"/>
      <c r="BH736" s="32"/>
      <c r="BI736" s="14"/>
      <c r="BJ736" s="14"/>
      <c r="BK736" s="14"/>
      <c r="BL736" s="14"/>
      <c r="BM736" s="14"/>
      <c r="BN736" s="14"/>
      <c r="BO736" s="14"/>
      <c r="BP736" s="14"/>
      <c r="BQ736" s="14"/>
      <c r="BR736" s="14"/>
      <c r="BS736" s="14"/>
      <c r="BT736" s="14"/>
      <c r="BU736" s="14"/>
      <c r="BV736" s="14"/>
      <c r="BW736" s="14"/>
      <c r="BX736" s="14"/>
      <c r="BY736" s="14"/>
      <c r="BZ736" s="14"/>
      <c r="CA736" s="14"/>
      <c r="CB736" s="14"/>
      <c r="CC736" s="14"/>
    </row>
    <row r="737" spans="1:81" s="571" customFormat="1" ht="13">
      <c r="A737" s="607"/>
      <c r="B737" s="602"/>
      <c r="C737" s="939"/>
      <c r="D737" s="602"/>
      <c r="E737" s="950"/>
      <c r="F737" s="950"/>
      <c r="G737" s="950"/>
      <c r="H737" s="950"/>
      <c r="I737" s="950"/>
      <c r="J737" s="950"/>
      <c r="K737" s="950"/>
      <c r="L737" s="950"/>
      <c r="M737" s="950"/>
      <c r="N737" s="950"/>
      <c r="O737" s="950"/>
      <c r="P737" s="950"/>
      <c r="Q737" s="950"/>
      <c r="R737" s="950"/>
      <c r="S737" s="950"/>
      <c r="T737" s="950"/>
      <c r="U737" s="950"/>
      <c r="V737" s="666"/>
      <c r="W737" s="666"/>
      <c r="X737" s="666"/>
      <c r="Y737" s="940"/>
      <c r="Z737" s="940"/>
      <c r="AA737" s="940"/>
      <c r="AB737" s="602"/>
      <c r="AC737" s="602"/>
      <c r="AD737" s="602"/>
      <c r="AE737" s="602"/>
      <c r="AF737" s="602"/>
      <c r="AG737" s="602"/>
      <c r="AH737" s="602"/>
      <c r="AI737" s="566" t="s">
        <v>1439</v>
      </c>
      <c r="AJ737" s="2440">
        <f>VLOOKUP($H$735,$AO$666:$AP$668,2,FALSE)</f>
        <v>0</v>
      </c>
      <c r="AK737" s="2442"/>
      <c r="AL737" s="596"/>
      <c r="AM737" s="551"/>
      <c r="AN737" s="685"/>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c r="BW737" s="14"/>
      <c r="BX737" s="14"/>
      <c r="BY737" s="14"/>
      <c r="BZ737" s="14"/>
      <c r="CA737" s="14"/>
      <c r="CB737" s="14"/>
      <c r="CC737" s="14"/>
    </row>
    <row r="738" spans="1:81" s="571" customFormat="1" ht="12.75" customHeight="1">
      <c r="A738" s="551"/>
      <c r="B738" s="537"/>
      <c r="C738" s="934"/>
      <c r="D738" s="537"/>
      <c r="E738" s="537"/>
      <c r="F738" s="537"/>
      <c r="G738" s="537"/>
      <c r="H738" s="537"/>
      <c r="I738" s="537"/>
      <c r="J738" s="644"/>
      <c r="K738" s="644"/>
      <c r="L738" s="644"/>
      <c r="M738" s="644"/>
      <c r="N738" s="537"/>
      <c r="O738" s="537"/>
      <c r="P738" s="537"/>
      <c r="Q738" s="537"/>
      <c r="R738" s="537"/>
      <c r="S738" s="537"/>
      <c r="T738" s="537"/>
      <c r="U738" s="537"/>
      <c r="V738" s="537"/>
      <c r="W738" s="537"/>
      <c r="X738" s="537"/>
      <c r="Y738" s="537"/>
      <c r="Z738" s="537"/>
      <c r="AA738" s="537"/>
      <c r="AB738" s="537"/>
      <c r="AC738" s="537"/>
      <c r="AD738" s="537"/>
      <c r="AE738" s="537"/>
      <c r="AF738" s="537"/>
      <c r="AG738" s="537"/>
      <c r="AH738" s="537"/>
      <c r="AI738" s="537"/>
      <c r="AJ738" s="537"/>
      <c r="AK738" s="537"/>
      <c r="AL738" s="537"/>
      <c r="AM738" s="551"/>
      <c r="AN738" s="685"/>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c r="BW738" s="14"/>
      <c r="BX738" s="14"/>
      <c r="BY738" s="14"/>
      <c r="BZ738" s="14"/>
      <c r="CA738" s="14"/>
      <c r="CB738" s="14"/>
      <c r="CC738" s="14"/>
    </row>
    <row r="739" spans="1:81" s="571" customFormat="1" ht="12.75" customHeight="1">
      <c r="A739" s="551"/>
      <c r="B739" s="537"/>
      <c r="C739" s="540" t="s">
        <v>1440</v>
      </c>
      <c r="D739" s="537"/>
      <c r="E739" s="537"/>
      <c r="F739" s="537"/>
      <c r="G739" s="537"/>
      <c r="H739" s="537"/>
      <c r="I739" s="537"/>
      <c r="J739" s="537"/>
      <c r="K739" s="537"/>
      <c r="L739" s="537"/>
      <c r="M739" s="537"/>
      <c r="N739" s="537"/>
      <c r="O739" s="537"/>
      <c r="P739" s="537"/>
      <c r="Q739" s="537"/>
      <c r="R739" s="537"/>
      <c r="S739" s="537"/>
      <c r="T739" s="537"/>
      <c r="U739" s="537"/>
      <c r="V739" s="537"/>
      <c r="W739" s="537"/>
      <c r="X739" s="537"/>
      <c r="Y739" s="537"/>
      <c r="Z739" s="537"/>
      <c r="AA739" s="537"/>
      <c r="AB739" s="537"/>
      <c r="AC739" s="537"/>
      <c r="AD739" s="537"/>
      <c r="AE739" s="537"/>
      <c r="AF739" s="537"/>
      <c r="AG739" s="537"/>
      <c r="AH739" s="537"/>
      <c r="AI739" s="537"/>
      <c r="AJ739" s="537"/>
      <c r="AK739" s="537"/>
      <c r="AL739" s="537"/>
      <c r="AM739" s="551"/>
      <c r="AN739" s="685"/>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c r="BW739" s="14"/>
      <c r="BX739" s="14"/>
      <c r="BY739" s="14"/>
      <c r="BZ739" s="14"/>
      <c r="CA739" s="14"/>
      <c r="CB739" s="14"/>
      <c r="CC739" s="14"/>
    </row>
    <row r="740" spans="1:81" s="571" customFormat="1">
      <c r="A740" s="551"/>
      <c r="B740" s="611"/>
      <c r="C740" s="954"/>
      <c r="D740" s="611"/>
      <c r="E740" s="611"/>
      <c r="F740" s="537"/>
      <c r="G740" s="537"/>
      <c r="H740" s="611"/>
      <c r="I740" s="611"/>
      <c r="J740" s="611"/>
      <c r="K740" s="611"/>
      <c r="L740" s="611"/>
      <c r="M740" s="611"/>
      <c r="N740" s="611"/>
      <c r="O740" s="611"/>
      <c r="P740" s="611"/>
      <c r="Q740" s="611"/>
      <c r="R740" s="611"/>
      <c r="S740" s="611"/>
      <c r="T740" s="537"/>
      <c r="U740" s="537"/>
      <c r="V740" s="537"/>
      <c r="W740" s="537"/>
      <c r="X740" s="596"/>
      <c r="Y740" s="596"/>
      <c r="Z740" s="596"/>
      <c r="AA740" s="596"/>
      <c r="AB740" s="596"/>
      <c r="AC740" s="537"/>
      <c r="AD740" s="537"/>
      <c r="AE740" s="537"/>
      <c r="AF740" s="537"/>
      <c r="AG740" s="537"/>
      <c r="AH740" s="537"/>
      <c r="AI740" s="537"/>
      <c r="AJ740" s="537"/>
      <c r="AK740" s="537"/>
      <c r="AL740" s="537"/>
      <c r="AM740" s="551"/>
      <c r="AN740" s="685"/>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c r="BW740" s="14"/>
      <c r="BX740" s="14"/>
      <c r="BY740" s="14"/>
      <c r="BZ740" s="14"/>
      <c r="CA740" s="14"/>
      <c r="CB740" s="14"/>
      <c r="CC740" s="14"/>
    </row>
    <row r="741" spans="1:81" s="571" customFormat="1" ht="13">
      <c r="A741" s="551"/>
      <c r="B741" s="537"/>
      <c r="C741" s="932"/>
      <c r="D741" s="664" t="s">
        <v>686</v>
      </c>
      <c r="E741" s="2433" t="s">
        <v>1441</v>
      </c>
      <c r="F741" s="2433"/>
      <c r="G741" s="2433"/>
      <c r="H741" s="2433"/>
      <c r="I741" s="2433"/>
      <c r="J741" s="2433"/>
      <c r="K741" s="2433"/>
      <c r="L741" s="2433"/>
      <c r="M741" s="2433"/>
      <c r="N741" s="2433"/>
      <c r="O741" s="2433"/>
      <c r="P741" s="2433"/>
      <c r="Q741" s="2433"/>
      <c r="R741" s="2433"/>
      <c r="S741" s="2433"/>
      <c r="T741" s="2433"/>
      <c r="U741" s="2433"/>
      <c r="V741" s="2433"/>
      <c r="W741" s="2433"/>
      <c r="X741" s="2433"/>
      <c r="Y741" s="2433"/>
      <c r="Z741" s="2433"/>
      <c r="AA741" s="2433"/>
      <c r="AB741" s="2433"/>
      <c r="AC741" s="537"/>
      <c r="AD741" s="537"/>
      <c r="AE741" s="537"/>
      <c r="AF741" s="2533" t="s">
        <v>1351</v>
      </c>
      <c r="AG741" s="2533"/>
      <c r="AH741" s="2533"/>
      <c r="AI741" s="2533"/>
      <c r="AJ741" s="2533"/>
      <c r="AK741" s="2533"/>
      <c r="AL741" s="2533"/>
      <c r="AM741" s="551"/>
      <c r="AN741" s="685"/>
      <c r="AT741" s="14"/>
      <c r="AU741" s="14"/>
      <c r="AV741" s="14"/>
      <c r="AW741" s="14"/>
      <c r="AX741" s="14"/>
      <c r="AY741" s="14"/>
      <c r="AZ741" s="14"/>
    </row>
    <row r="742" spans="1:81" s="571" customFormat="1" ht="13">
      <c r="A742" s="551"/>
      <c r="B742" s="537"/>
      <c r="C742" s="932"/>
      <c r="D742" s="664"/>
      <c r="E742" s="2433"/>
      <c r="F742" s="2433"/>
      <c r="G742" s="2433"/>
      <c r="H742" s="2433"/>
      <c r="I742" s="2433"/>
      <c r="J742" s="2433"/>
      <c r="K742" s="2433"/>
      <c r="L742" s="2433"/>
      <c r="M742" s="2433"/>
      <c r="N742" s="2433"/>
      <c r="O742" s="2433"/>
      <c r="P742" s="2433"/>
      <c r="Q742" s="2433"/>
      <c r="R742" s="2433"/>
      <c r="S742" s="2433"/>
      <c r="T742" s="2433"/>
      <c r="U742" s="2433"/>
      <c r="V742" s="2433"/>
      <c r="W742" s="2433"/>
      <c r="X742" s="2433"/>
      <c r="Y742" s="2433"/>
      <c r="Z742" s="2433"/>
      <c r="AA742" s="2433"/>
      <c r="AB742" s="2433"/>
      <c r="AC742" s="537"/>
      <c r="AD742" s="537"/>
      <c r="AE742" s="537"/>
      <c r="AF742" s="595"/>
      <c r="AG742" s="595"/>
      <c r="AH742" s="595"/>
      <c r="AI742" s="595"/>
      <c r="AJ742" s="595"/>
      <c r="AK742" s="595"/>
      <c r="AL742" s="595"/>
      <c r="AM742" s="551"/>
      <c r="AN742" s="685"/>
      <c r="AT742" s="14"/>
      <c r="AU742" s="14"/>
      <c r="AV742" s="14"/>
      <c r="AW742" s="14"/>
      <c r="AX742" s="14"/>
      <c r="AY742" s="14"/>
      <c r="AZ742" s="14"/>
    </row>
    <row r="743" spans="1:81" s="571" customFormat="1" ht="13">
      <c r="A743" s="551"/>
      <c r="B743" s="537"/>
      <c r="C743" s="934"/>
      <c r="D743" s="664"/>
      <c r="E743" s="2433"/>
      <c r="F743" s="2433"/>
      <c r="G743" s="2433"/>
      <c r="H743" s="2433"/>
      <c r="I743" s="2433"/>
      <c r="J743" s="2433"/>
      <c r="K743" s="2433"/>
      <c r="L743" s="2433"/>
      <c r="M743" s="2433"/>
      <c r="N743" s="2433"/>
      <c r="O743" s="2433"/>
      <c r="P743" s="2433"/>
      <c r="Q743" s="2433"/>
      <c r="R743" s="2433"/>
      <c r="S743" s="2433"/>
      <c r="T743" s="2433"/>
      <c r="U743" s="2433"/>
      <c r="V743" s="2433"/>
      <c r="W743" s="2433"/>
      <c r="X743" s="2433"/>
      <c r="Y743" s="2433"/>
      <c r="Z743" s="2433"/>
      <c r="AA743" s="2433"/>
      <c r="AB743" s="2433"/>
      <c r="AC743" s="537"/>
      <c r="AD743" s="537"/>
      <c r="AE743" s="537"/>
      <c r="AF743" s="537"/>
      <c r="AG743" s="537"/>
      <c r="AH743" s="537"/>
      <c r="AI743" s="537"/>
      <c r="AJ743" s="537"/>
      <c r="AK743" s="537"/>
      <c r="AL743" s="537"/>
      <c r="AM743" s="551"/>
      <c r="AN743" s="685"/>
    </row>
    <row r="744" spans="1:81" s="571" customFormat="1" ht="12.75" customHeight="1">
      <c r="A744" s="551"/>
      <c r="B744" s="537"/>
      <c r="C744" s="934"/>
      <c r="D744" s="664"/>
      <c r="E744" s="2433"/>
      <c r="F744" s="2433"/>
      <c r="G744" s="2433"/>
      <c r="H744" s="2433"/>
      <c r="I744" s="2433"/>
      <c r="J744" s="2433"/>
      <c r="K744" s="2433"/>
      <c r="L744" s="2433"/>
      <c r="M744" s="2433"/>
      <c r="N744" s="2433"/>
      <c r="O744" s="2433"/>
      <c r="P744" s="2433"/>
      <c r="Q744" s="2433"/>
      <c r="R744" s="2433"/>
      <c r="S744" s="2433"/>
      <c r="T744" s="2433"/>
      <c r="U744" s="2433"/>
      <c r="V744" s="2433"/>
      <c r="W744" s="2433"/>
      <c r="X744" s="2433"/>
      <c r="Y744" s="2433"/>
      <c r="Z744" s="2433"/>
      <c r="AA744" s="2433"/>
      <c r="AB744" s="2433"/>
      <c r="AC744" s="537"/>
      <c r="AD744" s="537"/>
      <c r="AE744" s="537"/>
      <c r="AF744" s="537"/>
      <c r="AG744" s="537"/>
      <c r="AH744" s="537"/>
      <c r="AI744" s="537"/>
      <c r="AJ744" s="537"/>
      <c r="AK744" s="537"/>
      <c r="AL744" s="537"/>
      <c r="AM744" s="551"/>
      <c r="AN744" s="535"/>
      <c r="AO744" s="14"/>
    </row>
    <row r="745" spans="1:81" s="571" customFormat="1">
      <c r="A745" s="680"/>
      <c r="B745" s="596"/>
      <c r="C745" s="932"/>
      <c r="D745" s="664"/>
      <c r="E745" s="947"/>
      <c r="F745" s="947"/>
      <c r="G745" s="947"/>
      <c r="H745" s="947"/>
      <c r="I745" s="947"/>
      <c r="J745" s="947"/>
      <c r="K745" s="947"/>
      <c r="L745" s="947"/>
      <c r="M745" s="947"/>
      <c r="N745" s="947"/>
      <c r="O745" s="947"/>
      <c r="P745" s="947"/>
      <c r="Q745" s="947"/>
      <c r="R745" s="947"/>
      <c r="S745" s="947"/>
      <c r="T745" s="947"/>
      <c r="U745" s="947"/>
      <c r="V745" s="947"/>
      <c r="W745" s="947"/>
      <c r="X745" s="947"/>
      <c r="Y745" s="947"/>
      <c r="Z745" s="947"/>
      <c r="AA745" s="947"/>
      <c r="AB745" s="947"/>
      <c r="AC745" s="537"/>
      <c r="AD745" s="537"/>
      <c r="AE745" s="537"/>
      <c r="AF745" s="537"/>
      <c r="AG745" s="537"/>
      <c r="AH745" s="537"/>
      <c r="AI745" s="537"/>
      <c r="AJ745" s="537"/>
      <c r="AK745" s="537"/>
      <c r="AL745" s="537"/>
      <c r="AM745" s="551"/>
      <c r="AN745" s="685"/>
      <c r="AO745" s="30"/>
      <c r="AP745" s="14"/>
    </row>
    <row r="746" spans="1:81" s="571" customFormat="1" ht="13">
      <c r="A746" s="551"/>
      <c r="B746" s="537"/>
      <c r="C746" s="932"/>
      <c r="D746" s="664" t="s">
        <v>508</v>
      </c>
      <c r="E746" s="2433" t="s">
        <v>1442</v>
      </c>
      <c r="F746" s="2433"/>
      <c r="G746" s="2433"/>
      <c r="H746" s="2433"/>
      <c r="I746" s="2433"/>
      <c r="J746" s="2433"/>
      <c r="K746" s="2433"/>
      <c r="L746" s="2433"/>
      <c r="M746" s="2433"/>
      <c r="N746" s="2433"/>
      <c r="O746" s="2433"/>
      <c r="P746" s="2433"/>
      <c r="Q746" s="2433"/>
      <c r="R746" s="2433"/>
      <c r="S746" s="2433"/>
      <c r="T746" s="2433"/>
      <c r="U746" s="2433"/>
      <c r="V746" s="2433"/>
      <c r="W746" s="2433"/>
      <c r="X746" s="2433"/>
      <c r="Y746" s="2433"/>
      <c r="Z746" s="2433"/>
      <c r="AA746" s="2433"/>
      <c r="AB746" s="576"/>
      <c r="AC746" s="537"/>
      <c r="AD746" s="537"/>
      <c r="AE746" s="537"/>
      <c r="AF746" s="2533" t="s">
        <v>1407</v>
      </c>
      <c r="AG746" s="2533"/>
      <c r="AH746" s="2533"/>
      <c r="AI746" s="2533"/>
      <c r="AJ746" s="2533"/>
      <c r="AK746" s="2533"/>
      <c r="AL746" s="2533"/>
      <c r="AM746" s="551"/>
      <c r="AN746" s="685"/>
      <c r="AO746" s="30"/>
      <c r="AP746" s="14"/>
    </row>
    <row r="747" spans="1:81" s="571" customFormat="1" ht="13">
      <c r="A747" s="551"/>
      <c r="B747" s="537"/>
      <c r="C747" s="932"/>
      <c r="D747" s="664"/>
      <c r="E747" s="2433"/>
      <c r="F747" s="2433"/>
      <c r="G747" s="2433"/>
      <c r="H747" s="2433"/>
      <c r="I747" s="2433"/>
      <c r="J747" s="2433"/>
      <c r="K747" s="2433"/>
      <c r="L747" s="2433"/>
      <c r="M747" s="2433"/>
      <c r="N747" s="2433"/>
      <c r="O747" s="2433"/>
      <c r="P747" s="2433"/>
      <c r="Q747" s="2433"/>
      <c r="R747" s="2433"/>
      <c r="S747" s="2433"/>
      <c r="T747" s="2433"/>
      <c r="U747" s="2433"/>
      <c r="V747" s="2433"/>
      <c r="W747" s="2433"/>
      <c r="X747" s="2433"/>
      <c r="Y747" s="2433"/>
      <c r="Z747" s="2433"/>
      <c r="AA747" s="2433"/>
      <c r="AB747" s="576"/>
      <c r="AC747" s="537"/>
      <c r="AD747" s="537"/>
      <c r="AE747" s="537"/>
      <c r="AF747" s="595"/>
      <c r="AG747" s="595"/>
      <c r="AH747" s="595"/>
      <c r="AI747" s="595"/>
      <c r="AJ747" s="595"/>
      <c r="AK747" s="595"/>
      <c r="AL747" s="595"/>
      <c r="AM747" s="551"/>
      <c r="AN747" s="685"/>
      <c r="AO747" s="30"/>
      <c r="AP747" s="14"/>
    </row>
    <row r="748" spans="1:81" s="571" customFormat="1" ht="13">
      <c r="A748" s="551"/>
      <c r="B748" s="537"/>
      <c r="C748" s="932"/>
      <c r="D748" s="537"/>
      <c r="E748" s="2433"/>
      <c r="F748" s="2433"/>
      <c r="G748" s="2433"/>
      <c r="H748" s="2433"/>
      <c r="I748" s="2433"/>
      <c r="J748" s="2433"/>
      <c r="K748" s="2433"/>
      <c r="L748" s="2433"/>
      <c r="M748" s="2433"/>
      <c r="N748" s="2433"/>
      <c r="O748" s="2433"/>
      <c r="P748" s="2433"/>
      <c r="Q748" s="2433"/>
      <c r="R748" s="2433"/>
      <c r="S748" s="2433"/>
      <c r="T748" s="2433"/>
      <c r="U748" s="2433"/>
      <c r="V748" s="2433"/>
      <c r="W748" s="2433"/>
      <c r="X748" s="2433"/>
      <c r="Y748" s="2433"/>
      <c r="Z748" s="2433"/>
      <c r="AA748" s="2433"/>
      <c r="AB748" s="576"/>
      <c r="AC748" s="595"/>
      <c r="AD748" s="595"/>
      <c r="AE748" s="595"/>
      <c r="AF748" s="595"/>
      <c r="AG748" s="595"/>
      <c r="AH748" s="595"/>
      <c r="AI748" s="595"/>
      <c r="AJ748" s="537"/>
      <c r="AK748" s="537"/>
      <c r="AL748" s="537"/>
      <c r="AM748" s="551"/>
      <c r="AN748" s="685"/>
      <c r="AO748" s="30"/>
      <c r="AP748" s="14"/>
    </row>
    <row r="749" spans="1:81" s="571" customFormat="1" ht="13">
      <c r="A749" s="551"/>
      <c r="B749" s="537"/>
      <c r="C749" s="932"/>
      <c r="D749" s="537"/>
      <c r="E749" s="2433"/>
      <c r="F749" s="2433"/>
      <c r="G749" s="2433"/>
      <c r="H749" s="2433"/>
      <c r="I749" s="2433"/>
      <c r="J749" s="2433"/>
      <c r="K749" s="2433"/>
      <c r="L749" s="2433"/>
      <c r="M749" s="2433"/>
      <c r="N749" s="2433"/>
      <c r="O749" s="2433"/>
      <c r="P749" s="2433"/>
      <c r="Q749" s="2433"/>
      <c r="R749" s="2433"/>
      <c r="S749" s="2433"/>
      <c r="T749" s="2433"/>
      <c r="U749" s="2433"/>
      <c r="V749" s="2433"/>
      <c r="W749" s="2433"/>
      <c r="X749" s="2433"/>
      <c r="Y749" s="2433"/>
      <c r="Z749" s="2433"/>
      <c r="AA749" s="2433"/>
      <c r="AB749" s="576"/>
      <c r="AC749" s="595"/>
      <c r="AD749" s="595"/>
      <c r="AE749" s="595"/>
      <c r="AF749" s="595"/>
      <c r="AG749" s="595"/>
      <c r="AH749" s="595"/>
      <c r="AI749" s="595"/>
      <c r="AJ749" s="537"/>
      <c r="AK749" s="537"/>
      <c r="AL749" s="537"/>
      <c r="AM749" s="551"/>
      <c r="AN749" s="685"/>
      <c r="AO749" s="30"/>
      <c r="AP749" s="14"/>
    </row>
    <row r="750" spans="1:81" s="571" customFormat="1" ht="13">
      <c r="A750" s="551"/>
      <c r="B750" s="537"/>
      <c r="C750" s="932"/>
      <c r="D750" s="537"/>
      <c r="E750" s="643"/>
      <c r="F750" s="643"/>
      <c r="G750" s="643"/>
      <c r="H750" s="643"/>
      <c r="I750" s="643"/>
      <c r="J750" s="643"/>
      <c r="K750" s="643"/>
      <c r="L750" s="643"/>
      <c r="M750" s="643"/>
      <c r="N750" s="643"/>
      <c r="O750" s="643"/>
      <c r="P750" s="643"/>
      <c r="Q750" s="643"/>
      <c r="R750" s="643"/>
      <c r="S750" s="643"/>
      <c r="T750" s="643"/>
      <c r="U750" s="643"/>
      <c r="V750" s="643"/>
      <c r="W750" s="643"/>
      <c r="X750" s="643"/>
      <c r="Y750" s="643"/>
      <c r="Z750" s="643"/>
      <c r="AA750" s="643"/>
      <c r="AB750" s="643"/>
      <c r="AC750" s="595"/>
      <c r="AD750" s="595"/>
      <c r="AE750" s="595"/>
      <c r="AF750" s="595"/>
      <c r="AG750" s="595"/>
      <c r="AH750" s="595"/>
      <c r="AI750" s="595"/>
      <c r="AJ750" s="537"/>
      <c r="AK750" s="537"/>
      <c r="AL750" s="537"/>
      <c r="AM750" s="551"/>
      <c r="AN750" s="685"/>
    </row>
    <row r="751" spans="1:81" s="571" customFormat="1" ht="12.75" customHeight="1">
      <c r="A751" s="551"/>
      <c r="B751" s="537"/>
      <c r="C751" s="932"/>
      <c r="D751" s="537" t="s">
        <v>1399</v>
      </c>
      <c r="E751" s="937"/>
      <c r="F751" s="937"/>
      <c r="G751" s="937"/>
      <c r="H751" s="2457" t="s">
        <v>508</v>
      </c>
      <c r="I751" s="2457"/>
      <c r="J751" s="643"/>
      <c r="K751" s="643"/>
      <c r="L751" s="643"/>
      <c r="M751" s="643"/>
      <c r="N751" s="643"/>
      <c r="O751" s="643"/>
      <c r="P751" s="643"/>
      <c r="Q751" s="643"/>
      <c r="R751" s="643"/>
      <c r="S751" s="643"/>
      <c r="T751" s="643"/>
      <c r="U751" s="643"/>
      <c r="V751" s="643"/>
      <c r="W751" s="643"/>
      <c r="X751" s="643"/>
      <c r="Y751" s="643"/>
      <c r="Z751" s="643"/>
      <c r="AA751" s="643"/>
      <c r="AB751" s="643"/>
      <c r="AC751" s="595"/>
      <c r="AD751" s="595"/>
      <c r="AE751" s="595"/>
      <c r="AF751" s="595"/>
      <c r="AG751" s="595"/>
      <c r="AH751" s="595"/>
      <c r="AI751" s="595"/>
      <c r="AJ751" s="537"/>
      <c r="AK751" s="537"/>
      <c r="AL751" s="537"/>
      <c r="AM751" s="551"/>
      <c r="AN751" s="685"/>
    </row>
    <row r="752" spans="1:81" s="571" customFormat="1" ht="12.75" customHeight="1">
      <c r="A752" s="551"/>
      <c r="B752" s="537"/>
      <c r="C752" s="932"/>
      <c r="D752" s="537"/>
      <c r="E752" s="643"/>
      <c r="F752" s="643"/>
      <c r="G752" s="643"/>
      <c r="H752" s="643"/>
      <c r="I752" s="643"/>
      <c r="J752" s="643"/>
      <c r="K752" s="643"/>
      <c r="L752" s="643"/>
      <c r="M752" s="643"/>
      <c r="N752" s="643"/>
      <c r="O752" s="643"/>
      <c r="P752" s="643"/>
      <c r="Q752" s="643"/>
      <c r="R752" s="643"/>
      <c r="S752" s="643"/>
      <c r="T752" s="643"/>
      <c r="U752" s="643"/>
      <c r="V752" s="643"/>
      <c r="W752" s="643"/>
      <c r="X752" s="643"/>
      <c r="Y752" s="643"/>
      <c r="Z752" s="643"/>
      <c r="AA752" s="643"/>
      <c r="AB752" s="643"/>
      <c r="AC752" s="595"/>
      <c r="AD752" s="595"/>
      <c r="AE752" s="595"/>
      <c r="AF752" s="595"/>
      <c r="AG752" s="595"/>
      <c r="AH752" s="595"/>
      <c r="AI752" s="595"/>
      <c r="AJ752" s="537"/>
      <c r="AK752" s="537"/>
      <c r="AL752" s="537"/>
      <c r="AM752" s="551"/>
      <c r="AN752" s="535"/>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571" customFormat="1" ht="13">
      <c r="A753" s="607"/>
      <c r="B753" s="602"/>
      <c r="C753" s="945"/>
      <c r="D753" s="602"/>
      <c r="E753" s="955"/>
      <c r="F753" s="955"/>
      <c r="G753" s="955"/>
      <c r="H753" s="955"/>
      <c r="I753" s="955"/>
      <c r="J753" s="955"/>
      <c r="K753" s="955"/>
      <c r="L753" s="955"/>
      <c r="M753" s="955"/>
      <c r="N753" s="955"/>
      <c r="O753" s="955"/>
      <c r="P753" s="955"/>
      <c r="Q753" s="955"/>
      <c r="R753" s="955"/>
      <c r="S753" s="955"/>
      <c r="T753" s="955"/>
      <c r="U753" s="955"/>
      <c r="V753" s="955"/>
      <c r="W753" s="955"/>
      <c r="X753" s="955"/>
      <c r="Y753" s="955"/>
      <c r="Z753" s="955"/>
      <c r="AA753" s="955"/>
      <c r="AB753" s="688"/>
      <c r="AC753" s="688"/>
      <c r="AD753" s="688"/>
      <c r="AE753" s="688"/>
      <c r="AF753" s="688"/>
      <c r="AG753" s="688"/>
      <c r="AH753" s="602"/>
      <c r="AI753" s="566" t="s">
        <v>1443</v>
      </c>
      <c r="AJ753" s="2440">
        <f>VLOOKUP($H$751,$AO$680:$AP$682,2,FALSE)</f>
        <v>2</v>
      </c>
      <c r="AK753" s="2442"/>
      <c r="AL753" s="596"/>
      <c r="AM753" s="551"/>
      <c r="AN753" s="535"/>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571" customFormat="1" ht="12.75" customHeight="1">
      <c r="A754" s="638"/>
      <c r="B754" s="537"/>
      <c r="C754" s="934"/>
      <c r="D754" s="537"/>
      <c r="E754" s="537"/>
      <c r="F754" s="537"/>
      <c r="G754" s="537"/>
      <c r="H754" s="537"/>
      <c r="I754" s="537"/>
      <c r="J754" s="643"/>
      <c r="K754" s="643"/>
      <c r="L754" s="644"/>
      <c r="M754" s="644"/>
      <c r="N754" s="644"/>
      <c r="O754" s="644"/>
      <c r="P754" s="644"/>
      <c r="Q754" s="644"/>
      <c r="R754" s="644"/>
      <c r="S754" s="644"/>
      <c r="T754" s="644"/>
      <c r="U754" s="644"/>
      <c r="V754" s="617"/>
      <c r="W754" s="617"/>
      <c r="X754" s="617"/>
      <c r="Y754" s="617"/>
      <c r="Z754" s="937"/>
      <c r="AA754" s="937"/>
      <c r="AB754" s="937"/>
      <c r="AC754" s="537"/>
      <c r="AD754" s="537"/>
      <c r="AE754" s="537"/>
      <c r="AF754" s="537"/>
      <c r="AG754" s="537"/>
      <c r="AH754" s="537"/>
      <c r="AI754" s="537"/>
      <c r="AJ754" s="537"/>
      <c r="AK754" s="537"/>
      <c r="AL754" s="537"/>
      <c r="AM754" s="551"/>
      <c r="AN754" s="535"/>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571" customFormat="1" ht="13">
      <c r="A755" s="551"/>
      <c r="B755" s="537"/>
      <c r="C755" s="540" t="s">
        <v>1433</v>
      </c>
      <c r="D755" s="617"/>
      <c r="E755" s="537"/>
      <c r="F755" s="537"/>
      <c r="G755" s="537"/>
      <c r="H755" s="537"/>
      <c r="I755" s="537"/>
      <c r="J755" s="537"/>
      <c r="K755" s="537"/>
      <c r="L755" s="537"/>
      <c r="M755" s="537"/>
      <c r="N755" s="537"/>
      <c r="O755" s="537"/>
      <c r="P755" s="537"/>
      <c r="Q755" s="537"/>
      <c r="R755" s="537"/>
      <c r="S755" s="537"/>
      <c r="T755" s="537"/>
      <c r="U755" s="537"/>
      <c r="V755" s="537"/>
      <c r="W755" s="537"/>
      <c r="X755" s="537"/>
      <c r="Y755" s="537"/>
      <c r="Z755" s="537"/>
      <c r="AA755" s="537"/>
      <c r="AB755" s="537"/>
      <c r="AC755" s="537"/>
      <c r="AD755" s="537"/>
      <c r="AE755" s="537"/>
      <c r="AF755" s="537"/>
      <c r="AG755" s="537"/>
      <c r="AH755" s="537"/>
      <c r="AI755" s="537"/>
      <c r="AJ755" s="537"/>
      <c r="AK755" s="537"/>
      <c r="AL755" s="537"/>
      <c r="AM755" s="551"/>
      <c r="AN755" s="535"/>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571" customFormat="1">
      <c r="A756" s="551"/>
      <c r="B756" s="617"/>
      <c r="C756" s="537"/>
      <c r="D756" s="537"/>
      <c r="E756" s="617"/>
      <c r="F756" s="617"/>
      <c r="G756" s="617"/>
      <c r="H756" s="617"/>
      <c r="I756" s="617"/>
      <c r="J756" s="617"/>
      <c r="K756" s="617"/>
      <c r="L756" s="617"/>
      <c r="M756" s="617"/>
      <c r="N756" s="617"/>
      <c r="O756" s="617"/>
      <c r="P756" s="617"/>
      <c r="Q756" s="617"/>
      <c r="R756" s="617"/>
      <c r="S756" s="617"/>
      <c r="T756" s="617"/>
      <c r="U756" s="617"/>
      <c r="V756" s="617"/>
      <c r="W756" s="617"/>
      <c r="X756" s="617"/>
      <c r="Y756" s="617"/>
      <c r="Z756" s="617"/>
      <c r="AA756" s="617"/>
      <c r="AB756" s="617"/>
      <c r="AC756" s="617"/>
      <c r="AD756" s="617"/>
      <c r="AE756" s="617"/>
      <c r="AF756" s="617"/>
      <c r="AG756" s="617"/>
      <c r="AH756" s="617"/>
      <c r="AI756" s="537"/>
      <c r="AJ756" s="537"/>
      <c r="AK756" s="537"/>
      <c r="AL756" s="537"/>
      <c r="AM756" s="551"/>
      <c r="AN756" s="535"/>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571" customFormat="1" ht="13">
      <c r="A757" s="551"/>
      <c r="B757" s="537"/>
      <c r="C757" s="932"/>
      <c r="D757" s="664" t="s">
        <v>686</v>
      </c>
      <c r="E757" s="2433" t="s">
        <v>1444</v>
      </c>
      <c r="F757" s="2433"/>
      <c r="G757" s="2433"/>
      <c r="H757" s="2433"/>
      <c r="I757" s="2433"/>
      <c r="J757" s="2433"/>
      <c r="K757" s="2433"/>
      <c r="L757" s="2433"/>
      <c r="M757" s="2433"/>
      <c r="N757" s="2433"/>
      <c r="O757" s="2433"/>
      <c r="P757" s="2433"/>
      <c r="Q757" s="2433"/>
      <c r="R757" s="2433"/>
      <c r="S757" s="2433"/>
      <c r="T757" s="2433"/>
      <c r="U757" s="2433"/>
      <c r="V757" s="2433"/>
      <c r="W757" s="2433"/>
      <c r="X757" s="2433"/>
      <c r="Y757" s="2433"/>
      <c r="Z757" s="2433"/>
      <c r="AA757" s="2433"/>
      <c r="AB757" s="2433"/>
      <c r="AC757" s="537"/>
      <c r="AD757" s="537"/>
      <c r="AE757" s="537"/>
      <c r="AF757" s="2533" t="s">
        <v>1407</v>
      </c>
      <c r="AG757" s="2533"/>
      <c r="AH757" s="2533"/>
      <c r="AI757" s="2533"/>
      <c r="AJ757" s="2533"/>
      <c r="AK757" s="2533"/>
      <c r="AL757" s="2533"/>
      <c r="AM757" s="551"/>
      <c r="AN757" s="535"/>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c r="BV757" s="14"/>
    </row>
    <row r="758" spans="1:74" s="571" customFormat="1" ht="13">
      <c r="A758" s="551"/>
      <c r="B758" s="537"/>
      <c r="C758" s="934"/>
      <c r="D758" s="664"/>
      <c r="E758" s="2433"/>
      <c r="F758" s="2433"/>
      <c r="G758" s="2433"/>
      <c r="H758" s="2433"/>
      <c r="I758" s="2433"/>
      <c r="J758" s="2433"/>
      <c r="K758" s="2433"/>
      <c r="L758" s="2433"/>
      <c r="M758" s="2433"/>
      <c r="N758" s="2433"/>
      <c r="O758" s="2433"/>
      <c r="P758" s="2433"/>
      <c r="Q758" s="2433"/>
      <c r="R758" s="2433"/>
      <c r="S758" s="2433"/>
      <c r="T758" s="2433"/>
      <c r="U758" s="2433"/>
      <c r="V758" s="2433"/>
      <c r="W758" s="2433"/>
      <c r="X758" s="2433"/>
      <c r="Y758" s="2433"/>
      <c r="Z758" s="2433"/>
      <c r="AA758" s="2433"/>
      <c r="AB758" s="2433"/>
      <c r="AC758" s="537"/>
      <c r="AD758" s="537"/>
      <c r="AE758" s="537"/>
      <c r="AF758" s="537"/>
      <c r="AG758" s="537"/>
      <c r="AH758" s="537"/>
      <c r="AI758" s="537"/>
      <c r="AJ758" s="537"/>
      <c r="AK758" s="537"/>
      <c r="AL758" s="537"/>
      <c r="AM758" s="551"/>
      <c r="AN758" s="535"/>
      <c r="AO758" s="30"/>
      <c r="AP758" s="14"/>
      <c r="AQ758" s="14"/>
      <c r="AR758" s="14"/>
      <c r="AS758" s="14"/>
      <c r="AT758" s="14"/>
      <c r="AU758" s="14"/>
      <c r="AV758" s="14"/>
      <c r="AW758" s="14"/>
      <c r="AX758" s="14"/>
      <c r="AY758" s="14"/>
      <c r="AZ758" s="14"/>
      <c r="BA758" s="14"/>
      <c r="BB758" s="14"/>
      <c r="BC758" s="14"/>
      <c r="BD758" s="32"/>
      <c r="BE758" s="32"/>
      <c r="BF758" s="32"/>
      <c r="BG758" s="32"/>
      <c r="BH758" s="32"/>
      <c r="BI758" s="14"/>
      <c r="BJ758" s="14"/>
      <c r="BK758" s="14"/>
      <c r="BL758" s="14"/>
      <c r="BM758" s="14"/>
      <c r="BN758" s="14"/>
      <c r="BO758" s="14"/>
      <c r="BP758" s="14"/>
      <c r="BQ758" s="14"/>
      <c r="BR758" s="14"/>
      <c r="BS758" s="14"/>
      <c r="BT758" s="14"/>
      <c r="BU758" s="14"/>
      <c r="BV758" s="14"/>
    </row>
    <row r="759" spans="1:74" s="571" customFormat="1">
      <c r="A759" s="551"/>
      <c r="B759" s="617"/>
      <c r="C759" s="941"/>
      <c r="D759" s="664"/>
      <c r="E759" s="617"/>
      <c r="F759" s="617"/>
      <c r="G759" s="617"/>
      <c r="H759" s="617"/>
      <c r="I759" s="617"/>
      <c r="J759" s="617"/>
      <c r="K759" s="617"/>
      <c r="L759" s="617"/>
      <c r="M759" s="617"/>
      <c r="N759" s="617"/>
      <c r="O759" s="617"/>
      <c r="P759" s="617"/>
      <c r="Q759" s="617"/>
      <c r="R759" s="617"/>
      <c r="S759" s="617"/>
      <c r="T759" s="617"/>
      <c r="U759" s="617"/>
      <c r="V759" s="617"/>
      <c r="W759" s="617"/>
      <c r="X759" s="617"/>
      <c r="Y759" s="617"/>
      <c r="Z759" s="617"/>
      <c r="AA759" s="617"/>
      <c r="AB759" s="617"/>
      <c r="AC759" s="537"/>
      <c r="AD759" s="537"/>
      <c r="AE759" s="617"/>
      <c r="AF759" s="617"/>
      <c r="AG759" s="617"/>
      <c r="AH759" s="617"/>
      <c r="AI759" s="617"/>
      <c r="AJ759" s="617"/>
      <c r="AK759" s="537"/>
      <c r="AL759" s="537"/>
      <c r="AM759" s="551"/>
      <c r="AN759" s="535"/>
      <c r="AO759" s="30"/>
      <c r="AP759" s="14"/>
      <c r="AQ759" s="14"/>
      <c r="AR759" s="14"/>
      <c r="AS759" s="14"/>
      <c r="AT759" s="14"/>
      <c r="AU759" s="14"/>
      <c r="AV759" s="14"/>
      <c r="AW759" s="14"/>
      <c r="AX759" s="14"/>
      <c r="AY759" s="14"/>
      <c r="AZ759" s="14"/>
      <c r="BA759" s="14"/>
      <c r="BB759" s="14"/>
      <c r="BC759" s="14"/>
      <c r="BD759" s="32"/>
      <c r="BE759" s="32"/>
      <c r="BF759" s="32"/>
      <c r="BG759" s="32"/>
      <c r="BH759" s="32"/>
      <c r="BI759" s="14"/>
      <c r="BJ759" s="14"/>
      <c r="BK759" s="14"/>
      <c r="BL759" s="14"/>
      <c r="BM759" s="14"/>
      <c r="BN759" s="14"/>
      <c r="BO759" s="14"/>
      <c r="BP759" s="14"/>
      <c r="BQ759" s="14"/>
      <c r="BR759" s="14"/>
      <c r="BS759" s="14"/>
      <c r="BT759" s="14"/>
      <c r="BU759" s="14"/>
      <c r="BV759" s="14"/>
    </row>
    <row r="760" spans="1:74" s="571" customFormat="1" ht="13">
      <c r="A760" s="638"/>
      <c r="B760" s="537"/>
      <c r="C760" s="932"/>
      <c r="D760" s="664" t="s">
        <v>508</v>
      </c>
      <c r="E760" s="2433" t="s">
        <v>1445</v>
      </c>
      <c r="F760" s="2433"/>
      <c r="G760" s="2433"/>
      <c r="H760" s="2433"/>
      <c r="I760" s="2433"/>
      <c r="J760" s="2433"/>
      <c r="K760" s="2433"/>
      <c r="L760" s="2433"/>
      <c r="M760" s="2433"/>
      <c r="N760" s="2433"/>
      <c r="O760" s="2433"/>
      <c r="P760" s="2433"/>
      <c r="Q760" s="2433"/>
      <c r="R760" s="2433"/>
      <c r="S760" s="2433"/>
      <c r="T760" s="2433"/>
      <c r="U760" s="2433"/>
      <c r="V760" s="2433"/>
      <c r="W760" s="2433"/>
      <c r="X760" s="2433"/>
      <c r="Y760" s="2433"/>
      <c r="Z760" s="2433"/>
      <c r="AA760" s="2433"/>
      <c r="AB760" s="2433"/>
      <c r="AC760" s="537"/>
      <c r="AD760" s="537"/>
      <c r="AE760" s="537"/>
      <c r="AF760" s="2533" t="s">
        <v>1424</v>
      </c>
      <c r="AG760" s="2533"/>
      <c r="AH760" s="2533"/>
      <c r="AI760" s="2533"/>
      <c r="AJ760" s="2533"/>
      <c r="AK760" s="2533"/>
      <c r="AL760" s="2533"/>
      <c r="AM760" s="551"/>
      <c r="AN760" s="535"/>
      <c r="AO760" s="30"/>
      <c r="AP760" s="14"/>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c r="BV760" s="14"/>
    </row>
    <row r="761" spans="1:74" s="571" customFormat="1" ht="12.75" customHeight="1">
      <c r="A761" s="638"/>
      <c r="B761" s="537"/>
      <c r="C761" s="932"/>
      <c r="D761" s="664"/>
      <c r="E761" s="2433"/>
      <c r="F761" s="2433"/>
      <c r="G761" s="2433"/>
      <c r="H761" s="2433"/>
      <c r="I761" s="2433"/>
      <c r="J761" s="2433"/>
      <c r="K761" s="2433"/>
      <c r="L761" s="2433"/>
      <c r="M761" s="2433"/>
      <c r="N761" s="2433"/>
      <c r="O761" s="2433"/>
      <c r="P761" s="2433"/>
      <c r="Q761" s="2433"/>
      <c r="R761" s="2433"/>
      <c r="S761" s="2433"/>
      <c r="T761" s="2433"/>
      <c r="U761" s="2433"/>
      <c r="V761" s="2433"/>
      <c r="W761" s="2433"/>
      <c r="X761" s="2433"/>
      <c r="Y761" s="2433"/>
      <c r="Z761" s="2433"/>
      <c r="AA761" s="2433"/>
      <c r="AB761" s="2433"/>
      <c r="AC761" s="537"/>
      <c r="AD761" s="537"/>
      <c r="AE761" s="595"/>
      <c r="AF761" s="537"/>
      <c r="AG761" s="537"/>
      <c r="AH761" s="537"/>
      <c r="AI761" s="537"/>
      <c r="AJ761" s="537"/>
      <c r="AK761" s="537"/>
      <c r="AL761" s="537"/>
      <c r="AM761" s="551"/>
      <c r="AN761" s="535"/>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c r="BV761" s="14"/>
    </row>
    <row r="762" spans="1:74" s="571" customFormat="1" ht="13">
      <c r="A762" s="551"/>
      <c r="B762" s="537"/>
      <c r="C762" s="934"/>
      <c r="D762" s="537"/>
      <c r="E762" s="644"/>
      <c r="F762" s="644"/>
      <c r="G762" s="644"/>
      <c r="H762" s="644"/>
      <c r="I762" s="644"/>
      <c r="J762" s="644"/>
      <c r="K762" s="644"/>
      <c r="L762" s="644"/>
      <c r="M762" s="644"/>
      <c r="N762" s="644"/>
      <c r="O762" s="644"/>
      <c r="P762" s="644"/>
      <c r="Q762" s="644"/>
      <c r="R762" s="644"/>
      <c r="S762" s="644"/>
      <c r="T762" s="644"/>
      <c r="U762" s="644"/>
      <c r="V762" s="644"/>
      <c r="W762" s="644"/>
      <c r="X762" s="644"/>
      <c r="Y762" s="644"/>
      <c r="Z762" s="644"/>
      <c r="AA762" s="644"/>
      <c r="AB762" s="644"/>
      <c r="AC762" s="537"/>
      <c r="AD762" s="537"/>
      <c r="AE762" s="617"/>
      <c r="AF762" s="617"/>
      <c r="AG762" s="617"/>
      <c r="AH762" s="617"/>
      <c r="AI762" s="537"/>
      <c r="AJ762" s="537"/>
      <c r="AK762" s="537"/>
      <c r="AL762" s="537"/>
      <c r="AM762" s="551"/>
      <c r="AN762" s="535"/>
      <c r="AO762" s="30"/>
      <c r="AP762" s="14"/>
      <c r="AQ762" s="14"/>
      <c r="AR762" s="14"/>
      <c r="AS762" s="14"/>
      <c r="AT762" s="14"/>
      <c r="AU762" s="14"/>
      <c r="AV762" s="14"/>
      <c r="AW762" s="14"/>
      <c r="AX762" s="14"/>
      <c r="AY762" s="14"/>
      <c r="AZ762" s="14"/>
      <c r="BA762" s="14"/>
      <c r="BB762" s="14"/>
      <c r="BC762" s="14"/>
      <c r="BD762" s="32"/>
      <c r="BE762" s="32"/>
      <c r="BF762" s="32"/>
      <c r="BG762" s="32"/>
      <c r="BH762" s="32"/>
      <c r="BI762" s="14"/>
      <c r="BJ762" s="14"/>
      <c r="BK762" s="14"/>
      <c r="BL762" s="14"/>
      <c r="BM762" s="14"/>
      <c r="BN762" s="14"/>
      <c r="BO762" s="14"/>
      <c r="BP762" s="14"/>
      <c r="BQ762" s="14"/>
      <c r="BR762" s="14"/>
      <c r="BS762" s="14"/>
      <c r="BT762" s="14"/>
      <c r="BU762" s="14"/>
      <c r="BV762" s="14"/>
    </row>
    <row r="763" spans="1:74" s="571" customFormat="1" ht="12.75" customHeight="1">
      <c r="A763" s="551"/>
      <c r="B763" s="537"/>
      <c r="C763" s="537"/>
      <c r="D763" s="537" t="s">
        <v>1399</v>
      </c>
      <c r="E763" s="937"/>
      <c r="F763" s="937"/>
      <c r="G763" s="937"/>
      <c r="H763" s="2457" t="s">
        <v>508</v>
      </c>
      <c r="I763" s="2457"/>
      <c r="J763" s="644"/>
      <c r="K763" s="644"/>
      <c r="L763" s="644"/>
      <c r="M763" s="644"/>
      <c r="N763" s="644"/>
      <c r="O763" s="644"/>
      <c r="P763" s="644"/>
      <c r="Q763" s="537"/>
      <c r="R763" s="537"/>
      <c r="S763" s="537"/>
      <c r="T763" s="537"/>
      <c r="U763" s="537"/>
      <c r="V763" s="537"/>
      <c r="W763" s="644"/>
      <c r="X763" s="644"/>
      <c r="Y763" s="644"/>
      <c r="Z763" s="644"/>
      <c r="AA763" s="644"/>
      <c r="AB763" s="644"/>
      <c r="AC763" s="537"/>
      <c r="AD763" s="537"/>
      <c r="AE763" s="617"/>
      <c r="AF763" s="617"/>
      <c r="AG763" s="617"/>
      <c r="AH763" s="617"/>
      <c r="AI763" s="537"/>
      <c r="AJ763" s="537"/>
      <c r="AK763" s="537"/>
      <c r="AL763" s="537"/>
      <c r="AM763" s="551"/>
      <c r="AN763" s="535"/>
      <c r="AO763" s="30"/>
      <c r="AP763" s="14"/>
      <c r="AQ763" s="14"/>
      <c r="AR763" s="14"/>
      <c r="AS763" s="14"/>
      <c r="AT763" s="14"/>
      <c r="AU763" s="14"/>
      <c r="AV763" s="14"/>
      <c r="AW763" s="14"/>
      <c r="AX763" s="14"/>
      <c r="AY763" s="14"/>
      <c r="AZ763" s="14"/>
      <c r="BA763" s="14"/>
      <c r="BB763" s="14"/>
      <c r="BC763" s="14"/>
      <c r="BD763" s="32"/>
      <c r="BE763" s="32"/>
      <c r="BF763" s="32"/>
      <c r="BG763" s="32"/>
      <c r="BH763" s="32"/>
      <c r="BI763" s="14"/>
      <c r="BJ763" s="14"/>
      <c r="BK763" s="14"/>
      <c r="BL763" s="14"/>
      <c r="BM763" s="14"/>
      <c r="BN763" s="14"/>
      <c r="BO763" s="14"/>
      <c r="BP763" s="14"/>
      <c r="BQ763" s="14"/>
      <c r="BR763" s="14"/>
      <c r="BS763" s="14"/>
      <c r="BT763" s="14"/>
      <c r="BU763" s="14"/>
      <c r="BV763" s="14"/>
    </row>
    <row r="764" spans="1:74" s="571" customFormat="1" ht="12.75" customHeight="1">
      <c r="A764" s="551"/>
      <c r="B764" s="617"/>
      <c r="C764" s="941"/>
      <c r="D764" s="617"/>
      <c r="E764" s="617"/>
      <c r="F764" s="617"/>
      <c r="G764" s="617"/>
      <c r="H764" s="617"/>
      <c r="I764" s="617"/>
      <c r="J764" s="617"/>
      <c r="K764" s="617"/>
      <c r="L764" s="617"/>
      <c r="M764" s="617"/>
      <c r="N764" s="617"/>
      <c r="O764" s="617"/>
      <c r="P764" s="617"/>
      <c r="Q764" s="617"/>
      <c r="R764" s="617"/>
      <c r="S764" s="617"/>
      <c r="T764" s="617"/>
      <c r="U764" s="617"/>
      <c r="V764" s="617"/>
      <c r="W764" s="617"/>
      <c r="X764" s="617"/>
      <c r="Y764" s="617"/>
      <c r="Z764" s="617"/>
      <c r="AA764" s="617"/>
      <c r="AB764" s="617"/>
      <c r="AC764" s="617"/>
      <c r="AD764" s="617"/>
      <c r="AE764" s="617"/>
      <c r="AF764" s="617"/>
      <c r="AG764" s="617"/>
      <c r="AH764" s="617"/>
      <c r="AI764" s="537"/>
      <c r="AJ764" s="537"/>
      <c r="AK764" s="537"/>
      <c r="AL764" s="537"/>
      <c r="AM764" s="551"/>
      <c r="AN764" s="535"/>
      <c r="AO764" s="30"/>
      <c r="AP764" s="14"/>
      <c r="AQ764" s="14"/>
      <c r="AR764" s="14"/>
      <c r="AS764" s="14"/>
      <c r="AT764" s="14"/>
      <c r="AU764" s="14"/>
      <c r="AV764" s="14"/>
      <c r="AW764" s="14"/>
      <c r="AX764" s="14"/>
      <c r="AY764" s="14"/>
      <c r="AZ764" s="14"/>
      <c r="BA764" s="14"/>
      <c r="BB764" s="14"/>
      <c r="BC764" s="14"/>
      <c r="BD764" s="32"/>
      <c r="BE764" s="32"/>
      <c r="BF764" s="32"/>
      <c r="BG764" s="32"/>
      <c r="BH764" s="32"/>
      <c r="BI764" s="14"/>
      <c r="BJ764" s="14"/>
      <c r="BK764" s="14"/>
      <c r="BL764" s="14"/>
      <c r="BM764" s="14"/>
      <c r="BN764" s="14"/>
      <c r="BO764" s="14"/>
      <c r="BP764" s="14"/>
      <c r="BQ764" s="14"/>
      <c r="BR764" s="14"/>
      <c r="BS764" s="14"/>
      <c r="BT764" s="14"/>
      <c r="BU764" s="14"/>
      <c r="BV764" s="14"/>
    </row>
    <row r="765" spans="1:74" s="571" customFormat="1" ht="13.9" customHeight="1">
      <c r="A765" s="607"/>
      <c r="B765" s="666"/>
      <c r="C765" s="956"/>
      <c r="D765" s="666"/>
      <c r="E765" s="666"/>
      <c r="F765" s="666"/>
      <c r="G765" s="666"/>
      <c r="H765" s="666"/>
      <c r="I765" s="666"/>
      <c r="J765" s="666"/>
      <c r="K765" s="666"/>
      <c r="L765" s="666"/>
      <c r="M765" s="666"/>
      <c r="N765" s="666"/>
      <c r="O765" s="666"/>
      <c r="P765" s="666"/>
      <c r="Q765" s="666"/>
      <c r="R765" s="666"/>
      <c r="S765" s="666"/>
      <c r="T765" s="666"/>
      <c r="U765" s="666"/>
      <c r="V765" s="666"/>
      <c r="W765" s="666"/>
      <c r="X765" s="666"/>
      <c r="Y765" s="666"/>
      <c r="Z765" s="666"/>
      <c r="AA765" s="666"/>
      <c r="AB765" s="666"/>
      <c r="AC765" s="666"/>
      <c r="AD765" s="666"/>
      <c r="AE765" s="666"/>
      <c r="AF765" s="666"/>
      <c r="AG765" s="666"/>
      <c r="AH765" s="602"/>
      <c r="AI765" s="566" t="s">
        <v>1446</v>
      </c>
      <c r="AJ765" s="2440">
        <f>VLOOKUP($H$763,$AO$697:$AP$699,2,FALSE)</f>
        <v>1</v>
      </c>
      <c r="AK765" s="2442"/>
      <c r="AL765" s="596"/>
      <c r="AM765" s="551"/>
      <c r="AN765" s="535"/>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74" s="571" customFormat="1" ht="13">
      <c r="A766" s="551"/>
      <c r="B766" s="617"/>
      <c r="C766" s="941"/>
      <c r="D766" s="617"/>
      <c r="E766" s="617"/>
      <c r="F766" s="617"/>
      <c r="G766" s="617"/>
      <c r="H766" s="617"/>
      <c r="I766" s="617"/>
      <c r="J766" s="617"/>
      <c r="K766" s="617"/>
      <c r="L766" s="617"/>
      <c r="M766" s="617"/>
      <c r="N766" s="617"/>
      <c r="O766" s="617"/>
      <c r="P766" s="617"/>
      <c r="Q766" s="617"/>
      <c r="R766" s="617"/>
      <c r="S766" s="617"/>
      <c r="T766" s="617"/>
      <c r="U766" s="617"/>
      <c r="V766" s="617"/>
      <c r="W766" s="617"/>
      <c r="X766" s="617"/>
      <c r="Y766" s="617"/>
      <c r="Z766" s="617"/>
      <c r="AA766" s="617"/>
      <c r="AB766" s="617"/>
      <c r="AC766" s="617"/>
      <c r="AD766" s="617"/>
      <c r="AE766" s="617"/>
      <c r="AF766" s="617"/>
      <c r="AG766" s="617"/>
      <c r="AH766" s="537"/>
      <c r="AI766" s="544"/>
      <c r="AJ766" s="596"/>
      <c r="AK766" s="596"/>
      <c r="AL766" s="596"/>
      <c r="AM766" s="551"/>
      <c r="AN766" s="535"/>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74" s="571" customFormat="1" ht="13">
      <c r="A767" s="551"/>
      <c r="B767" s="617"/>
      <c r="C767" s="540" t="s">
        <v>1435</v>
      </c>
      <c r="D767" s="617"/>
      <c r="E767" s="617"/>
      <c r="F767" s="617"/>
      <c r="G767" s="617"/>
      <c r="H767" s="617"/>
      <c r="I767" s="617"/>
      <c r="J767" s="617"/>
      <c r="K767" s="617"/>
      <c r="L767" s="617"/>
      <c r="M767" s="617"/>
      <c r="N767" s="617"/>
      <c r="O767" s="617"/>
      <c r="P767" s="617"/>
      <c r="Q767" s="617"/>
      <c r="R767" s="617"/>
      <c r="S767" s="617"/>
      <c r="T767" s="617"/>
      <c r="U767" s="617"/>
      <c r="V767" s="617"/>
      <c r="W767" s="617"/>
      <c r="X767" s="617"/>
      <c r="Y767" s="617"/>
      <c r="Z767" s="617"/>
      <c r="AA767" s="617"/>
      <c r="AB767" s="617"/>
      <c r="AC767" s="617"/>
      <c r="AD767" s="617"/>
      <c r="AE767" s="617"/>
      <c r="AF767" s="617"/>
      <c r="AG767" s="617"/>
      <c r="AH767" s="537"/>
      <c r="AI767" s="544"/>
      <c r="AJ767" s="596"/>
      <c r="AK767" s="596"/>
      <c r="AL767" s="596"/>
      <c r="AM767" s="551"/>
      <c r="AN767" s="535"/>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74" s="571" customFormat="1" ht="13">
      <c r="A768" s="551"/>
      <c r="B768" s="617"/>
      <c r="C768" s="941"/>
      <c r="D768" s="617"/>
      <c r="E768" s="617"/>
      <c r="F768" s="617"/>
      <c r="G768" s="617"/>
      <c r="H768" s="617"/>
      <c r="I768" s="617"/>
      <c r="J768" s="617"/>
      <c r="K768" s="617"/>
      <c r="L768" s="617"/>
      <c r="M768" s="617"/>
      <c r="N768" s="617"/>
      <c r="O768" s="617"/>
      <c r="P768" s="617"/>
      <c r="Q768" s="617"/>
      <c r="R768" s="617"/>
      <c r="S768" s="617"/>
      <c r="T768" s="617"/>
      <c r="U768" s="617"/>
      <c r="V768" s="617"/>
      <c r="W768" s="617"/>
      <c r="X768" s="617"/>
      <c r="Y768" s="617"/>
      <c r="Z768" s="617"/>
      <c r="AA768" s="617"/>
      <c r="AB768" s="617"/>
      <c r="AC768" s="617"/>
      <c r="AD768" s="617"/>
      <c r="AE768" s="617"/>
      <c r="AF768" s="617"/>
      <c r="AG768" s="617"/>
      <c r="AH768" s="537"/>
      <c r="AI768" s="544"/>
      <c r="AJ768" s="596"/>
      <c r="AK768" s="596"/>
      <c r="AL768" s="596"/>
      <c r="AM768" s="551"/>
      <c r="AN768" s="685"/>
    </row>
    <row r="769" spans="1:81" s="571" customFormat="1" ht="13.75" customHeight="1">
      <c r="A769" s="551"/>
      <c r="B769" s="617"/>
      <c r="C769" s="941"/>
      <c r="D769" s="664" t="s">
        <v>686</v>
      </c>
      <c r="E769" s="2433" t="s">
        <v>1691</v>
      </c>
      <c r="F769" s="2433"/>
      <c r="G769" s="2433"/>
      <c r="H769" s="2433"/>
      <c r="I769" s="2433"/>
      <c r="J769" s="2433"/>
      <c r="K769" s="2433"/>
      <c r="L769" s="2433"/>
      <c r="M769" s="2433"/>
      <c r="N769" s="2433"/>
      <c r="O769" s="2433"/>
      <c r="P769" s="2433"/>
      <c r="Q769" s="2433"/>
      <c r="R769" s="2433"/>
      <c r="S769" s="2433"/>
      <c r="T769" s="2433"/>
      <c r="U769" s="2433"/>
      <c r="V769" s="2433"/>
      <c r="W769" s="2433"/>
      <c r="X769" s="2433"/>
      <c r="Y769" s="2433"/>
      <c r="Z769" s="2433"/>
      <c r="AA769" s="2433"/>
      <c r="AB769" s="2433"/>
      <c r="AC769" s="2433"/>
      <c r="AD769" s="2433"/>
      <c r="AE769" s="537"/>
      <c r="AF769" s="2533" t="s">
        <v>1407</v>
      </c>
      <c r="AG769" s="2533"/>
      <c r="AH769" s="2533"/>
      <c r="AI769" s="2533"/>
      <c r="AJ769" s="2533"/>
      <c r="AK769" s="2533"/>
      <c r="AL769" s="2533"/>
      <c r="AM769" s="614"/>
      <c r="AN769" s="685"/>
      <c r="AO769" s="551" t="s">
        <v>590</v>
      </c>
      <c r="AP769" s="674">
        <v>0</v>
      </c>
    </row>
    <row r="770" spans="1:81" s="571" customFormat="1" ht="13.75" customHeight="1">
      <c r="A770" s="551"/>
      <c r="B770" s="617"/>
      <c r="C770" s="941"/>
      <c r="D770" s="664"/>
      <c r="E770" s="2433"/>
      <c r="F770" s="2433"/>
      <c r="G770" s="2433"/>
      <c r="H770" s="2433"/>
      <c r="I770" s="2433"/>
      <c r="J770" s="2433"/>
      <c r="K770" s="2433"/>
      <c r="L770" s="2433"/>
      <c r="M770" s="2433"/>
      <c r="N770" s="2433"/>
      <c r="O770" s="2433"/>
      <c r="P770" s="2433"/>
      <c r="Q770" s="2433"/>
      <c r="R770" s="2433"/>
      <c r="S770" s="2433"/>
      <c r="T770" s="2433"/>
      <c r="U770" s="2433"/>
      <c r="V770" s="2433"/>
      <c r="W770" s="2433"/>
      <c r="X770" s="2433"/>
      <c r="Y770" s="2433"/>
      <c r="Z770" s="2433"/>
      <c r="AA770" s="2433"/>
      <c r="AB770" s="2433"/>
      <c r="AC770" s="2433"/>
      <c r="AD770" s="2433"/>
      <c r="AE770" s="537"/>
      <c r="AF770" s="595"/>
      <c r="AG770" s="595"/>
      <c r="AH770" s="595"/>
      <c r="AI770" s="595"/>
      <c r="AJ770" s="595"/>
      <c r="AK770" s="595"/>
      <c r="AL770" s="595"/>
      <c r="AM770" s="614"/>
      <c r="AN770" s="685"/>
      <c r="AO770" s="612" t="s">
        <v>686</v>
      </c>
      <c r="AP770" s="551">
        <v>2</v>
      </c>
    </row>
    <row r="771" spans="1:81" s="571" customFormat="1" ht="13">
      <c r="A771" s="551"/>
      <c r="B771" s="617"/>
      <c r="C771" s="941"/>
      <c r="D771" s="664"/>
      <c r="E771" s="2433"/>
      <c r="F771" s="2433"/>
      <c r="G771" s="2433"/>
      <c r="H771" s="2433"/>
      <c r="I771" s="2433"/>
      <c r="J771" s="2433"/>
      <c r="K771" s="2433"/>
      <c r="L771" s="2433"/>
      <c r="M771" s="2433"/>
      <c r="N771" s="2433"/>
      <c r="O771" s="2433"/>
      <c r="P771" s="2433"/>
      <c r="Q771" s="2433"/>
      <c r="R771" s="2433"/>
      <c r="S771" s="2433"/>
      <c r="T771" s="2433"/>
      <c r="U771" s="2433"/>
      <c r="V771" s="2433"/>
      <c r="W771" s="2433"/>
      <c r="X771" s="2433"/>
      <c r="Y771" s="2433"/>
      <c r="Z771" s="2433"/>
      <c r="AA771" s="2433"/>
      <c r="AB771" s="2433"/>
      <c r="AC771" s="2433"/>
      <c r="AD771" s="2433"/>
      <c r="AE771" s="537"/>
      <c r="AF771" s="537"/>
      <c r="AG771" s="537"/>
      <c r="AH771" s="537"/>
      <c r="AI771" s="537"/>
      <c r="AJ771" s="537"/>
      <c r="AK771" s="537"/>
      <c r="AL771" s="595"/>
      <c r="AM771" s="614"/>
      <c r="AN771" s="535"/>
      <c r="AO771" s="612" t="s">
        <v>508</v>
      </c>
      <c r="AP771" s="551">
        <v>3</v>
      </c>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row>
    <row r="772" spans="1:81" s="571" customFormat="1" ht="18.649999999999999" customHeight="1">
      <c r="A772" s="551"/>
      <c r="B772" s="617"/>
      <c r="C772" s="941"/>
      <c r="D772" s="664"/>
      <c r="E772" s="2433"/>
      <c r="F772" s="2433"/>
      <c r="G772" s="2433"/>
      <c r="H772" s="2433"/>
      <c r="I772" s="2433"/>
      <c r="J772" s="2433"/>
      <c r="K772" s="2433"/>
      <c r="L772" s="2433"/>
      <c r="M772" s="2433"/>
      <c r="N772" s="2433"/>
      <c r="O772" s="2433"/>
      <c r="P772" s="2433"/>
      <c r="Q772" s="2433"/>
      <c r="R772" s="2433"/>
      <c r="S772" s="2433"/>
      <c r="T772" s="2433"/>
      <c r="U772" s="2433"/>
      <c r="V772" s="2433"/>
      <c r="W772" s="2433"/>
      <c r="X772" s="2433"/>
      <c r="Y772" s="2433"/>
      <c r="Z772" s="2433"/>
      <c r="AA772" s="2433"/>
      <c r="AB772" s="2433"/>
      <c r="AC772" s="2433"/>
      <c r="AD772" s="2433"/>
      <c r="AE772" s="595"/>
      <c r="AF772" s="595"/>
      <c r="AG772" s="595"/>
      <c r="AH772" s="595"/>
      <c r="AI772" s="595"/>
      <c r="AJ772" s="595"/>
      <c r="AK772" s="595"/>
      <c r="AL772" s="595"/>
      <c r="AM772" s="614"/>
      <c r="AN772" s="535"/>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row>
    <row r="773" spans="1:81" s="551" customFormat="1" ht="12.75" customHeight="1">
      <c r="B773" s="617"/>
      <c r="C773" s="941"/>
      <c r="D773" s="664"/>
      <c r="E773" s="909"/>
      <c r="F773" s="909"/>
      <c r="G773" s="909"/>
      <c r="H773" s="909"/>
      <c r="I773" s="909"/>
      <c r="J773" s="909"/>
      <c r="K773" s="909"/>
      <c r="L773" s="909"/>
      <c r="M773" s="909"/>
      <c r="N773" s="909"/>
      <c r="O773" s="909"/>
      <c r="P773" s="909"/>
      <c r="Q773" s="909"/>
      <c r="R773" s="909"/>
      <c r="S773" s="909"/>
      <c r="T773" s="909"/>
      <c r="U773" s="909"/>
      <c r="V773" s="909"/>
      <c r="W773" s="909"/>
      <c r="X773" s="909"/>
      <c r="Y773" s="909"/>
      <c r="Z773" s="909"/>
      <c r="AA773" s="909"/>
      <c r="AB773" s="909"/>
      <c r="AC773" s="909"/>
      <c r="AD773" s="909"/>
      <c r="AE773" s="595"/>
      <c r="AF773" s="537"/>
      <c r="AG773" s="537"/>
      <c r="AH773" s="537"/>
      <c r="AI773" s="537"/>
      <c r="AJ773" s="537"/>
      <c r="AK773" s="537"/>
      <c r="AL773" s="537"/>
      <c r="AM773" s="614"/>
      <c r="AN773" s="598"/>
    </row>
    <row r="774" spans="1:81" s="551" customFormat="1" ht="12.75" customHeight="1">
      <c r="B774" s="617"/>
      <c r="C774" s="941"/>
      <c r="D774" s="664" t="s">
        <v>508</v>
      </c>
      <c r="E774" s="2544" t="s">
        <v>1696</v>
      </c>
      <c r="F774" s="2544"/>
      <c r="G774" s="2544"/>
      <c r="H774" s="2544"/>
      <c r="I774" s="2544"/>
      <c r="J774" s="2544"/>
      <c r="K774" s="2544"/>
      <c r="L774" s="2544"/>
      <c r="M774" s="2544"/>
      <c r="N774" s="2544"/>
      <c r="O774" s="2544"/>
      <c r="P774" s="2544"/>
      <c r="Q774" s="2544"/>
      <c r="R774" s="2544"/>
      <c r="S774" s="2544"/>
      <c r="T774" s="2544"/>
      <c r="U774" s="2544"/>
      <c r="V774" s="2544"/>
      <c r="W774" s="2544"/>
      <c r="X774" s="2544"/>
      <c r="Y774" s="2544"/>
      <c r="Z774" s="2544"/>
      <c r="AA774" s="2544"/>
      <c r="AB774" s="2544"/>
      <c r="AC774" s="2544"/>
      <c r="AD774" s="2544"/>
      <c r="AE774" s="537"/>
      <c r="AF774" s="2533" t="s">
        <v>1351</v>
      </c>
      <c r="AG774" s="2533"/>
      <c r="AH774" s="2533"/>
      <c r="AI774" s="2533"/>
      <c r="AJ774" s="2533"/>
      <c r="AK774" s="2533"/>
      <c r="AL774" s="2533"/>
      <c r="AM774" s="614"/>
      <c r="AN774" s="598"/>
    </row>
    <row r="775" spans="1:81" s="551" customFormat="1" ht="12.75" customHeight="1">
      <c r="B775" s="617"/>
      <c r="C775" s="941"/>
      <c r="D775" s="664"/>
      <c r="E775" s="2544"/>
      <c r="F775" s="2544"/>
      <c r="G775" s="2544"/>
      <c r="H775" s="2544"/>
      <c r="I775" s="2544"/>
      <c r="J775" s="2544"/>
      <c r="K775" s="2544"/>
      <c r="L775" s="2544"/>
      <c r="M775" s="2544"/>
      <c r="N775" s="2544"/>
      <c r="O775" s="2544"/>
      <c r="P775" s="2544"/>
      <c r="Q775" s="2544"/>
      <c r="R775" s="2544"/>
      <c r="S775" s="2544"/>
      <c r="T775" s="2544"/>
      <c r="U775" s="2544"/>
      <c r="V775" s="2544"/>
      <c r="W775" s="2544"/>
      <c r="X775" s="2544"/>
      <c r="Y775" s="2544"/>
      <c r="Z775" s="2544"/>
      <c r="AA775" s="2544"/>
      <c r="AB775" s="2544"/>
      <c r="AC775" s="2544"/>
      <c r="AD775" s="2544"/>
      <c r="AE775" s="595"/>
      <c r="AF775" s="595"/>
      <c r="AG775" s="595"/>
      <c r="AH775" s="595"/>
      <c r="AI775" s="595"/>
      <c r="AJ775" s="595"/>
      <c r="AK775" s="595"/>
      <c r="AL775" s="595"/>
      <c r="AM775" s="614"/>
      <c r="AN775" s="598"/>
    </row>
    <row r="776" spans="1:81" s="551" customFormat="1" ht="12.75" customHeight="1">
      <c r="B776" s="617"/>
      <c r="C776" s="941"/>
      <c r="D776" s="664"/>
      <c r="E776" s="2544"/>
      <c r="F776" s="2544"/>
      <c r="G776" s="2544"/>
      <c r="H776" s="2544"/>
      <c r="I776" s="2544"/>
      <c r="J776" s="2544"/>
      <c r="K776" s="2544"/>
      <c r="L776" s="2544"/>
      <c r="M776" s="2544"/>
      <c r="N776" s="2544"/>
      <c r="O776" s="2544"/>
      <c r="P776" s="2544"/>
      <c r="Q776" s="2544"/>
      <c r="R776" s="2544"/>
      <c r="S776" s="2544"/>
      <c r="T776" s="2544"/>
      <c r="U776" s="2544"/>
      <c r="V776" s="2544"/>
      <c r="W776" s="2544"/>
      <c r="X776" s="2544"/>
      <c r="Y776" s="2544"/>
      <c r="Z776" s="2544"/>
      <c r="AA776" s="2544"/>
      <c r="AB776" s="2544"/>
      <c r="AC776" s="2544"/>
      <c r="AD776" s="2544"/>
      <c r="AE776" s="595"/>
      <c r="AF776" s="595"/>
      <c r="AG776" s="595"/>
      <c r="AH776" s="595"/>
      <c r="AI776" s="595"/>
      <c r="AJ776" s="595"/>
      <c r="AK776" s="595"/>
      <c r="AL776" s="595"/>
      <c r="AM776" s="614"/>
      <c r="AN776" s="598"/>
    </row>
    <row r="777" spans="1:81" s="551" customFormat="1" ht="12.75" customHeight="1">
      <c r="B777" s="617"/>
      <c r="C777" s="941"/>
      <c r="D777" s="664"/>
      <c r="E777" s="2544"/>
      <c r="F777" s="2544"/>
      <c r="G777" s="2544"/>
      <c r="H777" s="2544"/>
      <c r="I777" s="2544"/>
      <c r="J777" s="2544"/>
      <c r="K777" s="2544"/>
      <c r="L777" s="2544"/>
      <c r="M777" s="2544"/>
      <c r="N777" s="2544"/>
      <c r="O777" s="2544"/>
      <c r="P777" s="2544"/>
      <c r="Q777" s="2544"/>
      <c r="R777" s="2544"/>
      <c r="S777" s="2544"/>
      <c r="T777" s="2544"/>
      <c r="U777" s="2544"/>
      <c r="V777" s="2544"/>
      <c r="W777" s="2544"/>
      <c r="X777" s="2544"/>
      <c r="Y777" s="2544"/>
      <c r="Z777" s="2544"/>
      <c r="AA777" s="2544"/>
      <c r="AB777" s="2544"/>
      <c r="AC777" s="2544"/>
      <c r="AD777" s="2544"/>
      <c r="AE777" s="595"/>
      <c r="AF777" s="595"/>
      <c r="AG777" s="595"/>
      <c r="AH777" s="595"/>
      <c r="AI777" s="595"/>
      <c r="AJ777" s="595"/>
      <c r="AK777" s="595"/>
      <c r="AL777" s="595"/>
      <c r="AM777" s="614"/>
      <c r="AN777" s="598"/>
    </row>
    <row r="778" spans="1:81" s="551" customFormat="1" ht="12.75" customHeight="1">
      <c r="A778" s="571"/>
      <c r="B778" s="537"/>
      <c r="C778" s="537"/>
      <c r="D778" s="537"/>
      <c r="E778" s="537"/>
      <c r="F778" s="537"/>
      <c r="G778" s="537"/>
      <c r="H778" s="537"/>
      <c r="I778" s="537"/>
      <c r="J778" s="537"/>
      <c r="K778" s="537"/>
      <c r="L778" s="537"/>
      <c r="M778" s="537"/>
      <c r="N778" s="537"/>
      <c r="O778" s="537"/>
      <c r="P778" s="537"/>
      <c r="Q778" s="537"/>
      <c r="R778" s="537"/>
      <c r="S778" s="537"/>
      <c r="T778" s="537"/>
      <c r="U778" s="537"/>
      <c r="V778" s="537"/>
      <c r="W778" s="537"/>
      <c r="X778" s="537"/>
      <c r="Y778" s="537"/>
      <c r="Z778" s="537"/>
      <c r="AA778" s="537"/>
      <c r="AB778" s="537"/>
      <c r="AC778" s="537"/>
      <c r="AD778" s="537"/>
      <c r="AE778" s="537"/>
      <c r="AF778" s="537"/>
      <c r="AG778" s="537"/>
      <c r="AH778" s="537"/>
      <c r="AI778" s="537"/>
      <c r="AJ778" s="537"/>
      <c r="AK778" s="537"/>
      <c r="AL778" s="537"/>
      <c r="AM778" s="571"/>
      <c r="AN778" s="598"/>
    </row>
    <row r="779" spans="1:81" s="551" customFormat="1" ht="12.75" customHeight="1">
      <c r="B779" s="617"/>
      <c r="C779" s="941"/>
      <c r="D779" s="537" t="s">
        <v>1399</v>
      </c>
      <c r="E779" s="937"/>
      <c r="F779" s="937"/>
      <c r="G779" s="937"/>
      <c r="H779" s="2457" t="s">
        <v>590</v>
      </c>
      <c r="I779" s="2457"/>
      <c r="J779" s="644"/>
      <c r="K779" s="644"/>
      <c r="L779" s="644"/>
      <c r="M779" s="644"/>
      <c r="N779" s="644"/>
      <c r="O779" s="644"/>
      <c r="P779" s="644"/>
      <c r="Q779" s="644"/>
      <c r="R779" s="644"/>
      <c r="S779" s="644"/>
      <c r="T779" s="644"/>
      <c r="U779" s="644"/>
      <c r="V779" s="644"/>
      <c r="W779" s="644"/>
      <c r="X779" s="644"/>
      <c r="Y779" s="644"/>
      <c r="Z779" s="644"/>
      <c r="AA779" s="644"/>
      <c r="AB779" s="644"/>
      <c r="AC779" s="644"/>
      <c r="AD779" s="644"/>
      <c r="AE779" s="644"/>
      <c r="AF779" s="644"/>
      <c r="AG779" s="617"/>
      <c r="AH779" s="537"/>
      <c r="AI779" s="544"/>
      <c r="AJ779" s="596"/>
      <c r="AK779" s="596"/>
      <c r="AL779" s="596"/>
      <c r="AN779" s="598"/>
    </row>
    <row r="780" spans="1:81" s="551" customFormat="1" ht="12.75" customHeight="1">
      <c r="B780" s="617"/>
      <c r="C780" s="941"/>
      <c r="D780" s="617"/>
      <c r="E780" s="617"/>
      <c r="F780" s="617"/>
      <c r="G780" s="617"/>
      <c r="H780" s="617"/>
      <c r="I780" s="617"/>
      <c r="J780" s="617"/>
      <c r="K780" s="617"/>
      <c r="L780" s="617"/>
      <c r="M780" s="617"/>
      <c r="N780" s="617"/>
      <c r="O780" s="617"/>
      <c r="P780" s="617"/>
      <c r="Q780" s="617"/>
      <c r="R780" s="617"/>
      <c r="S780" s="617"/>
      <c r="T780" s="617"/>
      <c r="U780" s="617"/>
      <c r="V780" s="617"/>
      <c r="W780" s="617"/>
      <c r="X780" s="617"/>
      <c r="Y780" s="617"/>
      <c r="Z780" s="617"/>
      <c r="AA780" s="617"/>
      <c r="AB780" s="617"/>
      <c r="AC780" s="617"/>
      <c r="AD780" s="617"/>
      <c r="AE780" s="617"/>
      <c r="AF780" s="617"/>
      <c r="AG780" s="617"/>
      <c r="AH780" s="537"/>
      <c r="AI780" s="544"/>
      <c r="AJ780" s="596"/>
      <c r="AK780" s="596"/>
      <c r="AL780" s="596"/>
      <c r="AN780" s="598"/>
    </row>
    <row r="781" spans="1:81" s="551" customFormat="1" ht="12.75" customHeight="1">
      <c r="A781" s="607"/>
      <c r="B781" s="666"/>
      <c r="C781" s="956"/>
      <c r="D781" s="666"/>
      <c r="E781" s="666"/>
      <c r="F781" s="666"/>
      <c r="G781" s="666"/>
      <c r="H781" s="666"/>
      <c r="I781" s="666"/>
      <c r="J781" s="666"/>
      <c r="K781" s="666"/>
      <c r="L781" s="666"/>
      <c r="M781" s="666"/>
      <c r="N781" s="666"/>
      <c r="O781" s="666"/>
      <c r="P781" s="666"/>
      <c r="Q781" s="666"/>
      <c r="R781" s="666"/>
      <c r="S781" s="666"/>
      <c r="T781" s="666"/>
      <c r="U781" s="666"/>
      <c r="V781" s="666"/>
      <c r="W781" s="666"/>
      <c r="X781" s="666"/>
      <c r="Y781" s="666"/>
      <c r="Z781" s="666"/>
      <c r="AA781" s="666"/>
      <c r="AB781" s="666"/>
      <c r="AC781" s="666"/>
      <c r="AD781" s="666"/>
      <c r="AE781" s="666"/>
      <c r="AF781" s="666"/>
      <c r="AG781" s="666"/>
      <c r="AH781" s="602"/>
      <c r="AI781" s="566" t="s">
        <v>1447</v>
      </c>
      <c r="AJ781" s="2440">
        <f>VLOOKUP($H$779,$AO$769:$AP$771,2,FALSE)</f>
        <v>0</v>
      </c>
      <c r="AK781" s="2442"/>
      <c r="AL781" s="596"/>
      <c r="AN781" s="598"/>
    </row>
    <row r="782" spans="1:81" s="571" customFormat="1" ht="13">
      <c r="A782" s="551"/>
      <c r="B782" s="617"/>
      <c r="C782" s="941"/>
      <c r="D782" s="617"/>
      <c r="E782" s="617"/>
      <c r="F782" s="617"/>
      <c r="G782" s="617"/>
      <c r="H782" s="617"/>
      <c r="I782" s="617"/>
      <c r="J782" s="617"/>
      <c r="K782" s="617"/>
      <c r="L782" s="617"/>
      <c r="M782" s="617"/>
      <c r="N782" s="617"/>
      <c r="O782" s="617"/>
      <c r="P782" s="617"/>
      <c r="Q782" s="617"/>
      <c r="R782" s="617"/>
      <c r="S782" s="617"/>
      <c r="T782" s="617"/>
      <c r="U782" s="617"/>
      <c r="V782" s="617"/>
      <c r="W782" s="617"/>
      <c r="X782" s="617"/>
      <c r="Y782" s="617"/>
      <c r="Z782" s="617"/>
      <c r="AA782" s="617"/>
      <c r="AB782" s="617"/>
      <c r="AC782" s="617"/>
      <c r="AD782" s="617"/>
      <c r="AE782" s="617"/>
      <c r="AF782" s="617"/>
      <c r="AG782" s="617"/>
      <c r="AH782" s="537"/>
      <c r="AI782" s="544"/>
      <c r="AJ782" s="596"/>
      <c r="AK782" s="596"/>
      <c r="AL782" s="596"/>
      <c r="AM782" s="551"/>
      <c r="AN782" s="685"/>
      <c r="AS782" s="675"/>
      <c r="AT782" s="675"/>
      <c r="AU782" s="675"/>
      <c r="AV782" s="675"/>
      <c r="AW782" s="675"/>
      <c r="AX782" s="675"/>
      <c r="AY782" s="675"/>
      <c r="AZ782" s="675"/>
      <c r="BA782" s="675"/>
      <c r="BB782" s="675"/>
      <c r="BC782" s="675"/>
      <c r="BD782" s="691"/>
      <c r="BE782" s="691"/>
      <c r="BF782" s="691"/>
      <c r="BG782" s="691"/>
      <c r="BH782" s="691"/>
      <c r="BI782" s="675"/>
      <c r="BJ782" s="675"/>
      <c r="BK782" s="675"/>
      <c r="BL782" s="675"/>
      <c r="BM782" s="675"/>
      <c r="BN782" s="675"/>
      <c r="BO782" s="675"/>
      <c r="BP782" s="675"/>
      <c r="BQ782" s="675"/>
      <c r="BR782" s="675"/>
      <c r="BS782" s="675"/>
      <c r="BT782" s="675"/>
      <c r="BU782" s="675"/>
      <c r="BV782" s="675"/>
      <c r="BW782" s="675"/>
      <c r="BX782" s="675"/>
      <c r="BY782" s="675"/>
      <c r="BZ782" s="675"/>
      <c r="CA782" s="675"/>
      <c r="CB782" s="675"/>
      <c r="CC782" s="675"/>
    </row>
    <row r="783" spans="1:81" s="571" customFormat="1" ht="13">
      <c r="A783" s="551"/>
      <c r="B783" s="617"/>
      <c r="C783" s="540" t="s">
        <v>1448</v>
      </c>
      <c r="D783" s="617"/>
      <c r="E783" s="617"/>
      <c r="F783" s="617"/>
      <c r="G783" s="617"/>
      <c r="H783" s="617"/>
      <c r="I783" s="617"/>
      <c r="J783" s="617"/>
      <c r="K783" s="617"/>
      <c r="L783" s="617"/>
      <c r="M783" s="617"/>
      <c r="N783" s="617"/>
      <c r="O783" s="617"/>
      <c r="P783" s="617"/>
      <c r="Q783" s="617"/>
      <c r="R783" s="617"/>
      <c r="S783" s="617"/>
      <c r="T783" s="617"/>
      <c r="U783" s="617"/>
      <c r="V783" s="617"/>
      <c r="W783" s="617"/>
      <c r="X783" s="617"/>
      <c r="Y783" s="617"/>
      <c r="Z783" s="617"/>
      <c r="AA783" s="617"/>
      <c r="AB783" s="617"/>
      <c r="AC783" s="617"/>
      <c r="AD783" s="617"/>
      <c r="AE783" s="617"/>
      <c r="AF783" s="617"/>
      <c r="AG783" s="617"/>
      <c r="AH783" s="537"/>
      <c r="AI783" s="544"/>
      <c r="AJ783" s="596"/>
      <c r="AK783" s="596"/>
      <c r="AL783" s="596"/>
      <c r="AM783" s="551"/>
      <c r="AN783" s="685"/>
      <c r="AT783" s="675"/>
      <c r="AU783" s="675"/>
      <c r="AV783" s="675"/>
      <c r="AW783" s="675"/>
      <c r="AX783" s="675"/>
      <c r="AY783" s="675"/>
      <c r="AZ783" s="675"/>
    </row>
    <row r="784" spans="1:81" s="571" customFormat="1">
      <c r="A784" s="551"/>
      <c r="B784" s="617"/>
      <c r="C784" s="941"/>
      <c r="D784" s="617"/>
      <c r="E784" s="617"/>
      <c r="F784" s="617"/>
      <c r="G784" s="617"/>
      <c r="H784" s="617"/>
      <c r="I784" s="617"/>
      <c r="J784" s="617"/>
      <c r="K784" s="617"/>
      <c r="L784" s="617"/>
      <c r="M784" s="617"/>
      <c r="N784" s="617"/>
      <c r="O784" s="617"/>
      <c r="P784" s="617"/>
      <c r="Q784" s="617"/>
      <c r="R784" s="617"/>
      <c r="S784" s="617"/>
      <c r="T784" s="617"/>
      <c r="U784" s="617"/>
      <c r="V784" s="617"/>
      <c r="W784" s="617"/>
      <c r="X784" s="617"/>
      <c r="Y784" s="617"/>
      <c r="Z784" s="617"/>
      <c r="AA784" s="617"/>
      <c r="AB784" s="617"/>
      <c r="AC784" s="617"/>
      <c r="AD784" s="617"/>
      <c r="AE784" s="537"/>
      <c r="AF784" s="537"/>
      <c r="AG784" s="537"/>
      <c r="AH784" s="537"/>
      <c r="AI784" s="537"/>
      <c r="AJ784" s="537"/>
      <c r="AK784" s="537"/>
      <c r="AL784" s="596"/>
      <c r="AM784" s="551"/>
      <c r="AN784" s="685"/>
      <c r="AO784" s="551" t="s">
        <v>590</v>
      </c>
      <c r="AP784" s="681">
        <v>0</v>
      </c>
      <c r="AS784" s="675"/>
      <c r="AT784" s="675"/>
      <c r="AU784" s="675"/>
      <c r="AV784" s="675"/>
      <c r="AW784" s="675"/>
      <c r="AX784" s="675"/>
      <c r="AY784" s="675"/>
      <c r="AZ784" s="675"/>
      <c r="BA784" s="675"/>
      <c r="BB784" s="675"/>
      <c r="BC784" s="675"/>
      <c r="BD784" s="691"/>
      <c r="BE784" s="691"/>
      <c r="BF784" s="691"/>
      <c r="BG784" s="691"/>
      <c r="BH784" s="691"/>
      <c r="BI784" s="675"/>
      <c r="BJ784" s="675"/>
      <c r="BK784" s="675"/>
      <c r="BL784" s="675"/>
      <c r="BM784" s="675"/>
      <c r="BN784" s="675"/>
      <c r="BO784" s="675"/>
      <c r="BP784" s="675"/>
      <c r="BQ784" s="675"/>
      <c r="BR784" s="675"/>
      <c r="BS784" s="675"/>
      <c r="BT784" s="675"/>
      <c r="BU784" s="675"/>
      <c r="BV784" s="675"/>
      <c r="BW784" s="675"/>
      <c r="BX784" s="675"/>
      <c r="BY784" s="675"/>
      <c r="BZ784" s="675"/>
      <c r="CA784" s="675"/>
      <c r="CB784" s="675"/>
      <c r="CC784" s="675"/>
    </row>
    <row r="785" spans="1:81" s="571" customFormat="1" ht="13.75" customHeight="1">
      <c r="A785" s="551"/>
      <c r="B785" s="617"/>
      <c r="C785" s="941"/>
      <c r="D785" s="664" t="s">
        <v>686</v>
      </c>
      <c r="E785" s="2433" t="s">
        <v>2033</v>
      </c>
      <c r="F785" s="2433"/>
      <c r="G785" s="2433"/>
      <c r="H785" s="2433"/>
      <c r="I785" s="2433"/>
      <c r="J785" s="2433"/>
      <c r="K785" s="2433"/>
      <c r="L785" s="2433"/>
      <c r="M785" s="2433"/>
      <c r="N785" s="2433"/>
      <c r="O785" s="2433"/>
      <c r="P785" s="2433"/>
      <c r="Q785" s="2433"/>
      <c r="R785" s="2433"/>
      <c r="S785" s="2433"/>
      <c r="T785" s="2433"/>
      <c r="U785" s="2433"/>
      <c r="V785" s="2433"/>
      <c r="W785" s="2433"/>
      <c r="X785" s="2433"/>
      <c r="Y785" s="2433"/>
      <c r="Z785" s="2433"/>
      <c r="AA785" s="2433"/>
      <c r="AB785" s="2433"/>
      <c r="AC785" s="2433"/>
      <c r="AD785" s="2433"/>
      <c r="AE785" s="537"/>
      <c r="AF785" s="2533" t="s">
        <v>1351</v>
      </c>
      <c r="AG785" s="2533"/>
      <c r="AH785" s="2533"/>
      <c r="AI785" s="2533"/>
      <c r="AJ785" s="2533"/>
      <c r="AK785" s="2533"/>
      <c r="AL785" s="2533"/>
      <c r="AM785" s="614"/>
      <c r="AN785" s="685"/>
      <c r="AO785" s="612" t="s">
        <v>544</v>
      </c>
      <c r="AP785" s="551">
        <v>3</v>
      </c>
      <c r="AT785" s="675"/>
      <c r="AU785" s="675"/>
      <c r="AV785" s="675"/>
      <c r="AW785" s="675"/>
      <c r="AX785" s="675"/>
      <c r="AY785" s="675"/>
      <c r="AZ785" s="675"/>
    </row>
    <row r="786" spans="1:81" s="571" customFormat="1" ht="13.75" customHeight="1">
      <c r="A786" s="551"/>
      <c r="B786" s="617"/>
      <c r="C786" s="941"/>
      <c r="D786" s="664"/>
      <c r="E786" s="2433"/>
      <c r="F786" s="2433"/>
      <c r="G786" s="2433"/>
      <c r="H786" s="2433"/>
      <c r="I786" s="2433"/>
      <c r="J786" s="2433"/>
      <c r="K786" s="2433"/>
      <c r="L786" s="2433"/>
      <c r="M786" s="2433"/>
      <c r="N786" s="2433"/>
      <c r="O786" s="2433"/>
      <c r="P786" s="2433"/>
      <c r="Q786" s="2433"/>
      <c r="R786" s="2433"/>
      <c r="S786" s="2433"/>
      <c r="T786" s="2433"/>
      <c r="U786" s="2433"/>
      <c r="V786" s="2433"/>
      <c r="W786" s="2433"/>
      <c r="X786" s="2433"/>
      <c r="Y786" s="2433"/>
      <c r="Z786" s="2433"/>
      <c r="AA786" s="2433"/>
      <c r="AB786" s="2433"/>
      <c r="AC786" s="2433"/>
      <c r="AD786" s="2433"/>
      <c r="AE786" s="537"/>
      <c r="AF786" s="595"/>
      <c r="AG786" s="595"/>
      <c r="AH786" s="595"/>
      <c r="AI786" s="595"/>
      <c r="AJ786" s="595"/>
      <c r="AK786" s="595"/>
      <c r="AL786" s="595"/>
      <c r="AM786" s="614"/>
      <c r="AN786" s="685"/>
      <c r="AO786" s="612"/>
      <c r="AP786" s="551"/>
      <c r="AT786" s="675"/>
      <c r="AU786" s="675"/>
      <c r="AV786" s="675"/>
      <c r="AW786" s="675"/>
      <c r="AX786" s="675"/>
      <c r="AY786" s="675"/>
      <c r="AZ786" s="675"/>
    </row>
    <row r="787" spans="1:81" s="571" customFormat="1" ht="13">
      <c r="A787" s="551"/>
      <c r="B787" s="617"/>
      <c r="C787" s="941"/>
      <c r="D787" s="664"/>
      <c r="E787" s="2433"/>
      <c r="F787" s="2433"/>
      <c r="G787" s="2433"/>
      <c r="H787" s="2433"/>
      <c r="I787" s="2433"/>
      <c r="J787" s="2433"/>
      <c r="K787" s="2433"/>
      <c r="L787" s="2433"/>
      <c r="M787" s="2433"/>
      <c r="N787" s="2433"/>
      <c r="O787" s="2433"/>
      <c r="P787" s="2433"/>
      <c r="Q787" s="2433"/>
      <c r="R787" s="2433"/>
      <c r="S787" s="2433"/>
      <c r="T787" s="2433"/>
      <c r="U787" s="2433"/>
      <c r="V787" s="2433"/>
      <c r="W787" s="2433"/>
      <c r="X787" s="2433"/>
      <c r="Y787" s="2433"/>
      <c r="Z787" s="2433"/>
      <c r="AA787" s="2433"/>
      <c r="AB787" s="2433"/>
      <c r="AC787" s="2433"/>
      <c r="AD787" s="2433"/>
      <c r="AE787" s="595"/>
      <c r="AF787" s="595"/>
      <c r="AG787" s="595"/>
      <c r="AH787" s="595"/>
      <c r="AI787" s="595"/>
      <c r="AJ787" s="595"/>
      <c r="AK787" s="595"/>
      <c r="AL787" s="595"/>
      <c r="AM787" s="614"/>
      <c r="AN787" s="685"/>
      <c r="AO787" s="612"/>
      <c r="AP787" s="551"/>
      <c r="AT787" s="675"/>
      <c r="AU787" s="675"/>
      <c r="AV787" s="675"/>
      <c r="AW787" s="675"/>
      <c r="AX787" s="675"/>
      <c r="AY787" s="675"/>
      <c r="AZ787" s="675"/>
    </row>
    <row r="788" spans="1:81" s="571" customFormat="1" ht="13">
      <c r="A788" s="551"/>
      <c r="B788" s="617"/>
      <c r="C788" s="941"/>
      <c r="D788" s="664"/>
      <c r="E788" s="2433"/>
      <c r="F788" s="2433"/>
      <c r="G788" s="2433"/>
      <c r="H788" s="2433"/>
      <c r="I788" s="2433"/>
      <c r="J788" s="2433"/>
      <c r="K788" s="2433"/>
      <c r="L788" s="2433"/>
      <c r="M788" s="2433"/>
      <c r="N788" s="2433"/>
      <c r="O788" s="2433"/>
      <c r="P788" s="2433"/>
      <c r="Q788" s="2433"/>
      <c r="R788" s="2433"/>
      <c r="S788" s="2433"/>
      <c r="T788" s="2433"/>
      <c r="U788" s="2433"/>
      <c r="V788" s="2433"/>
      <c r="W788" s="2433"/>
      <c r="X788" s="2433"/>
      <c r="Y788" s="2433"/>
      <c r="Z788" s="2433"/>
      <c r="AA788" s="2433"/>
      <c r="AB788" s="2433"/>
      <c r="AC788" s="2433"/>
      <c r="AD788" s="2433"/>
      <c r="AE788" s="595"/>
      <c r="AF788" s="595"/>
      <c r="AG788" s="595"/>
      <c r="AH788" s="595"/>
      <c r="AI788" s="595"/>
      <c r="AJ788" s="595"/>
      <c r="AK788" s="595"/>
      <c r="AL788" s="595"/>
      <c r="AM788" s="614"/>
      <c r="AN788" s="685"/>
      <c r="AO788" s="692"/>
      <c r="AT788" s="675"/>
      <c r="AU788" s="675"/>
      <c r="AV788" s="675"/>
      <c r="AW788" s="675"/>
      <c r="AX788" s="675"/>
      <c r="AY788" s="675"/>
      <c r="AZ788" s="675"/>
    </row>
    <row r="789" spans="1:81" s="571" customFormat="1" ht="13">
      <c r="A789" s="551"/>
      <c r="B789" s="617"/>
      <c r="C789" s="941"/>
      <c r="D789" s="664"/>
      <c r="E789" s="644"/>
      <c r="F789" s="644"/>
      <c r="G789" s="644"/>
      <c r="H789" s="644"/>
      <c r="I789" s="644"/>
      <c r="J789" s="644"/>
      <c r="K789" s="644"/>
      <c r="L789" s="644"/>
      <c r="M789" s="644"/>
      <c r="N789" s="644"/>
      <c r="O789" s="644"/>
      <c r="P789" s="644"/>
      <c r="Q789" s="644"/>
      <c r="R789" s="644"/>
      <c r="S789" s="644"/>
      <c r="T789" s="644"/>
      <c r="U789" s="644"/>
      <c r="V789" s="644"/>
      <c r="W789" s="644"/>
      <c r="X789" s="644"/>
      <c r="Y789" s="644"/>
      <c r="Z789" s="644"/>
      <c r="AA789" s="644"/>
      <c r="AB789" s="644"/>
      <c r="AC789" s="644"/>
      <c r="AD789" s="644"/>
      <c r="AE789" s="595"/>
      <c r="AF789" s="595"/>
      <c r="AG789" s="595"/>
      <c r="AH789" s="595"/>
      <c r="AI789" s="595"/>
      <c r="AJ789" s="595"/>
      <c r="AK789" s="595"/>
      <c r="AL789" s="595"/>
      <c r="AM789" s="614"/>
      <c r="AN789" s="685"/>
      <c r="AO789" s="692"/>
      <c r="AT789" s="675"/>
      <c r="AU789" s="675"/>
      <c r="AV789" s="675"/>
      <c r="AW789" s="675"/>
      <c r="AX789" s="675"/>
      <c r="AY789" s="675"/>
      <c r="AZ789" s="675"/>
    </row>
    <row r="790" spans="1:81" s="571" customFormat="1" ht="13">
      <c r="A790" s="551"/>
      <c r="B790" s="617"/>
      <c r="C790" s="941"/>
      <c r="D790" s="537" t="s">
        <v>1399</v>
      </c>
      <c r="E790" s="937"/>
      <c r="F790" s="937"/>
      <c r="G790" s="937"/>
      <c r="H790" s="2457" t="s">
        <v>590</v>
      </c>
      <c r="I790" s="2457"/>
      <c r="J790" s="617"/>
      <c r="K790" s="617"/>
      <c r="L790" s="617"/>
      <c r="M790" s="617"/>
      <c r="N790" s="617"/>
      <c r="O790" s="617"/>
      <c r="P790" s="617"/>
      <c r="Q790" s="617"/>
      <c r="R790" s="617"/>
      <c r="S790" s="617"/>
      <c r="T790" s="617"/>
      <c r="U790" s="617"/>
      <c r="V790" s="617"/>
      <c r="W790" s="617"/>
      <c r="X790" s="617"/>
      <c r="Y790" s="617"/>
      <c r="Z790" s="617"/>
      <c r="AA790" s="617"/>
      <c r="AB790" s="617"/>
      <c r="AC790" s="617"/>
      <c r="AD790" s="617"/>
      <c r="AE790" s="617"/>
      <c r="AF790" s="617"/>
      <c r="AG790" s="617"/>
      <c r="AH790" s="537"/>
      <c r="AI790" s="544"/>
      <c r="AJ790" s="596"/>
      <c r="AK790" s="596"/>
      <c r="AL790" s="596"/>
      <c r="AM790" s="551"/>
      <c r="AN790" s="685"/>
      <c r="AS790" s="675"/>
      <c r="AT790" s="675"/>
      <c r="AU790" s="675"/>
      <c r="AV790" s="675"/>
      <c r="AW790" s="675"/>
      <c r="AX790" s="675"/>
      <c r="AY790" s="675"/>
      <c r="AZ790" s="675"/>
      <c r="BA790" s="675"/>
      <c r="BB790" s="675"/>
      <c r="BC790" s="675"/>
      <c r="BD790" s="691"/>
      <c r="BE790" s="691"/>
      <c r="BF790" s="691"/>
      <c r="BG790" s="691"/>
      <c r="BH790" s="691"/>
      <c r="BI790" s="675"/>
      <c r="BJ790" s="675"/>
      <c r="BK790" s="675"/>
      <c r="BL790" s="675"/>
      <c r="BM790" s="675"/>
      <c r="BN790" s="675"/>
      <c r="BO790" s="675"/>
      <c r="BP790" s="675"/>
      <c r="BQ790" s="675"/>
      <c r="BR790" s="675"/>
      <c r="BS790" s="675"/>
      <c r="BT790" s="675"/>
      <c r="BU790" s="675"/>
      <c r="BV790" s="675"/>
      <c r="BW790" s="675"/>
      <c r="BX790" s="675"/>
      <c r="BY790" s="675"/>
      <c r="BZ790" s="675"/>
      <c r="CA790" s="675"/>
      <c r="CB790" s="675"/>
      <c r="CC790" s="675"/>
    </row>
    <row r="791" spans="1:81" s="571" customFormat="1">
      <c r="A791" s="551"/>
      <c r="B791" s="617"/>
      <c r="C791" s="689"/>
      <c r="D791" s="552"/>
      <c r="E791" s="552"/>
      <c r="F791" s="552"/>
      <c r="G791" s="552"/>
      <c r="H791" s="552"/>
      <c r="I791" s="552"/>
      <c r="J791" s="552"/>
      <c r="K791" s="552"/>
      <c r="L791" s="552"/>
      <c r="M791" s="552"/>
      <c r="N791" s="552"/>
      <c r="O791" s="552"/>
      <c r="P791" s="552"/>
      <c r="Q791" s="552"/>
      <c r="R791" s="552"/>
      <c r="S791" s="552"/>
      <c r="T791" s="552"/>
      <c r="U791" s="552"/>
      <c r="V791" s="552"/>
      <c r="W791" s="552"/>
      <c r="X791" s="552"/>
      <c r="Y791" s="552"/>
      <c r="Z791" s="552"/>
      <c r="AA791" s="552"/>
      <c r="AB791" s="552"/>
      <c r="AC791" s="552"/>
      <c r="AD791" s="617"/>
      <c r="AE791" s="552"/>
      <c r="AF791" s="552"/>
      <c r="AG791" s="552"/>
      <c r="AH791" s="552"/>
      <c r="AI791" s="551"/>
      <c r="AJ791" s="551"/>
      <c r="AK791" s="551"/>
      <c r="AL791" s="551"/>
      <c r="AM791" s="551"/>
      <c r="AN791" s="685"/>
      <c r="AT791" s="675"/>
      <c r="AU791" s="675"/>
      <c r="AV791" s="675"/>
      <c r="AW791" s="675"/>
      <c r="AX791" s="675"/>
      <c r="AY791" s="675"/>
      <c r="AZ791" s="675"/>
    </row>
    <row r="792" spans="1:81" s="571" customFormat="1" ht="13">
      <c r="A792" s="607"/>
      <c r="B792" s="666"/>
      <c r="C792" s="690"/>
      <c r="D792" s="665"/>
      <c r="E792" s="665"/>
      <c r="F792" s="665"/>
      <c r="G792" s="665"/>
      <c r="H792" s="665"/>
      <c r="I792" s="665"/>
      <c r="J792" s="665"/>
      <c r="K792" s="665"/>
      <c r="L792" s="665"/>
      <c r="M792" s="665"/>
      <c r="N792" s="665"/>
      <c r="O792" s="665"/>
      <c r="P792" s="665"/>
      <c r="Q792" s="665"/>
      <c r="R792" s="665"/>
      <c r="S792" s="665"/>
      <c r="T792" s="665"/>
      <c r="U792" s="665"/>
      <c r="V792" s="665"/>
      <c r="W792" s="665"/>
      <c r="X792" s="665"/>
      <c r="Y792" s="665"/>
      <c r="Z792" s="665"/>
      <c r="AA792" s="665"/>
      <c r="AB792" s="665"/>
      <c r="AC792" s="666"/>
      <c r="AD792" s="665"/>
      <c r="AE792" s="665"/>
      <c r="AF792" s="665"/>
      <c r="AG792" s="665"/>
      <c r="AH792" s="565"/>
      <c r="AI792" s="566" t="s">
        <v>1449</v>
      </c>
      <c r="AJ792" s="2440">
        <f>VLOOKUP($H$790,$AO$784:$AP$785,2,FALSE)</f>
        <v>0</v>
      </c>
      <c r="AK792" s="2442"/>
      <c r="AL792" s="596"/>
      <c r="AM792" s="551"/>
      <c r="AN792" s="685"/>
      <c r="AS792" s="675"/>
      <c r="AT792" s="675"/>
      <c r="AU792" s="675"/>
      <c r="AV792" s="675"/>
      <c r="AW792" s="675"/>
      <c r="AX792" s="675"/>
      <c r="AY792" s="675"/>
      <c r="AZ792" s="675"/>
      <c r="BA792" s="675"/>
      <c r="BB792" s="675"/>
      <c r="BC792" s="675"/>
      <c r="BD792" s="691"/>
      <c r="BE792" s="691"/>
      <c r="BF792" s="691"/>
      <c r="BG792" s="691"/>
      <c r="BH792" s="691"/>
      <c r="BI792" s="675"/>
      <c r="BJ792" s="675"/>
      <c r="BK792" s="675"/>
      <c r="BL792" s="675"/>
      <c r="BM792" s="675"/>
      <c r="BN792" s="675"/>
      <c r="BO792" s="675"/>
      <c r="BP792" s="675"/>
      <c r="BQ792" s="675"/>
      <c r="BR792" s="675"/>
      <c r="BS792" s="675"/>
      <c r="BT792" s="675"/>
      <c r="BU792" s="675"/>
      <c r="BV792" s="675"/>
      <c r="BW792" s="675"/>
      <c r="BX792" s="675"/>
      <c r="BY792" s="675"/>
      <c r="BZ792" s="675"/>
      <c r="CA792" s="675"/>
      <c r="CB792" s="675"/>
      <c r="CC792" s="675"/>
    </row>
    <row r="793" spans="1:81" s="551" customFormat="1" ht="12.75" customHeight="1">
      <c r="B793" s="617"/>
      <c r="C793" s="689"/>
      <c r="D793" s="552"/>
      <c r="E793" s="552"/>
      <c r="F793" s="552"/>
      <c r="G793" s="552"/>
      <c r="H793" s="552"/>
      <c r="I793" s="552"/>
      <c r="J793" s="552"/>
      <c r="K793" s="552"/>
      <c r="L793" s="552"/>
      <c r="M793" s="552"/>
      <c r="N793" s="552"/>
      <c r="O793" s="552"/>
      <c r="P793" s="552"/>
      <c r="Q793" s="552"/>
      <c r="R793" s="552"/>
      <c r="S793" s="552"/>
      <c r="T793" s="552"/>
      <c r="U793" s="552"/>
      <c r="V793" s="552"/>
      <c r="W793" s="552"/>
      <c r="X793" s="552"/>
      <c r="Y793" s="552"/>
      <c r="Z793" s="552"/>
      <c r="AA793" s="552"/>
      <c r="AB793" s="552"/>
      <c r="AC793" s="552"/>
      <c r="AD793" s="617"/>
      <c r="AE793" s="552"/>
      <c r="AF793" s="552"/>
      <c r="AG793" s="552"/>
      <c r="AH793" s="552"/>
      <c r="AN793" s="598"/>
    </row>
    <row r="794" spans="1:81" s="551" customFormat="1" ht="12.75" customHeight="1">
      <c r="A794" s="607"/>
      <c r="B794" s="665"/>
      <c r="C794" s="665"/>
      <c r="D794" s="665"/>
      <c r="E794" s="665"/>
      <c r="F794" s="665"/>
      <c r="G794" s="665"/>
      <c r="H794" s="665"/>
      <c r="I794" s="665"/>
      <c r="J794" s="665"/>
      <c r="K794" s="665"/>
      <c r="L794" s="665"/>
      <c r="M794" s="665"/>
      <c r="N794" s="665"/>
      <c r="O794" s="665"/>
      <c r="P794" s="665"/>
      <c r="Q794" s="665"/>
      <c r="R794" s="665"/>
      <c r="S794" s="665"/>
      <c r="T794" s="665"/>
      <c r="U794" s="665"/>
      <c r="V794" s="665"/>
      <c r="W794" s="665"/>
      <c r="X794" s="665"/>
      <c r="Y794" s="665"/>
      <c r="Z794" s="665"/>
      <c r="AA794" s="665"/>
      <c r="AB794" s="665"/>
      <c r="AC794" s="666"/>
      <c r="AD794" s="665"/>
      <c r="AE794" s="565"/>
      <c r="AF794" s="565"/>
      <c r="AG794" s="565"/>
      <c r="AH794" s="565"/>
      <c r="AI794" s="566"/>
      <c r="AJ794" s="566" t="s">
        <v>1450</v>
      </c>
      <c r="AK794" s="2440">
        <f>IF(($AJ$621+$AJ$640+$AJ$652+$AJ$687+$AJ$711+$AJ$725+$AJ$737+$AJ$753+$AJ$765+$AJ$781+AJ792)&gt;10,10,($AJ$621+$AJ$640+$AJ$652+$AJ$687+$AJ$711+$AJ$725+$AJ$737+$AJ$753+$AJ$765+$AJ$781+AJ792))</f>
        <v>10</v>
      </c>
      <c r="AL794" s="2441"/>
      <c r="AM794" s="2442"/>
      <c r="AN794" s="598"/>
    </row>
    <row r="795" spans="1:81" s="551" customFormat="1" ht="12.75" customHeight="1">
      <c r="B795" s="552"/>
      <c r="C795" s="552"/>
      <c r="D795" s="552"/>
      <c r="E795" s="552"/>
      <c r="F795" s="552"/>
      <c r="G795" s="552"/>
      <c r="H795" s="552"/>
      <c r="I795" s="552"/>
      <c r="J795" s="552"/>
      <c r="K795" s="552"/>
      <c r="L795" s="552"/>
      <c r="M795" s="552"/>
      <c r="N795" s="552"/>
      <c r="O795" s="552"/>
      <c r="P795" s="552"/>
      <c r="Q795" s="552"/>
      <c r="R795" s="552"/>
      <c r="S795" s="552"/>
      <c r="T795" s="552"/>
      <c r="U795" s="552"/>
      <c r="V795" s="552"/>
      <c r="W795" s="552"/>
      <c r="X795" s="552"/>
      <c r="Y795" s="552"/>
      <c r="Z795" s="552"/>
      <c r="AA795" s="552"/>
      <c r="AB795" s="552"/>
      <c r="AC795" s="617"/>
      <c r="AD795" s="552"/>
      <c r="AI795" s="544"/>
      <c r="AJ795" s="544"/>
      <c r="AK795" s="596"/>
      <c r="AL795" s="596"/>
      <c r="AM795" s="596"/>
      <c r="AN795" s="598"/>
    </row>
    <row r="796" spans="1:81">
      <c r="B796" s="551"/>
      <c r="C796" s="551"/>
      <c r="D796" s="551"/>
      <c r="E796" s="551"/>
      <c r="F796" s="551"/>
      <c r="G796" s="551"/>
      <c r="H796" s="551"/>
      <c r="I796" s="551"/>
      <c r="J796" s="551"/>
      <c r="K796" s="551"/>
      <c r="L796" s="551"/>
      <c r="M796" s="551"/>
      <c r="N796" s="551"/>
      <c r="O796" s="551"/>
      <c r="P796" s="551"/>
      <c r="Q796" s="551"/>
      <c r="R796" s="551"/>
      <c r="S796" s="551"/>
      <c r="T796" s="551"/>
      <c r="U796" s="551"/>
      <c r="V796" s="551"/>
      <c r="W796" s="551"/>
      <c r="X796" s="551"/>
      <c r="Y796" s="551"/>
      <c r="Z796" s="551"/>
      <c r="AA796" s="551"/>
      <c r="AB796" s="551"/>
      <c r="AC796" s="551"/>
      <c r="AD796" s="551"/>
      <c r="AE796" s="551"/>
      <c r="AF796" s="551"/>
      <c r="AG796" s="551"/>
      <c r="AH796" s="551"/>
      <c r="AI796" s="551"/>
      <c r="AJ796" s="551"/>
      <c r="AK796" s="551"/>
      <c r="AL796" s="551"/>
      <c r="AM796" s="551"/>
    </row>
    <row r="797" spans="1:81">
      <c r="A797" s="2524" t="s">
        <v>1567</v>
      </c>
      <c r="B797" s="2525"/>
      <c r="C797" s="2525"/>
      <c r="D797" s="2525"/>
      <c r="E797" s="2525"/>
      <c r="F797" s="2525"/>
      <c r="G797" s="2525"/>
      <c r="H797" s="2525"/>
      <c r="I797" s="2525"/>
      <c r="J797" s="2525"/>
      <c r="K797" s="2525"/>
      <c r="L797" s="2525"/>
      <c r="M797" s="2525"/>
      <c r="N797" s="2525"/>
      <c r="O797" s="2525"/>
      <c r="P797" s="2525"/>
      <c r="Q797" s="2525"/>
      <c r="R797" s="2525"/>
      <c r="S797" s="2525"/>
      <c r="T797" s="2525"/>
      <c r="U797" s="2525"/>
      <c r="V797" s="2525"/>
      <c r="W797" s="2525"/>
      <c r="X797" s="2525"/>
      <c r="Y797" s="2525"/>
      <c r="Z797" s="2525"/>
      <c r="AA797" s="2525"/>
      <c r="AB797" s="2525"/>
      <c r="AC797" s="2525"/>
      <c r="AD797" s="2525"/>
      <c r="AE797" s="2525"/>
      <c r="AF797" s="2525"/>
      <c r="AG797" s="2525"/>
      <c r="AH797" s="2525"/>
      <c r="AI797" s="2525"/>
      <c r="AJ797" s="2525"/>
      <c r="AK797" s="2525"/>
      <c r="AL797" s="2525"/>
      <c r="AM797" s="2525"/>
    </row>
    <row r="798" spans="1:81">
      <c r="A798" s="2526"/>
      <c r="B798" s="2526"/>
      <c r="C798" s="2526"/>
      <c r="D798" s="2526"/>
      <c r="E798" s="2526"/>
      <c r="F798" s="2526"/>
      <c r="G798" s="2526"/>
      <c r="H798" s="2526"/>
      <c r="I798" s="2526"/>
      <c r="J798" s="2526"/>
      <c r="K798" s="2526"/>
      <c r="L798" s="2526"/>
      <c r="M798" s="2526"/>
      <c r="N798" s="2526"/>
      <c r="O798" s="2526"/>
      <c r="P798" s="2526"/>
      <c r="Q798" s="2526"/>
      <c r="R798" s="2526"/>
      <c r="S798" s="2526"/>
      <c r="T798" s="2526"/>
      <c r="U798" s="2526"/>
      <c r="V798" s="2526"/>
      <c r="W798" s="2526"/>
      <c r="X798" s="2526"/>
      <c r="Y798" s="2526"/>
      <c r="Z798" s="2526"/>
      <c r="AA798" s="2526"/>
      <c r="AB798" s="2526"/>
      <c r="AC798" s="2526"/>
      <c r="AD798" s="2526"/>
      <c r="AE798" s="2526"/>
      <c r="AF798" s="2526"/>
      <c r="AG798" s="2526"/>
      <c r="AH798" s="2526"/>
      <c r="AI798" s="2526"/>
      <c r="AJ798" s="2526"/>
      <c r="AK798" s="2526"/>
      <c r="AL798" s="2526"/>
      <c r="AM798" s="2526"/>
      <c r="AO798" s="817"/>
      <c r="AP798" s="817"/>
      <c r="AQ798" s="817"/>
    </row>
    <row r="799" spans="1:81" ht="13">
      <c r="A799" s="551"/>
      <c r="B799" s="572"/>
      <c r="C799" s="573"/>
      <c r="D799" s="573"/>
      <c r="E799" s="573"/>
      <c r="F799" s="573"/>
      <c r="G799" s="573"/>
      <c r="H799" s="573"/>
      <c r="I799" s="574"/>
      <c r="J799" s="574"/>
      <c r="K799" s="574"/>
      <c r="L799" s="574"/>
      <c r="M799" s="574"/>
      <c r="N799" s="574"/>
      <c r="O799" s="574"/>
      <c r="P799" s="574"/>
      <c r="Q799" s="574"/>
      <c r="S799" s="540"/>
      <c r="T799" s="540"/>
      <c r="U799" s="540"/>
      <c r="V799" s="540"/>
      <c r="W799" s="540"/>
      <c r="X799" s="540"/>
      <c r="Y799" s="540"/>
      <c r="Z799" s="540"/>
      <c r="AA799" s="540"/>
      <c r="AB799" s="540"/>
      <c r="AC799" s="540"/>
      <c r="AD799" s="540"/>
      <c r="AE799" s="540"/>
      <c r="AG799" s="540"/>
      <c r="AH799" s="540"/>
      <c r="AI799" s="540"/>
      <c r="AJ799" s="540"/>
      <c r="AK799" s="551"/>
      <c r="AL799" s="551"/>
      <c r="AM799" s="538"/>
      <c r="AO799" s="817"/>
      <c r="AP799" s="817"/>
      <c r="AQ799" s="817"/>
    </row>
    <row r="800" spans="1:81" ht="13">
      <c r="A800" s="2455"/>
      <c r="B800" s="2455"/>
      <c r="C800" s="2455"/>
      <c r="D800" s="2455"/>
      <c r="E800" s="2455"/>
      <c r="F800" s="2455"/>
      <c r="G800" s="2455"/>
      <c r="H800" s="2455"/>
      <c r="I800" s="2455"/>
      <c r="J800" s="2455"/>
      <c r="K800" s="2455"/>
      <c r="L800" s="2455"/>
      <c r="M800" s="2455"/>
      <c r="N800" s="2455"/>
      <c r="O800" s="2455"/>
      <c r="P800" s="2455"/>
      <c r="Q800" s="2455"/>
      <c r="R800" s="2455"/>
      <c r="S800" s="2455"/>
      <c r="T800" s="2455"/>
      <c r="U800" s="2455"/>
      <c r="V800" s="2455"/>
      <c r="W800" s="2455"/>
      <c r="X800" s="2455"/>
      <c r="Y800" s="2455"/>
      <c r="Z800" s="2455"/>
      <c r="AA800" s="2455"/>
      <c r="AB800" s="2455"/>
      <c r="AC800" s="2455"/>
      <c r="AD800" s="2455"/>
      <c r="AE800" s="2455"/>
      <c r="AF800" s="2455"/>
      <c r="AG800" s="2455"/>
      <c r="AH800" s="2455"/>
      <c r="AI800" s="2455"/>
      <c r="AJ800" s="2455"/>
      <c r="AK800" s="2455"/>
      <c r="AL800" s="2455"/>
      <c r="AM800" s="2455"/>
      <c r="AP800" s="817"/>
      <c r="AQ800" s="817"/>
    </row>
    <row r="801" spans="1:81" ht="13">
      <c r="A801" s="2455"/>
      <c r="B801" s="2455"/>
      <c r="C801" s="2455"/>
      <c r="D801" s="2455"/>
      <c r="E801" s="2455"/>
      <c r="F801" s="2455"/>
      <c r="G801" s="2455"/>
      <c r="H801" s="2455"/>
      <c r="I801" s="2455"/>
      <c r="J801" s="2455"/>
      <c r="K801" s="2455"/>
      <c r="L801" s="2455"/>
      <c r="M801" s="2455"/>
      <c r="N801" s="2455"/>
      <c r="O801" s="2455"/>
      <c r="P801" s="2455"/>
      <c r="Q801" s="2455"/>
      <c r="R801" s="2455"/>
      <c r="S801" s="2455"/>
      <c r="T801" s="2455"/>
      <c r="U801" s="2455"/>
      <c r="V801" s="2455"/>
      <c r="W801" s="2455"/>
      <c r="X801" s="2455"/>
      <c r="Y801" s="2455"/>
      <c r="Z801" s="2455"/>
      <c r="AA801" s="2455"/>
      <c r="AB801" s="2455"/>
      <c r="AC801" s="2455"/>
      <c r="AD801" s="2455"/>
      <c r="AE801" s="2455"/>
      <c r="AF801" s="2455"/>
      <c r="AG801" s="2455"/>
      <c r="AH801" s="2455"/>
      <c r="AI801" s="2455"/>
      <c r="AJ801" s="2455"/>
      <c r="AK801" s="2455"/>
      <c r="AL801" s="2455"/>
      <c r="AM801" s="2455"/>
      <c r="AO801" s="817"/>
      <c r="AQ801" s="817"/>
    </row>
    <row r="802" spans="1:81" ht="13">
      <c r="A802" s="818"/>
      <c r="B802" s="668"/>
      <c r="C802" s="668"/>
      <c r="D802" s="668"/>
      <c r="E802" s="668"/>
      <c r="F802" s="668"/>
      <c r="G802" s="668"/>
      <c r="H802" s="668"/>
      <c r="I802" s="668"/>
      <c r="J802" s="668"/>
      <c r="K802" s="668"/>
      <c r="L802" s="668"/>
      <c r="M802" s="668"/>
      <c r="N802" s="668"/>
      <c r="O802" s="668"/>
      <c r="P802" s="668"/>
      <c r="Q802" s="668"/>
      <c r="R802" s="668"/>
      <c r="S802" s="670"/>
      <c r="T802" s="2527" t="s">
        <v>1568</v>
      </c>
      <c r="U802" s="2528"/>
      <c r="V802" s="2528"/>
      <c r="W802" s="2528"/>
      <c r="X802" s="2528"/>
      <c r="Y802" s="2529"/>
      <c r="Z802" s="2527" t="s">
        <v>1569</v>
      </c>
      <c r="AA802" s="2528"/>
      <c r="AB802" s="2528"/>
      <c r="AC802" s="2528"/>
      <c r="AD802" s="2528"/>
      <c r="AE802" s="2529"/>
      <c r="AF802" s="2527" t="s">
        <v>1570</v>
      </c>
      <c r="AG802" s="2528"/>
      <c r="AH802" s="2528"/>
      <c r="AI802" s="2528"/>
      <c r="AJ802" s="2528"/>
      <c r="AK802" s="2529"/>
      <c r="AL802" s="819"/>
      <c r="AM802" s="597"/>
      <c r="AO802" s="817"/>
      <c r="AP802" s="817"/>
      <c r="AQ802" s="817"/>
    </row>
    <row r="803" spans="1:81" ht="13">
      <c r="A803" s="820"/>
      <c r="B803" s="695"/>
      <c r="C803" s="695"/>
      <c r="D803" s="695"/>
      <c r="E803" s="695"/>
      <c r="F803" s="695"/>
      <c r="G803" s="695"/>
      <c r="H803" s="695"/>
      <c r="I803" s="695"/>
      <c r="J803" s="695"/>
      <c r="K803" s="695"/>
      <c r="L803" s="695"/>
      <c r="M803" s="695"/>
      <c r="N803" s="695"/>
      <c r="O803" s="695"/>
      <c r="P803" s="695"/>
      <c r="Q803" s="695"/>
      <c r="R803" s="695"/>
      <c r="S803" s="709"/>
      <c r="T803" s="2530"/>
      <c r="U803" s="2531"/>
      <c r="V803" s="2531"/>
      <c r="W803" s="2531"/>
      <c r="X803" s="2531"/>
      <c r="Y803" s="2532"/>
      <c r="Z803" s="2530"/>
      <c r="AA803" s="2531"/>
      <c r="AB803" s="2531"/>
      <c r="AC803" s="2531"/>
      <c r="AD803" s="2531"/>
      <c r="AE803" s="2532"/>
      <c r="AF803" s="2530"/>
      <c r="AG803" s="2531"/>
      <c r="AH803" s="2531"/>
      <c r="AI803" s="2531"/>
      <c r="AJ803" s="2531"/>
      <c r="AK803" s="2532"/>
      <c r="AL803" s="819"/>
      <c r="AM803" s="597"/>
      <c r="AO803" s="817"/>
      <c r="AP803" s="817"/>
      <c r="AQ803" s="817"/>
    </row>
    <row r="804" spans="1:81" ht="13">
      <c r="A804" s="820" t="s">
        <v>756</v>
      </c>
      <c r="B804" s="2484" t="s">
        <v>1303</v>
      </c>
      <c r="C804" s="2484"/>
      <c r="D804" s="2484"/>
      <c r="E804" s="2484"/>
      <c r="F804" s="2484"/>
      <c r="G804" s="2484"/>
      <c r="H804" s="2484"/>
      <c r="I804" s="2484"/>
      <c r="J804" s="2484"/>
      <c r="K804" s="2484"/>
      <c r="L804" s="2484"/>
      <c r="M804" s="2484"/>
      <c r="N804" s="2484"/>
      <c r="O804" s="2484"/>
      <c r="P804" s="2484"/>
      <c r="Q804" s="2484"/>
      <c r="R804" s="2484"/>
      <c r="S804" s="2485"/>
      <c r="T804" s="2512">
        <f>AK62</f>
        <v>14</v>
      </c>
      <c r="U804" s="2488"/>
      <c r="V804" s="2488"/>
      <c r="W804" s="2488"/>
      <c r="X804" s="2488"/>
      <c r="Y804" s="2489"/>
      <c r="Z804" s="2487">
        <v>20</v>
      </c>
      <c r="AA804" s="2488"/>
      <c r="AB804" s="2488"/>
      <c r="AC804" s="2488"/>
      <c r="AD804" s="2488"/>
      <c r="AE804" s="2489"/>
      <c r="AF804" s="2452">
        <f>IF(T804&gt;Z804,Z804,T804)</f>
        <v>14</v>
      </c>
      <c r="AG804" s="2452"/>
      <c r="AH804" s="2452"/>
      <c r="AI804" s="2452"/>
      <c r="AJ804" s="2452"/>
      <c r="AK804" s="2452"/>
      <c r="AL804" s="819"/>
      <c r="AM804" s="597"/>
      <c r="AO804" s="817"/>
      <c r="AP804" s="817"/>
      <c r="AQ804" s="817"/>
    </row>
    <row r="805" spans="1:81" ht="13">
      <c r="A805" s="820" t="s">
        <v>1540</v>
      </c>
      <c r="B805" s="2484" t="s">
        <v>1312</v>
      </c>
      <c r="C805" s="2484"/>
      <c r="D805" s="2484"/>
      <c r="E805" s="2484"/>
      <c r="F805" s="2484"/>
      <c r="G805" s="2484"/>
      <c r="H805" s="2484"/>
      <c r="I805" s="2484"/>
      <c r="J805" s="2484"/>
      <c r="K805" s="2484"/>
      <c r="L805" s="2484"/>
      <c r="M805" s="2484"/>
      <c r="N805" s="2484"/>
      <c r="O805" s="2484"/>
      <c r="P805" s="2484"/>
      <c r="Q805" s="2484"/>
      <c r="R805" s="2484"/>
      <c r="S805" s="2485"/>
      <c r="T805" s="2512">
        <f>AK84</f>
        <v>0</v>
      </c>
      <c r="U805" s="2488"/>
      <c r="V805" s="2488"/>
      <c r="W805" s="2488"/>
      <c r="X805" s="2488"/>
      <c r="Y805" s="2489"/>
      <c r="Z805" s="2487">
        <v>10</v>
      </c>
      <c r="AA805" s="2488"/>
      <c r="AB805" s="2488"/>
      <c r="AC805" s="2488"/>
      <c r="AD805" s="2488"/>
      <c r="AE805" s="2489"/>
      <c r="AF805" s="2452">
        <f>IF(T805&gt;Z805,Z805,T805)</f>
        <v>0</v>
      </c>
      <c r="AG805" s="2452"/>
      <c r="AH805" s="2452"/>
      <c r="AI805" s="2452"/>
      <c r="AJ805" s="2452"/>
      <c r="AK805" s="2452"/>
      <c r="AL805" s="819"/>
      <c r="AM805" s="597"/>
      <c r="AO805" s="817"/>
      <c r="AP805" s="817"/>
      <c r="AQ805" s="817"/>
    </row>
    <row r="806" spans="1:81" ht="13">
      <c r="A806" s="820" t="s">
        <v>1549</v>
      </c>
      <c r="B806" s="2484" t="s">
        <v>1322</v>
      </c>
      <c r="C806" s="2484"/>
      <c r="D806" s="2484"/>
      <c r="E806" s="2484"/>
      <c r="F806" s="2484"/>
      <c r="G806" s="2484"/>
      <c r="H806" s="2484"/>
      <c r="I806" s="2484"/>
      <c r="J806" s="2484"/>
      <c r="K806" s="2484"/>
      <c r="L806" s="2484"/>
      <c r="M806" s="2484"/>
      <c r="N806" s="2484"/>
      <c r="O806" s="2484"/>
      <c r="P806" s="2484"/>
      <c r="Q806" s="2484"/>
      <c r="R806" s="2484"/>
      <c r="S806" s="2485"/>
      <c r="T806" s="2512">
        <f>AK109</f>
        <v>20</v>
      </c>
      <c r="U806" s="2488"/>
      <c r="V806" s="2488"/>
      <c r="W806" s="2488"/>
      <c r="X806" s="2488"/>
      <c r="Y806" s="2489"/>
      <c r="Z806" s="2487">
        <v>20</v>
      </c>
      <c r="AA806" s="2488"/>
      <c r="AB806" s="2488"/>
      <c r="AC806" s="2488"/>
      <c r="AD806" s="2488"/>
      <c r="AE806" s="2489"/>
      <c r="AF806" s="2452">
        <f>IF(T806&gt;Z806,Z806,T806)</f>
        <v>20</v>
      </c>
      <c r="AG806" s="2452"/>
      <c r="AH806" s="2452"/>
      <c r="AI806" s="2452"/>
      <c r="AJ806" s="2452"/>
      <c r="AK806" s="2452"/>
      <c r="AL806" s="819"/>
      <c r="AM806" s="597"/>
      <c r="AO806" s="817"/>
      <c r="AP806" s="817"/>
      <c r="AQ806" s="817"/>
    </row>
    <row r="807" spans="1:81" ht="13">
      <c r="A807" s="820" t="s">
        <v>1571</v>
      </c>
      <c r="B807" s="2484" t="s">
        <v>1332</v>
      </c>
      <c r="C807" s="2484"/>
      <c r="D807" s="2484"/>
      <c r="E807" s="2484"/>
      <c r="F807" s="2484"/>
      <c r="G807" s="2484"/>
      <c r="H807" s="2484"/>
      <c r="I807" s="2484"/>
      <c r="J807" s="2484"/>
      <c r="K807" s="2484"/>
      <c r="L807" s="2484"/>
      <c r="M807" s="2484"/>
      <c r="N807" s="2484"/>
      <c r="O807" s="2484"/>
      <c r="P807" s="2484"/>
      <c r="Q807" s="2484"/>
      <c r="R807" s="2484"/>
      <c r="S807" s="2485"/>
      <c r="T807" s="2512">
        <f>AK143</f>
        <v>10</v>
      </c>
      <c r="U807" s="2488"/>
      <c r="V807" s="2488"/>
      <c r="W807" s="2488"/>
      <c r="X807" s="2488"/>
      <c r="Y807" s="2489"/>
      <c r="Z807" s="2487">
        <v>10</v>
      </c>
      <c r="AA807" s="2488"/>
      <c r="AB807" s="2488"/>
      <c r="AC807" s="2488"/>
      <c r="AD807" s="2488"/>
      <c r="AE807" s="2489"/>
      <c r="AF807" s="2452">
        <f>IF(T807&gt;Z807,Z807,T807)</f>
        <v>10</v>
      </c>
      <c r="AG807" s="2452"/>
      <c r="AH807" s="2452"/>
      <c r="AI807" s="2452"/>
      <c r="AJ807" s="2452"/>
      <c r="AK807" s="2452"/>
      <c r="AL807" s="819"/>
      <c r="AM807" s="597"/>
      <c r="AO807" s="817"/>
      <c r="AP807" s="817"/>
      <c r="AQ807" s="817"/>
    </row>
    <row r="808" spans="1:81" ht="13">
      <c r="A808" s="821" t="s">
        <v>1572</v>
      </c>
      <c r="B808" s="2484" t="s">
        <v>1573</v>
      </c>
      <c r="C808" s="2484"/>
      <c r="D808" s="2484"/>
      <c r="E808" s="2484"/>
      <c r="F808" s="2484"/>
      <c r="G808" s="2484"/>
      <c r="H808" s="2484"/>
      <c r="I808" s="2484"/>
      <c r="J808" s="2484"/>
      <c r="K808" s="2484"/>
      <c r="L808" s="2484"/>
      <c r="M808" s="2484"/>
      <c r="N808" s="2484"/>
      <c r="O808" s="2484"/>
      <c r="P808" s="2484"/>
      <c r="Q808" s="2484"/>
      <c r="R808" s="2484"/>
      <c r="S808" s="2485"/>
      <c r="T808" s="2486">
        <f>SUM(T809:Y810)</f>
        <v>10</v>
      </c>
      <c r="U808" s="2486"/>
      <c r="V808" s="2486"/>
      <c r="W808" s="2486"/>
      <c r="X808" s="2486"/>
      <c r="Y808" s="2486"/>
      <c r="Z808" s="2452">
        <v>10</v>
      </c>
      <c r="AA808" s="2452"/>
      <c r="AB808" s="2452"/>
      <c r="AC808" s="2452"/>
      <c r="AD808" s="2452"/>
      <c r="AE808" s="2452"/>
      <c r="AF808" s="2452">
        <f>IF(T808&gt;Z808,Z808,T808)</f>
        <v>10</v>
      </c>
      <c r="AG808" s="2452"/>
      <c r="AH808" s="2452"/>
      <c r="AI808" s="2452"/>
      <c r="AJ808" s="2452"/>
      <c r="AK808" s="2452"/>
      <c r="AL808" s="819"/>
      <c r="AM808" s="597"/>
    </row>
    <row r="809" spans="1:81" ht="13">
      <c r="A809" s="536"/>
      <c r="B809" s="602"/>
      <c r="C809" s="2490" t="s">
        <v>1574</v>
      </c>
      <c r="D809" s="2490"/>
      <c r="E809" s="2490"/>
      <c r="F809" s="2490"/>
      <c r="G809" s="2490"/>
      <c r="H809" s="2490"/>
      <c r="I809" s="2490"/>
      <c r="J809" s="2490"/>
      <c r="K809" s="2490"/>
      <c r="L809" s="2490"/>
      <c r="M809" s="2490"/>
      <c r="N809" s="2490"/>
      <c r="O809" s="2490"/>
      <c r="P809" s="2490"/>
      <c r="Q809" s="2490"/>
      <c r="R809" s="2490"/>
      <c r="S809" s="2491"/>
      <c r="T809" s="2492">
        <f>AJ166</f>
        <v>7</v>
      </c>
      <c r="U809" s="2492"/>
      <c r="V809" s="2492"/>
      <c r="W809" s="2492"/>
      <c r="X809" s="2492"/>
      <c r="Y809" s="2492"/>
      <c r="Z809" s="2493">
        <v>7</v>
      </c>
      <c r="AA809" s="2493"/>
      <c r="AB809" s="2493"/>
      <c r="AC809" s="2493"/>
      <c r="AD809" s="2493"/>
      <c r="AE809" s="2493"/>
      <c r="AF809" s="2494"/>
      <c r="AG809" s="2494"/>
      <c r="AH809" s="2494"/>
      <c r="AI809" s="2494"/>
      <c r="AJ809" s="2494"/>
      <c r="AK809" s="2494"/>
      <c r="AL809" s="819"/>
      <c r="AM809" s="597"/>
    </row>
    <row r="810" spans="1:81" ht="13">
      <c r="A810" s="601"/>
      <c r="B810" s="602"/>
      <c r="C810" s="2490" t="s">
        <v>1575</v>
      </c>
      <c r="D810" s="2490"/>
      <c r="E810" s="2490"/>
      <c r="F810" s="2490"/>
      <c r="G810" s="2490"/>
      <c r="H810" s="2490"/>
      <c r="I810" s="2490"/>
      <c r="J810" s="2490"/>
      <c r="K810" s="2490"/>
      <c r="L810" s="2490"/>
      <c r="M810" s="2490"/>
      <c r="N810" s="2490"/>
      <c r="O810" s="2490"/>
      <c r="P810" s="2490"/>
      <c r="Q810" s="2490"/>
      <c r="R810" s="2490"/>
      <c r="S810" s="2491"/>
      <c r="T810" s="2492">
        <f>AJ180</f>
        <v>3</v>
      </c>
      <c r="U810" s="2492"/>
      <c r="V810" s="2492"/>
      <c r="W810" s="2492"/>
      <c r="X810" s="2492"/>
      <c r="Y810" s="2492"/>
      <c r="Z810" s="2493">
        <v>3</v>
      </c>
      <c r="AA810" s="2493"/>
      <c r="AB810" s="2493"/>
      <c r="AC810" s="2493"/>
      <c r="AD810" s="2493"/>
      <c r="AE810" s="2493"/>
      <c r="AF810" s="2494"/>
      <c r="AG810" s="2494"/>
      <c r="AH810" s="2494"/>
      <c r="AI810" s="2494"/>
      <c r="AJ810" s="2494"/>
      <c r="AK810" s="2494"/>
      <c r="AL810" s="819"/>
      <c r="AM810" s="597"/>
      <c r="AO810" s="551"/>
    </row>
    <row r="811" spans="1:81" ht="13">
      <c r="A811" s="821" t="s">
        <v>1360</v>
      </c>
      <c r="B811" s="2484" t="s">
        <v>1576</v>
      </c>
      <c r="C811" s="2484"/>
      <c r="D811" s="2484"/>
      <c r="E811" s="2484"/>
      <c r="F811" s="2484"/>
      <c r="G811" s="2484"/>
      <c r="H811" s="2484"/>
      <c r="I811" s="2484"/>
      <c r="J811" s="2484"/>
      <c r="K811" s="2484"/>
      <c r="L811" s="2484"/>
      <c r="M811" s="2484"/>
      <c r="N811" s="2484"/>
      <c r="O811" s="2484"/>
      <c r="P811" s="2484"/>
      <c r="Q811" s="2484"/>
      <c r="R811" s="2484"/>
      <c r="S811" s="2485"/>
      <c r="T811" s="2486">
        <f>AK191</f>
        <v>0</v>
      </c>
      <c r="U811" s="2486"/>
      <c r="V811" s="2486"/>
      <c r="W811" s="2486"/>
      <c r="X811" s="2486"/>
      <c r="Y811" s="2486"/>
      <c r="Z811" s="2452">
        <v>10</v>
      </c>
      <c r="AA811" s="2452"/>
      <c r="AB811" s="2452"/>
      <c r="AC811" s="2452"/>
      <c r="AD811" s="2452"/>
      <c r="AE811" s="2452"/>
      <c r="AF811" s="2452">
        <f>IF(T811&gt;Z811,Z811,T811)</f>
        <v>0</v>
      </c>
      <c r="AG811" s="2452"/>
      <c r="AH811" s="2452"/>
      <c r="AI811" s="2452"/>
      <c r="AJ811" s="2452"/>
      <c r="AK811" s="2452"/>
      <c r="AL811" s="819"/>
      <c r="AM811" s="597"/>
    </row>
    <row r="812" spans="1:81" ht="13">
      <c r="A812" s="820" t="s">
        <v>1369</v>
      </c>
      <c r="B812" s="2484" t="s">
        <v>1370</v>
      </c>
      <c r="C812" s="2484"/>
      <c r="D812" s="2484"/>
      <c r="E812" s="2484"/>
      <c r="F812" s="2484"/>
      <c r="G812" s="2484"/>
      <c r="H812" s="2484"/>
      <c r="I812" s="2484"/>
      <c r="J812" s="2484"/>
      <c r="K812" s="2484"/>
      <c r="L812" s="2484"/>
      <c r="M812" s="2484"/>
      <c r="N812" s="2484"/>
      <c r="O812" s="2484"/>
      <c r="P812" s="2484"/>
      <c r="Q812" s="2484"/>
      <c r="R812" s="2484"/>
      <c r="S812" s="2485"/>
      <c r="T812" s="2486">
        <f>AK273</f>
        <v>8</v>
      </c>
      <c r="U812" s="2486"/>
      <c r="V812" s="2486"/>
      <c r="W812" s="2486"/>
      <c r="X812" s="2486"/>
      <c r="Y812" s="2486"/>
      <c r="Z812" s="2487">
        <v>8</v>
      </c>
      <c r="AA812" s="2488"/>
      <c r="AB812" s="2488"/>
      <c r="AC812" s="2488"/>
      <c r="AD812" s="2488"/>
      <c r="AE812" s="2489"/>
      <c r="AF812" s="2452">
        <f>IF(T812&gt;Z812,Z812,T812)</f>
        <v>8</v>
      </c>
      <c r="AG812" s="2452"/>
      <c r="AH812" s="2452"/>
      <c r="AI812" s="2452"/>
      <c r="AJ812" s="2452"/>
      <c r="AK812" s="2452"/>
      <c r="AL812" s="819"/>
      <c r="AM812" s="597"/>
    </row>
    <row r="813" spans="1:81" s="535" customFormat="1" ht="13" hidden="1">
      <c r="A813" s="821" t="s">
        <v>588</v>
      </c>
      <c r="B813" s="2484" t="s">
        <v>1577</v>
      </c>
      <c r="C813" s="2484"/>
      <c r="D813" s="2484"/>
      <c r="E813" s="2484"/>
      <c r="F813" s="2484"/>
      <c r="G813" s="2484"/>
      <c r="H813" s="2484"/>
      <c r="I813" s="2484"/>
      <c r="J813" s="2484"/>
      <c r="K813" s="2484"/>
      <c r="L813" s="2484"/>
      <c r="M813" s="2484"/>
      <c r="N813" s="2484"/>
      <c r="O813" s="2484"/>
      <c r="P813" s="2484"/>
      <c r="Q813" s="2484"/>
      <c r="R813" s="2484"/>
      <c r="S813" s="2485"/>
      <c r="T813" s="2486">
        <f>IF(AK535&gt;5,5,AK535)</f>
        <v>0</v>
      </c>
      <c r="U813" s="2486"/>
      <c r="V813" s="2486"/>
      <c r="W813" s="2486"/>
      <c r="X813" s="2486"/>
      <c r="Y813" s="2486"/>
      <c r="Z813" s="2452">
        <v>5</v>
      </c>
      <c r="AA813" s="2452"/>
      <c r="AB813" s="2452"/>
      <c r="AC813" s="2452"/>
      <c r="AD813" s="2452"/>
      <c r="AE813" s="2452"/>
      <c r="AF813" s="2452">
        <f>IF(T813&gt;Z813,5,T813)</f>
        <v>0</v>
      </c>
      <c r="AG813" s="2452"/>
      <c r="AH813" s="2452"/>
      <c r="AI813" s="2452"/>
      <c r="AJ813" s="2452"/>
      <c r="AK813" s="2452"/>
      <c r="AL813" s="819"/>
      <c r="AM813" s="597"/>
      <c r="AO813" s="30"/>
      <c r="AP813" s="14"/>
      <c r="AQ813" s="14"/>
      <c r="AR813" s="14"/>
      <c r="AS813" s="14"/>
      <c r="AT813" s="14"/>
      <c r="AU813" s="14"/>
      <c r="AV813" s="14"/>
      <c r="AW813" s="14"/>
      <c r="AX813" s="14"/>
      <c r="AY813" s="14"/>
      <c r="AZ813" s="14"/>
      <c r="BA813" s="14"/>
      <c r="BB813" s="14"/>
      <c r="BC813" s="14"/>
      <c r="BD813" s="32"/>
      <c r="BE813" s="32"/>
      <c r="BF813" s="32"/>
      <c r="BG813" s="32"/>
      <c r="BH813" s="32"/>
      <c r="BI813" s="14"/>
      <c r="BJ813" s="14"/>
      <c r="BK813" s="14"/>
      <c r="BL813" s="14"/>
      <c r="BM813" s="14"/>
      <c r="BN813" s="14"/>
      <c r="BO813" s="14"/>
      <c r="BP813" s="14"/>
      <c r="BQ813" s="14"/>
      <c r="BR813" s="14"/>
      <c r="BS813" s="14"/>
      <c r="BT813" s="14"/>
      <c r="BU813" s="14"/>
      <c r="BV813" s="14"/>
      <c r="BW813" s="14"/>
      <c r="BX813" s="14"/>
      <c r="BY813" s="14"/>
      <c r="BZ813" s="14"/>
      <c r="CA813" s="14"/>
      <c r="CB813" s="14"/>
      <c r="CC813" s="14"/>
    </row>
    <row r="814" spans="1:81" s="535" customFormat="1" ht="13">
      <c r="A814" s="820" t="s">
        <v>1375</v>
      </c>
      <c r="B814" s="2484" t="s">
        <v>1578</v>
      </c>
      <c r="C814" s="2484"/>
      <c r="D814" s="2484"/>
      <c r="E814" s="2484"/>
      <c r="F814" s="2484"/>
      <c r="G814" s="2484"/>
      <c r="H814" s="2484"/>
      <c r="I814" s="2484"/>
      <c r="J814" s="2484"/>
      <c r="K814" s="2484"/>
      <c r="L814" s="2484"/>
      <c r="M814" s="2484"/>
      <c r="N814" s="2484"/>
      <c r="O814" s="2484"/>
      <c r="P814" s="2484"/>
      <c r="Q814" s="2484"/>
      <c r="R814" s="2484"/>
      <c r="S814" s="2485"/>
      <c r="T814" s="2486">
        <f>AK285</f>
        <v>10</v>
      </c>
      <c r="U814" s="2486"/>
      <c r="V814" s="2486"/>
      <c r="W814" s="2486"/>
      <c r="X814" s="2486"/>
      <c r="Y814" s="2486"/>
      <c r="Z814" s="2452">
        <v>10</v>
      </c>
      <c r="AA814" s="2452"/>
      <c r="AB814" s="2452"/>
      <c r="AC814" s="2452"/>
      <c r="AD814" s="2452"/>
      <c r="AE814" s="2452"/>
      <c r="AF814" s="2495">
        <f>IF(T814&gt;Z814,Z814,T814)</f>
        <v>10</v>
      </c>
      <c r="AG814" s="2496"/>
      <c r="AH814" s="2496"/>
      <c r="AI814" s="2496"/>
      <c r="AJ814" s="2496"/>
      <c r="AK814" s="2497"/>
      <c r="AL814" s="819"/>
      <c r="AM814" s="597"/>
      <c r="AO814" s="30"/>
      <c r="AP814" s="14"/>
      <c r="AQ814" s="14"/>
      <c r="AR814" s="14"/>
      <c r="AS814" s="14"/>
      <c r="AT814" s="14"/>
      <c r="AU814" s="14"/>
      <c r="AV814" s="14"/>
      <c r="AW814" s="14"/>
      <c r="AX814" s="14"/>
      <c r="AY814" s="14"/>
      <c r="AZ814" s="14"/>
      <c r="BA814" s="14"/>
      <c r="BB814" s="14"/>
      <c r="BC814" s="14"/>
      <c r="BD814" s="32"/>
      <c r="BE814" s="32"/>
      <c r="BF814" s="32"/>
      <c r="BG814" s="32"/>
      <c r="BH814" s="32"/>
      <c r="BI814" s="14"/>
      <c r="BJ814" s="14"/>
      <c r="BK814" s="14"/>
      <c r="BL814" s="14"/>
      <c r="BM814" s="14"/>
      <c r="BN814" s="14"/>
      <c r="BO814" s="14"/>
      <c r="BP814" s="14"/>
      <c r="BQ814" s="14"/>
      <c r="BR814" s="14"/>
      <c r="BS814" s="14"/>
      <c r="BT814" s="14"/>
      <c r="BU814" s="14"/>
      <c r="BV814" s="14"/>
      <c r="BW814" s="14"/>
      <c r="BX814" s="14"/>
      <c r="BY814" s="14"/>
      <c r="BZ814" s="14"/>
      <c r="CA814" s="14"/>
      <c r="CB814" s="14"/>
      <c r="CC814" s="14"/>
    </row>
    <row r="815" spans="1:81" s="535" customFormat="1" ht="13">
      <c r="A815" s="821" t="s">
        <v>1379</v>
      </c>
      <c r="B815" s="2484" t="s">
        <v>1380</v>
      </c>
      <c r="C815" s="2484"/>
      <c r="D815" s="2484"/>
      <c r="E815" s="2484"/>
      <c r="F815" s="2484"/>
      <c r="G815" s="2484"/>
      <c r="H815" s="2484"/>
      <c r="I815" s="2484"/>
      <c r="J815" s="2484"/>
      <c r="K815" s="2484"/>
      <c r="L815" s="2484"/>
      <c r="M815" s="2484"/>
      <c r="N815" s="2484"/>
      <c r="O815" s="2484"/>
      <c r="P815" s="2484"/>
      <c r="Q815" s="2484"/>
      <c r="R815" s="2484"/>
      <c r="S815" s="2485"/>
      <c r="T815" s="2486">
        <f>AK338</f>
        <v>0</v>
      </c>
      <c r="U815" s="2486"/>
      <c r="V815" s="2486"/>
      <c r="W815" s="2486"/>
      <c r="X815" s="2486"/>
      <c r="Y815" s="2486"/>
      <c r="Z815" s="2495">
        <v>10</v>
      </c>
      <c r="AA815" s="2496"/>
      <c r="AB815" s="2496"/>
      <c r="AC815" s="2496"/>
      <c r="AD815" s="2496"/>
      <c r="AE815" s="2497"/>
      <c r="AF815" s="2495">
        <f>IF(T815&gt;Z815,Z815,T815)</f>
        <v>0</v>
      </c>
      <c r="AG815" s="2496"/>
      <c r="AH815" s="2496"/>
      <c r="AI815" s="2496"/>
      <c r="AJ815" s="2496"/>
      <c r="AK815" s="2497"/>
      <c r="AL815" s="540"/>
      <c r="AM815" s="597"/>
      <c r="AO815" s="30"/>
      <c r="AP815" s="14"/>
      <c r="AQ815" s="14"/>
      <c r="AR815" s="14"/>
      <c r="AS815" s="14"/>
      <c r="AT815" s="14"/>
      <c r="AU815" s="14"/>
      <c r="AV815" s="14"/>
      <c r="AW815" s="14"/>
      <c r="AX815" s="14"/>
      <c r="AY815" s="14"/>
      <c r="AZ815" s="14"/>
      <c r="BA815" s="14"/>
      <c r="BB815" s="14"/>
      <c r="BC815" s="14"/>
      <c r="BD815" s="32"/>
      <c r="BE815" s="32"/>
      <c r="BF815" s="32"/>
      <c r="BG815" s="32"/>
      <c r="BH815" s="32"/>
      <c r="BI815" s="14"/>
      <c r="BJ815" s="14"/>
      <c r="BK815" s="14"/>
      <c r="BL815" s="14"/>
      <c r="BM815" s="14"/>
      <c r="BN815" s="14"/>
      <c r="BO815" s="14"/>
      <c r="BP815" s="14"/>
      <c r="BQ815" s="14"/>
      <c r="BR815" s="14"/>
      <c r="BS815" s="14"/>
      <c r="BT815" s="14"/>
      <c r="BU815" s="14"/>
      <c r="BV815" s="14"/>
      <c r="BW815" s="14"/>
      <c r="BX815" s="14"/>
      <c r="BY815" s="14"/>
      <c r="BZ815" s="14"/>
      <c r="CA815" s="14"/>
      <c r="CB815" s="14"/>
      <c r="CC815" s="14"/>
    </row>
    <row r="816" spans="1:81" s="535" customFormat="1" ht="13" hidden="1">
      <c r="A816" s="821"/>
      <c r="B816" s="822"/>
      <c r="C816" s="823" t="s">
        <v>1579</v>
      </c>
      <c r="D816" s="824"/>
      <c r="E816" s="824"/>
      <c r="F816" s="824"/>
      <c r="G816" s="824"/>
      <c r="H816" s="824"/>
      <c r="I816" s="824"/>
      <c r="J816" s="824"/>
      <c r="K816" s="824"/>
      <c r="L816" s="824"/>
      <c r="M816" s="824"/>
      <c r="N816" s="824"/>
      <c r="O816" s="824"/>
      <c r="P816" s="824"/>
      <c r="Q816" s="824"/>
      <c r="R816" s="822"/>
      <c r="S816" s="825"/>
      <c r="T816" s="2492">
        <f>AK338</f>
        <v>0</v>
      </c>
      <c r="U816" s="2492"/>
      <c r="V816" s="2492"/>
      <c r="W816" s="2492"/>
      <c r="X816" s="2492"/>
      <c r="Y816" s="2492"/>
      <c r="Z816" s="2440">
        <v>20</v>
      </c>
      <c r="AA816" s="2441"/>
      <c r="AB816" s="2441"/>
      <c r="AC816" s="2441"/>
      <c r="AD816" s="2441"/>
      <c r="AE816" s="2442"/>
      <c r="AF816" s="2494"/>
      <c r="AG816" s="2494"/>
      <c r="AH816" s="2494"/>
      <c r="AI816" s="2494"/>
      <c r="AJ816" s="2494"/>
      <c r="AK816" s="2494"/>
      <c r="AL816" s="540"/>
      <c r="AM816" s="597"/>
      <c r="AO816" s="30"/>
      <c r="AP816" s="14"/>
      <c r="AQ816" s="14"/>
      <c r="AR816" s="14"/>
      <c r="AS816" s="14"/>
      <c r="AT816" s="14"/>
      <c r="AU816" s="14"/>
      <c r="AV816" s="14"/>
      <c r="AW816" s="14"/>
      <c r="AX816" s="14"/>
      <c r="AY816" s="14"/>
      <c r="AZ816" s="14"/>
      <c r="BA816" s="14"/>
      <c r="BB816" s="14"/>
      <c r="BC816" s="14"/>
      <c r="BD816" s="32"/>
      <c r="BE816" s="32"/>
      <c r="BF816" s="32"/>
      <c r="BG816" s="32"/>
      <c r="BH816" s="32"/>
      <c r="BI816" s="14"/>
      <c r="BJ816" s="14"/>
      <c r="BK816" s="14"/>
      <c r="BL816" s="14"/>
      <c r="BM816" s="14"/>
      <c r="BN816" s="14"/>
      <c r="BO816" s="14"/>
      <c r="BP816" s="14"/>
      <c r="BQ816" s="14"/>
      <c r="BR816" s="14"/>
      <c r="BS816" s="14"/>
      <c r="BT816" s="14"/>
      <c r="BU816" s="14"/>
      <c r="BV816" s="14"/>
      <c r="BW816" s="14"/>
      <c r="BX816" s="14"/>
      <c r="BY816" s="14"/>
      <c r="BZ816" s="14"/>
      <c r="CA816" s="14"/>
      <c r="CB816" s="14"/>
      <c r="CC816" s="14"/>
    </row>
    <row r="817" spans="1:81" s="535" customFormat="1" ht="13">
      <c r="A817" s="821" t="s">
        <v>1452</v>
      </c>
      <c r="B817" s="2484" t="s">
        <v>844</v>
      </c>
      <c r="C817" s="2484"/>
      <c r="D817" s="2484"/>
      <c r="E817" s="2484"/>
      <c r="F817" s="2484"/>
      <c r="G817" s="2484"/>
      <c r="H817" s="2484"/>
      <c r="I817" s="2484"/>
      <c r="J817" s="2484"/>
      <c r="K817" s="2484"/>
      <c r="L817" s="2484"/>
      <c r="M817" s="2484"/>
      <c r="N817" s="2484"/>
      <c r="O817" s="2484"/>
      <c r="P817" s="2484"/>
      <c r="Q817" s="2484"/>
      <c r="R817" s="2484"/>
      <c r="S817" s="2485"/>
      <c r="T817" s="2486">
        <f>AK469</f>
        <v>10</v>
      </c>
      <c r="U817" s="2486"/>
      <c r="V817" s="2486"/>
      <c r="W817" s="2486"/>
      <c r="X817" s="2486"/>
      <c r="Y817" s="2486"/>
      <c r="Z817" s="2495">
        <v>10</v>
      </c>
      <c r="AA817" s="2496"/>
      <c r="AB817" s="2496"/>
      <c r="AC817" s="2496"/>
      <c r="AD817" s="2496"/>
      <c r="AE817" s="2497"/>
      <c r="AF817" s="2452">
        <f>IF(T817&gt;Z817,Z817,T817)</f>
        <v>10</v>
      </c>
      <c r="AG817" s="2452"/>
      <c r="AH817" s="2452"/>
      <c r="AI817" s="2452"/>
      <c r="AJ817" s="2452"/>
      <c r="AK817" s="2452"/>
      <c r="AL817" s="540"/>
      <c r="AM817" s="597"/>
      <c r="AO817" s="30"/>
      <c r="AP817" s="14"/>
      <c r="AQ817" s="14"/>
      <c r="AR817" s="14"/>
      <c r="AS817" s="14"/>
      <c r="AT817" s="14"/>
      <c r="AU817" s="14"/>
      <c r="AV817" s="14"/>
      <c r="AW817" s="14"/>
      <c r="AX817" s="14"/>
      <c r="AY817" s="14"/>
      <c r="AZ817" s="14"/>
      <c r="BA817" s="14"/>
      <c r="BB817" s="14"/>
      <c r="BC817" s="14"/>
      <c r="BD817" s="32"/>
      <c r="BE817" s="32"/>
      <c r="BF817" s="32"/>
      <c r="BG817" s="32"/>
      <c r="BH817" s="32"/>
      <c r="BI817" s="14"/>
      <c r="BJ817" s="14"/>
      <c r="BK817" s="14"/>
      <c r="BL817" s="14"/>
      <c r="BM817" s="14"/>
      <c r="BN817" s="14"/>
      <c r="BO817" s="14"/>
      <c r="BP817" s="14"/>
      <c r="BQ817" s="14"/>
      <c r="BR817" s="14"/>
      <c r="BS817" s="14"/>
      <c r="BT817" s="14"/>
      <c r="BU817" s="14"/>
      <c r="BV817" s="14"/>
      <c r="BW817" s="14"/>
      <c r="BX817" s="14"/>
      <c r="BY817" s="14"/>
      <c r="BZ817" s="14"/>
      <c r="CA817" s="14"/>
      <c r="CB817" s="14"/>
      <c r="CC817" s="14"/>
    </row>
    <row r="818" spans="1:81" s="535" customFormat="1" ht="13">
      <c r="A818" s="821" t="s">
        <v>1557</v>
      </c>
      <c r="B818" s="2484" t="s">
        <v>1558</v>
      </c>
      <c r="C818" s="2484"/>
      <c r="D818" s="2484"/>
      <c r="E818" s="2484"/>
      <c r="F818" s="2484"/>
      <c r="G818" s="2484"/>
      <c r="H818" s="2484"/>
      <c r="I818" s="2484"/>
      <c r="J818" s="2484"/>
      <c r="K818" s="2484"/>
      <c r="L818" s="2484"/>
      <c r="M818" s="2484"/>
      <c r="N818" s="2484"/>
      <c r="O818" s="2484"/>
      <c r="P818" s="2484"/>
      <c r="Q818" s="2484"/>
      <c r="R818" s="2484"/>
      <c r="S818" s="2485"/>
      <c r="T818" s="2486">
        <f>AK559</f>
        <v>12</v>
      </c>
      <c r="U818" s="2486"/>
      <c r="V818" s="2486"/>
      <c r="W818" s="2486"/>
      <c r="X818" s="2486"/>
      <c r="Y818" s="2486"/>
      <c r="Z818" s="2495">
        <v>12</v>
      </c>
      <c r="AA818" s="2496"/>
      <c r="AB818" s="2496"/>
      <c r="AC818" s="2496"/>
      <c r="AD818" s="2496"/>
      <c r="AE818" s="2497"/>
      <c r="AF818" s="2452">
        <f>IF(T818&gt;Z818,Z818,T818)</f>
        <v>12</v>
      </c>
      <c r="AG818" s="2452"/>
      <c r="AH818" s="2452"/>
      <c r="AI818" s="2452"/>
      <c r="AJ818" s="2452"/>
      <c r="AK818" s="2452"/>
      <c r="AL818" s="540"/>
      <c r="AM818" s="597"/>
      <c r="AO818" s="30"/>
      <c r="AP818" s="14"/>
      <c r="AQ818" s="14"/>
      <c r="AR818" s="14"/>
      <c r="AS818" s="14"/>
      <c r="AT818" s="14"/>
      <c r="AU818" s="14"/>
      <c r="AV818" s="14"/>
      <c r="AW818" s="14"/>
      <c r="AX818" s="14"/>
      <c r="AY818" s="14"/>
      <c r="AZ818" s="14"/>
      <c r="BA818" s="14"/>
      <c r="BB818" s="14"/>
      <c r="BC818" s="14"/>
      <c r="BD818" s="32"/>
      <c r="BE818" s="32"/>
      <c r="BF818" s="32"/>
      <c r="BG818" s="32"/>
      <c r="BH818" s="32"/>
      <c r="BI818" s="14"/>
      <c r="BJ818" s="14"/>
      <c r="BK818" s="14"/>
      <c r="BL818" s="14"/>
      <c r="BM818" s="14"/>
      <c r="BN818" s="14"/>
      <c r="BO818" s="14"/>
      <c r="BP818" s="14"/>
      <c r="BQ818" s="14"/>
      <c r="BR818" s="14"/>
      <c r="BS818" s="14"/>
      <c r="BT818" s="14"/>
      <c r="BU818" s="14"/>
      <c r="BV818" s="14"/>
      <c r="BW818" s="14"/>
      <c r="BX818" s="14"/>
      <c r="BY818" s="14"/>
      <c r="BZ818" s="14"/>
      <c r="CA818" s="14"/>
      <c r="CB818" s="14"/>
      <c r="CC818" s="14"/>
    </row>
    <row r="819" spans="1:81" s="535" customFormat="1" ht="13">
      <c r="A819" s="821" t="s">
        <v>2021</v>
      </c>
      <c r="B819" s="2484" t="s">
        <v>1580</v>
      </c>
      <c r="C819" s="2484"/>
      <c r="D819" s="2484"/>
      <c r="E819" s="2484"/>
      <c r="F819" s="2484"/>
      <c r="G819" s="2484"/>
      <c r="H819" s="2484"/>
      <c r="I819" s="2484"/>
      <c r="J819" s="2484"/>
      <c r="K819" s="2484"/>
      <c r="L819" s="2484"/>
      <c r="M819" s="2484"/>
      <c r="N819" s="2484"/>
      <c r="O819" s="2484"/>
      <c r="P819" s="2484"/>
      <c r="Q819" s="2484"/>
      <c r="R819" s="2484"/>
      <c r="S819" s="2485"/>
      <c r="T819" s="2486">
        <f>AK794</f>
        <v>10</v>
      </c>
      <c r="U819" s="2486"/>
      <c r="V819" s="2486"/>
      <c r="W819" s="2486"/>
      <c r="X819" s="2486"/>
      <c r="Y819" s="2486"/>
      <c r="Z819" s="2495">
        <v>10</v>
      </c>
      <c r="AA819" s="2496"/>
      <c r="AB819" s="2496"/>
      <c r="AC819" s="2496"/>
      <c r="AD819" s="2496"/>
      <c r="AE819" s="2497"/>
      <c r="AF819" s="2452">
        <f>IF(T819&gt;Z819,Z819,T819)</f>
        <v>10</v>
      </c>
      <c r="AG819" s="2452"/>
      <c r="AH819" s="2452"/>
      <c r="AI819" s="2452"/>
      <c r="AJ819" s="2452"/>
      <c r="AK819" s="2452"/>
      <c r="AL819" s="540"/>
      <c r="AM819" s="597"/>
      <c r="AO819" s="30"/>
      <c r="AP819" s="14"/>
      <c r="AQ819" s="14"/>
      <c r="AR819" s="14"/>
      <c r="AS819" s="14"/>
      <c r="AT819" s="14"/>
      <c r="AU819" s="14"/>
      <c r="AV819" s="14"/>
      <c r="AW819" s="14"/>
      <c r="AX819" s="14"/>
      <c r="AY819" s="14"/>
      <c r="AZ819" s="14"/>
      <c r="BA819" s="14"/>
      <c r="BB819" s="14"/>
      <c r="BC819" s="14"/>
      <c r="BD819" s="32"/>
      <c r="BE819" s="32"/>
      <c r="BF819" s="32"/>
      <c r="BG819" s="32"/>
      <c r="BH819" s="32"/>
      <c r="BI819" s="14"/>
      <c r="BJ819" s="14"/>
      <c r="BK819" s="14"/>
      <c r="BL819" s="14"/>
      <c r="BM819" s="14"/>
      <c r="BN819" s="14"/>
      <c r="BO819" s="14"/>
      <c r="BP819" s="14"/>
      <c r="BQ819" s="14"/>
      <c r="BR819" s="14"/>
      <c r="BS819" s="14"/>
      <c r="BT819" s="14"/>
      <c r="BU819" s="14"/>
      <c r="BV819" s="14"/>
      <c r="BW819" s="14"/>
      <c r="BX819" s="14"/>
      <c r="BY819" s="14"/>
      <c r="BZ819" s="14"/>
      <c r="CA819" s="14"/>
      <c r="CB819" s="14"/>
      <c r="CC819" s="14"/>
    </row>
    <row r="820" spans="1:81" s="535" customFormat="1" ht="13">
      <c r="A820" s="2498" t="s">
        <v>1581</v>
      </c>
      <c r="B820" s="2484"/>
      <c r="C820" s="2484"/>
      <c r="D820" s="2484"/>
      <c r="E820" s="2484"/>
      <c r="F820" s="2484"/>
      <c r="G820" s="2484"/>
      <c r="H820" s="2484"/>
      <c r="I820" s="2484"/>
      <c r="J820" s="2484"/>
      <c r="K820" s="2484"/>
      <c r="L820" s="2484"/>
      <c r="M820" s="2484"/>
      <c r="N820" s="2484"/>
      <c r="O820" s="2484"/>
      <c r="P820" s="2484"/>
      <c r="Q820" s="2484"/>
      <c r="R820" s="2484"/>
      <c r="S820" s="2485"/>
      <c r="T820" s="2499"/>
      <c r="U820" s="2499"/>
      <c r="V820" s="2499"/>
      <c r="W820" s="2499"/>
      <c r="X820" s="2499"/>
      <c r="Y820" s="2499"/>
      <c r="Z820" s="2493" t="s">
        <v>1582</v>
      </c>
      <c r="AA820" s="2493"/>
      <c r="AB820" s="2493"/>
      <c r="AC820" s="2493"/>
      <c r="AD820" s="2493"/>
      <c r="AE820" s="2493"/>
      <c r="AF820" s="2495">
        <f>IF(T820&gt;0,T820,0)</f>
        <v>0</v>
      </c>
      <c r="AG820" s="2496"/>
      <c r="AH820" s="2496"/>
      <c r="AI820" s="2496"/>
      <c r="AJ820" s="2496"/>
      <c r="AK820" s="2497"/>
      <c r="AL820" s="592"/>
      <c r="AM820" s="597"/>
      <c r="AO820" s="30"/>
      <c r="AP820" s="14"/>
      <c r="AQ820" s="14"/>
      <c r="AR820" s="14"/>
      <c r="AS820" s="14"/>
      <c r="AT820" s="14"/>
      <c r="AU820" s="14"/>
      <c r="AV820" s="14"/>
      <c r="AW820" s="14"/>
      <c r="AX820" s="14"/>
      <c r="AY820" s="14"/>
      <c r="AZ820" s="14"/>
      <c r="BA820" s="14"/>
      <c r="BB820" s="14"/>
      <c r="BC820" s="14"/>
      <c r="BD820" s="32"/>
      <c r="BE820" s="32"/>
      <c r="BF820" s="32"/>
      <c r="BG820" s="32"/>
      <c r="BH820" s="32"/>
      <c r="BI820" s="14"/>
      <c r="BJ820" s="14"/>
      <c r="BK820" s="14"/>
      <c r="BL820" s="14"/>
      <c r="BM820" s="14"/>
      <c r="BN820" s="14"/>
      <c r="BO820" s="14"/>
      <c r="BP820" s="14"/>
      <c r="BQ820" s="14"/>
      <c r="BR820" s="14"/>
      <c r="BS820" s="14"/>
      <c r="BT820" s="14"/>
      <c r="BU820" s="14"/>
      <c r="BV820" s="14"/>
      <c r="BW820" s="14"/>
      <c r="BX820" s="14"/>
      <c r="BY820" s="14"/>
      <c r="BZ820" s="14"/>
      <c r="CA820" s="14"/>
      <c r="CB820" s="14"/>
      <c r="CC820" s="14"/>
    </row>
    <row r="821" spans="1:81" s="535" customFormat="1" ht="15.5">
      <c r="A821" s="2500" t="s">
        <v>1583</v>
      </c>
      <c r="B821" s="2501"/>
      <c r="C821" s="2501"/>
      <c r="D821" s="2501"/>
      <c r="E821" s="2501"/>
      <c r="F821" s="2501"/>
      <c r="G821" s="2501"/>
      <c r="H821" s="2501"/>
      <c r="I821" s="2501"/>
      <c r="J821" s="2501"/>
      <c r="K821" s="2501"/>
      <c r="L821" s="2501"/>
      <c r="M821" s="2501"/>
      <c r="N821" s="2501"/>
      <c r="O821" s="2501"/>
      <c r="P821" s="2501"/>
      <c r="Q821" s="2501"/>
      <c r="R821" s="2501"/>
      <c r="S821" s="2501"/>
      <c r="T821" s="2501"/>
      <c r="U821" s="2501"/>
      <c r="V821" s="2501"/>
      <c r="W821" s="2501"/>
      <c r="X821" s="2501"/>
      <c r="Y821" s="2501"/>
      <c r="Z821" s="2501"/>
      <c r="AA821" s="2501"/>
      <c r="AB821" s="2501"/>
      <c r="AC821" s="2501"/>
      <c r="AD821" s="2501"/>
      <c r="AE821" s="2502"/>
      <c r="AF821" s="2506">
        <f>SUM(AF804:AK819)-AF820</f>
        <v>104</v>
      </c>
      <c r="AG821" s="2507"/>
      <c r="AH821" s="2507"/>
      <c r="AI821" s="2507"/>
      <c r="AJ821" s="2507"/>
      <c r="AK821" s="2508"/>
      <c r="AL821" s="826"/>
      <c r="AM821" s="551"/>
      <c r="AO821" s="30"/>
      <c r="AP821" s="14"/>
      <c r="AQ821" s="14"/>
      <c r="AR821" s="14"/>
      <c r="AS821" s="14"/>
      <c r="AT821" s="14"/>
      <c r="AU821" s="14"/>
      <c r="AV821" s="14"/>
      <c r="AW821" s="14"/>
      <c r="AX821" s="14"/>
      <c r="AY821" s="14"/>
      <c r="AZ821" s="14"/>
      <c r="BA821" s="14"/>
      <c r="BB821" s="14"/>
      <c r="BC821" s="14"/>
      <c r="BD821" s="32"/>
      <c r="BE821" s="32"/>
      <c r="BF821" s="32"/>
      <c r="BG821" s="32"/>
      <c r="BH821" s="32"/>
      <c r="BI821" s="14"/>
      <c r="BJ821" s="14"/>
      <c r="BK821" s="14"/>
      <c r="BL821" s="14"/>
      <c r="BM821" s="14"/>
      <c r="BN821" s="14"/>
      <c r="BO821" s="14"/>
      <c r="BP821" s="14"/>
      <c r="BQ821" s="14"/>
      <c r="BR821" s="14"/>
      <c r="BS821" s="14"/>
      <c r="BT821" s="14"/>
      <c r="BU821" s="14"/>
      <c r="BV821" s="14"/>
      <c r="BW821" s="14"/>
      <c r="BX821" s="14"/>
      <c r="BY821" s="14"/>
      <c r="BZ821" s="14"/>
      <c r="CA821" s="14"/>
      <c r="CB821" s="14"/>
      <c r="CC821" s="14"/>
    </row>
    <row r="822" spans="1:81" s="535" customFormat="1" ht="15.5">
      <c r="A822" s="2503"/>
      <c r="B822" s="2504"/>
      <c r="C822" s="2504"/>
      <c r="D822" s="2504"/>
      <c r="E822" s="2504"/>
      <c r="F822" s="2504"/>
      <c r="G822" s="2504"/>
      <c r="H822" s="2504"/>
      <c r="I822" s="2504"/>
      <c r="J822" s="2504"/>
      <c r="K822" s="2504"/>
      <c r="L822" s="2504"/>
      <c r="M822" s="2504"/>
      <c r="N822" s="2504"/>
      <c r="O822" s="2504"/>
      <c r="P822" s="2504"/>
      <c r="Q822" s="2504"/>
      <c r="R822" s="2504"/>
      <c r="S822" s="2504"/>
      <c r="T822" s="2504"/>
      <c r="U822" s="2504"/>
      <c r="V822" s="2504"/>
      <c r="W822" s="2504"/>
      <c r="X822" s="2504"/>
      <c r="Y822" s="2504"/>
      <c r="Z822" s="2504"/>
      <c r="AA822" s="2504"/>
      <c r="AB822" s="2504"/>
      <c r="AC822" s="2504"/>
      <c r="AD822" s="2504"/>
      <c r="AE822" s="2505"/>
      <c r="AF822" s="2509"/>
      <c r="AG822" s="2510"/>
      <c r="AH822" s="2510"/>
      <c r="AI822" s="2510"/>
      <c r="AJ822" s="2510"/>
      <c r="AK822" s="2511"/>
      <c r="AL822" s="826"/>
      <c r="AM822" s="551"/>
      <c r="AO822" s="30"/>
      <c r="AP822" s="14"/>
      <c r="AQ822" s="14"/>
      <c r="AR822" s="14"/>
      <c r="AS822" s="14"/>
      <c r="AT822" s="14"/>
      <c r="AU822" s="14"/>
      <c r="AV822" s="14"/>
      <c r="AW822" s="14"/>
      <c r="AX822" s="14"/>
      <c r="AY822" s="14"/>
      <c r="AZ822" s="14"/>
      <c r="BA822" s="14"/>
      <c r="BB822" s="14"/>
      <c r="BC822" s="14"/>
      <c r="BD822" s="32"/>
      <c r="BE822" s="32"/>
      <c r="BF822" s="32"/>
      <c r="BG822" s="32"/>
      <c r="BH822" s="32"/>
      <c r="BI822" s="14"/>
      <c r="BJ822" s="14"/>
      <c r="BK822" s="14"/>
      <c r="BL822" s="14"/>
      <c r="BM822" s="14"/>
      <c r="BN822" s="14"/>
      <c r="BO822" s="14"/>
      <c r="BP822" s="14"/>
      <c r="BQ822" s="14"/>
      <c r="BR822" s="14"/>
      <c r="BS822" s="14"/>
      <c r="BT822" s="14"/>
      <c r="BU822" s="14"/>
      <c r="BV822" s="14"/>
      <c r="BW822" s="14"/>
      <c r="BX822" s="14"/>
      <c r="BY822" s="14"/>
      <c r="BZ822" s="14"/>
      <c r="CA822" s="14"/>
      <c r="CB822" s="14"/>
      <c r="CC822" s="14"/>
    </row>
    <row r="823" spans="1:81" s="535" customFormat="1">
      <c r="A823" s="664"/>
      <c r="B823" s="664"/>
      <c r="C823" s="664"/>
      <c r="D823" s="664"/>
      <c r="E823" s="664"/>
      <c r="F823" s="664"/>
      <c r="G823" s="664"/>
      <c r="H823" s="664"/>
      <c r="I823" s="664"/>
      <c r="J823" s="664"/>
      <c r="K823" s="664"/>
      <c r="L823" s="664"/>
      <c r="M823" s="664"/>
      <c r="N823" s="664"/>
      <c r="O823" s="664"/>
      <c r="P823" s="664"/>
      <c r="Q823" s="664"/>
      <c r="R823" s="664"/>
      <c r="S823" s="664"/>
      <c r="T823" s="664"/>
      <c r="U823" s="664"/>
      <c r="V823" s="664"/>
      <c r="W823" s="664"/>
      <c r="X823" s="664"/>
      <c r="Y823" s="664"/>
      <c r="Z823" s="664"/>
      <c r="AA823" s="664"/>
      <c r="AB823" s="664"/>
      <c r="AC823" s="664"/>
      <c r="AD823" s="664"/>
      <c r="AE823" s="664"/>
      <c r="AF823" s="664"/>
      <c r="AG823" s="664"/>
      <c r="AH823" s="664"/>
      <c r="AI823" s="664"/>
      <c r="AJ823" s="664"/>
      <c r="AK823" s="664"/>
      <c r="AL823" s="664"/>
      <c r="AM823" s="827"/>
      <c r="AO823" s="30"/>
      <c r="AP823" s="14"/>
      <c r="AQ823" s="14"/>
      <c r="AR823" s="14"/>
      <c r="AS823" s="14"/>
      <c r="AT823" s="14"/>
      <c r="AU823" s="14"/>
      <c r="AV823" s="14"/>
      <c r="AW823" s="14"/>
      <c r="AX823" s="14"/>
      <c r="AY823" s="14"/>
      <c r="AZ823" s="14"/>
      <c r="BA823" s="14"/>
      <c r="BB823" s="14"/>
      <c r="BC823" s="14"/>
      <c r="BD823" s="32"/>
      <c r="BE823" s="32"/>
      <c r="BF823" s="32"/>
      <c r="BG823" s="32"/>
      <c r="BH823" s="32"/>
      <c r="BI823" s="14"/>
      <c r="BJ823" s="14"/>
      <c r="BK823" s="14"/>
      <c r="BL823" s="14"/>
      <c r="BM823" s="14"/>
      <c r="BN823" s="14"/>
      <c r="BO823" s="14"/>
      <c r="BP823" s="14"/>
      <c r="BQ823" s="14"/>
      <c r="BR823" s="14"/>
      <c r="BS823" s="14"/>
      <c r="BT823" s="14"/>
      <c r="BU823" s="14"/>
      <c r="BV823" s="14"/>
      <c r="BW823" s="14"/>
      <c r="BX823" s="14"/>
      <c r="BY823" s="14"/>
      <c r="BZ823" s="14"/>
      <c r="CA823" s="14"/>
      <c r="CB823" s="14"/>
      <c r="CC823" s="14"/>
    </row>
    <row r="824" spans="1:81"/>
    <row r="825" spans="1:81"/>
    <row r="826" spans="1:81"/>
    <row r="827" spans="1:81"/>
  </sheetData>
  <sheetProtection algorithmName="SHA-512" hashValue="7Wiaw8Y2g2NnzB0uoArkKL4u84E5u6Xnc1DCxMM6MqznKQCYTZz8PLxb6K993kwMxqPmjDLUS9CgdLAhFLUn/Q==" saltValue="BJr0GqO7II4IQPVA7La+Jg==" spinCount="100000" sheet="1" objects="1" scenarios="1"/>
  <mergeCells count="506">
    <mergeCell ref="E93:H93"/>
    <mergeCell ref="E94:H94"/>
    <mergeCell ref="E76:F76"/>
    <mergeCell ref="E77:F77"/>
    <mergeCell ref="B25:C25"/>
    <mergeCell ref="E25:AJ26"/>
    <mergeCell ref="B36:C36"/>
    <mergeCell ref="E36:AJ38"/>
    <mergeCell ref="AE65:AK65"/>
    <mergeCell ref="B68:C68"/>
    <mergeCell ref="E68:AJ72"/>
    <mergeCell ref="B74:C74"/>
    <mergeCell ref="E75:F75"/>
    <mergeCell ref="B58:C58"/>
    <mergeCell ref="E56:AJ56"/>
    <mergeCell ref="E58:AJ59"/>
    <mergeCell ref="E79:F79"/>
    <mergeCell ref="B28:C28"/>
    <mergeCell ref="E28:AJ28"/>
    <mergeCell ref="B40:C40"/>
    <mergeCell ref="E40:AJ41"/>
    <mergeCell ref="E95:H95"/>
    <mergeCell ref="B98:C98"/>
    <mergeCell ref="E98:AJ101"/>
    <mergeCell ref="E103:H103"/>
    <mergeCell ref="E104:H104"/>
    <mergeCell ref="E105:H105"/>
    <mergeCell ref="A1:AM2"/>
    <mergeCell ref="AE7:AK7"/>
    <mergeCell ref="B13:C13"/>
    <mergeCell ref="AG13:AJ13"/>
    <mergeCell ref="B16:C16"/>
    <mergeCell ref="E16:AJ18"/>
    <mergeCell ref="AK62:AM62"/>
    <mergeCell ref="B45:C45"/>
    <mergeCell ref="B52:C52"/>
    <mergeCell ref="B33:C33"/>
    <mergeCell ref="E33:AJ34"/>
    <mergeCell ref="E45:AJ47"/>
    <mergeCell ref="E52:AJ54"/>
    <mergeCell ref="B56:C56"/>
    <mergeCell ref="E20:AJ20"/>
    <mergeCell ref="B22:C22"/>
    <mergeCell ref="E22:AJ23"/>
    <mergeCell ref="E90:AJ91"/>
    <mergeCell ref="AF168:AL168"/>
    <mergeCell ref="AK143:AM143"/>
    <mergeCell ref="AE146:AK146"/>
    <mergeCell ref="AF148:AL148"/>
    <mergeCell ref="B150:AC150"/>
    <mergeCell ref="E130:H130"/>
    <mergeCell ref="J130:M130"/>
    <mergeCell ref="O130:R130"/>
    <mergeCell ref="B81:C81"/>
    <mergeCell ref="E81:AJ82"/>
    <mergeCell ref="E136:H136"/>
    <mergeCell ref="J136:M136"/>
    <mergeCell ref="O136:R136"/>
    <mergeCell ref="T136:W136"/>
    <mergeCell ref="Y136:AB136"/>
    <mergeCell ref="AD136:AG136"/>
    <mergeCell ref="T130:W130"/>
    <mergeCell ref="Y130:AB130"/>
    <mergeCell ref="AD130:AG130"/>
    <mergeCell ref="B115:C115"/>
    <mergeCell ref="AE112:AK112"/>
    <mergeCell ref="AK84:AM84"/>
    <mergeCell ref="AE87:AK87"/>
    <mergeCell ref="B90:C90"/>
    <mergeCell ref="E106:H106"/>
    <mergeCell ref="AK109:AM109"/>
    <mergeCell ref="E124:H124"/>
    <mergeCell ref="E127:H127"/>
    <mergeCell ref="J127:M127"/>
    <mergeCell ref="O127:R127"/>
    <mergeCell ref="T127:W127"/>
    <mergeCell ref="Y127:AB127"/>
    <mergeCell ref="AD127:AG127"/>
    <mergeCell ref="E115:AJ122"/>
    <mergeCell ref="J124:M124"/>
    <mergeCell ref="O124:R124"/>
    <mergeCell ref="T124:W124"/>
    <mergeCell ref="Y124:AB124"/>
    <mergeCell ref="AD124:AG124"/>
    <mergeCell ref="AB256:AG256"/>
    <mergeCell ref="B200:AB200"/>
    <mergeCell ref="B201:AB201"/>
    <mergeCell ref="B202:AB202"/>
    <mergeCell ref="AD207:AJ207"/>
    <mergeCell ref="AD206:AJ206"/>
    <mergeCell ref="AD205:AJ205"/>
    <mergeCell ref="AD204:AJ204"/>
    <mergeCell ref="AD203:AJ203"/>
    <mergeCell ref="AD202:AJ202"/>
    <mergeCell ref="B223:G223"/>
    <mergeCell ref="I223:K223"/>
    <mergeCell ref="I222:K222"/>
    <mergeCell ref="I224:K224"/>
    <mergeCell ref="B203:AB203"/>
    <mergeCell ref="B204:AB204"/>
    <mergeCell ref="B229:G229"/>
    <mergeCell ref="AB225:AG225"/>
    <mergeCell ref="I231:K231"/>
    <mergeCell ref="I232:K232"/>
    <mergeCell ref="I233:K233"/>
    <mergeCell ref="N223:R223"/>
    <mergeCell ref="N224:R224"/>
    <mergeCell ref="B209:AB209"/>
    <mergeCell ref="AB258:AG258"/>
    <mergeCell ref="E139:H139"/>
    <mergeCell ref="AK183:AM183"/>
    <mergeCell ref="AE186:AK186"/>
    <mergeCell ref="B188:AC188"/>
    <mergeCell ref="AF188:AL188"/>
    <mergeCell ref="B189:S189"/>
    <mergeCell ref="T189:AC189"/>
    <mergeCell ref="C170:AI170"/>
    <mergeCell ref="AF172:AG172"/>
    <mergeCell ref="C174:AD174"/>
    <mergeCell ref="C178:AD178"/>
    <mergeCell ref="AJ180:AK180"/>
    <mergeCell ref="B153:AI153"/>
    <mergeCell ref="AB155:AC155"/>
    <mergeCell ref="B158:AJ158"/>
    <mergeCell ref="AJ166:AK166"/>
    <mergeCell ref="AB222:AG222"/>
    <mergeCell ref="AB224:AG224"/>
    <mergeCell ref="B199:AB199"/>
    <mergeCell ref="B205:AB205"/>
    <mergeCell ref="B206:AB206"/>
    <mergeCell ref="B207:AB207"/>
    <mergeCell ref="AB254:AG254"/>
    <mergeCell ref="F303:AD306"/>
    <mergeCell ref="C278:D278"/>
    <mergeCell ref="AG278:AJ278"/>
    <mergeCell ref="C282:D282"/>
    <mergeCell ref="AG282:AJ282"/>
    <mergeCell ref="AK191:AM191"/>
    <mergeCell ref="AE194:AK194"/>
    <mergeCell ref="AG268:AK268"/>
    <mergeCell ref="AG269:AK269"/>
    <mergeCell ref="AG270:AK270"/>
    <mergeCell ref="AK273:AM273"/>
    <mergeCell ref="AD209:AJ209"/>
    <mergeCell ref="AD210:AJ210"/>
    <mergeCell ref="AD208:AJ208"/>
    <mergeCell ref="AD201:AJ201"/>
    <mergeCell ref="AD200:AJ200"/>
    <mergeCell ref="AD199:AJ199"/>
    <mergeCell ref="AB260:AG260"/>
    <mergeCell ref="AD211:AJ211"/>
    <mergeCell ref="AB266:AG266"/>
    <mergeCell ref="AB251:AG251"/>
    <mergeCell ref="AB252:AG252"/>
    <mergeCell ref="B208:AB208"/>
    <mergeCell ref="AB257:AG257"/>
    <mergeCell ref="F299:AD300"/>
    <mergeCell ref="A302:B302"/>
    <mergeCell ref="C302:D302"/>
    <mergeCell ref="AK285:AM285"/>
    <mergeCell ref="A292:B292"/>
    <mergeCell ref="C292:D292"/>
    <mergeCell ref="F292:AD294"/>
    <mergeCell ref="F295:AD296"/>
    <mergeCell ref="F297:AD298"/>
    <mergeCell ref="AG292:AK292"/>
    <mergeCell ref="A333:B333"/>
    <mergeCell ref="C333:D333"/>
    <mergeCell ref="F333:AD335"/>
    <mergeCell ref="AK338:AM338"/>
    <mergeCell ref="AE562:AK562"/>
    <mergeCell ref="A310:B310"/>
    <mergeCell ref="C310:D310"/>
    <mergeCell ref="F316:AD320"/>
    <mergeCell ref="I324:AD327"/>
    <mergeCell ref="I329:AD331"/>
    <mergeCell ref="F311:AD312"/>
    <mergeCell ref="C343:AJ347"/>
    <mergeCell ref="C348:AJ348"/>
    <mergeCell ref="C389:D389"/>
    <mergeCell ref="AF389:AL389"/>
    <mergeCell ref="F392:AF396"/>
    <mergeCell ref="C397:D397"/>
    <mergeCell ref="AF397:AL397"/>
    <mergeCell ref="C442:D442"/>
    <mergeCell ref="AF442:AL442"/>
    <mergeCell ref="F445:AE448"/>
    <mergeCell ref="C449:D449"/>
    <mergeCell ref="AF449:AL449"/>
    <mergeCell ref="C453:D453"/>
    <mergeCell ref="B564:AJ572"/>
    <mergeCell ref="B616:C616"/>
    <mergeCell ref="E616:AG619"/>
    <mergeCell ref="AJ621:AK621"/>
    <mergeCell ref="E625:AD632"/>
    <mergeCell ref="AF625:AL625"/>
    <mergeCell ref="AF578:AL578"/>
    <mergeCell ref="AF585:AL585"/>
    <mergeCell ref="AF591:AL591"/>
    <mergeCell ref="AF597:AL597"/>
    <mergeCell ref="AF603:AL603"/>
    <mergeCell ref="H606:I606"/>
    <mergeCell ref="I614:AE614"/>
    <mergeCell ref="O601:AB601"/>
    <mergeCell ref="R606:W606"/>
    <mergeCell ref="Y607:AM608"/>
    <mergeCell ref="AF673:AL673"/>
    <mergeCell ref="H650:I650"/>
    <mergeCell ref="AJ652:AK652"/>
    <mergeCell ref="E657:AC659"/>
    <mergeCell ref="AF657:AL657"/>
    <mergeCell ref="E661:AC663"/>
    <mergeCell ref="AF661:AL661"/>
    <mergeCell ref="X634:Y634"/>
    <mergeCell ref="AF636:AL636"/>
    <mergeCell ref="H638:I638"/>
    <mergeCell ref="AJ640:AK640"/>
    <mergeCell ref="AF644:AL644"/>
    <mergeCell ref="AF647:AL647"/>
    <mergeCell ref="E644:AD645"/>
    <mergeCell ref="AO695:AP695"/>
    <mergeCell ref="E699:AB703"/>
    <mergeCell ref="AF699:AL699"/>
    <mergeCell ref="H709:I709"/>
    <mergeCell ref="E705:AB707"/>
    <mergeCell ref="E677:AC679"/>
    <mergeCell ref="AF677:AL677"/>
    <mergeCell ref="E681:AC683"/>
    <mergeCell ref="AF681:AL681"/>
    <mergeCell ref="H685:I685"/>
    <mergeCell ref="AJ687:AK687"/>
    <mergeCell ref="E691:AB692"/>
    <mergeCell ref="AF691:AL691"/>
    <mergeCell ref="AP725:AQ725"/>
    <mergeCell ref="E729:AB730"/>
    <mergeCell ref="AF729:AL729"/>
    <mergeCell ref="E732:AB733"/>
    <mergeCell ref="AF732:AL732"/>
    <mergeCell ref="AJ711:AK711"/>
    <mergeCell ref="E715:AB717"/>
    <mergeCell ref="AF715:AL715"/>
    <mergeCell ref="E719:AB721"/>
    <mergeCell ref="AF719:AL719"/>
    <mergeCell ref="H723:I723"/>
    <mergeCell ref="AJ725:AK725"/>
    <mergeCell ref="AF785:AL785"/>
    <mergeCell ref="H790:I790"/>
    <mergeCell ref="AJ792:AK792"/>
    <mergeCell ref="H763:I763"/>
    <mergeCell ref="AJ765:AK765"/>
    <mergeCell ref="E769:AD772"/>
    <mergeCell ref="AF769:AL769"/>
    <mergeCell ref="E774:AD777"/>
    <mergeCell ref="AF774:AL774"/>
    <mergeCell ref="H751:I751"/>
    <mergeCell ref="AJ753:AK753"/>
    <mergeCell ref="E757:AB758"/>
    <mergeCell ref="AF757:AL757"/>
    <mergeCell ref="E760:AB761"/>
    <mergeCell ref="AF760:AL760"/>
    <mergeCell ref="H735:I735"/>
    <mergeCell ref="AJ737:AK737"/>
    <mergeCell ref="E741:AB744"/>
    <mergeCell ref="AF741:AL741"/>
    <mergeCell ref="E746:AA749"/>
    <mergeCell ref="AF746:AL746"/>
    <mergeCell ref="AS358:AT358"/>
    <mergeCell ref="AS360:AT360"/>
    <mergeCell ref="C362:AJ367"/>
    <mergeCell ref="AQ366:AR366"/>
    <mergeCell ref="C412:D412"/>
    <mergeCell ref="F412:AE415"/>
    <mergeCell ref="AF413:AL413"/>
    <mergeCell ref="F417:AE420"/>
    <mergeCell ref="C421:D421"/>
    <mergeCell ref="AF421:AL421"/>
    <mergeCell ref="C399:D399"/>
    <mergeCell ref="AF399:AL399"/>
    <mergeCell ref="F403:AF406"/>
    <mergeCell ref="C407:D407"/>
    <mergeCell ref="AF407:AL407"/>
    <mergeCell ref="C409:D409"/>
    <mergeCell ref="AF409:AL409"/>
    <mergeCell ref="AF453:AL453"/>
    <mergeCell ref="C423:D423"/>
    <mergeCell ref="AF423:AL423"/>
    <mergeCell ref="F427:AE429"/>
    <mergeCell ref="C430:D430"/>
    <mergeCell ref="AF430:AL430"/>
    <mergeCell ref="F433:AE441"/>
    <mergeCell ref="C478:D478"/>
    <mergeCell ref="F478:AE479"/>
    <mergeCell ref="C515:D515"/>
    <mergeCell ref="C519:D519"/>
    <mergeCell ref="G519:AF520"/>
    <mergeCell ref="C523:D523"/>
    <mergeCell ref="F524:AF525"/>
    <mergeCell ref="C466:D466"/>
    <mergeCell ref="AF466:AL466"/>
    <mergeCell ref="C501:D501"/>
    <mergeCell ref="F501:AE502"/>
    <mergeCell ref="B804:S804"/>
    <mergeCell ref="T804:Y804"/>
    <mergeCell ref="Z804:AE804"/>
    <mergeCell ref="AF804:AK804"/>
    <mergeCell ref="B805:S805"/>
    <mergeCell ref="T805:Y805"/>
    <mergeCell ref="Z805:AE805"/>
    <mergeCell ref="AF805:AK805"/>
    <mergeCell ref="B555:AJ557"/>
    <mergeCell ref="AK559:AM559"/>
    <mergeCell ref="A797:AM798"/>
    <mergeCell ref="A800:AM800"/>
    <mergeCell ref="A801:AM801"/>
    <mergeCell ref="T802:Y803"/>
    <mergeCell ref="Z802:AE803"/>
    <mergeCell ref="AF802:AK803"/>
    <mergeCell ref="E694:AB697"/>
    <mergeCell ref="AF694:AL694"/>
    <mergeCell ref="E665:AC667"/>
    <mergeCell ref="AF665:AL665"/>
    <mergeCell ref="AE666:AK666"/>
    <mergeCell ref="E669:AC671"/>
    <mergeCell ref="AF669:AL669"/>
    <mergeCell ref="E673:AC675"/>
    <mergeCell ref="B808:S808"/>
    <mergeCell ref="T808:Y808"/>
    <mergeCell ref="Z808:AE808"/>
    <mergeCell ref="AF808:AK808"/>
    <mergeCell ref="C809:S809"/>
    <mergeCell ref="T809:Y809"/>
    <mergeCell ref="Z809:AE809"/>
    <mergeCell ref="AF809:AK809"/>
    <mergeCell ref="B806:S806"/>
    <mergeCell ref="T806:Y806"/>
    <mergeCell ref="Z806:AE806"/>
    <mergeCell ref="AF806:AK806"/>
    <mergeCell ref="B807:S807"/>
    <mergeCell ref="T807:Y807"/>
    <mergeCell ref="Z807:AE807"/>
    <mergeCell ref="AF807:AK807"/>
    <mergeCell ref="A820:S820"/>
    <mergeCell ref="T820:Y820"/>
    <mergeCell ref="Z820:AE820"/>
    <mergeCell ref="AF820:AK820"/>
    <mergeCell ref="A821:AE822"/>
    <mergeCell ref="AF821:AK822"/>
    <mergeCell ref="B817:S817"/>
    <mergeCell ref="T817:Y817"/>
    <mergeCell ref="Z817:AE817"/>
    <mergeCell ref="AF817:AK817"/>
    <mergeCell ref="B818:S818"/>
    <mergeCell ref="T818:Y818"/>
    <mergeCell ref="Z818:AE818"/>
    <mergeCell ref="AF818:AK818"/>
    <mergeCell ref="T819:Y819"/>
    <mergeCell ref="Z819:AE819"/>
    <mergeCell ref="AF819:AK819"/>
    <mergeCell ref="B819:S819"/>
    <mergeCell ref="B814:S814"/>
    <mergeCell ref="T814:Y814"/>
    <mergeCell ref="Z814:AE814"/>
    <mergeCell ref="AF814:AK814"/>
    <mergeCell ref="B815:S815"/>
    <mergeCell ref="T815:Y815"/>
    <mergeCell ref="Z815:AE815"/>
    <mergeCell ref="AF815:AK815"/>
    <mergeCell ref="T816:Y816"/>
    <mergeCell ref="Z816:AE816"/>
    <mergeCell ref="AF816:AK816"/>
    <mergeCell ref="B812:S812"/>
    <mergeCell ref="T812:Y812"/>
    <mergeCell ref="Z812:AE812"/>
    <mergeCell ref="AF812:AK812"/>
    <mergeCell ref="B813:S813"/>
    <mergeCell ref="T813:Y813"/>
    <mergeCell ref="Z813:AE813"/>
    <mergeCell ref="AF813:AK813"/>
    <mergeCell ref="C810:S810"/>
    <mergeCell ref="T810:Y810"/>
    <mergeCell ref="Z810:AE810"/>
    <mergeCell ref="AF810:AK810"/>
    <mergeCell ref="B811:S811"/>
    <mergeCell ref="T811:Y811"/>
    <mergeCell ref="Z811:AE811"/>
    <mergeCell ref="AF811:AK811"/>
    <mergeCell ref="AB223:AG223"/>
    <mergeCell ref="I226:K226"/>
    <mergeCell ref="I227:K227"/>
    <mergeCell ref="N230:R230"/>
    <mergeCell ref="N227:R227"/>
    <mergeCell ref="E785:AD788"/>
    <mergeCell ref="I228:K228"/>
    <mergeCell ref="I229:K229"/>
    <mergeCell ref="I230:K230"/>
    <mergeCell ref="B230:G230"/>
    <mergeCell ref="B231:G231"/>
    <mergeCell ref="B232:G232"/>
    <mergeCell ref="B233:G233"/>
    <mergeCell ref="B226:G226"/>
    <mergeCell ref="B227:G227"/>
    <mergeCell ref="B224:G224"/>
    <mergeCell ref="B225:G225"/>
    <mergeCell ref="B228:G228"/>
    <mergeCell ref="AE538:AK538"/>
    <mergeCell ref="C541:D541"/>
    <mergeCell ref="F541:AL542"/>
    <mergeCell ref="C510:D510"/>
    <mergeCell ref="C512:D512"/>
    <mergeCell ref="G513:AF513"/>
    <mergeCell ref="C544:D544"/>
    <mergeCell ref="AB247:AG247"/>
    <mergeCell ref="B210:AB210"/>
    <mergeCell ref="T224:Y224"/>
    <mergeCell ref="T223:Y223"/>
    <mergeCell ref="AB240:AG240"/>
    <mergeCell ref="AB243:AG243"/>
    <mergeCell ref="F503:Z503"/>
    <mergeCell ref="C505:D505"/>
    <mergeCell ref="F505:AE506"/>
    <mergeCell ref="F508:H508"/>
    <mergeCell ref="D495:E495"/>
    <mergeCell ref="V496:X496"/>
    <mergeCell ref="V498:X498"/>
    <mergeCell ref="F480:Z480"/>
    <mergeCell ref="C482:D482"/>
    <mergeCell ref="C457:D457"/>
    <mergeCell ref="F457:AE460"/>
    <mergeCell ref="AF457:AL457"/>
    <mergeCell ref="F462:AF465"/>
    <mergeCell ref="AE472:AK472"/>
    <mergeCell ref="F384:AF388"/>
    <mergeCell ref="T229:Y229"/>
    <mergeCell ref="AE341:AK341"/>
    <mergeCell ref="AK794:AM794"/>
    <mergeCell ref="AP554:AR554"/>
    <mergeCell ref="AP557:AR557"/>
    <mergeCell ref="AP556:AR556"/>
    <mergeCell ref="N228:R228"/>
    <mergeCell ref="N229:R229"/>
    <mergeCell ref="V485:X485"/>
    <mergeCell ref="V487:X487"/>
    <mergeCell ref="V492:X492"/>
    <mergeCell ref="C369:AJ371"/>
    <mergeCell ref="U373:W373"/>
    <mergeCell ref="U374:W374"/>
    <mergeCell ref="AQ375:AR375"/>
    <mergeCell ref="F377:AF380"/>
    <mergeCell ref="C381:D381"/>
    <mergeCell ref="AF381:AL381"/>
    <mergeCell ref="C350:AJ352"/>
    <mergeCell ref="C353:AJ361"/>
    <mergeCell ref="H779:I779"/>
    <mergeCell ref="AJ781:AK781"/>
    <mergeCell ref="N232:R232"/>
    <mergeCell ref="N233:R233"/>
    <mergeCell ref="T228:Y228"/>
    <mergeCell ref="AP552:AR552"/>
    <mergeCell ref="AP553:AR553"/>
    <mergeCell ref="I225:K225"/>
    <mergeCell ref="AB250:AG250"/>
    <mergeCell ref="AB234:AG234"/>
    <mergeCell ref="AB230:AG230"/>
    <mergeCell ref="AB231:AG231"/>
    <mergeCell ref="AB232:AG232"/>
    <mergeCell ref="AB233:AG233"/>
    <mergeCell ref="T230:Y230"/>
    <mergeCell ref="T231:Y231"/>
    <mergeCell ref="T232:Y232"/>
    <mergeCell ref="T233:Y233"/>
    <mergeCell ref="AB245:AG245"/>
    <mergeCell ref="AP550:AR550"/>
    <mergeCell ref="F545:AL546"/>
    <mergeCell ref="F548:AK549"/>
    <mergeCell ref="AF551:AJ551"/>
    <mergeCell ref="AF552:AJ552"/>
    <mergeCell ref="AF553:AJ553"/>
    <mergeCell ref="AK469:AM469"/>
    <mergeCell ref="N225:R225"/>
    <mergeCell ref="N226:R226"/>
    <mergeCell ref="AK535:AM535"/>
    <mergeCell ref="F453:AE455"/>
    <mergeCell ref="B161:AJ162"/>
    <mergeCell ref="C163:AJ163"/>
    <mergeCell ref="C164:Z164"/>
    <mergeCell ref="AJ164:AK164"/>
    <mergeCell ref="F278:AD282"/>
    <mergeCell ref="AS362:AT362"/>
    <mergeCell ref="AP559:AR559"/>
    <mergeCell ref="E133:H133"/>
    <mergeCell ref="J133:M133"/>
    <mergeCell ref="O133:R133"/>
    <mergeCell ref="T133:W133"/>
    <mergeCell ref="Y133:AB133"/>
    <mergeCell ref="AD133:AG133"/>
    <mergeCell ref="E138:H138"/>
    <mergeCell ref="AB244:AG244"/>
    <mergeCell ref="AB226:AG226"/>
    <mergeCell ref="AB227:AG227"/>
    <mergeCell ref="AB228:AG228"/>
    <mergeCell ref="AB229:AG229"/>
    <mergeCell ref="T222:Y222"/>
    <mergeCell ref="T225:Y225"/>
    <mergeCell ref="T226:Y226"/>
    <mergeCell ref="T227:Y227"/>
    <mergeCell ref="N231:R231"/>
  </mergeCells>
  <conditionalFormatting sqref="E705:AB707">
    <cfRule type="expression" dxfId="15" priority="1">
      <formula>AND(NOT($AO$695),OR($H$709="(ii)",$H$709="(iii)"))</formula>
    </cfRule>
  </conditionalFormatting>
  <conditionalFormatting sqref="Q606">
    <cfRule type="expression" dxfId="14" priority="2">
      <formula>$H$606="(iv)"</formula>
    </cfRule>
  </conditionalFormatting>
  <conditionalFormatting sqref="R606:W606">
    <cfRule type="expression" dxfId="13" priority="3">
      <formula>$H$606="(iv)"</formula>
    </cfRule>
  </conditionalFormatting>
  <conditionalFormatting sqref="T812:Y812">
    <cfRule type="expression" dxfId="12" priority="10" stopIfTrue="1">
      <formula>ISERROR(T812)</formula>
    </cfRule>
  </conditionalFormatting>
  <conditionalFormatting sqref="T817:Z819">
    <cfRule type="expression" dxfId="11" priority="4" stopIfTrue="1">
      <formula>ISERROR(T817)</formula>
    </cfRule>
  </conditionalFormatting>
  <conditionalFormatting sqref="AF804:AK807">
    <cfRule type="expression" dxfId="10" priority="6" stopIfTrue="1">
      <formula>ISERROR(AF804)</formula>
    </cfRule>
  </conditionalFormatting>
  <conditionalFormatting sqref="AF812:AK812">
    <cfRule type="expression" dxfId="9" priority="11" stopIfTrue="1">
      <formula>ISERROR(AF812)</formula>
    </cfRule>
  </conditionalFormatting>
  <conditionalFormatting sqref="AF817:AK819">
    <cfRule type="expression" dxfId="8" priority="12" stopIfTrue="1">
      <formula>ISERROR(AF817)</formula>
    </cfRule>
  </conditionalFormatting>
  <conditionalFormatting sqref="AN455:AN459 AU471 AV472:AV474 T808:AK808 T809:AF811 AG811:AK811 T813:AK815 T816:AF816 AF819:AF821 T820:AE820 AG820:AL820">
    <cfRule type="expression" dxfId="7" priority="16" stopIfTrue="1">
      <formula>ISERROR(T455)</formula>
    </cfRule>
  </conditionalFormatting>
  <conditionalFormatting sqref="AP471">
    <cfRule type="expression" dxfId="6" priority="15" stopIfTrue="1">
      <formula>ISERROR(AP471)</formula>
    </cfRule>
  </conditionalFormatting>
  <dataValidations count="35">
    <dataValidation type="list" showInputMessage="1" showErrorMessage="1" sqref="T189:AC189" xr:uid="{00000000-0002-0000-0800-000006000000}">
      <formula1>$AS$189:$AS$191</formula1>
    </dataValidation>
    <dataValidation type="list" allowBlank="1" showInputMessage="1" showErrorMessage="1" sqref="B153:AI153" xr:uid="{00000000-0002-0000-0800-000008000000}">
      <formula1>$AO$151:$AO$154</formula1>
    </dataValidation>
    <dataValidation type="list" allowBlank="1" showInputMessage="1" showErrorMessage="1" sqref="C282:D282 C544:D544 C333:D333 C310:D310 C302:D302 C278:D278 B98:C98 C523:D523 C449:D449 C515:D515 C541:D541 C466:D466 C501:D501 C510:D510 C457:D457 C482:D482 C519:D519 C505:D505 C478:D478 C453:D453 C442:D442 C430:D430 C397:D397 C381:D381 C389:D389 C423:D423 C412:D412 C409:D409 C407:D407 C399:D399 C421:D421 X634:Y634 B13:C13 B16:C16 B22:C22 B25:C25 B36:C36 B45:C45 B33:C33 E79:F79 B52:C52 B56:C56 B58:C58 E75:F77 B68:C68 B74:C74 B81:C81 B115:C115 B90:C90 B28:C28 B40:C40" xr:uid="{00000000-0002-0000-0800-000009000000}">
      <formula1>"N/A, Yes"</formula1>
    </dataValidation>
    <dataValidation type="list" allowBlank="1" showInputMessage="1" showErrorMessage="1" sqref="G513:AF513" xr:uid="{00000000-0002-0000-0800-00000A000000}">
      <formula1>$AO$488:$AO$491</formula1>
    </dataValidation>
    <dataValidation type="list" allowBlank="1" showInputMessage="1" showErrorMessage="1" sqref="H763:I763 H751:I751 H735:I735 H723:I723 H638:I638 H650:I650" xr:uid="{00000000-0002-0000-0800-00000B000000}">
      <formula1>$AO$586:$AO$588</formula1>
    </dataValidation>
    <dataValidation type="list" allowBlank="1" showInputMessage="1" showErrorMessage="1" sqref="H650:I650" xr:uid="{00000000-0002-0000-0800-00000C000000}">
      <formula1>$AO$586:$AO$587</formula1>
    </dataValidation>
    <dataValidation type="list" showInputMessage="1" showErrorMessage="1" sqref="B616:C616" xr:uid="{00000000-0002-0000-0800-00000D000000}">
      <formula1>$AP$574:$AP$575</formula1>
    </dataValidation>
    <dataValidation type="list" allowBlank="1" showInputMessage="1" showErrorMessage="1" sqref="AB155:AC155 AF172:AG172 AJ164:AK164" xr:uid="{00000000-0002-0000-0800-00000E000000}">
      <formula1>"N/A,Yes,"</formula1>
    </dataValidation>
    <dataValidation type="list" allowBlank="1" showInputMessage="1" showErrorMessage="1" sqref="B158" xr:uid="{00000000-0002-0000-0800-00000F000000}">
      <formula1>$AO$156:$AO$158</formula1>
    </dataValidation>
    <dataValidation type="list" allowBlank="1" showInputMessage="1" showErrorMessage="1" sqref="F503:Z503" xr:uid="{00000000-0002-0000-0800-000010000000}">
      <formula1>$AO$471:$AO$479</formula1>
    </dataValidation>
    <dataValidation type="list" allowBlank="1" showInputMessage="1" showErrorMessage="1" sqref="F508:H508" xr:uid="{00000000-0002-0000-0800-000011000000}">
      <formula1>$AO$481:$AO$483</formula1>
    </dataValidation>
    <dataValidation type="list" allowBlank="1" showInputMessage="1" showErrorMessage="1" sqref="F524" xr:uid="{00000000-0002-0000-0800-000012000000}">
      <formula1>$AO$494:$AO$497</formula1>
    </dataValidation>
    <dataValidation type="list" allowBlank="1" showInputMessage="1" showErrorMessage="1" sqref="H790:I790" xr:uid="{00000000-0002-0000-0800-000013000000}">
      <formula1>$AO$784:$AO$785</formula1>
    </dataValidation>
    <dataValidation type="list" allowBlank="1" showInputMessage="1" showErrorMessage="1" sqref="B224:G233" xr:uid="{00000000-0002-0000-0800-000014000000}">
      <formula1>"(select),SRO/Studio,1 bedroom,2 bedroom,3 bedroom,4 bedroom,5 bedroom"</formula1>
    </dataValidation>
    <dataValidation type="list" allowBlank="1" showInputMessage="1" showErrorMessage="1" sqref="I329:AD331" xr:uid="{00000000-0002-0000-0800-000015000000}">
      <formula1>$AP$330:$AP$332</formula1>
    </dataValidation>
    <dataValidation type="list" allowBlank="1" showInputMessage="1" showErrorMessage="1" sqref="I324" xr:uid="{00000000-0002-0000-0800-000016000000}">
      <formula1>$AP$323:$AP$327</formula1>
    </dataValidation>
    <dataValidation type="list" allowBlank="1" showInputMessage="1" showErrorMessage="1" sqref="O601" xr:uid="{00000000-0002-0000-0800-000017000000}">
      <formula1>"(select),Dial-a-ride service,Project-operated van service"</formula1>
    </dataValidation>
    <dataValidation type="list" allowBlank="1" showInputMessage="1" showErrorMessage="1" sqref="C174:AD174" xr:uid="{00000000-0002-0000-0800-000018000000}">
      <formula1>$AO$177:$AO$179</formula1>
    </dataValidation>
    <dataValidation type="list" allowBlank="1" showInputMessage="1" showErrorMessage="1" sqref="C170:AI170" xr:uid="{00000000-0002-0000-0800-000019000000}">
      <formula1>$AO$170:$AO$173</formula1>
    </dataValidation>
    <dataValidation type="list" allowBlank="1" showInputMessage="1" showErrorMessage="1" sqref="C171:AD171" xr:uid="{00000000-0002-0000-0800-00001A000000}">
      <formula1>$AO$170:$AO$175</formula1>
    </dataValidation>
    <dataValidation type="list" allowBlank="1" showInputMessage="1" showErrorMessage="1" sqref="H606:I606 H608:I612" xr:uid="{00000000-0002-0000-0800-00001C000000}">
      <formula1>$AO$586:$AO$591</formula1>
    </dataValidation>
    <dataValidation type="list" allowBlank="1" showInputMessage="1" showErrorMessage="1" sqref="I614" xr:uid="{00000000-0002-0000-0800-00001D000000}">
      <formula1>$AO$613:$AO$615</formula1>
    </dataValidation>
    <dataValidation type="list" allowBlank="1" showInputMessage="1" showErrorMessage="1" sqref="F316:AD320" xr:uid="{00000000-0002-0000-0800-00001E000000}">
      <formula1>$AP$311:$AP$314</formula1>
    </dataValidation>
    <dataValidation type="list" allowBlank="1" showInputMessage="1" showErrorMessage="1" sqref="H685:I685" xr:uid="{00000000-0002-0000-0800-00001F000000}">
      <formula1>$AO$633:$AO$640</formula1>
    </dataValidation>
    <dataValidation type="list" allowBlank="1" showInputMessage="1" showErrorMessage="1" sqref="C292:D292" xr:uid="{68BBA6C5-CDA3-4BE1-9DAC-7CD27DB68D23}">
      <formula1>"N/A, Yes, 50% Met"</formula1>
    </dataValidation>
    <dataValidation type="list" showInputMessage="1" showErrorMessage="1" sqref="B188:AC188" xr:uid="{00000000-0002-0000-0800-000007000000}">
      <formula1>$AP$185:$AP$191</formula1>
    </dataValidation>
    <dataValidation type="list" allowBlank="1" showInputMessage="1" showErrorMessage="1" sqref="V487:X487" xr:uid="{00000000-0002-0000-0800-000000000000}">
      <formula1>$AT$481:$AT$483</formula1>
    </dataValidation>
    <dataValidation type="list" allowBlank="1" showInputMessage="1" showErrorMessage="1" sqref="V496:X496" xr:uid="{00000000-0002-0000-0800-000001000000}">
      <formula1>$BB$481:$BB$484</formula1>
    </dataValidation>
    <dataValidation type="list" allowBlank="1" showInputMessage="1" showErrorMessage="1" sqref="V498:X498" xr:uid="{00000000-0002-0000-0800-000002000000}">
      <formula1>$BF$481:$BF$483</formula1>
    </dataValidation>
    <dataValidation type="list" allowBlank="1" showInputMessage="1" showErrorMessage="1" sqref="F480:Z480" xr:uid="{00000000-0002-0000-0800-000003000000}">
      <formula1>$AT$471:$AT$479</formula1>
    </dataValidation>
    <dataValidation type="list" allowBlank="1" showInputMessage="1" showErrorMessage="1" sqref="V492:X492" xr:uid="{00000000-0002-0000-0800-000004000000}">
      <formula1>$AT$485:$AT$487</formula1>
    </dataValidation>
    <dataValidation type="list" allowBlank="1" showInputMessage="1" showErrorMessage="1" sqref="V485:X485" xr:uid="{00000000-0002-0000-0800-000005000000}">
      <formula1>$AW$481:$AW$483</formula1>
    </dataValidation>
    <dataValidation type="list" allowBlank="1" showInputMessage="1" showErrorMessage="1" sqref="R606:W606" xr:uid="{A3E65FF6-96AE-443D-AFEF-E3A195C0059C}">
      <formula1>$AO$593:$AO$595</formula1>
    </dataValidation>
    <dataValidation type="list" allowBlank="1" showInputMessage="1" showErrorMessage="1" sqref="H779:I779" xr:uid="{00000000-0002-0000-0800-00001B000000}">
      <formula1>$AO$769:$AO$771</formula1>
    </dataValidation>
    <dataValidation type="list" allowBlank="1" showInputMessage="1" showErrorMessage="1" sqref="H709:I709" xr:uid="{A32E3DED-F73B-45CE-8CA1-108E6498C33A}">
      <formula1>$AO$703:$AO$706</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3" max="38" man="1"/>
    <brk id="110" max="38" man="1"/>
    <brk id="286" max="38" man="1"/>
    <brk id="560" max="38" man="1"/>
    <brk id="680" max="38" man="1"/>
    <brk id="738" max="38" man="1"/>
    <brk id="391" max="38" man="1"/>
    <brk id="796" max="38" man="1"/>
  </rowBreaks>
  <ignoredErrors>
    <ignoredError sqref="E377 E384 E392 E403 E412" numberStoredAsText="1"/>
  </ignoredError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McDaniels, Stefanie</cp:lastModifiedBy>
  <cp:lastPrinted>2024-12-09T20:28:29Z</cp:lastPrinted>
  <dcterms:created xsi:type="dcterms:W3CDTF">2007-12-27T18:26:28Z</dcterms:created>
  <dcterms:modified xsi:type="dcterms:W3CDTF">2025-02-03T18:47:04Z</dcterms:modified>
</cp:coreProperties>
</file>