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6 Berryessa Family Apartments\"/>
    </mc:Choice>
  </mc:AlternateContent>
  <xr:revisionPtr revIDLastSave="0" documentId="13_ncr:1_{2B83223A-0695-48AA-ADC7-873FF00E0A04}" xr6:coauthVersionLast="47" xr6:coauthVersionMax="47" xr10:uidLastSave="{00000000-0000-0000-0000-000000000000}"/>
  <bookViews>
    <workbookView xWindow="8870" yWindow="0" windowWidth="10330" windowHeight="10200"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6"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I18" i="21"/>
  <c r="I17" i="21"/>
  <c r="I99" i="4"/>
  <c r="H99" i="4"/>
  <c r="G79" i="4"/>
  <c r="F75" i="4"/>
  <c r="G75" i="4" s="1"/>
  <c r="C83" i="4"/>
  <c r="S53" i="4"/>
  <c r="F69" i="4"/>
  <c r="F66" i="4"/>
  <c r="F65" i="4"/>
  <c r="F58" i="4"/>
  <c r="F56" i="4"/>
  <c r="F51" i="4"/>
  <c r="F50" i="4"/>
  <c r="F49" i="4"/>
  <c r="F48" i="4"/>
  <c r="F47" i="4"/>
  <c r="F46" i="4"/>
  <c r="F45" i="4"/>
  <c r="F43" i="4"/>
  <c r="F41" i="4"/>
  <c r="F40" i="4"/>
  <c r="F35" i="4"/>
  <c r="F33" i="4"/>
  <c r="F32" i="4"/>
  <c r="F31" i="4"/>
  <c r="F30" i="4"/>
  <c r="C53" i="4"/>
  <c r="F53" i="4" s="1"/>
  <c r="AA919" i="3"/>
  <c r="AA918" i="3"/>
  <c r="I80" i="4" l="1"/>
  <c r="H92" i="4"/>
  <c r="H91" i="4"/>
  <c r="H89" i="4"/>
  <c r="H88" i="4"/>
  <c r="H85" i="4"/>
  <c r="H79" i="4"/>
  <c r="H83" i="4"/>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6" i="13"/>
  <c r="E84" i="13"/>
  <c r="E65" i="13"/>
  <c r="E53" i="13"/>
  <c r="E52" i="13"/>
  <c r="E48"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R89" i="4"/>
  <c r="S89" i="4" s="1"/>
  <c r="E89" i="13" s="1"/>
  <c r="R88" i="4"/>
  <c r="R87" i="4"/>
  <c r="R86" i="4"/>
  <c r="R85" i="4"/>
  <c r="S85" i="4" s="1"/>
  <c r="E85" i="13" s="1"/>
  <c r="R83" i="4"/>
  <c r="R76" i="4"/>
  <c r="R75" i="4"/>
  <c r="R72" i="4"/>
  <c r="R73" i="4"/>
  <c r="R74" i="4"/>
  <c r="R69" i="4"/>
  <c r="S69" i="4" s="1"/>
  <c r="E69" i="13" s="1"/>
  <c r="R65" i="4"/>
  <c r="R61" i="4"/>
  <c r="R60" i="4"/>
  <c r="R59" i="4"/>
  <c r="R58" i="4"/>
  <c r="R57" i="4"/>
  <c r="R56" i="4"/>
  <c r="R53" i="4"/>
  <c r="R52" i="4"/>
  <c r="R51" i="4"/>
  <c r="S51" i="4" s="1"/>
  <c r="E51" i="13" s="1"/>
  <c r="R50" i="4"/>
  <c r="S50" i="4" s="1"/>
  <c r="E50" i="13" s="1"/>
  <c r="R49" i="4"/>
  <c r="S49" i="4" s="1"/>
  <c r="E49" i="13" s="1"/>
  <c r="R48" i="4"/>
  <c r="R47" i="4"/>
  <c r="S47" i="4" s="1"/>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3" i="11" l="1"/>
  <c r="D34" i="11"/>
  <c r="AH726" i="3"/>
  <c r="S81" i="4"/>
  <c r="E81" i="13" s="1"/>
  <c r="S38" i="4"/>
  <c r="E38" i="13" s="1"/>
  <c r="S42" i="4"/>
  <c r="E42" i="13" s="1"/>
  <c r="D88" i="11"/>
  <c r="S54" i="4"/>
  <c r="E54" i="13" s="1"/>
  <c r="E99" i="13"/>
  <c r="AH723" i="3"/>
  <c r="AH722" i="3"/>
  <c r="D32" i="11"/>
  <c r="S96" i="4"/>
  <c r="E96" i="13" s="1"/>
  <c r="AH729" i="3"/>
  <c r="AH728" i="3"/>
  <c r="S70" i="4"/>
  <c r="E70" i="13" s="1"/>
  <c r="B26" i="4"/>
  <c r="E40" i="13"/>
  <c r="AH724" i="3"/>
  <c r="D36" i="11"/>
  <c r="E47" i="13"/>
  <c r="D70" i="11"/>
  <c r="D85" i="11"/>
  <c r="AH725" i="3"/>
  <c r="D35" i="11"/>
  <c r="AH727" i="3"/>
  <c r="D91" i="11"/>
  <c r="D90" i="11"/>
  <c r="D93" i="11"/>
  <c r="D89" i="11"/>
  <c r="D103" i="11"/>
  <c r="D25" i="11"/>
  <c r="D94" i="11"/>
  <c r="D6" i="11"/>
  <c r="D101" i="11"/>
  <c r="D54" i="11"/>
  <c r="D86" i="11"/>
  <c r="D92" i="11"/>
  <c r="D87" i="11"/>
  <c r="D96"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82" i="11"/>
  <c r="S63" i="4"/>
  <c r="E63" i="13" s="1"/>
  <c r="B12" i="4"/>
  <c r="N195" i="23"/>
  <c r="AJ621" i="20"/>
  <c r="AK794" i="20" s="1"/>
  <c r="T819" i="20" s="1"/>
  <c r="AF819" i="20" s="1"/>
  <c r="BE82" i="3" s="1"/>
  <c r="G94" i="21"/>
  <c r="D43" i="11"/>
  <c r="D55"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AB47" i="15"/>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C454" i="3"/>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07" i="3"/>
  <c r="AJ1029" i="3"/>
  <c r="AJ1036" i="3"/>
  <c r="I15" i="21"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57C190E-3327-4196-8D40-8004304D752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B96B135D-3D6B-43AE-8B51-5DD8F26E01B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<sst xmlns="http://schemas.openxmlformats.org/spreadsheetml/2006/main" count="5008" uniqueCount="2728">
  <si>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</si>
  <si>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</si>
  <si>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</si>
  <si>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</si>
  <si>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</si>
  <si>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</si>
  <si>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</si>
  <si>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</si>
  <si>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</si>
  <si>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</si>
  <si>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</si>
  <si>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</si>
  <si>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</si>
  <si>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</si>
  <si>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</si>
  <si>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</si>
  <si>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</si>
  <si>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</si>
  <si>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</si>
  <si>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</si>
  <si>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</si>
  <si>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</si>
  <si>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</si>
  <si>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</si>
  <si>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</si>
  <si>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</si>
  <si>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</si>
  <si>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</si>
  <si>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</si>
  <si>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</si>
  <si>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</si>
  <si>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</si>
  <si>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</si>
  <si>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</si>
  <si>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</si>
  <si>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</si>
  <si>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</si>
  <si>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</si>
  <si>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</si>
  <si>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</si>
  <si>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</si>
  <si>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</si>
  <si>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</si>
  <si>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</si>
  <si>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</si>
  <si>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</si>
  <si>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</si>
  <si>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</si>
  <si>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</si>
  <si>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</si>
  <si>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</si>
  <si>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</si>
  <si>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</si>
  <si>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</si>
  <si>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</si>
  <si>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</si>
  <si>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</si>
  <si>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</si>
  <si>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</si>
  <si>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</si>
  <si>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</si>
  <si>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</si>
  <si>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</si>
  <si>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</si>
  <si>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</si>
  <si>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</si>
  <si>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</si>
  <si>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</si>
  <si>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</si>
  <si>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</si>
  <si>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</si>
  <si>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</si>
  <si>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</si>
  <si>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</si>
  <si>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</si>
  <si>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</si>
  <si>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</si>
  <si>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</si>
  <si>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</si>
  <si>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</si>
  <si>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</si>
  <si>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</si>
  <si>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</si>
  <si>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</si>
  <si>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</si>
  <si>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</si>
  <si>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</si>
  <si>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</si>
  <si>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</si>
  <si>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</si>
  <si>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</si>
  <si>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</si>
  <si>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</si>
  <si>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</si>
  <si>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</si>
  <si>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</si>
  <si>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</si>
  <si>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</si>
  <si>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</si>
  <si>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</si>
  <si>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</si>
  <si>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</si>
  <si>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</si>
  <si>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</si>
  <si>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</si>
  <si>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</si>
  <si>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</si>
  <si>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</si>
  <si>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</si>
  <si>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</si>
  <si>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</si>
  <si>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</si>
  <si>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</si>
  <si>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</si>
  <si>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</si>
  <si>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</si>
  <si>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</si>
  <si>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</si>
  <si>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</si>
  <si>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</si>
  <si>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</si>
  <si>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</si>
  <si>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</si>
  <si>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</si>
  <si>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</si>
  <si>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</si>
  <si>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</si>
  <si>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</si>
  <si>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</si>
  <si>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</si>
  <si>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</si>
  <si>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</si>
  <si>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</si>
  <si>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</si>
  <si>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</si>
  <si>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</si>
  <si>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</si>
  <si>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</si>
  <si>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</si>
  <si>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</si>
  <si>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</si>
  <si>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</si>
  <si>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</si>
  <si>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</si>
  <si>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</si>
  <si>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</si>
  <si>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</si>
  <si>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</si>
  <si>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</si>
  <si>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</si>
  <si>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</si>
  <si>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</si>
  <si>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</si>
  <si>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</si>
  <si>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</si>
  <si>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</si>
  <si>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</si>
  <si>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</si>
  <si>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</si>
  <si>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</si>
  <si>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</si>
  <si>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</si>
  <si>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</si>
  <si>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</si>
  <si>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</si>
  <si>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</si>
  <si>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</si>
  <si>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</si>
  <si>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</si>
  <si>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</si>
  <si>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</si>
  <si>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</si>
  <si>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</si>
  <si>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</si>
  <si>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</si>
  <si>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</si>
  <si>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</si>
  <si>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</si>
  <si>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</si>
  <si>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</si>
  <si>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</si>
  <si>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</si>
  <si>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</si>
  <si>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</si>
  <si>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</si>
  <si>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</si>
  <si>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</si>
  <si>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</si>
  <si>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</si>
  <si>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</si>
  <si>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</si>
  <si>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</si>
  <si>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</si>
  <si>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</si>
  <si>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</si>
  <si>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</si>
  <si>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</si>
  <si>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</si>
  <si>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</si>
  <si>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</si>
  <si>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</si>
  <si>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</si>
  <si>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</si>
  <si>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</si>
  <si>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</si>
  <si>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</si>
  <si>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</si>
  <si>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</si>
  <si>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</si>
  <si>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</si>
  <si>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</si>
  <si>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</si>
  <si>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</si>
  <si>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</si>
  <si>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</si>
  <si>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</si>
  <si>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</si>
  <si>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</si>
  <si>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</si>
  <si>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</si>
  <si>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</si>
  <si>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</si>
  <si>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</si>
  <si>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</si>
  <si>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</si>
  <si>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</si>
  <si>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</si>
  <si>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</si>
  <si>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</si>
  <si>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</si>
  <si>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</si>
  <si>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</si>
  <si>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</si>
  <si>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</si>
  <si>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</si>
  <si>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</si>
  <si>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</si>
  <si>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</si>
  <si>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</si>
  <si>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</si>
  <si>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</si>
  <si>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</si>
  <si>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</si>
  <si>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</si>
  <si>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</si>
  <si>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</si>
  <si>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</si>
  <si>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</si>
  <si>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</si>
  <si>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</si>
  <si>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</si>
  <si>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</si>
  <si>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</si>
  <si>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</si>
  <si>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</si>
  <si>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</si>
  <si>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</si>
  <si>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</si>
  <si>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</si>
  <si>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</si>
  <si>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</si>
  <si>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</si>
  <si>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</si>
  <si>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</si>
  <si>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</si>
  <si>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</si>
  <si>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</si>
  <si>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</si>
  <si>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</si>
  <si>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</si>
  <si>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</si>
  <si>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</si>
  <si>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</si>
  <si>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</si>
  <si>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</si>
  <si>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</si>
  <si>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</si>
  <si>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</si>
  <si>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</si>
  <si>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</si>
  <si>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</si>
  <si>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</si>
  <si>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</si>
  <si>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</si>
  <si>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</si>
  <si>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</si>
  <si>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</si>
  <si>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</si>
  <si>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</si>
  <si>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</si>
  <si>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</si>
  <si>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</si>
  <si>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</si>
  <si>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</si>
  <si>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</si>
  <si>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</si>
  <si>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</si>
  <si>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</si>
  <si>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</si>
  <si>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</si>
  <si>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</si>
  <si>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</si>
  <si>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</si>
  <si>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</si>
  <si>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</si>
  <si>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</si>
  <si>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</si>
  <si>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</si>
  <si>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</si>
  <si>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</si>
  <si>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</si>
  <si>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</si>
  <si>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</si>
  <si>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</si>
  <si>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</si>
  <si>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</si>
  <si>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</si>
  <si>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</si>
  <si>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</si>
  <si>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</si>
  <si>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</si>
  <si>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</si>
  <si>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</si>
  <si>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</si>
  <si>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</si>
  <si>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</si>
  <si>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</si>
  <si>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</si>
  <si>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</si>
  <si>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</si>
  <si>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</si>
  <si>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</si>
  <si>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</si>
  <si>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</si>
  <si>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</si>
  <si>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</si>
  <si>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</si>
  <si>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</si>
  <si>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</si>
  <si>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</si>
  <si>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</si>
  <si>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</si>
  <si>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</si>
  <si>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</si>
  <si>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</si>
  <si>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</si>
  <si>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</si>
  <si>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</si>
  <si>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</si>
  <si>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</si>
  <si>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</si>
  <si>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</si>
  <si>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</si>
  <si>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</si>
  <si>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</si>
  <si>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</si>
  <si>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</si>
  <si>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</si>
  <si>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</si>
  <si>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</si>
  <si>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</si>
  <si>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</si>
  <si>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</si>
  <si>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</si>
  <si>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</si>
  <si>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</si>
  <si>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</si>
  <si>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</si>
  <si>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</si>
  <si>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</si>
  <si>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</si>
  <si>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</si>
  <si>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</si>
  <si>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</si>
  <si>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</si>
  <si>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</si>
  <si>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</si>
  <si>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</si>
  <si>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</si>
  <si>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</si>
  <si>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</si>
  <si>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</si>
  <si>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</si>
  <si>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</si>
  <si>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</si>
  <si>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</si>
  <si>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</si>
  <si>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</si>
  <si>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</si>
  <si>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</si>
  <si>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</si>
  <si>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</si>
  <si>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</si>
  <si>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</si>
  <si>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</si>
  <si>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</si>
  <si>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</si>
  <si>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</si>
  <si>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</si>
  <si>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</si>
  <si>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</si>
  <si>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</si>
  <si>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</si>
  <si>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</si>
  <si>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</si>
  <si>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</si>
  <si>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</si>
  <si>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</si>
  <si>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</si>
  <si>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</si>
  <si>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</si>
  <si>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</si>
  <si>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</si>
  <si>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</si>
  <si>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</si>
  <si>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</si>
  <si>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</si>
  <si>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</si>
  <si>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</si>
  <si>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</si>
  <si>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</si>
  <si>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</si>
  <si>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</si>
  <si>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</si>
  <si>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</si>
  <si>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</si>
  <si>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</si>
  <si>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</si>
  <si>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</si>
  <si>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</si>
  <si>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</si>
  <si>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</si>
  <si>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</si>
  <si>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</si>
  <si>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</si>
  <si>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</si>
  <si>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</si>
  <si>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</si>
  <si>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</si>
  <si>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</si>
  <si>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</si>
  <si>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</si>
  <si>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</si>
  <si>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</si>
  <si>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</si>
  <si>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</si>
  <si>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</si>
  <si>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</si>
  <si>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</si>
  <si>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</si>
  <si>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</si>
  <si>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</si>
  <si>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</si>
  <si>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</si>
  <si>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</si>
  <si>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</si>
  <si>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</si>
  <si>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</si>
  <si>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</si>
  <si>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</si>
  <si>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</si>
  <si>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</si>
  <si>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</si>
  <si>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</si>
  <si>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</si>
  <si>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</si>
  <si>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</si>
  <si>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</si>
  <si>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</si>
  <si>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</si>
  <si>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</si>
  <si>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</si>
  <si>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</si>
  <si>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</si>
  <si>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</si>
  <si>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</si>
  <si>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</si>
  <si>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</si>
  <si>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</si>
  <si>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</si>
  <si>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</si>
  <si>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</si>
  <si>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</si>
  <si>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</si>
  <si>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</si>
  <si>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</si>
  <si>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</si>
  <si>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</si>
  <si>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</si>
  <si>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</si>
  <si>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</si>
  <si>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</si>
  <si>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</si>
  <si>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</si>
  <si>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</si>
  <si>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</si>
  <si>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</si>
  <si>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</si>
  <si>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</si>
  <si>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</si>
  <si>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</si>
  <si>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</si>
  <si>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</si>
  <si>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</si>
  <si>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</si>
  <si>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</si>
  <si>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</si>
  <si>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</si>
  <si>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</si>
  <si>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</si>
  <si>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</si>
  <si>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</si>
  <si>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</si>
  <si>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</si>
  <si>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</si>
  <si>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</si>
  <si>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</si>
  <si>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</si>
  <si>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</si>
  <si>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</si>
  <si>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</si>
  <si>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</si>
  <si>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</si>
  <si>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</si>
  <si>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</si>
  <si>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</si>
  <si>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</si>
  <si>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</si>
  <si>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</si>
  <si>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</si>
  <si>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</si>
  <si>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</si>
  <si>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</si>
  <si>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</si>
  <si>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</si>
  <si>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</si>
  <si>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</si>
  <si>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</si>
  <si>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</si>
  <si>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</si>
  <si>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</si>
  <si>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</si>
  <si>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</si>
  <si>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</si>
  <si>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</si>
  <si>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</si>
  <si>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</si>
  <si>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</si>
  <si>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</si>
  <si>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</si>
  <si>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</si>
  <si>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</si>
  <si>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</si>
  <si>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</si>
  <si>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</si>
  <si>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</si>
  <si>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</si>
  <si>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</si>
  <si>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</si>
  <si>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</si>
  <si>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</si>
  <si>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</si>
  <si>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</si>
  <si>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</si>
  <si>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</si>
  <si>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</si>
  <si>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</si>
  <si>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</si>
  <si>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</si>
  <si>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</si>
  <si>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</si>
  <si>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</si>
  <si>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</si>
  <si>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</si>
  <si>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</si>
  <si>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</si>
  <si>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</si>
  <si>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</si>
  <si>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</si>
  <si>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</si>
  <si>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</si>
  <si>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</si>
  <si>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</si>
  <si>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</si>
  <si>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</si>
  <si>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</si>
  <si>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</si>
  <si>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</si>
  <si>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</si>
  <si>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</si>
  <si>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</si>
  <si>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</si>
  <si>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</si>
  <si>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</si>
  <si>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</si>
  <si>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</si>
  <si>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</si>
  <si>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</si>
  <si>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</si>
  <si>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</si>
  <si>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</si>
  <si>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</si>
  <si>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</si>
  <si>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</si>
  <si>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</si>
  <si>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</si>
  <si>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</si>
  <si>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</si>
  <si>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</si>
  <si>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</si>
  <si>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</si>
  <si>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</si>
  <si>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</si>
  <si>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</si>
  <si>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</si>
  <si>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</si>
  <si>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</si>
  <si>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</si>
  <si>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</si>
  <si>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</si>
  <si>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</si>
  <si>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</si>
  <si>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</si>
  <si>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</si>
  <si>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</si>
  <si>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</si>
  <si>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</si>
  <si>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</si>
  <si>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</si>
  <si>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</si>
  <si>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</si>
  <si>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</si>
  <si>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</si>
  <si>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</si>
  <si>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</si>
  <si>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</si>
  <si>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</si>
  <si>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</si>
  <si>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</si>
  <si>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</si>
  <si>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</si>
  <si>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</si>
  <si>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</si>
  <si>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</si>
  <si>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</si>
  <si>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</si>
  <si>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</si>
  <si>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</si>
  <si>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</si>
  <si>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</si>
  <si>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</si>
  <si>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</si>
  <si>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</si>
  <si>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</si>
  <si>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</si>
  <si>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</si>
  <si>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</si>
  <si>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</si>
  <si>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</si>
  <si>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</si>
  <si>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</si>
  <si>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</si>
  <si>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</si>
  <si>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</si>
  <si>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</si>
  <si>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</si>
  <si>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</si>
  <si>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</si>
  <si>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</si>
  <si>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</si>
  <si>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</si>
  <si>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</si>
  <si>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</si>
  <si>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</si>
  <si>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</si>
  <si>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</si>
  <si>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</si>
  <si>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</si>
  <si>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</si>
  <si>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</si>
  <si>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</si>
  <si>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</si>
  <si>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</si>
  <si>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</si>
  <si>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</si>
  <si>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</si>
  <si>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</si>
  <si>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</si>
  <si>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</si>
  <si>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</si>
  <si>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</si>
  <si>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</si>
  <si>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</si>
  <si>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</si>
  <si>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</si>
  <si>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</si>
  <si>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</si>
  <si>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</si>
  <si>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</si>
  <si>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</si>
  <si>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</si>
  <si>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</si>
  <si>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</si>
  <si>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</si>
  <si>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</si>
  <si>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</si>
  <si>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</si>
  <si>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</si>
  <si>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</si>
  <si>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</si>
  <si>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</si>
  <si>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</si>
  <si>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</si>
  <si>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</si>
  <si>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</si>
  <si>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</si>
  <si>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</si>
  <si>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</si>
  <si>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</si>
  <si>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</si>
  <si>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</si>
  <si>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</si>
  <si>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</si>
  <si>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</si>
  <si>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</si>
  <si>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</si>
  <si>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</si>
  <si>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</si>
  <si>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</si>
  <si>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</si>
  <si>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</si>
  <si>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</si>
  <si>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</si>
  <si>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</si>
  <si>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</si>
  <si>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</si>
  <si>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</si>
  <si>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</si>
  <si>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</si>
  <si>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</si>
  <si>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</si>
  <si>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</si>
  <si>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</si>
  <si>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</si>
  <si>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</si>
  <si>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</si>
  <si>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</si>
  <si>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</si>
  <si>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</si>
  <si>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</si>
  <si>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</si>
  <si>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</si>
  <si>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</si>
  <si>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</si>
  <si>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</si>
  <si>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</si>
  <si>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</si>
  <si>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</si>
  <si>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</si>
  <si>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</si>
  <si>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</si>
  <si>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</si>
  <si>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</si>
  <si>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</si>
  <si>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</si>
  <si>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</si>
  <si>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</si>
  <si>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</si>
  <si>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</si>
  <si>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</si>
  <si>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</si>
  <si>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</si>
  <si>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</si>
  <si>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</si>
  <si>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</si>
  <si>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</si>
  <si>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</si>
  <si>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</si>
  <si>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</si>
  <si>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</si>
  <si>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</si>
  <si>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</si>
  <si>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</si>
  <si>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</si>
  <si>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</si>
  <si>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</si>
  <si>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</si>
  <si>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</si>
  <si>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</si>
  <si>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</si>
  <si>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</si>
  <si>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</si>
  <si>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</si>
  <si>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</si>
  <si>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</si>
  <si>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</si>
  <si>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</si>
  <si>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</si>
  <si>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</si>
  <si>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</si>
  <si>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</si>
  <si>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</si>
  <si>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</si>
  <si>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</si>
  <si>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</si>
  <si>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</si>
  <si>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</si>
  <si>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</si>
  <si>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</si>
  <si>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</si>
  <si>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</si>
  <si>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</si>
  <si>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</si>
  <si>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</si>
  <si>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</si>
  <si>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</si>
  <si>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</si>
  <si>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</si>
  <si>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</si>
  <si>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</si>
  <si>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</si>
  <si>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</si>
  <si>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</si>
  <si>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</si>
  <si>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</si>
  <si>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</si>
  <si>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</si>
  <si>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</si>
  <si>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</si>
  <si>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</si>
  <si>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</si>
  <si>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</si>
  <si>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</si>
  <si>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</si>
  <si>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</si>
  <si>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</si>
  <si>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</si>
  <si>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</si>
  <si>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</si>
  <si>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</si>
  <si>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</si>
  <si>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</si>
  <si>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</si>
  <si>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</si>
  <si>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</si>
  <si>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</si>
  <si>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</si>
  <si>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</si>
  <si>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</si>
  <si>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</si>
  <si>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</si>
  <si>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</si>
  <si>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</si>
  <si>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</si>
  <si>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</si>
  <si>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</si>
  <si>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</si>
  <si>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</si>
  <si>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</si>
  <si>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</si>
  <si>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</si>
  <si>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</si>
  <si>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</si>
  <si>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</si>
  <si>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</si>
  <si>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</si>
  <si>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</si>
  <si>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</si>
  <si>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</si>
  <si>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</si>
  <si>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</si>
  <si>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</si>
  <si>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</si>
  <si>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</si>
  <si>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</si>
  <si>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</si>
  <si>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</si>
  <si>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</si>
  <si>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</si>
  <si>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</si>
  <si>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</si>
  <si>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</si>
  <si>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</si>
  <si>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</si>
  <si>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</si>
  <si>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</si>
  <si>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</si>
  <si>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</si>
  <si>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</si>
  <si>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</si>
  <si>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</si>
  <si>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</si>
  <si>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</si>
  <si>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</si>
  <si>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</si>
  <si>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</si>
  <si>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</si>
  <si>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</si>
  <si>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</si>
  <si>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</si>
  <si>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</si>
  <si>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</si>
  <si>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</si>
  <si>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</si>
  <si>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</si>
  <si>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</si>
  <si>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</si>
  <si>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</si>
  <si>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</si>
  <si>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</si>
  <si>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</si>
  <si>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</si>
  <si>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</si>
  <si>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</si>
  <si>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</si>
  <si>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</si>
  <si>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</si>
  <si>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</si>
  <si>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</si>
  <si>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</si>
  <si>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</si>
  <si>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</si>
  <si>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</si>
  <si>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</si>
  <si>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</si>
  <si>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</si>
  <si>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</si>
  <si>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</si>
  <si>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</si>
  <si>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</si>
  <si>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</si>
  <si>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</si>
  <si>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</si>
  <si>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</si>
  <si>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</si>
  <si>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</si>
  <si>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</si>
  <si>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</si>
  <si>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</si>
  <si>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</si>
  <si>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</si>
  <si>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</si>
  <si>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</si>
  <si>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</si>
  <si>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</si>
  <si>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</si>
  <si>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</si>
  <si>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</si>
  <si>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</si>
  <si>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</si>
  <si>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</si>
  <si>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</si>
  <si>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</si>
  <si>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</si>
  <si>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</si>
  <si>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</si>
  <si>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</si>
  <si>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</si>
  <si>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</si>
  <si>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</si>
  <si>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</si>
  <si>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</si>
  <si>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</si>
  <si>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</si>
  <si>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</si>
  <si>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</si>
  <si>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</si>
  <si>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</si>
  <si>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</si>
  <si>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</si>
  <si>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</si>
  <si>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</si>
  <si>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</si>
  <si>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</si>
  <si>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</si>
  <si>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</si>
  <si>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</si>
  <si>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</si>
  <si>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</si>
  <si>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</si>
  <si>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</si>
  <si>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</si>
  <si>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</si>
  <si>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</si>
  <si>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</si>
  <si>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</si>
  <si>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</si>
  <si>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</si>
  <si>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</si>
  <si>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</si>
  <si>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</si>
  <si>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</si>
  <si>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</si>
  <si>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</si>
  <si>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</si>
  <si>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</si>
  <si>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</si>
  <si>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</si>
  <si>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</si>
  <si>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</si>
  <si>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</si>
  <si>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</si>
  <si>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</si>
  <si>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</si>
  <si>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</si>
  <si>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</si>
  <si>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</si>
  <si>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</si>
  <si>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</si>
  <si>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</si>
  <si>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</si>
  <si>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</si>
  <si>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</si>
  <si>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</si>
  <si>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</si>
  <si>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</si>
  <si>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</si>
  <si>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</si>
  <si>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</si>
  <si>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</si>
  <si>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</si>
  <si>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</si>
  <si>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</si>
  <si>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</si>
  <si>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</si>
  <si>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</si>
  <si>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</si>
  <si>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</si>
  <si>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</si>
  <si>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</si>
  <si>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</si>
  <si>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</si>
  <si>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</si>
  <si>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</si>
  <si>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</si>
  <si>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</si>
  <si>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</si>
  <si>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</si>
  <si>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</si>
  <si>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</si>
  <si>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</si>
  <si>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</si>
  <si>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</si>
  <si>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</si>
  <si>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</si>
  <si>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</si>
  <si>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</si>
  <si>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</si>
  <si>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</si>
  <si>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</si>
  <si>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</si>
  <si>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</si>
  <si>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</si>
  <si>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</si>
  <si>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</si>
  <si>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</si>
  <si>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</si>
  <si>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</si>
  <si>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</si>
  <si>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</si>
  <si>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</si>
  <si>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</si>
  <si>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</si>
  <si>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</si>
  <si>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</si>
  <si>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</si>
  <si>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</si>
  <si>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</si>
  <si>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</si>
  <si>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</si>
  <si>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</si>
  <si>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</si>
  <si>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</si>
  <si>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</si>
  <si>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</si>
  <si>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</si>
  <si>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</si>
  <si>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</si>
  <si>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</si>
  <si>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</si>
  <si>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</si>
  <si>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</si>
  <si>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</si>
  <si>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</si>
  <si>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</si>
  <si>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</si>
  <si>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</si>
  <si>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</si>
  <si>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</si>
  <si>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</si>
  <si>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</si>
  <si>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</si>
  <si>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</si>
  <si>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</si>
  <si>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</si>
  <si>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</si>
  <si>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</si>
  <si>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</si>
  <si>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</si>
  <si>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</si>
  <si>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</si>
  <si>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</si>
  <si>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</si>
  <si>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</si>
  <si>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</si>
  <si>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</si>
  <si>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</si>
  <si>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</si>
  <si>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</si>
  <si>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</si>
  <si>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</si>
  <si>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</si>
  <si>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</si>
  <si>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</si>
  <si>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</si>
  <si>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</si>
  <si>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</si>
  <si>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</si>
  <si>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</si>
  <si>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</si>
  <si>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</si>
  <si>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</si>
  <si>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</si>
  <si>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</si>
  <si>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</si>
  <si>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</si>
  <si>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</si>
  <si>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</si>
  <si>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</si>
  <si>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</si>
  <si>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</si>
  <si>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</si>
  <si>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</si>
  <si>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</si>
  <si>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</si>
  <si>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</si>
  <si>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</si>
  <si>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</si>
  <si>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</si>
  <si>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</si>
  <si>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</si>
  <si>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</si>
  <si>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</si>
  <si>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</si>
  <si>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</si>
  <si>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</si>
  <si>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</si>
  <si>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</si>
  <si>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</si>
  <si>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</si>
  <si>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</si>
  <si>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</si>
  <si>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</si>
  <si>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</si>
  <si>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</si>
  <si>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</si>
  <si>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</si>
  <si>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</si>
  <si>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</si>
  <si>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</si>
  <si>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</si>
  <si>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</si>
  <si>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</si>
  <si>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</si>
  <si>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</si>
  <si>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</si>
  <si>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</si>
  <si>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</si>
  <si>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</si>
  <si>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</si>
  <si>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</si>
  <si>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</si>
  <si>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</si>
  <si>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</si>
  <si>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</si>
  <si>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</si>
  <si>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</si>
  <si>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</si>
  <si>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</si>
  <si>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</si>
  <si>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</si>
  <si>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</si>
  <si>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</si>
  <si>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</si>
  <si>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</si>
  <si>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</si>
  <si>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</si>
  <si>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</si>
  <si>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</si>
  <si>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</si>
  <si>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</si>
  <si>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</si>
  <si>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</si>
  <si>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</si>
  <si>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</si>
  <si>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</si>
  <si>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</si>
  <si>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</si>
  <si>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</si>
  <si>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</si>
  <si>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</si>
  <si>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</si>
  <si>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</si>
  <si>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</si>
  <si>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</si>
  <si>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</si>
  <si>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</si>
  <si>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</si>
  <si>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</si>
  <si>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</si>
  <si>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</si>
  <si>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</si>
  <si>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</si>
  <si>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</si>
  <si>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</si>
  <si>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</si>
  <si>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</si>
  <si>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</si>
  <si>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</si>
  <si>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</si>
  <si>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</si>
  <si>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</si>
  <si>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</si>
  <si>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</si>
  <si>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</si>
  <si>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</si>
  <si>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</si>
  <si>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</si>
  <si>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</si>
  <si>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</si>
  <si>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</si>
  <si>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</si>
  <si>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</si>
  <si>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</si>
  <si>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</si>
  <si>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</si>
  <si>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</si>
  <si>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</si>
  <si>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</si>
  <si>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</si>
  <si>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</si>
  <si>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</si>
  <si>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</si>
  <si>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</si>
  <si>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</si>
  <si>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</si>
  <si>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</si>
  <si>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</si>
  <si>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</si>
  <si>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</si>
  <si>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</si>
  <si>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</si>
  <si>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</si>
  <si>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</si>
  <si>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</si>
  <si>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</si>
  <si>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</si>
  <si>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</si>
  <si>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</si>
  <si>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</si>
  <si>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</si>
  <si>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</si>
  <si>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</si>
  <si>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</si>
  <si>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</si>
  <si>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</si>
  <si>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</si>
  <si>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</si>
  <si>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</si>
  <si>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</si>
  <si>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</si>
  <si>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</si>
  <si>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</si>
  <si>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</si>
  <si>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</si>
  <si>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</si>
  <si>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</si>
  <si>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</si>
  <si>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</si>
  <si>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</si>
  <si>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</si>
  <si>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</si>
  <si>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</si>
  <si>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</si>
  <si>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</si>
  <si>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</si>
  <si>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</si>
  <si>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</si>
  <si>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</si>
  <si>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</si>
  <si>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</si>
  <si>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</si>
  <si>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</si>
  <si>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</si>
  <si>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</si>
  <si>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</si>
  <si>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</si>
  <si>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</si>
  <si>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</si>
  <si>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</si>
  <si>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</si>
  <si>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</si>
  <si>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</si>
  <si>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</si>
  <si>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</si>
  <si>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</si>
  <si>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</si>
  <si>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</si>
  <si>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</si>
  <si>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</si>
  <si>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</si>
  <si>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</si>
  <si>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</si>
  <si>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</si>
  <si>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</si>
  <si>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</si>
  <si>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</si>
  <si>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</si>
  <si>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</si>
  <si>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</si>
  <si>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</si>
  <si>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</si>
  <si>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</si>
  <si>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</si>
  <si>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</si>
  <si>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</si>
  <si>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</si>
  <si>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</si>
  <si>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</si>
  <si>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</si>
  <si>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</si>
  <si>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</si>
  <si>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</si>
  <si>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</si>
  <si>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</si>
  <si>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</si>
  <si>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</si>
  <si>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</si>
  <si>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</si>
  <si>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</si>
  <si>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</si>
  <si>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</si>
  <si>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</si>
  <si>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</si>
  <si>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</si>
  <si>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</si>
  <si>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</si>
  <si>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</si>
  <si>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</si>
  <si>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</si>
  <si>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</si>
  <si>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</si>
  <si>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</si>
  <si>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</si>
  <si>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</si>
  <si>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</si>
  <si>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</si>
  <si>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</si>
  <si>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</si>
  <si>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</si>
  <si>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</si>
  <si>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</si>
  <si>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</si>
  <si>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</si>
  <si>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</si>
  <si>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</si>
  <si>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</si>
  <si>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</si>
  <si>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</si>
  <si>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</si>
  <si>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</si>
  <si>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</si>
  <si>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</si>
  <si>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</si>
  <si>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</si>
  <si>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</si>
  <si>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</si>
  <si>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</si>
  <si>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</si>
  <si>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</si>
  <si>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</si>
  <si>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</si>
  <si>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</si>
  <si>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</si>
  <si>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</si>
  <si>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</si>
  <si>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</si>
  <si>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</si>
  <si>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</si>
  <si>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</si>
  <si>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</si>
  <si>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</si>
  <si>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</si>
  <si>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</si>
  <si>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</si>
  <si>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</si>
  <si>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</si>
  <si>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</si>
  <si>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</si>
  <si>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</si>
  <si>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</si>
  <si>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</si>
  <si>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</si>
  <si>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</si>
  <si>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</si>
  <si>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</si>
  <si>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</si>
  <si>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</si>
  <si>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</si>
  <si>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</si>
  <si>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</si>
  <si>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</si>
  <si>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</si>
  <si>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</si>
  <si>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</si>
  <si>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</si>
  <si>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</si>
  <si>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</si>
  <si>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</si>
  <si>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</si>
  <si>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</si>
  <si>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</si>
  <si>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</si>
  <si>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</si>
  <si>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</si>
  <si>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</si>
  <si>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</si>
  <si>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</si>
  <si>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</si>
  <si>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</si>
  <si>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</si>
  <si>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</si>
  <si>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</si>
  <si>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</si>
  <si>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</si>
  <si>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</si>
  <si>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</si>
  <si>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</si>
  <si>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</si>
  <si>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</si>
  <si>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</si>
  <si>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</si>
  <si>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</si>
  <si>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</si>
  <si>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</si>
  <si>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</si>
  <si>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</si>
  <si>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</si>
  <si>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</si>
  <si>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</si>
  <si>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</si>
  <si>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</si>
  <si>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</si>
  <si>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</si>
  <si>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</si>
  <si>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</si>
  <si>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</si>
  <si>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</si>
  <si>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</si>
  <si>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</si>
  <si>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</si>
  <si>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</si>
  <si>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</si>
  <si>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</si>
  <si>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</si>
  <si>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</si>
  <si>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</si>
  <si>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</si>
  <si>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</si>
  <si>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</si>
  <si>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</si>
  <si>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</si>
  <si>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</si>
  <si>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</si>
  <si>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</si>
  <si>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</si>
  <si>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</si>
  <si>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</si>
  <si>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</si>
  <si>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</si>
  <si>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</si>
  <si>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</si>
  <si>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</si>
  <si>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</si>
  <si>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</si>
  <si>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</si>
  <si>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</si>
  <si>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</si>
  <si>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</si>
  <si>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</si>
  <si>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</si>
  <si>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</si>
  <si>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</si>
  <si>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</si>
  <si>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</si>
  <si>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</si>
  <si>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</si>
  <si>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</si>
  <si>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</si>
  <si>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</si>
  <si>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</si>
  <si>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</si>
  <si>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</si>
  <si>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</si>
  <si>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</si>
  <si>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</si>
  <si>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</si>
  <si>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</si>
  <si>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</si>
  <si>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</si>
  <si>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</si>
  <si>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</si>
  <si>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</si>
  <si>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</si>
  <si>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</si>
  <si>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</si>
  <si>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</si>
  <si>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</si>
  <si>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</si>
  <si>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</si>
  <si>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</si>
  <si>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</si>
  <si>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</si>
  <si>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</si>
  <si>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</si>
  <si>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</si>
  <si>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</si>
  <si>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</si>
  <si>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</si>
  <si>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</si>
  <si>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</si>
  <si>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</si>
  <si>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</si>
  <si>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</si>
  <si>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</si>
  <si>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</si>
  <si>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</si>
  <si>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</si>
  <si>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</si>
  <si>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</si>
  <si>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</si>
  <si>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</si>
  <si>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</si>
  <si>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</si>
  <si>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</si>
  <si>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</si>
  <si>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</si>
  <si>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</si>
  <si>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</si>
  <si>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</si>
  <si>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</si>
  <si>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</si>
  <si>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</si>
  <si>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</si>
  <si>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</si>
  <si>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</si>
  <si>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</si>
  <si>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</si>
  <si>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</si>
  <si>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</si>
  <si>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</si>
  <si>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</si>
  <si>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</si>
  <si>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</si>
  <si>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</si>
  <si>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</si>
  <si>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</si>
  <si>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</si>
  <si>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</si>
  <si>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</si>
  <si>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</si>
  <si>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</si>
  <si>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</si>
  <si>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</si>
  <si>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</si>
  <si>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</si>
  <si>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</si>
  <si>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</si>
  <si>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</si>
  <si>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</si>
  <si>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</si>
  <si>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</si>
  <si>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</si>
  <si>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</si>
  <si>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</si>
  <si>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</si>
  <si>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</si>
  <si>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</si>
  <si>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</si>
  <si>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</si>
  <si>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</si>
  <si>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</si>
  <si>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</si>
  <si>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</si>
  <si>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</si>
  <si>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</si>
  <si>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</si>
  <si>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</si>
  <si>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</si>
  <si>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</si>
  <si>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</si>
  <si>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</si>
  <si>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</si>
  <si>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</si>
  <si>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</si>
  <si>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</si>
  <si>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</si>
  <si>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</si>
  <si>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</si>
  <si>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</si>
  <si>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</si>
  <si>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</si>
  <si>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</si>
  <si>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</si>
  <si>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</si>
  <si>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</si>
  <si>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</si>
  <si>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</si>
  <si>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</si>
  <si>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</si>
  <si>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</si>
  <si>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</si>
  <si>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</si>
  <si>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</si>
  <si>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</si>
  <si>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</si>
  <si>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</si>
  <si>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</si>
  <si>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</si>
  <si>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</si>
  <si>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</si>
  <si>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</si>
  <si>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</si>
  <si>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</si>
  <si>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</si>
  <si>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</si>
  <si>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</si>
  <si>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</si>
  <si>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</si>
  <si>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</si>
  <si>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</si>
  <si>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</si>
  <si>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</si>
  <si>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</si>
  <si>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</si>
  <si>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</si>
  <si>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</si>
  <si>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</si>
  <si>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</si>
  <si>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</si>
  <si>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</si>
  <si>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</si>
  <si>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</si>
  <si>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</si>
  <si>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</si>
  <si>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</si>
  <si>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</si>
  <si>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</si>
  <si>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</si>
  <si>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</si>
  <si>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</si>
  <si>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</si>
  <si>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</si>
  <si>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</si>
  <si>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</si>
  <si>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</si>
  <si>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</si>
  <si>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</si>
  <si>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</si>
  <si>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</si>
  <si>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</si>
  <si>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</si>
  <si>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</si>
  <si>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</si>
  <si>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</si>
  <si>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</si>
  <si>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</si>
  <si>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</si>
  <si>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</si>
  <si>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</si>
  <si>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</si>
  <si>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</si>
  <si>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</si>
  <si>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</si>
  <si>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</si>
  <si>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</si>
  <si>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</si>
  <si>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</si>
  <si>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</si>
  <si>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</si>
  <si>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</si>
  <si>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</si>
  <si>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</si>
  <si>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</si>
  <si>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</si>
  <si>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</si>
  <si>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</si>
  <si>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</si>
  <si>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</si>
  <si>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</si>
  <si>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</si>
  <si>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</si>
  <si>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</si>
  <si>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</si>
  <si>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</si>
  <si>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</si>
  <si>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</si>
  <si>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</si>
  <si>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</si>
  <si>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</si>
  <si>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</si>
  <si>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</si>
  <si>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</si>
  <si>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</si>
  <si>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</si>
  <si>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</si>
  <si>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</si>
  <si>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</si>
  <si>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</si>
  <si>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</si>
  <si>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</si>
  <si>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</si>
  <si>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</si>
  <si>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</si>
  <si>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</si>
  <si>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</si>
  <si>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</si>
  <si>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</si>
  <si>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</si>
  <si>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</si>
  <si>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</si>
  <si>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</si>
  <si>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</si>
  <si>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</si>
  <si>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</si>
  <si>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</si>
  <si>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</si>
  <si>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</si>
  <si>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</si>
  <si>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</si>
  <si>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</si>
  <si>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</si>
  <si>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</si>
  <si>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</si>
  <si>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</si>
  <si>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</si>
  <si>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</si>
  <si>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</si>
  <si>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</si>
  <si>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</si>
  <si>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</si>
  <si>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</si>
  <si>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</si>
  <si>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</si>
  <si>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</si>
  <si>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</si>
  <si>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</si>
  <si>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</si>
  <si>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</si>
  <si>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</si>
  <si>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</si>
  <si>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</si>
  <si>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</si>
  <si>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</si>
  <si>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</si>
  <si>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</si>
  <si>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</si>
  <si>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</si>
  <si>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</si>
  <si>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</si>
  <si>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</si>
  <si>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</si>
  <si>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</si>
  <si>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</si>
  <si>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</si>
  <si>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</si>
  <si>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</si>
  <si>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</si>
  <si>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</si>
  <si>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</si>
  <si>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</si>
  <si>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</si>
  <si>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</si>
  <si>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</si>
  <si>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</si>
  <si>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</si>
  <si>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</si>
  <si>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</si>
  <si>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</si>
  <si>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</si>
  <si>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</si>
  <si>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</si>
  <si>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</si>
  <si>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</si>
  <si>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</si>
  <si>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</si>
  <si>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</si>
  <si>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</si>
  <si>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</si>
  <si>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</si>
  <si>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</si>
  <si>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</si>
  <si>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</si>
  <si>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</si>
  <si>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</si>
  <si>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</si>
  <si>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</si>
  <si>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</si>
  <si>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</si>
  <si>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</si>
  <si>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</si>
  <si>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</si>
  <si>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</si>
  <si>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</si>
  <si>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</si>
  <si>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</si>
  <si>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</si>
  <si>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</si>
  <si>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</si>
  <si>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</si>
  <si>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</si>
  <si>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</si>
  <si>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</si>
  <si>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</si>
  <si>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</si>
  <si>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</si>
  <si>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</si>
  <si>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</si>
  <si>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</si>
  <si>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</si>
  <si>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</si>
  <si>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</si>
  <si>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</si>
  <si>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</si>
  <si>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</si>
  <si>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</si>
  <si>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</si>
  <si>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</si>
  <si>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</si>
  <si>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</si>
  <si>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</si>
  <si>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</si>
  <si>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</si>
  <si>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</si>
  <si>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</si>
  <si>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</si>
  <si>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</si>
  <si>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</si>
  <si>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</si>
  <si>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</si>
  <si>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</si>
  <si>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</si>
  <si>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</si>
  <si>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</si>
  <si>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</si>
  <si>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</si>
  <si>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</si>
  <si>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</si>
  <si>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</si>
  <si>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</si>
  <si>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</si>
  <si>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</si>
  <si>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</si>
  <si>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</si>
  <si>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</si>
  <si>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</si>
  <si>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</si>
  <si>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</si>
  <si>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</si>
  <si>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</si>
  <si>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</si>
  <si>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</si>
  <si>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</si>
  <si>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</si>
  <si>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</si>
  <si>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</si>
  <si>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</si>
  <si>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</si>
  <si>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</si>
  <si>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</si>
  <si>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</si>
  <si>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</si>
  <si>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</si>
  <si>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</si>
  <si>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</si>
  <si>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</si>
  <si>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</si>
  <si>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</si>
  <si>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</si>
  <si>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</si>
  <si>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</si>
  <si>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</si>
  <si>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</si>
  <si>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</si>
  <si>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</si>
  <si>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</si>
  <si>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</si>
  <si>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</si>
  <si>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</si>
  <si>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</si>
  <si>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</si>
  <si>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</si>
  <si>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</si>
  <si>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</si>
  <si>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</si>
  <si>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</si>
  <si>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</si>
  <si>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</si>
  <si>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</si>
  <si>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</si>
  <si>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</si>
  <si>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</si>
  <si>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</si>
  <si>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</si>
  <si>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</si>
  <si>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</si>
  <si>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</si>
  <si>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</si>
  <si>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</si>
  <si>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</si>
  <si>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</si>
  <si>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</si>
  <si>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</si>
  <si>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</si>
  <si>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</si>
  <si>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</si>
  <si>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</si>
  <si>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</si>
  <si>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</si>
  <si>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</si>
  <si>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</si>
  <si>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</si>
  <si>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</si>
  <si>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</si>
  <si>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</si>
  <si>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</si>
  <si>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</si>
  <si>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</si>
  <si>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</si>
  <si>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</si>
  <si>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</si>
  <si>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</si>
  <si>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</si>
  <si>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</si>
  <si>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</si>
  <si>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</si>
  <si>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</si>
  <si>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</si>
  <si>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</si>
  <si>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</si>
  <si>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</si>
  <si>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</si>
  <si>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</si>
  <si>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</si>
  <si>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</si>
  <si>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</si>
  <si>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</si>
  <si>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</si>
  <si>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</si>
  <si>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</si>
  <si>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</si>
  <si>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</si>
  <si>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</si>
  <si>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</si>
  <si>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</si>
  <si>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</si>
  <si>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</si>
  <si>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</si>
  <si>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</si>
  <si>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</si>
  <si>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</si>
  <si>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</si>
  <si>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</si>
  <si>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</si>
  <si>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</si>
  <si>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</si>
  <si>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</si>
  <si>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</si>
  <si>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</si>
  <si>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</si>
  <si>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</si>
  <si>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</si>
  <si>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</si>
  <si>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</si>
  <si>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</si>
  <si>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</si>
  <si>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</si>
  <si>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</si>
  <si>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</si>
  <si>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</si>
  <si>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</si>
  <si>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</si>
  <si>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</si>
  <si>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</si>
  <si>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</si>
  <si>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</si>
  <si>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</si>
  <si>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</si>
  <si>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</si>
  <si>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</si>
  <si>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</si>
  <si>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</si>
  <si>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</si>
  <si>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</si>
  <si>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</si>
  <si>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</si>
  <si>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</si>
  <si>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</si>
  <si>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</si>
  <si>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</si>
  <si>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</si>
  <si>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</si>
  <si>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</si>
  <si>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</si>
  <si>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</si>
  <si>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</si>
  <si>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</si>
  <si>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</si>
  <si>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</si>
  <si>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</si>
  <si>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</si>
  <si>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</si>
  <si>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</si>
  <si>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</si>
  <si>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</si>
  <si>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</si>
  <si>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</si>
  <si>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</si>
  <si>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</si>
  <si>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</si>
  <si>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</si>
  <si>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</si>
  <si>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</si>
  <si>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</si>
  <si>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</si>
  <si>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</si>
  <si>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</si>
  <si>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</si>
  <si>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</si>
  <si>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</si>
  <si>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</si>
  <si>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</si>
  <si>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</si>
  <si>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</si>
  <si>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</si>
  <si>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</si>
  <si>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</si>
  <si>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</si>
  <si>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</si>
  <si>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</si>
  <si>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</si>
  <si>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</si>
  <si>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</si>
  <si>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</si>
  <si>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</si>
  <si>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</si>
  <si>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</si>
  <si>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</si>
  <si>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</si>
  <si>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</si>
  <si>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</si>
  <si>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</si>
  <si>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</si>
  <si>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</si>
  <si>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</si>
  <si>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</si>
  <si>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</si>
  <si>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</si>
  <si>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</si>
  <si>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</si>
  <si>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</si>
  <si>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</si>
  <si>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</si>
  <si>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</si>
  <si>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</si>
  <si>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</si>
  <si>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</si>
  <si>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</si>
  <si>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</si>
  <si>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</si>
  <si>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</si>
  <si>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</si>
  <si>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</si>
  <si>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</si>
  <si>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</si>
  <si>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</si>
  <si>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</si>
  <si>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</si>
  <si>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</si>
  <si>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</si>
  <si>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</si>
  <si>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</si>
  <si>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</si>
  <si>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</si>
  <si>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</si>
  <si>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</si>
  <si>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</si>
  <si>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</si>
  <si>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</si>
  <si>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</si>
  <si>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</si>
  <si>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</si>
  <si>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</si>
  <si>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</si>
  <si>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</si>
  <si>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</si>
  <si>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</si>
  <si>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</si>
  <si>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</si>
  <si>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</si>
  <si>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</si>
  <si>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</si>
  <si>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</si>
  <si>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</si>
  <si>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</si>
  <si>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</si>
  <si>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</si>
  <si>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</si>
  <si>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</si>
  <si>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</si>
  <si>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</si>
  <si>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</si>
  <si>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</si>
  <si>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</si>
  <si>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</si>
  <si>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</si>
  <si>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</si>
  <si>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</si>
  <si>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</si>
  <si>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</si>
  <si>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</si>
  <si>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</si>
  <si>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</si>
  <si>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</si>
  <si>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</si>
  <si>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</si>
  <si>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</si>
  <si>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</si>
  <si>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</si>
  <si>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</si>
  <si>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</si>
  <si>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</si>
  <si>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</si>
  <si>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</si>
  <si>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</si>
  <si>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</si>
  <si>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</si>
  <si>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</si>
  <si>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</si>
  <si>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</si>
  <si>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</si>
  <si>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</si>
  <si>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</si>
  <si>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</si>
  <si>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</si>
  <si>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</si>
  <si>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</si>
  <si>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</si>
  <si>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</si>
  <si>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</si>
  <si>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</si>
  <si>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</si>
  <si>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</si>
  <si>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</si>
  <si>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</si>
  <si>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</si>
  <si>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</si>
  <si>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</si>
  <si>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</si>
  <si>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</si>
  <si>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</si>
  <si>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</si>
  <si>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</si>
  <si>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</si>
  <si>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</si>
  <si>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</si>
  <si>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</si>
  <si>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</si>
  <si>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</si>
  <si>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</si>
  <si>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</si>
  <si>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</si>
  <si>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</si>
  <si>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</si>
  <si>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</si>
  <si>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</si>
  <si>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</si>
  <si>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</si>
  <si>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</si>
  <si>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</si>
  <si>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</si>
  <si>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</si>
  <si>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</si>
  <si>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</si>
  <si>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</si>
  <si>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</si>
  <si>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</si>
  <si>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</si>
  <si>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</si>
  <si>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</si>
  <si>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</si>
  <si>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</si>
  <si>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</si>
  <si>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</si>
  <si>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</si>
  <si>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</si>
  <si>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</si>
  <si>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</si>
  <si>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</si>
  <si>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</si>
  <si>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</si>
  <si>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</si>
  <si>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</si>
  <si>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</si>
  <si>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</si>
  <si>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</si>
  <si>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</si>
  <si>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</si>
  <si>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</si>
  <si>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</si>
  <si>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</si>
  <si>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</si>
  <si>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</si>
  <si>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</si>
  <si>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</si>
  <si>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</si>
  <si>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</si>
  <si>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</si>
  <si>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</si>
  <si>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</si>
  <si>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</si>
  <si>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</si>
  <si>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</si>
  <si>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</si>
  <si>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</si>
  <si>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</si>
  <si>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</si>
  <si>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</si>
  <si>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</si>
  <si>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</si>
  <si>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</si>
  <si>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</si>
  <si>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</si>
  <si>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</si>
  <si>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</si>
  <si>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</si>
  <si>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</si>
  <si>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</si>
  <si>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</si>
  <si>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</si>
  <si>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</si>
  <si>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</si>
  <si>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</si>
  <si>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</si>
  <si>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</si>
  <si>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</si>
  <si>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</si>
  <si>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</si>
  <si>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</si>
  <si>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</si>
  <si>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</si>
  <si>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</si>
  <si>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</si>
  <si>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</si>
  <si>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</si>
  <si>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</si>
  <si>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</si>
  <si>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</si>
  <si>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</si>
  <si>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</si>
  <si>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</si>
  <si>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</si>
  <si>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</si>
  <si>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</si>
  <si>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</si>
  <si>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</si>
  <si>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</si>
  <si>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</si>
  <si>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</si>
  <si>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</si>
  <si>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</si>
  <si>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</si>
  <si>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</si>
  <si>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</si>
  <si>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</si>
  <si>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</si>
  <si>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</si>
  <si>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</si>
  <si>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</si>
  <si>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</si>
  <si>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</si>
  <si>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</si>
  <si>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</si>
  <si>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</si>
  <si>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</si>
  <si>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</si>
  <si>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</si>
  <si>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</si>
  <si>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</si>
  <si>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</si>
  <si>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</si>
  <si>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</si>
  <si>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</si>
  <si>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</si>
  <si>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</si>
  <si>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</si>
  <si>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</si>
  <si>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</si>
  <si>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</si>
  <si>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</si>
  <si>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</si>
  <si>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</si>
  <si>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</si>
  <si>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</si>
  <si>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</si>
  <si>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</si>
  <si>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</si>
  <si>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</si>
  <si>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</si>
  <si>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</si>
  <si>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</si>
  <si>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</si>
  <si>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</si>
  <si>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</si>
  <si>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</si>
  <si>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</si>
  <si>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</si>
  <si>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</si>
  <si>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</si>
  <si>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</si>
  <si>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</si>
  <si>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</si>
  <si>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</si>
  <si>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</si>
  <si>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</si>
  <si>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</si>
  <si>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</si>
  <si>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</si>
  <si>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</si>
  <si>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</si>
  <si>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</si>
  <si>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</si>
  <si>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</si>
  <si>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</si>
  <si>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</si>
  <si>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</si>
  <si>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</si>
  <si>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</si>
  <si>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</si>
  <si>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</si>
  <si>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</si>
  <si>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</si>
  <si>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</si>
  <si>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</si>
  <si>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</si>
  <si>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</si>
  <si>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</si>
  <si>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</si>
  <si>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</si>
  <si>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</si>
  <si>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</si>
  <si>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</si>
  <si>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</si>
  <si>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</si>
  <si>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</si>
  <si>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</si>
  <si>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</si>
  <si>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</si>
  <si>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</si>
  <si>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</si>
  <si>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</si>
  <si>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</si>
  <si>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</si>
  <si>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</si>
  <si>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</si>
  <si>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</si>
  <si>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</si>
  <si>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</si>
  <si>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</si>
  <si>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</si>
  <si>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</si>
  <si>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</si>
  <si>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</si>
  <si>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</si>
  <si>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</si>
  <si>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</si>
  <si>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</si>
  <si>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</si>
  <si>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</si>
  <si>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</si>
  <si>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</si>
  <si>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</si>
  <si>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</si>
  <si>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</si>
  <si>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</si>
  <si>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</si>
  <si>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</si>
  <si>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</si>
  <si>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</si>
  <si>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</si>
  <si>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</si>
  <si>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</si>
  <si>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</si>
  <si>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</si>
  <si>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</si>
  <si>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</si>
  <si>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</si>
  <si>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</si>
  <si>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</si>
  <si>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</si>
  <si>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</si>
  <si>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</si>
  <si>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</si>
  <si>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</si>
  <si>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</si>
  <si>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</si>
  <si>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</si>
  <si>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</si>
  <si>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</si>
  <si>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</si>
  <si>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</si>
  <si>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</si>
  <si>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</si>
  <si>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</si>
  <si>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</si>
  <si>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</si>
  <si>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</si>
  <si>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</si>
  <si>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</si>
  <si>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</si>
  <si>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</si>
  <si>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</si>
  <si>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</si>
  <si>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</si>
  <si>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</si>
  <si>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</si>
  <si>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</si>
  <si>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</si>
  <si>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</si>
  <si>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</si>
  <si>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</si>
  <si>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</si>
  <si>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</si>
  <si>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</si>
  <si>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</si>
  <si>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</si>
  <si>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</si>
  <si>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</si>
  <si>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</si>
  <si>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</si>
  <si>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</si>
  <si>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</si>
  <si>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</si>
  <si>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</si>
  <si>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</si>
  <si>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</si>
  <si>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</si>
  <si>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</si>
  <si>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</si>
  <si>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</si>
  <si>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</si>
  <si>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</si>
  <si>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</si>
  <si>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</si>
  <si>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</si>
  <si>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</si>
  <si>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</si>
  <si>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</si>
  <si>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</si>
  <si>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</si>
  <si>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</si>
  <si>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</si>
  <si>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</si>
  <si>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</si>
  <si>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</si>
  <si>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</si>
  <si>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</si>
  <si>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</si>
  <si>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</si>
  <si>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</si>
  <si>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</si>
  <si>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</si>
  <si>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</si>
  <si>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</si>
  <si>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</si>
  <si>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</si>
  <si>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</si>
  <si>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</si>
  <si>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</si>
  <si>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</si>
  <si>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</si>
  <si>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</si>
  <si>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</si>
  <si>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</si>
  <si>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</si>
  <si>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</si>
  <si>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</si>
  <si>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</si>
  <si>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</si>
  <si>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</si>
  <si>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</si>
  <si>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</si>
  <si>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</si>
  <si>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</si>
  <si>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</si>
  <si>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</si>
  <si>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</si>
  <si>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</si>
  <si>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</si>
  <si>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</si>
  <si>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</si>
  <si>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</si>
  <si>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</si>
  <si>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</si>
  <si>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</si>
  <si>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</si>
  <si>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</si>
  <si>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</si>
  <si>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</si>
  <si>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</si>
  <si>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</si>
  <si>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</si>
  <si>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</si>
  <si>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</si>
  <si>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</si>
  <si>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</si>
  <si>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</si>
  <si>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</si>
  <si>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</si>
  <si>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</si>
  <si>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</si>
  <si>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</si>
  <si>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</si>
  <si>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</si>
  <si>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</si>
  <si>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</si>
  <si>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</si>
  <si>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</si>
  <si>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</si>
  <si>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</si>
  <si>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</si>
  <si>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</si>
  <si>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</si>
  <si>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</si>
  <si>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</si>
  <si>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</si>
  <si>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</si>
  <si>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</si>
  <si>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</si>
  <si>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</si>
  <si>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</si>
  <si>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</si>
  <si>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</si>
  <si>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</si>
  <si>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</si>
  <si>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</si>
  <si>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</si>
  <si>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</si>
  <si>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</si>
  <si>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</si>
  <si>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</si>
  <si>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</si>
  <si>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</si>
  <si>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</si>
  <si>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</si>
  <si>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</si>
  <si>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</si>
  <si>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</si>
  <si>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</si>
  <si>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</si>
  <si>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</si>
  <si>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</si>
  <si>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</si>
  <si>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</si>
  <si>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</si>
  <si>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</si>
  <si>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</si>
  <si>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</si>
  <si>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</si>
  <si>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</si>
  <si>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</si>
  <si>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</si>
  <si>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</si>
  <si>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</si>
  <si>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</si>
  <si>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</si>
  <si>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</si>
  <si>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</si>
  <si>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</si>
  <si>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</si>
  <si>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</si>
  <si>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</si>
  <si>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</si>
  <si>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</si>
  <si>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</si>
  <si>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</si>
  <si>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</si>
  <si>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</si>
  <si>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</si>
  <si>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</si>
  <si>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</si>
  <si>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</si>
  <si>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</si>
  <si>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</si>
  <si>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</si>
  <si>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</si>
  <si>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</si>
  <si>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</si>
  <si>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</si>
  <si>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</si>
  <si>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</si>
  <si>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PacH San Jose Holdings, LLC</t>
  </si>
  <si>
    <t>City of San Jose</t>
  </si>
  <si>
    <t>Jennifer Maguire  (Executive Assistant is Sandra Cranford)</t>
  </si>
  <si>
    <t>200 East Santa Clara Street</t>
  </si>
  <si>
    <t>San Jose</t>
  </si>
  <si>
    <t>408-535-8111</t>
  </si>
  <si>
    <t>sandra.cranford@sanjoseca.gov</t>
  </si>
  <si>
    <t xml:space="preserve">1655 Berryessa Roqad </t>
  </si>
  <si>
    <t>San  Jose</t>
  </si>
  <si>
    <t>241-03-024</t>
  </si>
  <si>
    <t>40%/60% Average Income</t>
  </si>
  <si>
    <t>2115 J Street</t>
  </si>
  <si>
    <t>CA</t>
  </si>
  <si>
    <t>916-638-5200</t>
  </si>
  <si>
    <t>meland@pacifichousing.org</t>
  </si>
  <si>
    <t>Green Valley Corporation</t>
  </si>
  <si>
    <t>777 N. First Street, 5th Floor</t>
  </si>
  <si>
    <t>Mark Pilarczyk</t>
  </si>
  <si>
    <t>408-335-5997</t>
  </si>
  <si>
    <t>mark@swenson.com</t>
  </si>
  <si>
    <t>Green Valle Corp. dba Swenson</t>
  </si>
  <si>
    <t>Managing GP</t>
  </si>
  <si>
    <t>Administrative GP</t>
  </si>
  <si>
    <t xml:space="preserve">Mat Eland </t>
  </si>
  <si>
    <t>Pacific Housing, Inc.</t>
  </si>
  <si>
    <t xml:space="preserve">San Jose </t>
  </si>
  <si>
    <t>Developer, GP</t>
  </si>
  <si>
    <t>San Jose, CA 95112</t>
  </si>
  <si>
    <t>Green Valley Corp. dba Swenson</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</si>
  <si>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</si>
  <si>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</si>
  <si>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</si>
  <si>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</si>
  <si>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</si>
  <si>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</si>
  <si>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</si>
  <si>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</si>
  <si>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</si>
  <si>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</si>
  <si>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</si>
  <si>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</si>
  <si>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</si>
  <si>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</si>
  <si>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</si>
  <si>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</si>
  <si>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</si>
  <si>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</si>
  <si>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</si>
  <si>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</si>
  <si>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</si>
  <si>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</si>
  <si>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</si>
  <si>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</si>
  <si>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</si>
  <si>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</si>
  <si>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</si>
  <si>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</si>
  <si>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</si>
  <si>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760-930-1266</t>
  </si>
  <si>
    <t>bbarker@cmfa-ca.com</t>
  </si>
  <si>
    <t>FPI Management</t>
  </si>
  <si>
    <t>800 Iron Point Road</t>
  </si>
  <si>
    <t>Folsom, CA 95630</t>
  </si>
  <si>
    <t>916-850-4484</t>
  </si>
  <si>
    <t>Cynthia Wray</t>
  </si>
  <si>
    <t>cynthia.wray@fpimgt.com</t>
  </si>
  <si>
    <t>Inner City Infill Site</t>
  </si>
  <si>
    <t>Planned Development - Transit Residential</t>
  </si>
  <si>
    <t>Yes / In-lieu fee option available</t>
  </si>
  <si>
    <t>Planned Development - 260 units</t>
  </si>
  <si>
    <t>Berkadia - TEB</t>
  </si>
  <si>
    <t>Berkadia - Recycled Bonds</t>
  </si>
  <si>
    <t>Berkadia - Taxable Tail</t>
  </si>
  <si>
    <t>CREA - Tax Credit Equity</t>
  </si>
  <si>
    <t>Deferred Reserve Funding</t>
  </si>
  <si>
    <t>Ground Lease TI Contribution</t>
  </si>
  <si>
    <t>11111 Santa Monica Blvd, Suite 400</t>
  </si>
  <si>
    <t>Jay Abeywardena</t>
  </si>
  <si>
    <t>Loan, Tax Exempt</t>
  </si>
  <si>
    <t>310-209-3244</t>
  </si>
  <si>
    <t>Loan, Recycled Bonds</t>
  </si>
  <si>
    <t>LIHTC</t>
  </si>
  <si>
    <t>(408) 335-5997</t>
  </si>
  <si>
    <t>Deferred Developer Funding</t>
  </si>
  <si>
    <t>Deferred Contractor Fee</t>
  </si>
  <si>
    <t>Berkadia/Fannie Mae MTEB</t>
  </si>
  <si>
    <t>Lease Up Income</t>
  </si>
  <si>
    <t>Perm Loan</t>
  </si>
  <si>
    <t>777 N. First Street</t>
  </si>
  <si>
    <t>App fees, laundry, misc., etc.</t>
  </si>
  <si>
    <t xml:space="preserve">Santa Clara County </t>
  </si>
  <si>
    <t>Misc.</t>
  </si>
  <si>
    <t>Other: Legale Fees borrower &amp; consultant</t>
  </si>
  <si>
    <t>PacH San Jose Holdings, LLC - Pacific Housing, Inc.</t>
  </si>
  <si>
    <t>Recycled Bonds</t>
  </si>
  <si>
    <t xml:space="preserve">Berryessa Family Apartments </t>
  </si>
  <si>
    <t>Karisa Flores &amp; others see exhibit</t>
  </si>
  <si>
    <t>Rob Facchino</t>
  </si>
  <si>
    <t>Managing Partner</t>
  </si>
  <si>
    <t>873 Blossom Hill Road</t>
  </si>
  <si>
    <t>San Jose, CA 95123</t>
  </si>
  <si>
    <t>Safehold will be participating in the structure and will take ownership of the land and lease back to project</t>
  </si>
  <si>
    <t>Secured by Leasehold Interest</t>
  </si>
  <si>
    <t>Planned Development</t>
  </si>
  <si>
    <t>75'</t>
  </si>
  <si>
    <t>1114 Avenue oof the Americas</t>
  </si>
  <si>
    <t>New York</t>
  </si>
  <si>
    <t>Steve Wylder</t>
  </si>
  <si>
    <t>310-315-5566</t>
  </si>
  <si>
    <t>Safehold, Inc.</t>
  </si>
  <si>
    <t>1114 Avenue of the Americas</t>
  </si>
  <si>
    <t>Other: Lender Inspections &amp; GL Expense</t>
  </si>
  <si>
    <t>Case Swenson</t>
  </si>
  <si>
    <t>President</t>
  </si>
  <si>
    <t>Fixed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</si>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</sst>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1259</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2" zoomScale="58" zoomScaleNormal="58" workbookViewId="0">
      <selection activeCell="G77" sqref="G77"/>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56" t="s">
        <v>1586</v>
      </c>
      <c r="B1" s="2656"/>
      <c r="C1" s="2656"/>
      <c r="D1" s="2656"/>
      <c r="E1" s="2656"/>
      <c r="F1" s="2656"/>
      <c r="G1" s="2656"/>
      <c r="H1" s="2656"/>
      <c r="I1" s="2656"/>
      <c r="J1" s="2656"/>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79734292</v>
      </c>
      <c r="I3" s="1107"/>
    </row>
    <row r="4" spans="1:13" s="1052" customFormat="1" ht="20.149999999999999" customHeight="1">
      <c r="B4" s="1096"/>
      <c r="D4" s="1110"/>
      <c r="F4" s="1094" t="s">
        <v>1994</v>
      </c>
      <c r="G4" s="1093" t="s">
        <v>1993</v>
      </c>
      <c r="H4" s="1095">
        <f>I18</f>
        <v>56727696.078431375</v>
      </c>
      <c r="I4" s="1097"/>
      <c r="K4" s="1056"/>
    </row>
    <row r="5" spans="1:13" s="1052" customFormat="1" ht="20.149999999999999" customHeight="1" thickBot="1">
      <c r="B5" s="1098"/>
      <c r="C5" s="1099"/>
      <c r="D5" s="1111"/>
      <c r="E5" s="1100"/>
      <c r="F5" s="1111" t="s">
        <v>1943</v>
      </c>
      <c r="G5" s="1112"/>
      <c r="H5" s="1108">
        <f>IFERROR(H3/H4,0)</f>
        <v>1.4055619655302032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59" t="s">
        <v>1941</v>
      </c>
      <c r="C8" s="2660"/>
      <c r="D8" s="2660"/>
      <c r="E8" s="2661"/>
      <c r="G8" s="2662" t="s">
        <v>1942</v>
      </c>
      <c r="H8" s="2663"/>
      <c r="I8" s="2664"/>
      <c r="K8" s="1058"/>
    </row>
    <row r="9" spans="1:13" ht="15" customHeight="1">
      <c r="A9" s="1047"/>
      <c r="B9" s="2657" t="s">
        <v>1975</v>
      </c>
      <c r="C9" s="2657"/>
      <c r="D9" s="2657"/>
      <c r="E9" s="1060">
        <f>G33</f>
        <v>15750000</v>
      </c>
      <c r="G9" s="2665" t="s">
        <v>1973</v>
      </c>
      <c r="H9" s="2665"/>
      <c r="I9" s="1061">
        <f>Application!AM554</f>
        <v>69000000</v>
      </c>
      <c r="K9" s="1062"/>
      <c r="M9" s="1063"/>
    </row>
    <row r="10" spans="1:13" ht="15" customHeight="1" thickBot="1">
      <c r="A10" s="1047"/>
      <c r="B10" s="2657" t="s">
        <v>1976</v>
      </c>
      <c r="C10" s="2657"/>
      <c r="D10" s="2657"/>
      <c r="E10" s="1061">
        <f>G47</f>
        <v>35429292.000000007</v>
      </c>
      <c r="G10" s="2669" t="s">
        <v>1944</v>
      </c>
      <c r="H10" s="2669"/>
      <c r="I10" s="1142">
        <f>'Basis &amp; Credits'!AB78</f>
        <v>0</v>
      </c>
      <c r="M10" s="1063"/>
    </row>
    <row r="11" spans="1:13" ht="15" customHeight="1">
      <c r="A11" s="1047"/>
      <c r="B11" s="2673" t="s">
        <v>2267</v>
      </c>
      <c r="C11" s="2674"/>
      <c r="D11" s="2675"/>
      <c r="E11" s="1061">
        <f>SUM(E12,E13)</f>
        <v>520000</v>
      </c>
      <c r="G11" s="2672" t="s">
        <v>1984</v>
      </c>
      <c r="H11" s="2672"/>
      <c r="I11" s="1141">
        <f>I9+I10</f>
        <v>69000000</v>
      </c>
      <c r="M11" s="1063"/>
    </row>
    <row r="12" spans="1:13" ht="15" customHeight="1">
      <c r="A12" s="1064"/>
      <c r="B12" s="2658" t="s">
        <v>2269</v>
      </c>
      <c r="C12" s="2658"/>
      <c r="D12" s="2658"/>
      <c r="E12" s="1167">
        <f>G56</f>
        <v>0</v>
      </c>
      <c r="M12" s="1063"/>
    </row>
    <row r="13" spans="1:13" ht="15" customHeight="1">
      <c r="A13" s="1050"/>
      <c r="B13" s="2658" t="s">
        <v>2270</v>
      </c>
      <c r="C13" s="2658"/>
      <c r="D13" s="2658"/>
      <c r="E13" s="1167">
        <f>G65</f>
        <v>520000</v>
      </c>
      <c r="G13" s="2662" t="s">
        <v>2008</v>
      </c>
      <c r="H13" s="2663"/>
      <c r="I13" s="2664"/>
      <c r="M13" s="1063"/>
    </row>
    <row r="14" spans="1:13" ht="15" customHeight="1">
      <c r="A14" s="1050"/>
      <c r="B14" s="2673" t="s">
        <v>2268</v>
      </c>
      <c r="C14" s="2674"/>
      <c r="D14" s="2675"/>
      <c r="E14" s="1169">
        <f>MAX(E15,E16)+E17</f>
        <v>28035000</v>
      </c>
      <c r="G14" s="2665" t="s">
        <v>139</v>
      </c>
      <c r="H14" s="2665"/>
      <c r="I14" s="1065">
        <f>15%*(AND(G120="Yes",G122&lt;&gt;""))</f>
        <v>0</v>
      </c>
      <c r="M14" s="1063"/>
    </row>
    <row r="15" spans="1:13" ht="15" customHeight="1">
      <c r="A15" s="1050"/>
      <c r="B15" s="2676" t="s">
        <v>2274</v>
      </c>
      <c r="C15" s="2677"/>
      <c r="D15" s="2678"/>
      <c r="E15" s="1167">
        <f>G80</f>
        <v>6300000</v>
      </c>
      <c r="G15" s="1139" t="s">
        <v>1985</v>
      </c>
      <c r="H15" s="1139"/>
      <c r="I15" s="1065">
        <f>IF(Application!AJ1032&gt;0,10%,IF(Application!AJ1036&gt;0,5%,0))</f>
        <v>0.05</v>
      </c>
      <c r="M15" s="1063"/>
    </row>
    <row r="16" spans="1:13" ht="15" customHeight="1">
      <c r="A16" s="1050"/>
      <c r="B16" s="2676" t="s">
        <v>2273</v>
      </c>
      <c r="C16" s="2677"/>
      <c r="D16" s="2678"/>
      <c r="E16" s="1167">
        <f>G90</f>
        <v>0</v>
      </c>
      <c r="G16" s="2665" t="s">
        <v>1986</v>
      </c>
      <c r="H16" s="2665"/>
      <c r="I16" s="1065">
        <f>G132</f>
        <v>0.127859477124183</v>
      </c>
    </row>
    <row r="17" spans="1:21" ht="15" customHeight="1" thickBot="1">
      <c r="A17" s="1050"/>
      <c r="B17" s="2676" t="s">
        <v>2272</v>
      </c>
      <c r="C17" s="2677"/>
      <c r="D17" s="2678"/>
      <c r="E17" s="1167">
        <f>G115</f>
        <v>21735000</v>
      </c>
      <c r="G17" s="2665" t="s">
        <v>2282</v>
      </c>
      <c r="H17" s="2665"/>
      <c r="I17" s="1065">
        <f>IF(AND(G139="Yes",OR(G136,G137)),IF(G143&gt;15%,15%,G143),0)</f>
        <v>0</v>
      </c>
    </row>
    <row r="18" spans="1:21" ht="15" customHeight="1">
      <c r="A18" s="1047"/>
      <c r="B18" s="2668" t="s">
        <v>1940</v>
      </c>
      <c r="C18" s="2668"/>
      <c r="D18" s="2668"/>
      <c r="E18" s="1113">
        <f>SUM(E9:E11,E14)</f>
        <v>79734292</v>
      </c>
      <c r="G18" s="1140" t="s">
        <v>1974</v>
      </c>
      <c r="H18" s="1140"/>
      <c r="I18" s="1114">
        <f>I11-((I11*I14)+(I11*I15)+(I11*I16)+(I11*I17))</f>
        <v>56727696.078431375</v>
      </c>
      <c r="M18" s="1066">
        <f>SUM(Cdlac[Quantity])</f>
        <v>257</v>
      </c>
      <c r="O18" s="1086" t="s">
        <v>583</v>
      </c>
      <c r="P18" s="1045">
        <f>MATCH(Application!T189,Application!CB160:CB217,0)</f>
        <v>43</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36</v>
      </c>
      <c r="N20" s="1072">
        <f>Application!AC718</f>
        <v>0.7</v>
      </c>
      <c r="O20" s="1072">
        <f>IF(Cdlac[[#This Row],[Quantity]]&gt;0,IF(Cdlac[[#This Row],[Federal]],30%,IF(AND(OR(NOT($G$38),$G$38=""),$G$43),40%,Cdlac[[#This Row],[iAMI]])),"")</f>
        <v>0.7</v>
      </c>
      <c r="P20" s="1066" cm="1">
        <f t="array" ref="P20">IF(Cdlac[[#This Row],[Quantity]]&gt;0,INDEX(TcacRents,$P$18,Cdlac[[#This Row],[Bedrooms]]+1)*Cdlac[[#This Row],[AMI]],"")</f>
        <v>2419.1999999999998</v>
      </c>
      <c r="Q20" s="1166"/>
      <c r="R20" s="1066" cm="1">
        <f t="array" ref="R20">IF(Cdlac[[#This Row],[Quantity]]&gt;0,INDEX(HudFmrs,$P$18,Cdlac[[#This Row],[Bedrooms]]+1),"")</f>
        <v>2694</v>
      </c>
      <c r="S20" s="1066">
        <f>IF(Cdlac[[#This Row],[Quantity]]&gt;0,MAX(0,Cdlac[[#This Row],[Fair Market Rent]]-IF(AND($G$37,$G$38,$G$38&lt;&gt;"",NOT(Cdlac[[#This Row],[Federal]]),Cdlac[[#This Row],[Preservation Rent]]&lt;&gt;""),Cdlac[[#This Row],[Preservation Rent]],Cdlac[[#This Row],[Restricted Rent]])),"")</f>
        <v>274.80000000000018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36</v>
      </c>
      <c r="N21" s="1072">
        <f>Application!AC719</f>
        <v>0.6</v>
      </c>
      <c r="O21" s="1072">
        <f>IF(Cdlac[[#This Row],[Quantity]]&gt;0,IF(Cdlac[[#This Row],[Federal]],30%,IF(AND(OR(NOT($G$38),$G$38=""),$G$43),40%,Cdlac[[#This Row],[iAMI]])),"")</f>
        <v>0.6</v>
      </c>
      <c r="P21" s="1066" cm="1">
        <f t="array" ref="P21">IF(Cdlac[[#This Row],[Quantity]]&gt;0,INDEX(TcacRents,$P$18,Cdlac[[#This Row],[Bedrooms]]+1)*Cdlac[[#This Row],[AMI]],"")</f>
        <v>2073.6</v>
      </c>
      <c r="Q21" s="1166"/>
      <c r="R21" s="1066" cm="1">
        <f t="array" ref="R21">IF(Cdlac[[#This Row],[Quantity]]&gt;0,INDEX(HudFmrs,$P$18,Cdlac[[#This Row],[Bedrooms]]+1),"")</f>
        <v>2694</v>
      </c>
      <c r="S21" s="1066">
        <f>IF(Cdlac[[#This Row],[Quantity]]&gt;0,MAX(0,Cdlac[[#This Row],[Fair Market Rent]]-IF(AND($G$37,$G$38,$G$38&lt;&gt;"",NOT(Cdlac[[#This Row],[Federal]]),Cdlac[[#This Row],[Preservation Rent]]&lt;&gt;""),Cdlac[[#This Row],[Preservation Rent]],Cdlac[[#This Row],[Restricted Rent]])),"")</f>
        <v>620.40000000000009</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6" t="s">
        <v>1988</v>
      </c>
      <c r="D22" s="2666" t="s">
        <v>1989</v>
      </c>
      <c r="E22" s="2666" t="s">
        <v>1990</v>
      </c>
      <c r="F22" s="2666" t="s">
        <v>1991</v>
      </c>
      <c r="G22" s="2666" t="s">
        <v>1987</v>
      </c>
      <c r="H22" s="1071"/>
      <c r="I22" s="1070"/>
      <c r="L22" s="1045">
        <f>IFERROR(MIN(4,MATCH(Application!B720,UnitSizes,0)-1),"")</f>
        <v>1</v>
      </c>
      <c r="M22" s="1066">
        <f>Application!G720</f>
        <v>9</v>
      </c>
      <c r="N22" s="1072">
        <f>Application!AC720</f>
        <v>0.5</v>
      </c>
      <c r="O22" s="1072">
        <f>IF(Cdlac[[#This Row],[Quantity]]&gt;0,IF(Cdlac[[#This Row],[Federal]],30%,IF(AND(OR(NOT($G$38),$G$38=""),$G$43),40%,Cdlac[[#This Row],[iAMI]])),"")</f>
        <v>0.5</v>
      </c>
      <c r="P22" s="1066" cm="1">
        <f t="array" ref="P22">IF(Cdlac[[#This Row],[Quantity]]&gt;0,INDEX(TcacRents,$P$18,Cdlac[[#This Row],[Bedrooms]]+1)*Cdlac[[#This Row],[AMI]],"")</f>
        <v>1728</v>
      </c>
      <c r="Q22" s="1166"/>
      <c r="R22" s="1066" cm="1">
        <f t="array" ref="R22">IF(Cdlac[[#This Row],[Quantity]]&gt;0,INDEX(HudFmrs,$P$18,Cdlac[[#This Row],[Bedrooms]]+1),"")</f>
        <v>2694</v>
      </c>
      <c r="S22" s="1066">
        <f>IF(Cdlac[[#This Row],[Quantity]]&gt;0,MAX(0,Cdlac[[#This Row],[Fair Market Rent]]-IF(AND($G$37,$G$38,$G$38&lt;&gt;"",NOT(Cdlac[[#This Row],[Federal]]),Cdlac[[#This Row],[Preservation Rent]]&lt;&gt;""),Cdlac[[#This Row],[Preservation Rent]],Cdlac[[#This Row],[Restricted Rent]])),"")</f>
        <v>966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7"/>
      <c r="D23" s="2667"/>
      <c r="E23" s="2667"/>
      <c r="F23" s="2667"/>
      <c r="G23" s="2667"/>
      <c r="H23" s="1071"/>
      <c r="I23" s="1070"/>
      <c r="L23" s="1045">
        <f>IFERROR(MIN(4,MATCH(Application!B721,UnitSizes,0)-1),"")</f>
        <v>1</v>
      </c>
      <c r="M23" s="1066">
        <f>Application!G721</f>
        <v>9</v>
      </c>
      <c r="N23" s="1072">
        <f>Application!AC721</f>
        <v>0.3</v>
      </c>
      <c r="O23" s="1072">
        <f>IF(Cdlac[[#This Row],[Quantity]]&gt;0,IF(Cdlac[[#This Row],[Federal]],30%,IF(AND(OR(NOT($G$38),$G$38=""),$G$43),40%,Cdlac[[#This Row],[iAMI]])),"")</f>
        <v>0.3</v>
      </c>
      <c r="P23" s="1066" cm="1">
        <f t="array" ref="P23">IF(Cdlac[[#This Row],[Quantity]]&gt;0,INDEX(TcacRents,$P$18,Cdlac[[#This Row],[Bedrooms]]+1)*Cdlac[[#This Row],[AMI]],"")</f>
        <v>1036.8</v>
      </c>
      <c r="Q23" s="1166"/>
      <c r="R23" s="1066" cm="1">
        <f t="array" ref="R23">IF(Cdlac[[#This Row],[Quantity]]&gt;0,INDEX(HudFmrs,$P$18,Cdlac[[#This Row],[Bedrooms]]+1),"")</f>
        <v>2694</v>
      </c>
      <c r="S23" s="1066">
        <f>IF(Cdlac[[#This Row],[Quantity]]&gt;0,MAX(0,Cdlac[[#This Row],[Fair Market Rent]]-IF(AND($G$37,$G$38,$G$38&lt;&gt;"",NOT(Cdlac[[#This Row],[Federal]]),Cdlac[[#This Row],[Preservation Rent]]&lt;&gt;""),Cdlac[[#This Row],[Preservation Rent]],Cdlac[[#This Row],[Restricted Rent]])),"")</f>
        <v>1657.2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40</v>
      </c>
      <c r="N24" s="1072">
        <f>Application!AC722</f>
        <v>0.7</v>
      </c>
      <c r="O24" s="1072">
        <f>IF(Cdlac[[#This Row],[Quantity]]&gt;0,IF(Cdlac[[#This Row],[Federal]],30%,IF(AND(OR(NOT($G$38),$G$38=""),$G$43),40%,Cdlac[[#This Row],[iAMI]])),"")</f>
        <v>0.7</v>
      </c>
      <c r="P24" s="1066" cm="1">
        <f t="array" ref="P24">IF(Cdlac[[#This Row],[Quantity]]&gt;0,INDEX(TcacRents,$P$18,Cdlac[[#This Row],[Bedrooms]]+1)*Cdlac[[#This Row],[AMI]],"")</f>
        <v>2902.2</v>
      </c>
      <c r="Q24" s="1166"/>
      <c r="R24" s="1066" cm="1">
        <f t="array" ref="R24">IF(Cdlac[[#This Row],[Quantity]]&gt;0,INDEX(HudFmrs,$P$18,Cdlac[[#This Row],[Bedrooms]]+1),"")</f>
        <v>3132</v>
      </c>
      <c r="S24" s="1066">
        <f>IF(Cdlac[[#This Row],[Quantity]]&gt;0,MAX(0,Cdlac[[#This Row],[Fair Market Rent]]-IF(AND($G$37,$G$38,$G$38&lt;&gt;"",NOT(Cdlac[[#This Row],[Federal]]),Cdlac[[#This Row],[Preservation Rent]]&lt;&gt;""),Cdlac[[#This Row],[Preservation Rent]],Cdlac[[#This Row],[Restricted Rent]])),"")</f>
        <v>229.80000000000018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90</v>
      </c>
      <c r="F25" s="1073">
        <f>E25</f>
        <v>90</v>
      </c>
      <c r="G25" s="1073">
        <f>D25*F25</f>
        <v>90</v>
      </c>
      <c r="L25" s="1045">
        <f>IFERROR(MIN(4,MATCH(Application!B723,UnitSizes,0)-1),"")</f>
        <v>2</v>
      </c>
      <c r="M25" s="1066">
        <f>Application!G723</f>
        <v>42</v>
      </c>
      <c r="N25" s="1072">
        <f>Application!AC723</f>
        <v>0.6</v>
      </c>
      <c r="O25" s="1072">
        <f>IF(Cdlac[[#This Row],[Quantity]]&gt;0,IF(Cdlac[[#This Row],[Federal]],30%,IF(AND(OR(NOT($G$38),$G$38=""),$G$43),40%,Cdlac[[#This Row],[iAMI]])),"")</f>
        <v>0.6</v>
      </c>
      <c r="P25" s="1066" cm="1">
        <f t="array" ref="P25">IF(Cdlac[[#This Row],[Quantity]]&gt;0,INDEX(TcacRents,$P$18,Cdlac[[#This Row],[Bedrooms]]+1)*Cdlac[[#This Row],[AMI]],"")</f>
        <v>2487.6</v>
      </c>
      <c r="Q25" s="1166"/>
      <c r="R25" s="1066" cm="1">
        <f t="array" ref="R25">IF(Cdlac[[#This Row],[Quantity]]&gt;0,INDEX(HudFmrs,$P$18,Cdlac[[#This Row],[Bedrooms]]+1),"")</f>
        <v>3132</v>
      </c>
      <c r="S25" s="1066">
        <f>IF(Cdlac[[#This Row],[Quantity]]&gt;0,MAX(0,Cdlac[[#This Row],[Fair Market Rent]]-IF(AND($G$37,$G$38,$G$38&lt;&gt;"",NOT(Cdlac[[#This Row],[Federal]]),Cdlac[[#This Row],[Preservation Rent]]&lt;&gt;""),Cdlac[[#This Row],[Preservation Rent]],Cdlac[[#This Row],[Restricted Rent]])),"")</f>
        <v>644.40000000000009</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102</v>
      </c>
      <c r="F26" s="1076">
        <f>SUM(E26:E28)-SUM(F27:F28)</f>
        <v>102</v>
      </c>
      <c r="G26" s="1073">
        <f>D26*F26</f>
        <v>127.5</v>
      </c>
      <c r="H26" s="1075"/>
      <c r="I26" s="1075"/>
      <c r="L26" s="1045">
        <f>IFERROR(MIN(4,MATCH(Application!B724,UnitSizes,0)-1),"")</f>
        <v>2</v>
      </c>
      <c r="M26" s="1066">
        <f>Application!G724</f>
        <v>10</v>
      </c>
      <c r="N26" s="1072">
        <f>Application!AC724</f>
        <v>0.5</v>
      </c>
      <c r="O26" s="1072">
        <f>IF(Cdlac[[#This Row],[Quantity]]&gt;0,IF(Cdlac[[#This Row],[Federal]],30%,IF(AND(OR(NOT($G$38),$G$38=""),$G$43),40%,Cdlac[[#This Row],[iAMI]])),"")</f>
        <v>0.5</v>
      </c>
      <c r="P26" s="1066" cm="1">
        <f t="array" ref="P26">IF(Cdlac[[#This Row],[Quantity]]&gt;0,INDEX(TcacRents,$P$18,Cdlac[[#This Row],[Bedrooms]]+1)*Cdlac[[#This Row],[AMI]],"")</f>
        <v>2073</v>
      </c>
      <c r="Q26" s="1166"/>
      <c r="R26" s="1066" cm="1">
        <f t="array" ref="R26">IF(Cdlac[[#This Row],[Quantity]]&gt;0,INDEX(HudFmrs,$P$18,Cdlac[[#This Row],[Bedrooms]]+1),"")</f>
        <v>3132</v>
      </c>
      <c r="S26" s="1066">
        <f>IF(Cdlac[[#This Row],[Quantity]]&gt;0,MAX(0,Cdlac[[#This Row],[Fair Market Rent]]-IF(AND($G$37,$G$38,$G$38&lt;&gt;"",NOT(Cdlac[[#This Row],[Federal]]),Cdlac[[#This Row],[Preservation Rent]]&lt;&gt;""),Cdlac[[#This Row],[Preservation Rent]],Cdlac[[#This Row],[Restricted Rent]])),"")</f>
        <v>1059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65</v>
      </c>
      <c r="F27" s="1076">
        <f>MIN(E27,ROUNDDOWN(E29*30%,0))</f>
        <v>65</v>
      </c>
      <c r="G27" s="1073">
        <f>D27*F27</f>
        <v>97.5</v>
      </c>
      <c r="H27" s="1075"/>
      <c r="I27" s="1075"/>
      <c r="L27" s="1045">
        <f>IFERROR(MIN(4,MATCH(Application!B725,UnitSizes,0)-1),"")</f>
        <v>2</v>
      </c>
      <c r="M27" s="1066">
        <f>Application!G725</f>
        <v>10</v>
      </c>
      <c r="N27" s="1072">
        <f>Application!AC725</f>
        <v>0.3</v>
      </c>
      <c r="O27" s="1072">
        <f>IF(Cdlac[[#This Row],[Quantity]]&gt;0,IF(Cdlac[[#This Row],[Federal]],30%,IF(AND(OR(NOT($G$38),$G$38=""),$G$43),40%,Cdlac[[#This Row],[iAMI]])),"")</f>
        <v>0.3</v>
      </c>
      <c r="P27" s="1066" cm="1">
        <f t="array" ref="P27">IF(Cdlac[[#This Row],[Quantity]]&gt;0,INDEX(TcacRents,$P$18,Cdlac[[#This Row],[Bedrooms]]+1)*Cdlac[[#This Row],[AMI]],"")</f>
        <v>1243.8</v>
      </c>
      <c r="Q27" s="1166"/>
      <c r="R27" s="1066" cm="1">
        <f t="array" ref="R27">IF(Cdlac[[#This Row],[Quantity]]&gt;0,INDEX(HudFmrs,$P$18,Cdlac[[#This Row],[Bedrooms]]+1),"")</f>
        <v>3132</v>
      </c>
      <c r="S27" s="1066">
        <f>IF(Cdlac[[#This Row],[Quantity]]&gt;0,MAX(0,Cdlac[[#This Row],[Fair Market Rent]]-IF(AND($G$37,$G$38,$G$38&lt;&gt;"",NOT(Cdlac[[#This Row],[Federal]]),Cdlac[[#This Row],[Preservation Rent]]&lt;&gt;""),Cdlac[[#This Row],[Preservation Rent]],Cdlac[[#This Row],[Restricted Rent]])),"")</f>
        <v>1888.2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25</v>
      </c>
      <c r="N28" s="1072">
        <f>Application!AC726</f>
        <v>0.7</v>
      </c>
      <c r="O28" s="1072">
        <f>IF(Cdlac[[#This Row],[Quantity]]&gt;0,IF(Cdlac[[#This Row],[Federal]],30%,IF(AND(OR(NOT($G$38),$G$38=""),$G$43),40%,Cdlac[[#This Row],[iAMI]])),"")</f>
        <v>0.7</v>
      </c>
      <c r="P28" s="1066" cm="1">
        <f t="array" ref="P28">IF(Cdlac[[#This Row],[Quantity]]&gt;0,INDEX(TcacRents,$P$18,Cdlac[[#This Row],[Bedrooms]]+1)*Cdlac[[#This Row],[AMI]],"")</f>
        <v>3354.3999999999996</v>
      </c>
      <c r="Q28" s="1166"/>
      <c r="R28" s="1066" cm="1">
        <f t="array" ref="R28">IF(Cdlac[[#This Row],[Quantity]]&gt;0,INDEX(HudFmrs,$P$18,Cdlac[[#This Row],[Bedrooms]]+1),"")</f>
        <v>4011</v>
      </c>
      <c r="S28" s="1066">
        <f>IF(Cdlac[[#This Row],[Quantity]]&gt;0,MAX(0,Cdlac[[#This Row],[Fair Market Rent]]-IF(AND($G$37,$G$38,$G$38&lt;&gt;"",NOT(Cdlac[[#This Row],[Federal]]),Cdlac[[#This Row],[Preservation Rent]]&lt;&gt;""),Cdlac[[#This Row],[Preservation Rent]],Cdlac[[#This Row],[Restricted Rent]])),"")</f>
        <v>656.60000000000036</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0" t="s">
        <v>1587</v>
      </c>
      <c r="D29" s="2681"/>
      <c r="E29" s="1091">
        <f>SUM(E24:E28)</f>
        <v>257</v>
      </c>
      <c r="F29" s="1091">
        <f>SUM(F24:F28)</f>
        <v>257</v>
      </c>
      <c r="G29" s="1092">
        <f>SUMPRODUCT(D24:D28,F24:F28)</f>
        <v>315</v>
      </c>
      <c r="H29" s="1075"/>
      <c r="I29" s="1075"/>
      <c r="L29" s="1045">
        <f>IFERROR(MIN(4,MATCH(Application!B727,UnitSizes,0)-1),"")</f>
        <v>3</v>
      </c>
      <c r="M29" s="1066">
        <f>Application!G727</f>
        <v>26</v>
      </c>
      <c r="N29" s="1072">
        <f>Application!AC727</f>
        <v>0.6</v>
      </c>
      <c r="O29" s="1072">
        <f>IF(Cdlac[[#This Row],[Quantity]]&gt;0,IF(Cdlac[[#This Row],[Federal]],30%,IF(AND(OR(NOT($G$38),$G$38=""),$G$43),40%,Cdlac[[#This Row],[iAMI]])),"")</f>
        <v>0.6</v>
      </c>
      <c r="P29" s="1066" cm="1">
        <f t="array" ref="P29">IF(Cdlac[[#This Row],[Quantity]]&gt;0,INDEX(TcacRents,$P$18,Cdlac[[#This Row],[Bedrooms]]+1)*Cdlac[[#This Row],[AMI]],"")</f>
        <v>2875.2</v>
      </c>
      <c r="Q29" s="1166"/>
      <c r="R29" s="1066" cm="1">
        <f t="array" ref="R29">IF(Cdlac[[#This Row],[Quantity]]&gt;0,INDEX(HudFmrs,$P$18,Cdlac[[#This Row],[Bedrooms]]+1),"")</f>
        <v>4011</v>
      </c>
      <c r="S29" s="1066">
        <f>IF(Cdlac[[#This Row],[Quantity]]&gt;0,MAX(0,Cdlac[[#This Row],[Fair Market Rent]]-IF(AND($G$37,$G$38,$G$38&lt;&gt;"",NOT(Cdlac[[#This Row],[Federal]]),Cdlac[[#This Row],[Preservation Rent]]&lt;&gt;""),Cdlac[[#This Row],[Preservation Rent]],Cdlac[[#This Row],[Restricted Rent]])),"")</f>
        <v>1135.8000000000002</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7</v>
      </c>
      <c r="N30" s="1072">
        <f>Application!AC728</f>
        <v>0.5</v>
      </c>
      <c r="O30" s="1072">
        <f>IF(Cdlac[[#This Row],[Quantity]]&gt;0,IF(Cdlac[[#This Row],[Federal]],30%,IF(AND(OR(NOT($G$38),$G$38=""),$G$43),40%,Cdlac[[#This Row],[iAMI]])),"")</f>
        <v>0.5</v>
      </c>
      <c r="P30" s="1066" cm="1">
        <f t="array" ref="P30">IF(Cdlac[[#This Row],[Quantity]]&gt;0,INDEX(TcacRents,$P$18,Cdlac[[#This Row],[Bedrooms]]+1)*Cdlac[[#This Row],[AMI]],"")</f>
        <v>2396</v>
      </c>
      <c r="Q30" s="1166"/>
      <c r="R30" s="1066" cm="1">
        <f t="array" ref="R30">IF(Cdlac[[#This Row],[Quantity]]&gt;0,INDEX(HudFmrs,$P$18,Cdlac[[#This Row],[Bedrooms]]+1),"")</f>
        <v>4011</v>
      </c>
      <c r="S30" s="1066">
        <f>IF(Cdlac[[#This Row],[Quantity]]&gt;0,MAX(0,Cdlac[[#This Row],[Fair Market Rent]]-IF(AND($G$37,$G$38,$G$38&lt;&gt;"",NOT(Cdlac[[#This Row],[Federal]]),Cdlac[[#This Row],[Preservation Rent]]&lt;&gt;""),Cdlac[[#This Row],[Preservation Rent]],Cdlac[[#This Row],[Restricted Rent]])),"")</f>
        <v>1615</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315</v>
      </c>
      <c r="H31" s="1075"/>
      <c r="I31" s="1075"/>
      <c r="L31" s="1045">
        <f>IFERROR(MIN(4,MATCH(Application!B729,UnitSizes,0)-1),"")</f>
        <v>3</v>
      </c>
      <c r="M31" s="1066">
        <f>Application!G729</f>
        <v>7</v>
      </c>
      <c r="N31" s="1072">
        <f>Application!AC729</f>
        <v>0.3</v>
      </c>
      <c r="O31" s="1072">
        <f>IF(Cdlac[[#This Row],[Quantity]]&gt;0,IF(Cdlac[[#This Row],[Federal]],30%,IF(AND(OR(NOT($G$38),$G$38=""),$G$43),40%,Cdlac[[#This Row],[iAMI]])),"")</f>
        <v>0.3</v>
      </c>
      <c r="P31" s="1066" cm="1">
        <f t="array" ref="P31">IF(Cdlac[[#This Row],[Quantity]]&gt;0,INDEX(TcacRents,$P$18,Cdlac[[#This Row],[Bedrooms]]+1)*Cdlac[[#This Row],[AMI]],"")</f>
        <v>1437.6</v>
      </c>
      <c r="Q31" s="1166"/>
      <c r="R31" s="1066" cm="1">
        <f t="array" ref="R31">IF(Cdlac[[#This Row],[Quantity]]&gt;0,INDEX(HudFmrs,$P$18,Cdlac[[#This Row],[Bedrooms]]+1),"")</f>
        <v>4011</v>
      </c>
      <c r="S31" s="1066">
        <f>IF(Cdlac[[#This Row],[Quantity]]&gt;0,MAX(0,Cdlac[[#This Row],[Fair Market Rent]]-IF(AND($G$37,$G$38,$G$38&lt;&gt;"",NOT(Cdlac[[#This Row],[Federal]]),Cdlac[[#This Row],[Preservation Rent]]&lt;&gt;""),Cdlac[[#This Row],[Preservation Rent]],Cdlac[[#This Row],[Restricted Rent]])),"")</f>
        <v>2573.4</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15750000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0.59883268482490259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196829.40000000002</v>
      </c>
    </row>
    <row r="46" spans="1:21" ht="15" customHeight="1">
      <c r="E46" s="1119" t="s">
        <v>2007</v>
      </c>
      <c r="F46" s="1115" t="s">
        <v>1995</v>
      </c>
      <c r="G46" s="1123">
        <f>12*15</f>
        <v>180</v>
      </c>
    </row>
    <row r="47" spans="1:21" ht="15" customHeight="1">
      <c r="E47" s="1124" t="s">
        <v>1945</v>
      </c>
      <c r="F47" s="1047"/>
      <c r="G47" s="1125">
        <f>G45*G46</f>
        <v>35429292.000000007</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128</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26</v>
      </c>
    </row>
    <row r="61" spans="2:9" ht="15" customHeight="1">
      <c r="E61" s="1119" t="s">
        <v>1997</v>
      </c>
      <c r="G61" s="1080">
        <f>ROUNDDOWN(E29*50%,0)</f>
        <v>128</v>
      </c>
    </row>
    <row r="62" spans="2:9" ht="15" customHeight="1">
      <c r="E62" s="1119"/>
      <c r="G62" s="1080"/>
    </row>
    <row r="63" spans="2:9" ht="15" customHeight="1">
      <c r="E63" s="1119" t="s">
        <v>1956</v>
      </c>
      <c r="G63" s="1116">
        <f>MIN(G60:G61)</f>
        <v>26</v>
      </c>
    </row>
    <row r="64" spans="2:9" ht="15" customHeight="1">
      <c r="E64" s="1119" t="s">
        <v>1946</v>
      </c>
      <c r="F64" s="1115" t="s">
        <v>1995</v>
      </c>
      <c r="G64" s="1126">
        <v>20000</v>
      </c>
    </row>
    <row r="65" spans="2:14" ht="15" customHeight="1">
      <c r="E65" s="1120" t="s">
        <v>1978</v>
      </c>
      <c r="F65" s="1047"/>
      <c r="G65" s="1125">
        <f>G63*G64</f>
        <v>520000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High Resource</v>
      </c>
      <c r="L72" s="2653" t="s">
        <v>1971</v>
      </c>
      <c r="M72" s="2654"/>
      <c r="N72" s="1133">
        <v>30000</v>
      </c>
    </row>
    <row r="73" spans="2:14" ht="15" customHeight="1">
      <c r="C73" s="2655" t="s">
        <v>2266</v>
      </c>
      <c r="D73" s="2655"/>
      <c r="E73" s="2655"/>
      <c r="F73" s="2655"/>
      <c r="G73" s="1044"/>
      <c r="L73" s="2670" t="s">
        <v>1939</v>
      </c>
      <c r="M73" s="2671"/>
      <c r="N73" s="1134">
        <v>20000</v>
      </c>
    </row>
    <row r="74" spans="2:14" ht="15" customHeight="1" thickBot="1">
      <c r="C74" s="2655"/>
      <c r="D74" s="2655"/>
      <c r="E74" s="2655"/>
      <c r="F74" s="2655"/>
      <c r="L74" s="2645" t="s">
        <v>1972</v>
      </c>
      <c r="M74" s="2646"/>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20000</v>
      </c>
    </row>
    <row r="79" spans="2:14" ht="15" customHeight="1">
      <c r="E79" s="1086" t="str">
        <f>E96</f>
        <v>Bedroom-Adjusted Low-Income Units</v>
      </c>
      <c r="F79" s="1115" t="s">
        <v>1995</v>
      </c>
      <c r="G79" s="1116">
        <f>G29</f>
        <v>315</v>
      </c>
    </row>
    <row r="80" spans="2:14" ht="15" customHeight="1">
      <c r="D80" s="1047"/>
      <c r="E80" s="1120" t="s">
        <v>2271</v>
      </c>
      <c r="F80" s="1047"/>
      <c r="G80" s="1125">
        <f>G79*G78*G76</f>
        <v>6300000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315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315</v>
      </c>
    </row>
    <row r="97" spans="2:14" ht="15" customHeight="1">
      <c r="E97" s="1120" t="s">
        <v>1963</v>
      </c>
      <c r="F97" s="1047"/>
      <c r="G97" s="1125">
        <f>G94*G95*G96</f>
        <v>8820000</v>
      </c>
      <c r="L97" s="1129" t="str">
        <f>'Points System'!H638</f>
        <v>(i)</v>
      </c>
      <c r="M97" s="2651" t="s">
        <v>1406</v>
      </c>
      <c r="N97" s="2652"/>
    </row>
    <row r="98" spans="2:14" ht="15" customHeight="1">
      <c r="C98" s="1078"/>
      <c r="G98" s="1116"/>
      <c r="L98" s="1130" t="str">
        <f>'Points System'!H650</f>
        <v>N/A</v>
      </c>
      <c r="M98" s="2647" t="s">
        <v>1958</v>
      </c>
      <c r="N98" s="2648"/>
    </row>
    <row r="99" spans="2:14" ht="15" customHeight="1">
      <c r="E99" s="1086" t="s">
        <v>2000</v>
      </c>
      <c r="G99" s="1128">
        <f>COUNTIFS(L97:L104,"(i)")</f>
        <v>4</v>
      </c>
      <c r="L99" s="1130" t="str">
        <f>'Points System'!H685</f>
        <v>(i)</v>
      </c>
      <c r="M99" s="2647" t="s">
        <v>1959</v>
      </c>
      <c r="N99" s="2648"/>
    </row>
    <row r="100" spans="2:14" ht="15" customHeight="1">
      <c r="E100" s="1086" t="s">
        <v>1946</v>
      </c>
      <c r="F100" s="1115" t="s">
        <v>1995</v>
      </c>
      <c r="G100" s="1126">
        <v>4000</v>
      </c>
      <c r="L100" s="1130" t="str">
        <f>IF(OR('Points System'!H709="(ii)",'Points System'!H709="(i)"),"(i)","N/A")</f>
        <v>N/A</v>
      </c>
      <c r="M100" s="2647" t="s">
        <v>1960</v>
      </c>
      <c r="N100" s="2648"/>
    </row>
    <row r="101" spans="2:14" ht="15" customHeight="1">
      <c r="E101" s="1120" t="s">
        <v>1964</v>
      </c>
      <c r="F101" s="1047"/>
      <c r="G101" s="1125">
        <f>G96*G99*G100</f>
        <v>5040000</v>
      </c>
      <c r="L101" s="1131" t="str">
        <f>'Points System'!H723</f>
        <v>N/A</v>
      </c>
      <c r="M101" s="2647" t="s">
        <v>1432</v>
      </c>
      <c r="N101" s="2648"/>
    </row>
    <row r="102" spans="2:14" ht="15" customHeight="1">
      <c r="L102" s="1130" t="str">
        <f>'Points System'!H735</f>
        <v>N/A</v>
      </c>
      <c r="M102" s="2647" t="s">
        <v>1961</v>
      </c>
      <c r="N102" s="2648"/>
    </row>
    <row r="103" spans="2:14" ht="15" customHeight="1">
      <c r="C103" s="1081" t="s">
        <v>1966</v>
      </c>
      <c r="L103" s="1130" t="str">
        <f>'Points System'!H751</f>
        <v>(i)</v>
      </c>
      <c r="M103" s="2647" t="s">
        <v>1962</v>
      </c>
      <c r="N103" s="2648"/>
    </row>
    <row r="104" spans="2:14" ht="15" customHeight="1" thickBot="1">
      <c r="C104" s="1078" t="s">
        <v>1967</v>
      </c>
      <c r="G104" s="1044"/>
      <c r="L104" s="1132" t="str">
        <f>'Points System'!H763</f>
        <v>(i)</v>
      </c>
      <c r="M104" s="2649" t="s">
        <v>1435</v>
      </c>
      <c r="N104" s="2650"/>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315</v>
      </c>
    </row>
    <row r="112" spans="2:14" ht="15" customHeight="1">
      <c r="E112" s="1086" t="s">
        <v>1946</v>
      </c>
      <c r="F112" s="1115" t="s">
        <v>1995</v>
      </c>
      <c r="G112" s="1126">
        <v>25000</v>
      </c>
    </row>
    <row r="113" spans="2:9" ht="15" customHeight="1">
      <c r="E113" s="1120" t="s">
        <v>1965</v>
      </c>
      <c r="F113" s="1047"/>
      <c r="G113" s="1125">
        <f>G109*G112*G96</f>
        <v>7875000</v>
      </c>
    </row>
    <row r="114" spans="2:9" ht="15" customHeight="1">
      <c r="C114" s="1078"/>
      <c r="E114" s="1078"/>
    </row>
    <row r="115" spans="2:9" ht="15" customHeight="1">
      <c r="E115" s="1120" t="s">
        <v>2276</v>
      </c>
      <c r="G115" s="1125">
        <f>G113+G101+G97</f>
        <v>21735000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2" t="s">
        <v>2231</v>
      </c>
      <c r="D119" s="2682"/>
      <c r="E119" s="2682"/>
      <c r="F119" s="2682"/>
    </row>
    <row r="120" spans="2:9" ht="15" customHeight="1">
      <c r="C120" s="2682"/>
      <c r="D120" s="2682"/>
      <c r="E120" s="2682"/>
      <c r="F120" s="2682"/>
      <c r="G120" s="1044"/>
    </row>
    <row r="121" spans="2:9" ht="15" customHeight="1"/>
    <row r="122" spans="2:9" ht="15" customHeight="1">
      <c r="C122" s="1045" t="s">
        <v>2233</v>
      </c>
      <c r="G122" s="2684"/>
      <c r="H122" s="2684"/>
    </row>
    <row r="123" spans="2:9" ht="15" customHeight="1">
      <c r="G123" s="2684"/>
      <c r="H123" s="2684"/>
    </row>
    <row r="124" spans="2:9" ht="15" customHeight="1">
      <c r="G124" s="2685"/>
      <c r="H124" s="2685"/>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2003</v>
      </c>
      <c r="G131" s="1079">
        <f>MEDIAN((Application!CU160:CU217))</f>
        <v>489600</v>
      </c>
    </row>
    <row r="132" spans="2:9">
      <c r="D132" s="1047"/>
      <c r="E132" s="1120" t="s">
        <v>2005</v>
      </c>
      <c r="F132" s="1136"/>
      <c r="G132" s="1137">
        <f>((G130-G131)/G131)*0.25</f>
        <v>0.127859477124183</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79" t="s">
        <v>2279</v>
      </c>
      <c r="D138" s="2679"/>
      <c r="E138" s="2679"/>
      <c r="F138" s="2679"/>
    </row>
    <row r="139" spans="2:9">
      <c r="B139" s="1046"/>
      <c r="C139" s="2679"/>
      <c r="D139" s="2679"/>
      <c r="E139" s="2679"/>
      <c r="F139" s="2679"/>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10350000</v>
      </c>
    </row>
  </sheetData>
  <sheetProtection algorithmName="SHA-512" hashValue="zE+xEv9/sXZ7p/JKAr19cdzmWrOXobRg4rPKMlOe6znw/j7O9wbBEqyllenb2D0Rui/KGlU+IUDMNX98s9B4vg==" saltValue="fknfbOazqFgvRu4wDfTZw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6" t="s">
        <v>910</v>
      </c>
      <c r="B1" s="2686"/>
      <c r="C1" s="2686"/>
      <c r="D1" s="2686"/>
      <c r="E1" s="2686"/>
      <c r="F1" s="2686"/>
      <c r="G1" s="2686"/>
      <c r="H1" s="2686"/>
      <c r="I1" s="2686"/>
      <c r="J1" s="2686"/>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36</v>
      </c>
      <c r="C4" s="1164"/>
      <c r="D4" s="429">
        <f>Application!O718</f>
        <v>2361</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36</v>
      </c>
      <c r="C5" s="1164"/>
      <c r="D5" s="429">
        <f>Application!O719</f>
        <v>2015</v>
      </c>
      <c r="E5" s="430"/>
      <c r="F5" s="1085"/>
      <c r="G5" s="429">
        <f t="shared" ref="G5:G38" si="2">F5*B5</f>
        <v>0</v>
      </c>
      <c r="H5" s="430"/>
      <c r="I5" s="429" t="str">
        <f t="shared" si="0"/>
        <v/>
      </c>
      <c r="J5" s="429" t="str">
        <f t="shared" si="1"/>
        <v/>
      </c>
      <c r="K5" s="205"/>
      <c r="L5" s="306"/>
    </row>
    <row r="6" spans="1:12">
      <c r="A6" s="429" t="str">
        <f>Application!B720</f>
        <v>1 Bedroom</v>
      </c>
      <c r="B6" s="1084">
        <f>Application!G720</f>
        <v>9</v>
      </c>
      <c r="C6" s="1164"/>
      <c r="D6" s="429">
        <f>Application!O720</f>
        <v>1669</v>
      </c>
      <c r="E6" s="430"/>
      <c r="F6" s="1085"/>
      <c r="G6" s="429">
        <f t="shared" si="2"/>
        <v>0</v>
      </c>
      <c r="H6" s="430"/>
      <c r="I6" s="429" t="str">
        <f t="shared" si="0"/>
        <v/>
      </c>
      <c r="J6" s="429" t="str">
        <f t="shared" si="1"/>
        <v/>
      </c>
      <c r="K6" s="205"/>
      <c r="L6" s="306"/>
    </row>
    <row r="7" spans="1:12">
      <c r="A7" s="429" t="str">
        <f>Application!B721</f>
        <v>1 Bedroom</v>
      </c>
      <c r="B7" s="1084">
        <f>Application!G721</f>
        <v>9</v>
      </c>
      <c r="C7" s="1164"/>
      <c r="D7" s="429">
        <f>Application!O721</f>
        <v>978</v>
      </c>
      <c r="E7" s="430"/>
      <c r="F7" s="1085"/>
      <c r="G7" s="429">
        <f t="shared" si="2"/>
        <v>0</v>
      </c>
      <c r="H7" s="430"/>
      <c r="I7" s="429" t="str">
        <f t="shared" si="0"/>
        <v/>
      </c>
      <c r="J7" s="429" t="str">
        <f t="shared" si="1"/>
        <v/>
      </c>
      <c r="K7" s="205"/>
      <c r="L7" s="306"/>
    </row>
    <row r="8" spans="1:12">
      <c r="A8" s="429" t="str">
        <f>Application!B722</f>
        <v>2 Bedrooms</v>
      </c>
      <c r="B8" s="1084">
        <f>Application!G722</f>
        <v>40</v>
      </c>
      <c r="C8" s="1164"/>
      <c r="D8" s="429">
        <f>Application!O722</f>
        <v>2823</v>
      </c>
      <c r="E8" s="430"/>
      <c r="F8" s="1085"/>
      <c r="G8" s="429">
        <f t="shared" si="2"/>
        <v>0</v>
      </c>
      <c r="H8" s="430"/>
      <c r="I8" s="429" t="str">
        <f t="shared" si="0"/>
        <v/>
      </c>
      <c r="J8" s="429" t="str">
        <f t="shared" si="1"/>
        <v/>
      </c>
      <c r="K8" s="205"/>
      <c r="L8" s="306"/>
    </row>
    <row r="9" spans="1:12">
      <c r="A9" s="429" t="str">
        <f>Application!B723</f>
        <v>2 Bedrooms</v>
      </c>
      <c r="B9" s="1084">
        <f>Application!G723</f>
        <v>42</v>
      </c>
      <c r="C9" s="1164"/>
      <c r="D9" s="429">
        <f>Application!O723</f>
        <v>2408</v>
      </c>
      <c r="E9" s="430"/>
      <c r="F9" s="1085"/>
      <c r="G9" s="429">
        <f t="shared" si="2"/>
        <v>0</v>
      </c>
      <c r="H9" s="430"/>
      <c r="I9" s="429" t="str">
        <f t="shared" si="0"/>
        <v/>
      </c>
      <c r="J9" s="429" t="str">
        <f t="shared" si="1"/>
        <v/>
      </c>
      <c r="K9" s="205"/>
      <c r="L9" s="306"/>
    </row>
    <row r="10" spans="1:12">
      <c r="A10" s="429" t="str">
        <f>Application!B724</f>
        <v>2 Bedrooms</v>
      </c>
      <c r="B10" s="1084">
        <f>Application!G724</f>
        <v>10</v>
      </c>
      <c r="C10" s="1164"/>
      <c r="D10" s="429">
        <f>Application!O724</f>
        <v>1993</v>
      </c>
      <c r="E10" s="430"/>
      <c r="F10" s="1085"/>
      <c r="G10" s="429">
        <f t="shared" si="2"/>
        <v>0</v>
      </c>
      <c r="H10" s="430"/>
      <c r="I10" s="429" t="str">
        <f t="shared" si="0"/>
        <v/>
      </c>
      <c r="J10" s="429" t="str">
        <f t="shared" si="1"/>
        <v/>
      </c>
      <c r="K10" s="205"/>
      <c r="L10" s="306"/>
    </row>
    <row r="11" spans="1:12">
      <c r="A11" s="429" t="str">
        <f>Application!B725</f>
        <v>2 Bedrooms</v>
      </c>
      <c r="B11" s="1084">
        <f>Application!G725</f>
        <v>10</v>
      </c>
      <c r="C11" s="1164"/>
      <c r="D11" s="429">
        <f>Application!O725</f>
        <v>1164</v>
      </c>
      <c r="E11" s="430"/>
      <c r="F11" s="1085"/>
      <c r="G11" s="429">
        <f t="shared" si="2"/>
        <v>0</v>
      </c>
      <c r="H11" s="430"/>
      <c r="I11" s="429" t="str">
        <f t="shared" si="0"/>
        <v/>
      </c>
      <c r="J11" s="429" t="str">
        <f t="shared" si="1"/>
        <v/>
      </c>
      <c r="K11" s="205"/>
      <c r="L11" s="306"/>
    </row>
    <row r="12" spans="1:12">
      <c r="A12" s="429" t="str">
        <f>Application!B726</f>
        <v>3 Bedrooms</v>
      </c>
      <c r="B12" s="1084">
        <f>Application!G726</f>
        <v>25</v>
      </c>
      <c r="C12" s="1164"/>
      <c r="D12" s="429">
        <f>Application!O726</f>
        <v>3251</v>
      </c>
      <c r="E12" s="430"/>
      <c r="F12" s="1085"/>
      <c r="G12" s="429">
        <f t="shared" si="2"/>
        <v>0</v>
      </c>
      <c r="H12" s="430"/>
      <c r="I12" s="429" t="str">
        <f t="shared" si="0"/>
        <v/>
      </c>
      <c r="J12" s="429" t="str">
        <f t="shared" si="1"/>
        <v/>
      </c>
      <c r="K12" s="205"/>
      <c r="L12" s="306"/>
    </row>
    <row r="13" spans="1:12">
      <c r="A13" s="429" t="str">
        <f>Application!B727</f>
        <v>3 Bedrooms</v>
      </c>
      <c r="B13" s="1084">
        <f>Application!G727</f>
        <v>26</v>
      </c>
      <c r="C13" s="1164"/>
      <c r="D13" s="429">
        <f>Application!O727</f>
        <v>2772</v>
      </c>
      <c r="E13" s="430"/>
      <c r="F13" s="1085"/>
      <c r="G13" s="429">
        <f t="shared" si="2"/>
        <v>0</v>
      </c>
      <c r="H13" s="430"/>
      <c r="I13" s="429" t="str">
        <f t="shared" si="0"/>
        <v/>
      </c>
      <c r="J13" s="429" t="str">
        <f t="shared" si="1"/>
        <v/>
      </c>
      <c r="K13" s="205"/>
      <c r="L13" s="306"/>
    </row>
    <row r="14" spans="1:12">
      <c r="A14" s="429" t="str">
        <f>Application!B728</f>
        <v>3 Bedrooms</v>
      </c>
      <c r="B14" s="1084">
        <f>Application!G728</f>
        <v>7</v>
      </c>
      <c r="C14" s="1164"/>
      <c r="D14" s="429">
        <f>Application!O728</f>
        <v>2293</v>
      </c>
      <c r="E14" s="430"/>
      <c r="F14" s="1085"/>
      <c r="G14" s="429">
        <f t="shared" si="2"/>
        <v>0</v>
      </c>
      <c r="H14" s="430"/>
      <c r="I14" s="429" t="str">
        <f t="shared" si="0"/>
        <v/>
      </c>
      <c r="J14" s="429" t="str">
        <f t="shared" si="1"/>
        <v/>
      </c>
      <c r="K14" s="205"/>
      <c r="L14" s="306"/>
    </row>
    <row r="15" spans="1:12">
      <c r="A15" s="429" t="str">
        <f>Application!B729</f>
        <v>3 Bedrooms</v>
      </c>
      <c r="B15" s="1084">
        <f>Application!G729</f>
        <v>7</v>
      </c>
      <c r="C15" s="1164"/>
      <c r="D15" s="429">
        <f>Application!O729</f>
        <v>1334</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605721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87" t="s">
        <v>2500</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2262</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25" sqref="C25"/>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7268652</v>
      </c>
      <c r="G4" s="220">
        <f>E4*$C$4</f>
        <v>7450368.2999999998</v>
      </c>
      <c r="I4" s="220">
        <f>G4*$C$4</f>
        <v>7636627.5074999994</v>
      </c>
      <c r="K4" s="220">
        <f>I4*$C$4</f>
        <v>7827543.1951874988</v>
      </c>
      <c r="M4" s="220">
        <f>K4*$C$4</f>
        <v>8023231.775067186</v>
      </c>
      <c r="O4" s="220">
        <f>M4*$C$4</f>
        <v>8223812.5694438647</v>
      </c>
      <c r="Q4" s="220">
        <f>O4*$C$4</f>
        <v>8429407.8836799599</v>
      </c>
      <c r="S4" s="220">
        <f>Q4*$C$4</f>
        <v>8640143.0807719585</v>
      </c>
      <c r="U4" s="220">
        <f>S4*$C$4</f>
        <v>8856146.6577912569</v>
      </c>
      <c r="W4" s="220">
        <f>U4*$C$4</f>
        <v>9077550.3242360372</v>
      </c>
      <c r="Y4" s="220">
        <f>W4*$C$4</f>
        <v>9304489.0823419373</v>
      </c>
      <c r="AA4" s="220">
        <f>Y4*$C$4</f>
        <v>9537101.3094004858</v>
      </c>
      <c r="AC4" s="220">
        <f>AA4*$C$4</f>
        <v>9775528.8421354964</v>
      </c>
      <c r="AE4" s="220">
        <f>AC4*$C$4</f>
        <v>10019917.063188883</v>
      </c>
      <c r="AG4" s="220">
        <f>AE4*$C$4</f>
        <v>10270414.989768604</v>
      </c>
    </row>
    <row r="5" spans="1:34" s="211" customFormat="1" ht="14">
      <c r="B5" s="211" t="s">
        <v>839</v>
      </c>
      <c r="C5" s="239">
        <f>IF(Application!$D$211="Special Needs",(((0.1*Application!$T$212)+(0.05*(1-Application!$T$212)))),0.05)</f>
        <v>0.05</v>
      </c>
      <c r="E5" s="222">
        <f>-E4*$C$5</f>
        <v>-363432.60000000003</v>
      </c>
      <c r="F5" s="222"/>
      <c r="G5" s="222">
        <f>-G4*$C$5</f>
        <v>-372518.41500000004</v>
      </c>
      <c r="H5" s="222"/>
      <c r="I5" s="222">
        <f>-I4*$C$5</f>
        <v>-381831.375375</v>
      </c>
      <c r="J5" s="222"/>
      <c r="K5" s="222">
        <f>-K4*$C$5</f>
        <v>-391377.15975937498</v>
      </c>
      <c r="L5" s="222"/>
      <c r="M5" s="222">
        <f>-M4*$C$5</f>
        <v>-401161.58875335933</v>
      </c>
      <c r="N5" s="222"/>
      <c r="O5" s="222">
        <f>-O4*$C$5</f>
        <v>-411190.62847219326</v>
      </c>
      <c r="P5" s="222"/>
      <c r="Q5" s="222">
        <f>-Q4*$C$5</f>
        <v>-421470.394183998</v>
      </c>
      <c r="R5" s="222"/>
      <c r="S5" s="222">
        <f>-S4*$C$5</f>
        <v>-432007.15403859795</v>
      </c>
      <c r="T5" s="222"/>
      <c r="U5" s="222">
        <f>-U4*$C$5</f>
        <v>-442807.33288956288</v>
      </c>
      <c r="V5" s="222"/>
      <c r="W5" s="222">
        <f>-W4*$C$5</f>
        <v>-453877.51621180191</v>
      </c>
      <c r="X5" s="222"/>
      <c r="Y5" s="222">
        <f>-Y4*$C$5</f>
        <v>-465224.4541170969</v>
      </c>
      <c r="Z5" s="222"/>
      <c r="AA5" s="222">
        <f>-AA4*$C$5</f>
        <v>-476855.0654700243</v>
      </c>
      <c r="AB5" s="222"/>
      <c r="AC5" s="222">
        <f>-AC4*$C$5</f>
        <v>-488776.44210677483</v>
      </c>
      <c r="AD5" s="222"/>
      <c r="AE5" s="222">
        <f>-AE4*$C$5</f>
        <v>-500995.85315944417</v>
      </c>
      <c r="AF5" s="222"/>
      <c r="AG5" s="222">
        <f>-AG4*$C$5</f>
        <v>-513520.74948843021</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39000</v>
      </c>
      <c r="F8" s="223"/>
      <c r="G8" s="223">
        <f>E8*$C$8</f>
        <v>39975</v>
      </c>
      <c r="H8" s="223"/>
      <c r="I8" s="223">
        <f>G8*$C$8</f>
        <v>40974.375</v>
      </c>
      <c r="J8" s="223"/>
      <c r="K8" s="223">
        <f>I8*$C$8</f>
        <v>41998.734375</v>
      </c>
      <c r="L8" s="223"/>
      <c r="M8" s="223">
        <f>K8*$C$8</f>
        <v>43048.702734374994</v>
      </c>
      <c r="N8" s="223"/>
      <c r="O8" s="223">
        <f>M8*$C$8</f>
        <v>44124.920302734368</v>
      </c>
      <c r="P8" s="223"/>
      <c r="Q8" s="223">
        <f>O8*$C$8</f>
        <v>45228.043310302724</v>
      </c>
      <c r="R8" s="223"/>
      <c r="S8" s="223">
        <f>Q8*$C$8</f>
        <v>46358.744393060289</v>
      </c>
      <c r="T8" s="223"/>
      <c r="U8" s="223">
        <f>S8*$C$8</f>
        <v>47517.71300288679</v>
      </c>
      <c r="V8" s="223"/>
      <c r="W8" s="223">
        <f>U8*$C$8</f>
        <v>48705.655827958959</v>
      </c>
      <c r="X8" s="223"/>
      <c r="Y8" s="223">
        <f>W8*$C$8</f>
        <v>49923.29722365793</v>
      </c>
      <c r="Z8" s="223"/>
      <c r="AA8" s="223">
        <f>Y8*$C$8</f>
        <v>51171.379654249373</v>
      </c>
      <c r="AB8" s="223"/>
      <c r="AC8" s="223">
        <f>AA8*$C$8</f>
        <v>52450.664145605602</v>
      </c>
      <c r="AD8" s="223"/>
      <c r="AE8" s="223">
        <f>AC8*$C$8</f>
        <v>53761.930749245737</v>
      </c>
      <c r="AF8" s="223"/>
      <c r="AG8" s="223">
        <f>AE8*$C$8</f>
        <v>55105.979017976875</v>
      </c>
    </row>
    <row r="9" spans="1:34" s="211" customFormat="1" ht="14">
      <c r="B9" s="211" t="s">
        <v>839</v>
      </c>
      <c r="C9" s="239">
        <f>IF(Application!$D$211="Special Needs",(((0.1*Application!$T$212)+(0.05*(1-Application!$T$212)))),0.05)</f>
        <v>0.05</v>
      </c>
      <c r="E9" s="222">
        <f>-E8*$C$9</f>
        <v>-1950</v>
      </c>
      <c r="F9" s="222"/>
      <c r="G9" s="222">
        <f>-G8*$C$9</f>
        <v>-1998.75</v>
      </c>
      <c r="H9" s="222"/>
      <c r="I9" s="222">
        <f>-I8*$C$9</f>
        <v>-2048.71875</v>
      </c>
      <c r="J9" s="222"/>
      <c r="K9" s="222">
        <f>-K8*$C$9</f>
        <v>-2099.9367187500002</v>
      </c>
      <c r="L9" s="222"/>
      <c r="M9" s="222">
        <f>-M8*$C$9</f>
        <v>-2152.4351367187496</v>
      </c>
      <c r="N9" s="222"/>
      <c r="O9" s="222">
        <f>-O8*$C$9</f>
        <v>-2206.2460151367186</v>
      </c>
      <c r="P9" s="222"/>
      <c r="Q9" s="222">
        <f>-Q8*$C$9</f>
        <v>-2261.4021655151364</v>
      </c>
      <c r="R9" s="222"/>
      <c r="S9" s="222">
        <f>-S8*$C$9</f>
        <v>-2317.9372196530144</v>
      </c>
      <c r="T9" s="222"/>
      <c r="U9" s="222">
        <f>-U8*$C$9</f>
        <v>-2375.8856501443397</v>
      </c>
      <c r="V9" s="222"/>
      <c r="W9" s="222">
        <f>-W8*$C$9</f>
        <v>-2435.2827913979481</v>
      </c>
      <c r="X9" s="222"/>
      <c r="Y9" s="222">
        <f>-Y8*$C$9</f>
        <v>-2496.1648611828969</v>
      </c>
      <c r="Z9" s="222"/>
      <c r="AA9" s="222">
        <f>-AA8*$C$9</f>
        <v>-2558.5689827124688</v>
      </c>
      <c r="AB9" s="222"/>
      <c r="AC9" s="222">
        <f>-AC8*$C$9</f>
        <v>-2622.5332072802803</v>
      </c>
      <c r="AD9" s="222"/>
      <c r="AE9" s="222">
        <f>-AE8*$C$9</f>
        <v>-2688.096537462287</v>
      </c>
      <c r="AF9" s="222"/>
      <c r="AG9" s="222">
        <f>-AG8*$C$9</f>
        <v>-2755.2989508988439</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6942269.4000000004</v>
      </c>
      <c r="G11" s="224">
        <f>SUM(G4:G10)</f>
        <v>7115826.1349999998</v>
      </c>
      <c r="I11" s="224">
        <f>SUM(I4:I10)</f>
        <v>7293721.7883749995</v>
      </c>
      <c r="K11" s="224">
        <f>SUM(K4:K10)</f>
        <v>7476064.8330843737</v>
      </c>
      <c r="M11" s="224">
        <f>SUM(M4:M10)</f>
        <v>7662966.4539114833</v>
      </c>
      <c r="O11" s="224">
        <f>SUM(O4:O10)</f>
        <v>7854540.6152592693</v>
      </c>
      <c r="Q11" s="224">
        <f>SUM(Q4:Q10)</f>
        <v>8050904.1306407489</v>
      </c>
      <c r="S11" s="224">
        <f>SUM(S4:S10)</f>
        <v>8252176.7339067673</v>
      </c>
      <c r="U11" s="224">
        <f>SUM(U4:U10)</f>
        <v>8458481.1522544362</v>
      </c>
      <c r="W11" s="224">
        <f>SUM(W4:W10)</f>
        <v>8669943.1810607947</v>
      </c>
      <c r="Y11" s="224">
        <f>SUM(Y4:Y10)</f>
        <v>8886691.7605873141</v>
      </c>
      <c r="AA11" s="224">
        <f>SUM(AA4:AA10)</f>
        <v>9108859.0546019971</v>
      </c>
      <c r="AC11" s="224">
        <f>SUM(AC4:AC10)</f>
        <v>9336580.5309670474</v>
      </c>
      <c r="AE11" s="224">
        <f>SUM(AE4:AE10)</f>
        <v>9569995.0442412216</v>
      </c>
      <c r="AG11" s="224">
        <f>SUM(AG4:AG10)</f>
        <v>9809244.920347251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45000</v>
      </c>
      <c r="G15" s="220">
        <f>E15*$C$14</f>
        <v>46575</v>
      </c>
      <c r="I15" s="220">
        <f>G15*$C$14</f>
        <v>48205.124999999993</v>
      </c>
      <c r="K15" s="220">
        <f>I15*$C$14</f>
        <v>49892.304374999985</v>
      </c>
      <c r="M15" s="220">
        <f>K15*$C$14</f>
        <v>51638.535028124978</v>
      </c>
      <c r="O15" s="220">
        <f>M15*$C$14</f>
        <v>53445.883754109345</v>
      </c>
      <c r="Q15" s="220">
        <f>O15*$C$14</f>
        <v>55316.489685503169</v>
      </c>
      <c r="S15" s="220">
        <f>Q15*$C$14</f>
        <v>57252.566824495778</v>
      </c>
      <c r="U15" s="220">
        <f>S15*$C$14</f>
        <v>59256.406663353126</v>
      </c>
      <c r="W15" s="220">
        <f>U15*$C$14</f>
        <v>61330.380896570481</v>
      </c>
      <c r="Y15" s="220">
        <f>W15*$C$14</f>
        <v>63476.944227950444</v>
      </c>
      <c r="AA15" s="220">
        <f>Y15*$C$14</f>
        <v>65698.637275928704</v>
      </c>
      <c r="AC15" s="220">
        <f>AA15*$C$14</f>
        <v>67998.089580586209</v>
      </c>
      <c r="AE15" s="220">
        <f>AC15*$C$14</f>
        <v>70378.022715906714</v>
      </c>
      <c r="AG15" s="220">
        <f>AE15*$C$14</f>
        <v>72841.253510963448</v>
      </c>
    </row>
    <row r="16" spans="1:34" s="211" customFormat="1" ht="14">
      <c r="A16" s="211" t="s">
        <v>344</v>
      </c>
      <c r="C16" s="234"/>
      <c r="E16" s="223">
        <f>Application!W849</f>
        <v>225000</v>
      </c>
      <c r="F16" s="223"/>
      <c r="G16" s="223">
        <f t="shared" ref="G16:AG21" si="0">E16*$C$14</f>
        <v>232874.99999999997</v>
      </c>
      <c r="H16" s="223"/>
      <c r="I16" s="223">
        <f t="shared" si="0"/>
        <v>241025.62499999994</v>
      </c>
      <c r="J16" s="223"/>
      <c r="K16" s="223">
        <f t="shared" si="0"/>
        <v>249461.52187499992</v>
      </c>
      <c r="L16" s="223"/>
      <c r="M16" s="223">
        <f t="shared" si="0"/>
        <v>258192.67514062489</v>
      </c>
      <c r="N16" s="223"/>
      <c r="O16" s="223">
        <f t="shared" si="0"/>
        <v>267229.41877054673</v>
      </c>
      <c r="P16" s="223"/>
      <c r="Q16" s="223">
        <f t="shared" si="0"/>
        <v>276582.44842751586</v>
      </c>
      <c r="R16" s="223"/>
      <c r="S16" s="223">
        <f t="shared" si="0"/>
        <v>286262.8341224789</v>
      </c>
      <c r="T16" s="223"/>
      <c r="U16" s="223">
        <f t="shared" si="0"/>
        <v>296282.03331676562</v>
      </c>
      <c r="V16" s="223"/>
      <c r="W16" s="223">
        <f t="shared" si="0"/>
        <v>306651.90448285238</v>
      </c>
      <c r="X16" s="223"/>
      <c r="Y16" s="223">
        <f t="shared" si="0"/>
        <v>317384.72113975219</v>
      </c>
      <c r="Z16" s="223"/>
      <c r="AA16" s="223">
        <f t="shared" si="0"/>
        <v>328493.18637964351</v>
      </c>
      <c r="AB16" s="223"/>
      <c r="AC16" s="223">
        <f t="shared" si="0"/>
        <v>339990.44790293102</v>
      </c>
      <c r="AD16" s="223"/>
      <c r="AE16" s="223">
        <f t="shared" si="0"/>
        <v>351890.11357953359</v>
      </c>
      <c r="AF16" s="223"/>
      <c r="AG16" s="223">
        <f t="shared" si="0"/>
        <v>364206.26755481726</v>
      </c>
    </row>
    <row r="17" spans="1:33" s="211" customFormat="1" ht="14">
      <c r="A17" s="211" t="s">
        <v>562</v>
      </c>
      <c r="C17" s="234"/>
      <c r="E17" s="223">
        <f>Application!W855</f>
        <v>350000</v>
      </c>
      <c r="F17" s="223"/>
      <c r="G17" s="223">
        <f t="shared" si="0"/>
        <v>362250</v>
      </c>
      <c r="H17" s="223"/>
      <c r="I17" s="223">
        <f t="shared" si="0"/>
        <v>374928.75</v>
      </c>
      <c r="J17" s="223"/>
      <c r="K17" s="223">
        <f t="shared" si="0"/>
        <v>388051.25624999998</v>
      </c>
      <c r="L17" s="223"/>
      <c r="M17" s="223">
        <f t="shared" si="0"/>
        <v>401633.05021874997</v>
      </c>
      <c r="N17" s="223"/>
      <c r="O17" s="223">
        <f t="shared" si="0"/>
        <v>415690.20697640616</v>
      </c>
      <c r="P17" s="223"/>
      <c r="Q17" s="223">
        <f t="shared" si="0"/>
        <v>430239.36422058032</v>
      </c>
      <c r="R17" s="223"/>
      <c r="S17" s="223">
        <f t="shared" si="0"/>
        <v>445297.7419683006</v>
      </c>
      <c r="T17" s="223"/>
      <c r="U17" s="223">
        <f t="shared" si="0"/>
        <v>460883.16293719108</v>
      </c>
      <c r="V17" s="223"/>
      <c r="W17" s="223">
        <f t="shared" si="0"/>
        <v>477014.07363999274</v>
      </c>
      <c r="X17" s="223"/>
      <c r="Y17" s="223">
        <f t="shared" si="0"/>
        <v>493709.56621739245</v>
      </c>
      <c r="Z17" s="223"/>
      <c r="AA17" s="223">
        <f t="shared" si="0"/>
        <v>510989.40103500115</v>
      </c>
      <c r="AB17" s="223"/>
      <c r="AC17" s="223">
        <f t="shared" si="0"/>
        <v>528874.03007122618</v>
      </c>
      <c r="AD17" s="223"/>
      <c r="AE17" s="223">
        <f t="shared" si="0"/>
        <v>547384.62112371903</v>
      </c>
      <c r="AF17" s="223"/>
      <c r="AG17" s="223">
        <f t="shared" si="0"/>
        <v>566543.08286304912</v>
      </c>
    </row>
    <row r="18" spans="1:33" s="211" customFormat="1" ht="14">
      <c r="A18" s="211" t="s">
        <v>843</v>
      </c>
      <c r="C18" s="234"/>
      <c r="E18" s="223">
        <f>Application!W862</f>
        <v>225000</v>
      </c>
      <c r="F18" s="223"/>
      <c r="G18" s="223">
        <f t="shared" si="0"/>
        <v>232874.99999999997</v>
      </c>
      <c r="H18" s="223"/>
      <c r="I18" s="223">
        <f t="shared" si="0"/>
        <v>241025.62499999994</v>
      </c>
      <c r="J18" s="223"/>
      <c r="K18" s="223">
        <f t="shared" si="0"/>
        <v>249461.52187499992</v>
      </c>
      <c r="L18" s="223"/>
      <c r="M18" s="223">
        <f t="shared" si="0"/>
        <v>258192.67514062489</v>
      </c>
      <c r="N18" s="223"/>
      <c r="O18" s="223">
        <f t="shared" si="0"/>
        <v>267229.41877054673</v>
      </c>
      <c r="P18" s="223"/>
      <c r="Q18" s="223">
        <f t="shared" si="0"/>
        <v>276582.44842751586</v>
      </c>
      <c r="R18" s="223"/>
      <c r="S18" s="223">
        <f t="shared" si="0"/>
        <v>286262.8341224789</v>
      </c>
      <c r="T18" s="223"/>
      <c r="U18" s="223">
        <f t="shared" si="0"/>
        <v>296282.03331676562</v>
      </c>
      <c r="V18" s="223"/>
      <c r="W18" s="223">
        <f t="shared" si="0"/>
        <v>306651.90448285238</v>
      </c>
      <c r="X18" s="223"/>
      <c r="Y18" s="223">
        <f t="shared" si="0"/>
        <v>317384.72113975219</v>
      </c>
      <c r="Z18" s="223"/>
      <c r="AA18" s="223">
        <f t="shared" si="0"/>
        <v>328493.18637964351</v>
      </c>
      <c r="AB18" s="223"/>
      <c r="AC18" s="223">
        <f t="shared" si="0"/>
        <v>339990.44790293102</v>
      </c>
      <c r="AD18" s="223"/>
      <c r="AE18" s="223">
        <f t="shared" si="0"/>
        <v>351890.11357953359</v>
      </c>
      <c r="AF18" s="223"/>
      <c r="AG18" s="223">
        <f t="shared" si="0"/>
        <v>364206.26755481726</v>
      </c>
    </row>
    <row r="19" spans="1:33" s="211" customFormat="1" ht="14">
      <c r="A19" s="211" t="s">
        <v>155</v>
      </c>
      <c r="C19" s="234"/>
      <c r="E19" s="223">
        <f>Application!W863</f>
        <v>75000</v>
      </c>
      <c r="F19" s="223"/>
      <c r="G19" s="223">
        <f t="shared" si="0"/>
        <v>77625</v>
      </c>
      <c r="H19" s="223"/>
      <c r="I19" s="223">
        <f t="shared" si="0"/>
        <v>80341.875</v>
      </c>
      <c r="J19" s="223"/>
      <c r="K19" s="223">
        <f t="shared" si="0"/>
        <v>83153.840624999997</v>
      </c>
      <c r="L19" s="223"/>
      <c r="M19" s="223">
        <f t="shared" si="0"/>
        <v>86064.225046874984</v>
      </c>
      <c r="N19" s="223"/>
      <c r="O19" s="223">
        <f t="shared" si="0"/>
        <v>89076.472923515597</v>
      </c>
      <c r="P19" s="223"/>
      <c r="Q19" s="223">
        <f t="shared" si="0"/>
        <v>92194.14947583864</v>
      </c>
      <c r="R19" s="223"/>
      <c r="S19" s="223">
        <f t="shared" si="0"/>
        <v>95420.944707492978</v>
      </c>
      <c r="T19" s="223"/>
      <c r="U19" s="223">
        <f t="shared" si="0"/>
        <v>98760.677772255221</v>
      </c>
      <c r="V19" s="223"/>
      <c r="W19" s="223">
        <f t="shared" si="0"/>
        <v>102217.30149428414</v>
      </c>
      <c r="X19" s="223"/>
      <c r="Y19" s="223">
        <f t="shared" si="0"/>
        <v>105794.90704658408</v>
      </c>
      <c r="Z19" s="223"/>
      <c r="AA19" s="223">
        <f t="shared" si="0"/>
        <v>109497.72879321451</v>
      </c>
      <c r="AB19" s="223"/>
      <c r="AC19" s="223">
        <f t="shared" si="0"/>
        <v>113330.14930097701</v>
      </c>
      <c r="AD19" s="223"/>
      <c r="AE19" s="223">
        <f t="shared" si="0"/>
        <v>117296.7045265112</v>
      </c>
      <c r="AF19" s="223"/>
      <c r="AG19" s="223">
        <f t="shared" si="0"/>
        <v>121402.08918493908</v>
      </c>
    </row>
    <row r="20" spans="1:33" s="211" customFormat="1" ht="14">
      <c r="A20" s="211" t="s">
        <v>390</v>
      </c>
      <c r="C20" s="234"/>
      <c r="E20" s="223">
        <f>Application!W872</f>
        <v>557800</v>
      </c>
      <c r="F20" s="223"/>
      <c r="G20" s="223">
        <f t="shared" si="0"/>
        <v>577323</v>
      </c>
      <c r="H20" s="223"/>
      <c r="I20" s="223">
        <f t="shared" si="0"/>
        <v>597529.30499999993</v>
      </c>
      <c r="J20" s="223"/>
      <c r="K20" s="223">
        <f t="shared" si="0"/>
        <v>618442.83067499986</v>
      </c>
      <c r="L20" s="223"/>
      <c r="M20" s="223">
        <f t="shared" si="0"/>
        <v>640088.32974862482</v>
      </c>
      <c r="N20" s="223"/>
      <c r="O20" s="223">
        <f t="shared" si="0"/>
        <v>662491.42128982663</v>
      </c>
      <c r="P20" s="223"/>
      <c r="Q20" s="223">
        <f t="shared" si="0"/>
        <v>685678.62103497051</v>
      </c>
      <c r="R20" s="223"/>
      <c r="S20" s="223">
        <f t="shared" si="0"/>
        <v>709677.37277119444</v>
      </c>
      <c r="T20" s="223"/>
      <c r="U20" s="223">
        <f t="shared" si="0"/>
        <v>734516.08081818616</v>
      </c>
      <c r="V20" s="223"/>
      <c r="W20" s="223">
        <f t="shared" si="0"/>
        <v>760224.14364682266</v>
      </c>
      <c r="X20" s="223"/>
      <c r="Y20" s="223">
        <f t="shared" si="0"/>
        <v>786831.98867446138</v>
      </c>
      <c r="Z20" s="223"/>
      <c r="AA20" s="223">
        <f t="shared" si="0"/>
        <v>814371.10827806743</v>
      </c>
      <c r="AB20" s="223"/>
      <c r="AC20" s="223">
        <f t="shared" si="0"/>
        <v>842874.09706779977</v>
      </c>
      <c r="AD20" s="223"/>
      <c r="AE20" s="223">
        <f t="shared" si="0"/>
        <v>872374.69046517264</v>
      </c>
      <c r="AF20" s="223"/>
      <c r="AG20" s="223">
        <f t="shared" si="0"/>
        <v>902907.80463145359</v>
      </c>
    </row>
    <row r="21" spans="1:33" s="211" customFormat="1" ht="14">
      <c r="A21" s="227" t="s">
        <v>963</v>
      </c>
      <c r="B21" s="227"/>
      <c r="C21" s="234"/>
      <c r="E21" s="233">
        <f>Application!W879</f>
        <v>25000</v>
      </c>
      <c r="F21" s="223"/>
      <c r="G21" s="233">
        <f t="shared" si="0"/>
        <v>25874.999999999996</v>
      </c>
      <c r="H21" s="223"/>
      <c r="I21" s="233">
        <f t="shared" si="0"/>
        <v>26780.624999999993</v>
      </c>
      <c r="J21" s="223"/>
      <c r="K21" s="233">
        <f t="shared" si="0"/>
        <v>27717.946874999991</v>
      </c>
      <c r="L21" s="223"/>
      <c r="M21" s="233">
        <f t="shared" si="0"/>
        <v>28688.075015624989</v>
      </c>
      <c r="N21" s="223"/>
      <c r="O21" s="233">
        <f t="shared" si="0"/>
        <v>29692.15764117186</v>
      </c>
      <c r="P21" s="223"/>
      <c r="Q21" s="233">
        <f t="shared" si="0"/>
        <v>30731.383158612873</v>
      </c>
      <c r="R21" s="223"/>
      <c r="S21" s="233">
        <f t="shared" si="0"/>
        <v>31806.98156916432</v>
      </c>
      <c r="T21" s="223"/>
      <c r="U21" s="233">
        <f t="shared" si="0"/>
        <v>32920.225924085069</v>
      </c>
      <c r="V21" s="223"/>
      <c r="W21" s="233">
        <f t="shared" si="0"/>
        <v>34072.433831428047</v>
      </c>
      <c r="X21" s="223"/>
      <c r="Y21" s="233">
        <f t="shared" si="0"/>
        <v>35264.969015528026</v>
      </c>
      <c r="Z21" s="223"/>
      <c r="AA21" s="233">
        <f t="shared" si="0"/>
        <v>36499.242931071502</v>
      </c>
      <c r="AB21" s="223"/>
      <c r="AC21" s="233">
        <f t="shared" si="0"/>
        <v>37776.716433658999</v>
      </c>
      <c r="AD21" s="223"/>
      <c r="AE21" s="233">
        <f t="shared" si="0"/>
        <v>39098.901508837058</v>
      </c>
      <c r="AF21" s="223"/>
      <c r="AG21" s="233">
        <f t="shared" si="0"/>
        <v>40467.363061646349</v>
      </c>
    </row>
    <row r="22" spans="1:33" s="224" customFormat="1" ht="14">
      <c r="A22" s="224" t="s">
        <v>844</v>
      </c>
      <c r="C22" s="234"/>
      <c r="E22" s="224">
        <f>SUM(E15:E21)</f>
        <v>1502800</v>
      </c>
      <c r="G22" s="224">
        <f>SUM(G15:G21)</f>
        <v>1555398</v>
      </c>
      <c r="I22" s="224">
        <f>SUM(I15:I21)</f>
        <v>1609836.93</v>
      </c>
      <c r="K22" s="224">
        <f>SUM(K15:K21)</f>
        <v>1666181.2225499996</v>
      </c>
      <c r="M22" s="224">
        <f>SUM(M15:M21)</f>
        <v>1724497.5653392496</v>
      </c>
      <c r="O22" s="224">
        <f>SUM(O15:O21)</f>
        <v>1784854.9801261229</v>
      </c>
      <c r="Q22" s="224">
        <f>SUM(Q15:Q21)</f>
        <v>1847324.9044305373</v>
      </c>
      <c r="S22" s="224">
        <f>SUM(S15:S21)</f>
        <v>1911981.2760856061</v>
      </c>
      <c r="U22" s="224">
        <f>SUM(U15:U21)</f>
        <v>1978900.6207486021</v>
      </c>
      <c r="W22" s="224">
        <f>SUM(W15:W21)</f>
        <v>2048162.1424748024</v>
      </c>
      <c r="Y22" s="224">
        <f>SUM(Y15:Y21)</f>
        <v>2119847.8174614208</v>
      </c>
      <c r="AA22" s="224">
        <f>SUM(AA15:AA21)</f>
        <v>2194042.4910725704</v>
      </c>
      <c r="AC22" s="224">
        <f>SUM(AC15:AC21)</f>
        <v>2270833.9782601106</v>
      </c>
      <c r="AE22" s="224">
        <f>SUM(AE15:AE21)</f>
        <v>2350313.1674992139</v>
      </c>
      <c r="AG22" s="224">
        <f>SUM(AG15:AG21)</f>
        <v>2432574.1283616861</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v>1.02</v>
      </c>
      <c r="E24" s="911">
        <v>1765500</v>
      </c>
      <c r="F24" s="223"/>
      <c r="G24" s="223">
        <f>E24*$C$24</f>
        <v>1800810</v>
      </c>
      <c r="H24" s="223"/>
      <c r="I24" s="223">
        <f>G24*$C$24</f>
        <v>1836826.2</v>
      </c>
      <c r="J24" s="223"/>
      <c r="K24" s="223">
        <f>I24*$C$24</f>
        <v>1873562.7239999999</v>
      </c>
      <c r="L24" s="223"/>
      <c r="M24" s="223">
        <f>K24*$C$24</f>
        <v>1911033.97848</v>
      </c>
      <c r="N24" s="223"/>
      <c r="O24" s="223">
        <f>M24*$C$24</f>
        <v>1949254.6580496002</v>
      </c>
      <c r="P24" s="223"/>
      <c r="Q24" s="223">
        <f>O24*$C$24</f>
        <v>1988239.7512105922</v>
      </c>
      <c r="R24" s="223"/>
      <c r="S24" s="223">
        <f>Q24*$C$24</f>
        <v>2028004.5462348042</v>
      </c>
      <c r="T24" s="223"/>
      <c r="U24" s="223">
        <f>S24*$C$24</f>
        <v>2068564.6371595003</v>
      </c>
      <c r="V24" s="223"/>
      <c r="W24" s="223">
        <f>U24*$C$24</f>
        <v>2109935.9299026905</v>
      </c>
      <c r="X24" s="223"/>
      <c r="Y24" s="223">
        <f>W24*$C$24</f>
        <v>2152134.6485007443</v>
      </c>
      <c r="Z24" s="223"/>
      <c r="AA24" s="223">
        <f>Y24*$C$24</f>
        <v>2195177.3414707594</v>
      </c>
      <c r="AB24" s="223"/>
      <c r="AC24" s="223">
        <f>AA24*$C$24</f>
        <v>2239080.8883001744</v>
      </c>
      <c r="AD24" s="223"/>
      <c r="AE24" s="223">
        <f>AC24*$C$24</f>
        <v>2283862.506066178</v>
      </c>
      <c r="AF24" s="223"/>
      <c r="AG24" s="223">
        <f>AE24*$C$24</f>
        <v>2329539.7561875014</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25000</v>
      </c>
      <c r="F27" s="223"/>
      <c r="G27" s="223">
        <f>E27*$C$27</f>
        <v>25874.999999999996</v>
      </c>
      <c r="H27" s="223"/>
      <c r="I27" s="223">
        <f>G27*$C$27</f>
        <v>26780.624999999993</v>
      </c>
      <c r="J27" s="223"/>
      <c r="K27" s="223">
        <f>I27*$C$27</f>
        <v>27717.946874999991</v>
      </c>
      <c r="L27" s="223"/>
      <c r="M27" s="223">
        <f>K27*$C$27</f>
        <v>28688.075015624989</v>
      </c>
      <c r="N27" s="223"/>
      <c r="O27" s="223">
        <f>M27*$C$27</f>
        <v>29692.15764117186</v>
      </c>
      <c r="P27" s="223"/>
      <c r="Q27" s="223">
        <f>O27*$C$27</f>
        <v>30731.383158612873</v>
      </c>
      <c r="R27" s="223"/>
      <c r="S27" s="223">
        <f>Q27*$C$27</f>
        <v>31806.98156916432</v>
      </c>
      <c r="T27" s="223"/>
      <c r="U27" s="223">
        <f>S27*$C$27</f>
        <v>32920.225924085069</v>
      </c>
      <c r="V27" s="223"/>
      <c r="W27" s="223">
        <f>U27*$C$27</f>
        <v>34072.433831428047</v>
      </c>
      <c r="X27" s="223"/>
      <c r="Y27" s="223">
        <f>W27*$C$27</f>
        <v>35264.969015528026</v>
      </c>
      <c r="Z27" s="223"/>
      <c r="AA27" s="223">
        <f>Y27*$C$27</f>
        <v>36499.242931071502</v>
      </c>
      <c r="AB27" s="223"/>
      <c r="AC27" s="223">
        <f>AA27*$C$27</f>
        <v>37776.716433658999</v>
      </c>
      <c r="AD27" s="223"/>
      <c r="AE27" s="223">
        <f>AC27*$C$27</f>
        <v>39098.901508837058</v>
      </c>
      <c r="AF27" s="223"/>
      <c r="AG27" s="223">
        <f>AE27*$C$27</f>
        <v>40467.363061646349</v>
      </c>
    </row>
    <row r="28" spans="1:33" s="211" customFormat="1" ht="14">
      <c r="A28" s="211" t="s">
        <v>847</v>
      </c>
      <c r="C28" s="238"/>
      <c r="E28" s="223">
        <f>Application!AC889</f>
        <v>65000</v>
      </c>
      <c r="F28" s="223"/>
      <c r="G28" s="223">
        <f>$E$28</f>
        <v>65000</v>
      </c>
      <c r="H28" s="223"/>
      <c r="I28" s="223">
        <f>$E$28</f>
        <v>65000</v>
      </c>
      <c r="J28" s="223"/>
      <c r="K28" s="223">
        <f>$E$28</f>
        <v>65000</v>
      </c>
      <c r="L28" s="223"/>
      <c r="M28" s="223">
        <f>$E$28</f>
        <v>65000</v>
      </c>
      <c r="N28" s="223"/>
      <c r="O28" s="223">
        <f>$E$28</f>
        <v>65000</v>
      </c>
      <c r="P28" s="223"/>
      <c r="Q28" s="223">
        <f>$E$28</f>
        <v>65000</v>
      </c>
      <c r="R28" s="223"/>
      <c r="S28" s="223">
        <f>$E$28</f>
        <v>65000</v>
      </c>
      <c r="T28" s="223"/>
      <c r="U28" s="223">
        <f>$E$28</f>
        <v>65000</v>
      </c>
      <c r="V28" s="223"/>
      <c r="W28" s="223">
        <f>$E$28</f>
        <v>65000</v>
      </c>
      <c r="X28" s="223"/>
      <c r="Y28" s="223">
        <f>$E$28</f>
        <v>65000</v>
      </c>
      <c r="Z28" s="223"/>
      <c r="AA28" s="223">
        <f>$E$28</f>
        <v>65000</v>
      </c>
      <c r="AB28" s="223"/>
      <c r="AC28" s="223">
        <f>$E$28</f>
        <v>65000</v>
      </c>
      <c r="AD28" s="223"/>
      <c r="AE28" s="223">
        <f>$E$28</f>
        <v>65000</v>
      </c>
      <c r="AF28" s="223"/>
      <c r="AG28" s="223">
        <f>$E$28</f>
        <v>65000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3358300</v>
      </c>
      <c r="G35" s="224">
        <f>SUM(G22:G33)</f>
        <v>3447083</v>
      </c>
      <c r="I35" s="224">
        <f>SUM(I22:I33)</f>
        <v>3538443.7549999999</v>
      </c>
      <c r="K35" s="224">
        <f>SUM(K22:K33)</f>
        <v>3632461.8934249994</v>
      </c>
      <c r="M35" s="224">
        <f>SUM(M22:M33)</f>
        <v>3729219.6188348746</v>
      </c>
      <c r="O35" s="224">
        <f>SUM(O22:O33)</f>
        <v>3828801.7958168951</v>
      </c>
      <c r="Q35" s="224">
        <f>SUM(Q22:Q33)</f>
        <v>3931296.0387997422</v>
      </c>
      <c r="S35" s="224">
        <f>SUM(S22:S33)</f>
        <v>4036792.8038895745</v>
      </c>
      <c r="U35" s="224">
        <f>SUM(U22:U33)</f>
        <v>4145385.483832187</v>
      </c>
      <c r="W35" s="224">
        <f>SUM(W22:W33)</f>
        <v>4257170.5062089209</v>
      </c>
      <c r="Y35" s="224">
        <f>SUM(Y22:Y33)</f>
        <v>4372247.4349776935</v>
      </c>
      <c r="AA35" s="224">
        <f>SUM(AA22:AA33)</f>
        <v>4490719.0754744019</v>
      </c>
      <c r="AC35" s="224">
        <f>SUM(AC22:AC33)</f>
        <v>4612691.5829939442</v>
      </c>
      <c r="AE35" s="224">
        <f>SUM(AE22:AE33)</f>
        <v>4738274.5750742285</v>
      </c>
      <c r="AG35" s="224">
        <f>SUM(AG22:AG33)</f>
        <v>4867581.2476108335</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3583969.4000000004</v>
      </c>
      <c r="G37" s="224">
        <f>G11-G35</f>
        <v>3668743.1349999998</v>
      </c>
      <c r="I37" s="224">
        <f>I11-I35</f>
        <v>3755278.0333749996</v>
      </c>
      <c r="K37" s="224">
        <f>K11-K35</f>
        <v>3843602.9396593743</v>
      </c>
      <c r="M37" s="224">
        <f>M11-M35</f>
        <v>3933746.8350766087</v>
      </c>
      <c r="O37" s="224">
        <f>O11-O35</f>
        <v>4025738.8194423742</v>
      </c>
      <c r="Q37" s="224">
        <f>Q11-Q35</f>
        <v>4119608.0918410067</v>
      </c>
      <c r="S37" s="224">
        <f>S11-S35</f>
        <v>4215383.9300171928</v>
      </c>
      <c r="U37" s="224">
        <f>U11-U35</f>
        <v>4313095.6684222491</v>
      </c>
      <c r="W37" s="224">
        <f>W11-W35</f>
        <v>4412772.6748518739</v>
      </c>
      <c r="Y37" s="224">
        <f>Y11-Y35</f>
        <v>4514444.3256096207</v>
      </c>
      <c r="AA37" s="224">
        <f>AA11-AA35</f>
        <v>4618139.9791275952</v>
      </c>
      <c r="AC37" s="224">
        <f>AC11-AC35</f>
        <v>4723888.9479731033</v>
      </c>
      <c r="AE37" s="224">
        <f>AE11-AE35</f>
        <v>4831720.4691669932</v>
      </c>
      <c r="AG37" s="224">
        <f>AG11-AG35</f>
        <v>4941663.6727364175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Berkadia/Fannie Mae MTEB</v>
      </c>
      <c r="B40" s="227"/>
      <c r="C40" s="221"/>
      <c r="E40" s="223">
        <f>Application!AF627</f>
        <v>3116433</v>
      </c>
      <c r="F40" s="223"/>
      <c r="G40" s="223">
        <f>$E$40</f>
        <v>3116433</v>
      </c>
      <c r="H40" s="223"/>
      <c r="I40" s="223">
        <f>$E$40</f>
        <v>3116433</v>
      </c>
      <c r="J40" s="223"/>
      <c r="K40" s="223">
        <f>$E$40</f>
        <v>3116433</v>
      </c>
      <c r="L40" s="223"/>
      <c r="M40" s="223">
        <f>$E$40</f>
        <v>3116433</v>
      </c>
      <c r="N40" s="223"/>
      <c r="O40" s="223">
        <f>$E$40</f>
        <v>3116433</v>
      </c>
      <c r="P40" s="223"/>
      <c r="Q40" s="223">
        <f>$E$40</f>
        <v>3116433</v>
      </c>
      <c r="R40" s="223"/>
      <c r="S40" s="223">
        <f>$E$40</f>
        <v>3116433</v>
      </c>
      <c r="T40" s="223"/>
      <c r="U40" s="223">
        <f>$E$40</f>
        <v>3116433</v>
      </c>
      <c r="V40" s="223"/>
      <c r="W40" s="223">
        <f>$E$40</f>
        <v>3116433</v>
      </c>
      <c r="X40" s="223"/>
      <c r="Y40" s="223">
        <f>$E$40</f>
        <v>3116433</v>
      </c>
      <c r="Z40" s="223"/>
      <c r="AA40" s="223">
        <f>$E$40</f>
        <v>3116433</v>
      </c>
      <c r="AB40" s="223"/>
      <c r="AC40" s="223">
        <f>$E$40</f>
        <v>3116433</v>
      </c>
      <c r="AD40" s="223"/>
      <c r="AE40" s="223">
        <f>$E$40</f>
        <v>3116433</v>
      </c>
      <c r="AF40" s="223"/>
      <c r="AG40" s="223">
        <f>$E$40</f>
        <v>3116433</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3116433</v>
      </c>
      <c r="G43" s="224">
        <f>SUM(G40:G42)</f>
        <v>3116433</v>
      </c>
      <c r="I43" s="224">
        <f>SUM(I40:I42)</f>
        <v>3116433</v>
      </c>
      <c r="K43" s="224">
        <f>SUM(K40:K42)</f>
        <v>3116433</v>
      </c>
      <c r="M43" s="224">
        <f>SUM(M40:M42)</f>
        <v>3116433</v>
      </c>
      <c r="O43" s="224">
        <f>SUM(O40:O42)</f>
        <v>3116433</v>
      </c>
      <c r="Q43" s="224">
        <f>SUM(Q40:Q42)</f>
        <v>3116433</v>
      </c>
      <c r="S43" s="224">
        <f>SUM(S40:S42)</f>
        <v>3116433</v>
      </c>
      <c r="U43" s="224">
        <f>SUM(U40:U42)</f>
        <v>3116433</v>
      </c>
      <c r="W43" s="224">
        <f>SUM(W40:W42)</f>
        <v>3116433</v>
      </c>
      <c r="Y43" s="224">
        <f>SUM(Y40:Y42)</f>
        <v>3116433</v>
      </c>
      <c r="AA43" s="224">
        <f>SUM(AA40:AA42)</f>
        <v>3116433</v>
      </c>
      <c r="AC43" s="224">
        <f>SUM(AC40:AC42)</f>
        <v>3116433</v>
      </c>
      <c r="AE43" s="224">
        <f>SUM(AE40:AE42)</f>
        <v>3116433</v>
      </c>
      <c r="AG43" s="224">
        <f>SUM(AG40:AG42)</f>
        <v>3116433</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467536.40000000037</v>
      </c>
      <c r="G45" s="224">
        <f>G37-G43</f>
        <v>552310.13499999978</v>
      </c>
      <c r="I45" s="224">
        <f>I37-I43</f>
        <v>638845.03337499965</v>
      </c>
      <c r="K45" s="224">
        <f>K37-K43</f>
        <v>727169.9396593743</v>
      </c>
      <c r="M45" s="224">
        <f>M37-M43</f>
        <v>817313.8350766087</v>
      </c>
      <c r="O45" s="224">
        <f>O37-O43</f>
        <v>909305.81944237417</v>
      </c>
      <c r="Q45" s="224">
        <f>Q37-Q43</f>
        <v>1003175.0918410067</v>
      </c>
      <c r="S45" s="224">
        <f>S37-S43</f>
        <v>1098950.9300171928</v>
      </c>
      <c r="U45" s="224">
        <f>U37-U43</f>
        <v>1196662.6684222491</v>
      </c>
      <c r="W45" s="224">
        <f>W37-W43</f>
        <v>1296339.6748518739</v>
      </c>
      <c r="Y45" s="224">
        <f>Y37-Y43</f>
        <v>1398011.3256096207</v>
      </c>
      <c r="AA45" s="224">
        <f>AA37-AA43</f>
        <v>1501706.9791275952</v>
      </c>
      <c r="AC45" s="224">
        <f>AC37-AC43</f>
        <v>1607455.9479731033</v>
      </c>
      <c r="AE45" s="224">
        <f>AE37-AE43</f>
        <v>1715287.4691669932</v>
      </c>
      <c r="AG45" s="224">
        <f>AG37-AG43</f>
        <v>1825230.6727364175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6.3979018157952844E-2</v>
      </c>
      <c r="G47" s="228">
        <f>G45/(G4+G6+G8)</f>
        <v>7.3736291232472592E-2</v>
      </c>
      <c r="I47" s="228">
        <f>I45/(I4+I6+I8)</f>
        <v>8.3208929448550337E-2</v>
      </c>
      <c r="K47" s="228">
        <f>K45/(K4+K6+K8)</f>
        <v>9.2403083453651641E-2</v>
      </c>
      <c r="M47" s="228">
        <f>M45/(M4+M6+M8)</f>
        <v>0.10132474779743401</v>
      </c>
      <c r="O47" s="228">
        <f>O45/(O4+O6+O8)</f>
        <v>0.10997976467166579</v>
      </c>
      <c r="Q47" s="228">
        <f>Q45/(Q4+Q6+Q8)</f>
        <v>0.11837382755831032</v>
      </c>
      <c r="S47" s="228">
        <f>S45/(S4+S6+S8)</f>
        <v>0.12651248478800797</v>
      </c>
      <c r="U47" s="228">
        <f>U45/(U4+U6+U8)</f>
        <v>0.13440114301113479</v>
      </c>
      <c r="W47" s="228">
        <f>W45/(W4+W6+W8)</f>
        <v>0.14204507058356516</v>
      </c>
      <c r="Y47" s="228">
        <f>Y45/(Y4+Y6+Y8)</f>
        <v>0.1494494008692123</v>
      </c>
      <c r="AA47" s="228">
        <f>AA45/(AA4+AA6+AA8)</f>
        <v>0.15661913546136763</v>
      </c>
      <c r="AC47" s="228">
        <f>AC45/(AC4+AC6+AC8)</f>
        <v>0.163559147324816</v>
      </c>
      <c r="AE47" s="228">
        <f>AE45/(AE4+AE6+AE8)</f>
        <v>0.17027418386065046</v>
      </c>
      <c r="AG47" s="228">
        <f>AG45/(AG4+AG6+AG8)</f>
        <v>0.17676886989566709</v>
      </c>
    </row>
    <row r="48" spans="1:33" s="228" customFormat="1" ht="14">
      <c r="A48" s="228" t="s">
        <v>853</v>
      </c>
      <c r="C48" s="221"/>
      <c r="E48" s="228">
        <f>E45/E43</f>
        <v>0.15002292685259089</v>
      </c>
      <c r="G48" s="228">
        <f>G45/G43</f>
        <v>0.17722509516488877</v>
      </c>
      <c r="I48" s="228">
        <f>I45/I43</f>
        <v>0.20499238500394509</v>
      </c>
      <c r="K48" s="228">
        <f>K45/K43</f>
        <v>0.23333405199449958</v>
      </c>
      <c r="M48" s="228">
        <f>M45/M43</f>
        <v>0.26225939562204892</v>
      </c>
      <c r="O48" s="228">
        <f>O45/O43</f>
        <v>0.29177775342591167</v>
      </c>
      <c r="Q48" s="228">
        <f>Q45/Q43</f>
        <v>0.32189849479870308</v>
      </c>
      <c r="S48" s="228">
        <f>S45/S43</f>
        <v>0.35263101437354594</v>
      </c>
      <c r="U48" s="228">
        <f>U45/U43</f>
        <v>0.3839847249795677</v>
      </c>
      <c r="W48" s="228">
        <f>W45/W43</f>
        <v>0.41596905014543034</v>
      </c>
      <c r="Y48" s="228">
        <f>Y45/Y43</f>
        <v>0.44859341612979348</v>
      </c>
      <c r="AA48" s="228">
        <f>AA45/AA43</f>
        <v>0.48186724345673249</v>
      </c>
      <c r="AC48" s="228">
        <f>AC45/AC43</f>
        <v>0.51579993793324075</v>
      </c>
      <c r="AE48" s="228">
        <f>AE45/AE43</f>
        <v>0.55040088112498908</v>
      </c>
      <c r="AG48" s="228">
        <f>AG45/AG43</f>
        <v>0.58567942026554642</v>
      </c>
    </row>
    <row r="49" spans="1:34" s="229" customFormat="1" ht="14">
      <c r="A49" s="229" t="s">
        <v>851</v>
      </c>
      <c r="C49" s="230"/>
      <c r="E49" s="229">
        <f>E37/E43</f>
        <v>1.1500229268525908</v>
      </c>
      <c r="G49" s="229">
        <f>G37/G43</f>
        <v>1.1772250951648888</v>
      </c>
      <c r="I49" s="229">
        <f>I37/I43</f>
        <v>1.204992385003945</v>
      </c>
      <c r="K49" s="229">
        <f>K37/K43</f>
        <v>1.2333340519944995</v>
      </c>
      <c r="M49" s="229">
        <f>M37/M43</f>
        <v>1.2622593956220489</v>
      </c>
      <c r="O49" s="229">
        <f>O37/O43</f>
        <v>1.2917777534259116</v>
      </c>
      <c r="Q49" s="229">
        <f>Q37/Q43</f>
        <v>1.3218984947987031</v>
      </c>
      <c r="S49" s="229">
        <f>S37/S43</f>
        <v>1.3526310143735458</v>
      </c>
      <c r="U49" s="229">
        <f>U37/U43</f>
        <v>1.3839847249795678</v>
      </c>
      <c r="W49" s="229">
        <f>W37/W43</f>
        <v>1.4159690501454303</v>
      </c>
      <c r="Y49" s="229">
        <f>Y37/Y43</f>
        <v>1.4485934161297935</v>
      </c>
      <c r="AA49" s="229">
        <f>AA37/AA43</f>
        <v>1.4818672434567326</v>
      </c>
      <c r="AC49" s="229">
        <f>AC37/AC43</f>
        <v>1.5157999379332407</v>
      </c>
      <c r="AE49" s="229">
        <f>AE37/AE43</f>
        <v>1.5504008811249892</v>
      </c>
      <c r="AG49" s="229">
        <f>AG37/AG43</f>
        <v>1.5856794202655464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0" t="s">
        <v>1185</v>
      </c>
      <c r="B52" s="2690"/>
      <c r="C52" s="269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467536.40000000037</v>
      </c>
      <c r="G60" s="963">
        <f>G45-G58</f>
        <v>552310.13499999978</v>
      </c>
      <c r="I60" s="963">
        <f>I45-I58</f>
        <v>638845.03337499965</v>
      </c>
      <c r="K60" s="963">
        <f>K45-K58</f>
        <v>727169.9396593743</v>
      </c>
      <c r="M60" s="963">
        <f>M45-M58</f>
        <v>817313.8350766087</v>
      </c>
      <c r="O60" s="963">
        <f>O45-O58</f>
        <v>909305.81944237417</v>
      </c>
      <c r="Q60" s="963">
        <f>Q45-Q58</f>
        <v>1003175.0918410067</v>
      </c>
      <c r="S60" s="963">
        <f>S45-S58</f>
        <v>1098950.9300171928</v>
      </c>
      <c r="U60" s="963">
        <f>U45-U58</f>
        <v>1196662.6684222491</v>
      </c>
      <c r="W60" s="963">
        <f>W45-W58</f>
        <v>1296339.6748518739</v>
      </c>
      <c r="Y60" s="963">
        <f>Y45-Y58</f>
        <v>1398011.3256096207</v>
      </c>
      <c r="AA60" s="963">
        <f>AA45-AA58</f>
        <v>1501706.9791275952</v>
      </c>
      <c r="AC60" s="963">
        <f>AC45-AC58</f>
        <v>1607455.9479731033</v>
      </c>
      <c r="AE60" s="963">
        <f>AE45-AE58</f>
        <v>1715287.4691669932</v>
      </c>
      <c r="AG60" s="963">
        <f>AG45-AG58</f>
        <v>1825230.6727364175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467536.40000000037</v>
      </c>
      <c r="G62" s="963">
        <f>G60*$C$62</f>
        <v>552310.13499999978</v>
      </c>
      <c r="I62" s="963">
        <f>I60*$C$62</f>
        <v>638845.03337499965</v>
      </c>
      <c r="K62" s="963">
        <f>K60*$C$62</f>
        <v>727169.9396593743</v>
      </c>
      <c r="M62" s="963">
        <f>M60*$C$62</f>
        <v>817313.8350766087</v>
      </c>
      <c r="O62" s="963">
        <f>O60*$C$62</f>
        <v>909305.81944237417</v>
      </c>
      <c r="Q62" s="963">
        <f>Q60*$C$62</f>
        <v>1003175.0918410067</v>
      </c>
      <c r="S62" s="963">
        <f>S60*$C$62</f>
        <v>1098950.9300171928</v>
      </c>
      <c r="U62" s="963">
        <f>U60*$C$62</f>
        <v>1196662.6684222491</v>
      </c>
      <c r="W62" s="963">
        <f>W60*$C$62</f>
        <v>1296339.6748518739</v>
      </c>
      <c r="Y62" s="963">
        <f>Y60*$C$62</f>
        <v>1398011.3256096207</v>
      </c>
      <c r="AA62" s="963">
        <f>AA60*$C$62</f>
        <v>1501706.9791275952</v>
      </c>
      <c r="AC62" s="963">
        <f>AC60*$C$62</f>
        <v>1607455.9479731033</v>
      </c>
      <c r="AE62" s="963">
        <f>AE60*$C$62</f>
        <v>1715287.4691669932</v>
      </c>
      <c r="AG62" s="963">
        <f>AG60*$C$62</f>
        <v>1825230.6727364175</v>
      </c>
    </row>
    <row r="63" spans="1:34" s="963" customFormat="1">
      <c r="A63" s="2690" t="s">
        <v>1185</v>
      </c>
      <c r="B63" s="2690"/>
      <c r="C63" s="2690"/>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74296800</v>
      </c>
      <c r="C31" s="267">
        <f>'Sources and Uses Budget'!$C30</f>
        <v>74296800</v>
      </c>
      <c r="D31" s="271">
        <f t="shared" si="0"/>
        <v>0</v>
      </c>
      <c r="E31" s="269"/>
      <c r="F31" s="268"/>
    </row>
    <row r="32" spans="1:6" s="353" customFormat="1">
      <c r="A32" s="145" t="s">
        <v>601</v>
      </c>
      <c r="B32" s="267">
        <f>'Sources and Uses Budget'!$C31</f>
        <v>5943744</v>
      </c>
      <c r="C32" s="267">
        <f>'Sources and Uses Budget'!$C31</f>
        <v>5943744</v>
      </c>
      <c r="D32" s="271">
        <f t="shared" si="0"/>
        <v>0</v>
      </c>
      <c r="E32" s="269"/>
      <c r="F32" s="268"/>
    </row>
    <row r="33" spans="1:6" s="353" customFormat="1">
      <c r="A33" s="145" t="s">
        <v>137</v>
      </c>
      <c r="B33" s="267">
        <f>'Sources and Uses Budget'!$C32</f>
        <v>3209622</v>
      </c>
      <c r="C33" s="267">
        <f>'Sources and Uses Budget'!$C32</f>
        <v>3209622</v>
      </c>
      <c r="D33" s="271">
        <f t="shared" si="0"/>
        <v>0</v>
      </c>
      <c r="E33" s="269"/>
      <c r="F33" s="268"/>
    </row>
    <row r="34" spans="1:6" s="353" customFormat="1">
      <c r="A34" s="145" t="s">
        <v>138</v>
      </c>
      <c r="B34" s="267">
        <f>'Sources and Uses Budget'!$C33</f>
        <v>1604811</v>
      </c>
      <c r="C34" s="267">
        <f>'Sources and Uses Budget'!$C33</f>
        <v>1604811</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1339616</v>
      </c>
      <c r="C36" s="267">
        <f>'Sources and Uses Budget'!$C35</f>
        <v>1339616</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86394593</v>
      </c>
      <c r="C39" s="271">
        <f>SUM(C30:C38)</f>
        <v>86394593</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2500000</v>
      </c>
      <c r="C41" s="267">
        <f>'Sources and Uses Budget'!$C40</f>
        <v>2500000</v>
      </c>
      <c r="D41" s="271">
        <f t="shared" si="0"/>
        <v>0</v>
      </c>
      <c r="E41" s="269"/>
      <c r="F41" s="268"/>
    </row>
    <row r="42" spans="1:6" s="353" customFormat="1">
      <c r="A42" s="270" t="s">
        <v>146</v>
      </c>
      <c r="B42" s="267">
        <f>'Sources and Uses Budget'!$C41</f>
        <v>500000</v>
      </c>
      <c r="C42" s="267">
        <f>'Sources and Uses Budget'!$C41</f>
        <v>500000</v>
      </c>
      <c r="D42" s="271">
        <f t="shared" si="0"/>
        <v>0</v>
      </c>
      <c r="E42" s="269"/>
      <c r="F42" s="268"/>
    </row>
    <row r="43" spans="1:6" s="353" customFormat="1" ht="13">
      <c r="A43" s="272" t="s">
        <v>147</v>
      </c>
      <c r="B43" s="271">
        <f>SUM(B41:B42)</f>
        <v>3000000</v>
      </c>
      <c r="C43" s="271">
        <f>SUM(C41:C42)</f>
        <v>3000000</v>
      </c>
      <c r="D43" s="271">
        <f t="shared" si="0"/>
        <v>0</v>
      </c>
      <c r="E43" s="269"/>
      <c r="F43" s="268"/>
    </row>
    <row r="44" spans="1:6" s="353" customFormat="1" ht="13">
      <c r="A44" s="272" t="s">
        <v>148</v>
      </c>
      <c r="B44" s="267">
        <f>'Sources and Uses Budget'!$C43</f>
        <v>1500000</v>
      </c>
      <c r="C44" s="267">
        <f>'Sources and Uses Budget'!$C43</f>
        <v>1500000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10450363</v>
      </c>
      <c r="C46" s="267">
        <f>'Sources and Uses Budget'!$C45</f>
        <v>10450363</v>
      </c>
      <c r="D46" s="271">
        <f t="shared" si="0"/>
        <v>0</v>
      </c>
      <c r="E46" s="269"/>
      <c r="F46" s="268"/>
    </row>
    <row r="47" spans="1:6" s="353" customFormat="1">
      <c r="A47" s="145" t="s">
        <v>151</v>
      </c>
      <c r="B47" s="267">
        <f>'Sources and Uses Budget'!$C46</f>
        <v>704949</v>
      </c>
      <c r="C47" s="267">
        <f>'Sources and Uses Budget'!$C46</f>
        <v>704949</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469966</v>
      </c>
      <c r="C49" s="267">
        <f>'Sources and Uses Budget'!$C48</f>
        <v>469966</v>
      </c>
      <c r="D49" s="271">
        <f t="shared" si="0"/>
        <v>0</v>
      </c>
      <c r="E49" s="269"/>
      <c r="F49" s="268"/>
    </row>
    <row r="50" spans="1:6" s="353" customFormat="1">
      <c r="A50" s="145" t="s">
        <v>57</v>
      </c>
      <c r="B50" s="267">
        <f>'Sources and Uses Budget'!$C49</f>
        <v>576016</v>
      </c>
      <c r="C50" s="267">
        <f>'Sources and Uses Budget'!$C49</f>
        <v>576016</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350000</v>
      </c>
      <c r="C52" s="267">
        <f>'Sources and Uses Budget'!$C51</f>
        <v>350000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Inspections &amp; GL Expense</v>
      </c>
      <c r="B54" s="267">
        <f>'Sources and Uses Budget'!$C53</f>
        <v>410000</v>
      </c>
      <c r="C54" s="267">
        <f>'Sources and Uses Budget'!$C53</f>
        <v>410000</v>
      </c>
      <c r="D54" s="271">
        <f t="shared" si="0"/>
        <v>0</v>
      </c>
      <c r="E54" s="269"/>
      <c r="F54" s="268"/>
    </row>
    <row r="55" spans="1:6" s="354" customFormat="1" ht="13">
      <c r="A55" s="272" t="s">
        <v>157</v>
      </c>
      <c r="B55" s="274">
        <f>SUM(B46:B54)</f>
        <v>13061294</v>
      </c>
      <c r="C55" s="274">
        <f>SUM(C46:C54)</f>
        <v>13061294</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443590</v>
      </c>
      <c r="C57" s="267">
        <f>'Sources and Uses Budget'!$C56</f>
        <v>443590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468590</v>
      </c>
      <c r="C63" s="271">
        <f>SUM(C57:C62)</f>
        <v>468590</v>
      </c>
      <c r="D63" s="271">
        <f t="shared" si="0"/>
        <v>0</v>
      </c>
      <c r="E63" s="269"/>
      <c r="F63" s="268"/>
    </row>
    <row r="64" spans="1:6" s="353" customFormat="1" ht="13">
      <c r="A64" s="275" t="s">
        <v>302</v>
      </c>
      <c r="B64" s="271">
        <f>SUM(B9+B12+B14+B15+B17+B26+B28+B39+B43+B44+B55+B63)</f>
        <v>104424477</v>
      </c>
      <c r="C64" s="271">
        <f>SUM(C9+C12+C14+C15+C17+C26+C28+C39+C43+C44+C55+C63)</f>
        <v>104424477</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90000</v>
      </c>
      <c r="C66" s="267">
        <f>'Sources and Uses Budget'!$C65</f>
        <v>90000</v>
      </c>
      <c r="D66" s="271">
        <f t="shared" si="0"/>
        <v>0</v>
      </c>
      <c r="E66" s="269"/>
      <c r="F66" s="268"/>
    </row>
    <row r="67" spans="1:6" s="353" customFormat="1" ht="23">
      <c r="A67" s="284" t="s">
        <v>1642</v>
      </c>
      <c r="B67" s="267">
        <f>'Sources and Uses Budget'!$C66</f>
        <v>200000</v>
      </c>
      <c r="C67" s="267">
        <f>'Sources and Uses Budget'!$C66</f>
        <v>200000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Legale Fees borrower &amp; consultant</v>
      </c>
      <c r="B70" s="267">
        <f>'Sources and Uses Budget'!$C69</f>
        <v>125000</v>
      </c>
      <c r="C70" s="267">
        <f>'Sources and Uses Budget'!$C69</f>
        <v>125000</v>
      </c>
      <c r="D70" s="271">
        <f t="shared" si="0"/>
        <v>0</v>
      </c>
      <c r="E70" s="269"/>
      <c r="F70" s="268"/>
    </row>
    <row r="71" spans="1:6" s="353" customFormat="1">
      <c r="A71" s="149" t="s">
        <v>1646</v>
      </c>
      <c r="B71" s="271">
        <f>SUM(B66:B70)</f>
        <v>415000</v>
      </c>
      <c r="C71" s="271">
        <f>SUM(C66:C70)</f>
        <v>415000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1154808</v>
      </c>
      <c r="C76" s="267">
        <f>'Sources and Uses Budget'!$C75</f>
        <v>1154808</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1154808</v>
      </c>
      <c r="C78" s="271">
        <f>SUM(C73:C77)</f>
        <v>1154808</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4252749</v>
      </c>
      <c r="C80" s="267">
        <f>'Sources and Uses Budget'!$C79</f>
        <v>4252749</v>
      </c>
      <c r="D80" s="271">
        <f t="shared" si="1"/>
        <v>0</v>
      </c>
      <c r="E80" s="269"/>
      <c r="F80" s="268"/>
    </row>
    <row r="81" spans="1:6" s="353" customFormat="1">
      <c r="A81" s="511" t="s">
        <v>58</v>
      </c>
      <c r="B81" s="267">
        <f>'Sources and Uses Budget'!$C80</f>
        <v>575097</v>
      </c>
      <c r="C81" s="267">
        <f>'Sources and Uses Budget'!$C80</f>
        <v>575097</v>
      </c>
      <c r="D81" s="271">
        <f>C81-B81</f>
        <v>0</v>
      </c>
      <c r="E81" s="269"/>
      <c r="F81" s="268"/>
    </row>
    <row r="82" spans="1:6" s="353" customFormat="1" ht="13">
      <c r="A82" s="272" t="s">
        <v>1210</v>
      </c>
      <c r="B82" s="271">
        <f>SUM(B80:B81)</f>
        <v>4827846</v>
      </c>
      <c r="C82" s="271">
        <f>SUM(C80:C81)</f>
        <v>4827846</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746349</v>
      </c>
      <c r="C84" s="267">
        <f>'Sources and Uses Budget'!$C83</f>
        <v>746349</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9880000</v>
      </c>
      <c r="C86" s="267">
        <f>'Sources and Uses Budget'!$C85</f>
        <v>9880000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125000</v>
      </c>
      <c r="C89" s="267">
        <f>'Sources and Uses Budget'!$C88</f>
        <v>125000</v>
      </c>
      <c r="D89" s="271">
        <f t="shared" si="1"/>
        <v>0</v>
      </c>
      <c r="E89" s="269"/>
      <c r="F89" s="268"/>
    </row>
    <row r="90" spans="1:6" s="353" customFormat="1">
      <c r="A90" s="270" t="s">
        <v>773</v>
      </c>
      <c r="B90" s="267">
        <f>'Sources and Uses Budget'!$C89</f>
        <v>550000</v>
      </c>
      <c r="C90" s="267">
        <f>'Sources and Uses Budget'!$C89</f>
        <v>550000</v>
      </c>
      <c r="D90" s="271">
        <f t="shared" si="1"/>
        <v>0</v>
      </c>
      <c r="E90" s="269"/>
      <c r="F90" s="268"/>
    </row>
    <row r="91" spans="1:6" s="353" customFormat="1">
      <c r="A91" s="270" t="s">
        <v>774</v>
      </c>
      <c r="B91" s="267">
        <f>'Sources and Uses Budget'!$C90</f>
        <v>0</v>
      </c>
      <c r="C91" s="267">
        <f>'Sources and Uses Budget'!$C90</f>
        <v>0</v>
      </c>
      <c r="D91" s="271">
        <f t="shared" si="1"/>
        <v>0</v>
      </c>
      <c r="E91" s="269"/>
      <c r="F91" s="268"/>
    </row>
    <row r="92" spans="1:6" s="353" customFormat="1">
      <c r="A92" s="270" t="s">
        <v>372</v>
      </c>
      <c r="B92" s="267">
        <f>'Sources and Uses Budget'!$C91</f>
        <v>50000</v>
      </c>
      <c r="C92" s="267">
        <f>'Sources and Uses Budget'!$C91</f>
        <v>50000</v>
      </c>
      <c r="D92" s="271">
        <f t="shared" si="1"/>
        <v>0</v>
      </c>
      <c r="E92" s="269"/>
      <c r="F92" s="268"/>
    </row>
    <row r="93" spans="1:6" s="353" customFormat="1">
      <c r="A93" s="511" t="s">
        <v>1212</v>
      </c>
      <c r="B93" s="267">
        <f>'Sources and Uses Budget'!$C92</f>
        <v>40000</v>
      </c>
      <c r="C93" s="267">
        <f>'Sources and Uses Budget'!$C92</f>
        <v>40000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11391349</v>
      </c>
      <c r="C97" s="271">
        <f>SUM(C84:C96)</f>
        <v>11391349</v>
      </c>
      <c r="D97" s="271">
        <f t="shared" si="1"/>
        <v>0</v>
      </c>
      <c r="E97" s="269"/>
      <c r="F97" s="268"/>
    </row>
    <row r="98" spans="1:6" s="353" customFormat="1" ht="13">
      <c r="A98" s="272" t="s">
        <v>776</v>
      </c>
      <c r="B98" s="271">
        <f>SUM(B64+B71+B78+B82+B97)</f>
        <v>122213480</v>
      </c>
      <c r="C98" s="271">
        <f>SUM(C64+C71+C78+C82+C97)</f>
        <v>122213480</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17878311</v>
      </c>
      <c r="C100" s="267">
        <f>'Sources and Uses Budget'!$C99</f>
        <v>17878311</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17878311</v>
      </c>
      <c r="C105" s="271">
        <f>SUM(C100:C104)</f>
        <v>17878311</v>
      </c>
      <c r="D105" s="271">
        <f t="shared" si="1"/>
        <v>0</v>
      </c>
      <c r="E105" s="269"/>
      <c r="F105" s="268"/>
    </row>
    <row r="106" spans="1:6" s="353" customFormat="1" ht="13">
      <c r="A106" s="272" t="s">
        <v>781</v>
      </c>
      <c r="B106" s="274">
        <f>SUM(B98+B105)</f>
        <v>140091791</v>
      </c>
      <c r="C106" s="274">
        <f>SUM(C98+C105)</f>
        <v>140091791</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8" t="s">
        <v>2047</v>
      </c>
      <c r="B72" s="1268"/>
      <c r="C72" s="1268"/>
      <c r="D72" s="1268"/>
      <c r="E72" s="1268"/>
    </row>
    <row r="73" spans="1:9" ht="12.5">
      <c r="A73" s="1268" t="s">
        <v>2048</v>
      </c>
      <c r="B73" s="1268"/>
      <c r="C73" s="1268"/>
      <c r="D73" s="1268"/>
      <c r="E73" s="1268"/>
    </row>
    <row r="74" spans="1:9" ht="12.5">
      <c r="A74" s="1268" t="s">
        <v>1872</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 zoomScale="53" zoomScaleNormal="53" workbookViewId="0">
      <selection activeCell="B1127" sqref="B1127"/>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5"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c r="A15" s="485"/>
      <c r="B15" s="486" t="s">
        <v>2726</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c r="A20" s="485"/>
      <c r="B20" s="486" t="s">
        <v>2726</v>
      </c>
      <c r="D20" s="1300" t="s">
        <v>1924</v>
      </c>
      <c r="E20" s="1300"/>
      <c r="F20" s="1300"/>
      <c r="I20" s="491"/>
    </row>
    <row r="21" spans="1:9">
      <c r="A21" s="485"/>
      <c r="D21" s="1300"/>
      <c r="E21" s="1300"/>
      <c r="F21" s="1300"/>
      <c r="I21" s="491"/>
    </row>
    <row r="22" spans="1:9">
      <c r="A22" s="485"/>
      <c r="D22" s="393"/>
      <c r="E22" s="96" t="s">
        <v>1920</v>
      </c>
      <c r="F22" s="393"/>
      <c r="I22" s="491"/>
    </row>
    <row r="23" spans="1:9">
      <c r="A23" s="485"/>
      <c r="B23" s="485"/>
      <c r="D23" s="447"/>
      <c r="I23" s="491"/>
    </row>
    <row r="24" spans="1:9">
      <c r="A24" s="485"/>
      <c r="B24" s="486" t="s">
        <v>2727</v>
      </c>
      <c r="D24" s="1300" t="s">
        <v>1092</v>
      </c>
      <c r="E24" s="1300"/>
      <c r="F24" s="1300"/>
      <c r="I24" s="491"/>
    </row>
    <row r="25" spans="1:9">
      <c r="A25" s="485"/>
      <c r="B25" s="485"/>
      <c r="D25" s="1300"/>
      <c r="E25" s="1300"/>
      <c r="F25" s="1300"/>
      <c r="I25" s="491"/>
    </row>
    <row r="26" spans="1:9">
      <c r="I26" s="491"/>
    </row>
    <row r="27" spans="1:9">
      <c r="A27" s="485"/>
      <c r="B27" s="486" t="s">
        <v>2727</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2727</v>
      </c>
      <c r="D33" s="1300" t="s">
        <v>2051</v>
      </c>
      <c r="E33" s="1300"/>
      <c r="F33" s="1300"/>
      <c r="I33" s="491"/>
    </row>
    <row r="34" spans="1:9">
      <c r="D34" s="1300"/>
      <c r="E34" s="1300"/>
      <c r="F34" s="1300"/>
      <c r="I34" s="491"/>
    </row>
    <row r="35" spans="1:9">
      <c r="A35" s="485"/>
      <c r="B35" s="485"/>
      <c r="D35" s="448"/>
      <c r="I35" s="491"/>
    </row>
    <row r="36" spans="1:9" ht="14.5" customHeight="1">
      <c r="A36" s="485"/>
      <c r="B36" s="486" t="s">
        <v>2727</v>
      </c>
      <c r="D36" s="1300" t="s">
        <v>1215</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2727</v>
      </c>
      <c r="D41" s="1300" t="s">
        <v>1093</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2727</v>
      </c>
      <c r="D47" s="1300" t="s">
        <v>1094</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2727</v>
      </c>
      <c r="D52" s="1300" t="s">
        <v>1095</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2726</v>
      </c>
      <c r="D56" s="1323" t="s">
        <v>1096</v>
      </c>
      <c r="E56" s="1323"/>
      <c r="F56" s="1323"/>
      <c r="I56" s="491"/>
    </row>
    <row r="57" spans="1:9">
      <c r="A57" s="485"/>
      <c r="B57" s="485"/>
      <c r="D57" s="1323"/>
      <c r="E57" s="1323"/>
      <c r="F57" s="1323"/>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2726</v>
      </c>
      <c r="D61" s="1300" t="s">
        <v>1097</v>
      </c>
      <c r="E61" s="1300"/>
      <c r="F61" s="1300"/>
      <c r="I61" s="491"/>
    </row>
    <row r="62" spans="1:9">
      <c r="D62" s="1300"/>
      <c r="E62" s="1300"/>
      <c r="F62" s="1300"/>
      <c r="I62" s="491"/>
    </row>
    <row r="63" spans="1:9">
      <c r="D63" s="1300"/>
      <c r="E63" s="1300"/>
      <c r="F63" s="1300"/>
      <c r="I63" s="491"/>
    </row>
    <row r="64" spans="1:9">
      <c r="I64" s="491"/>
    </row>
    <row r="65" spans="1:9">
      <c r="A65" s="485"/>
      <c r="B65" s="486" t="s">
        <v>2727</v>
      </c>
      <c r="D65" s="1300" t="s">
        <v>1098</v>
      </c>
      <c r="E65" s="1300"/>
      <c r="F65" s="1300"/>
      <c r="I65" s="491"/>
    </row>
    <row r="66" spans="1:9">
      <c r="D66" s="1300"/>
      <c r="E66" s="1300"/>
      <c r="F66" s="1300"/>
      <c r="I66" s="491"/>
    </row>
    <row r="67" spans="1:9">
      <c r="I67" s="491"/>
    </row>
    <row r="68" spans="1:9">
      <c r="A68" s="485"/>
      <c r="B68" s="486" t="s">
        <v>2726</v>
      </c>
      <c r="D68" s="1300" t="s">
        <v>1099</v>
      </c>
      <c r="E68" s="1300"/>
      <c r="F68" s="1300"/>
      <c r="I68" s="491"/>
    </row>
    <row r="69" spans="1:9">
      <c r="D69" s="1300"/>
      <c r="E69" s="1300"/>
      <c r="F69" s="1300"/>
      <c r="I69" s="491"/>
    </row>
    <row r="70" spans="1:9">
      <c r="D70" s="1300"/>
      <c r="E70" s="1300"/>
      <c r="F70" s="1300"/>
      <c r="I70" s="491"/>
    </row>
    <row r="71" spans="1:9">
      <c r="I71" s="491"/>
    </row>
    <row r="72" spans="1:9">
      <c r="A72" s="485"/>
      <c r="B72" s="486" t="s">
        <v>2727</v>
      </c>
      <c r="D72" s="1300" t="s">
        <v>1100</v>
      </c>
      <c r="E72" s="1300"/>
      <c r="F72" s="1300"/>
      <c r="I72" s="491"/>
    </row>
    <row r="73" spans="1:9">
      <c r="D73" s="1300"/>
      <c r="E73" s="1300"/>
      <c r="F73" s="1300"/>
      <c r="I73" s="491"/>
    </row>
    <row r="74" spans="1:9">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5" customHeight="1">
      <c r="A80" s="485"/>
      <c r="B80" s="486" t="s">
        <v>2726</v>
      </c>
      <c r="D80" s="1300" t="s">
        <v>1246</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2726</v>
      </c>
      <c r="D89" s="1300" t="s">
        <v>1743</v>
      </c>
      <c r="E89" s="1300"/>
      <c r="F89" s="1300"/>
      <c r="I89" s="491"/>
    </row>
    <row r="90" spans="1:9">
      <c r="A90" s="485"/>
      <c r="B90" s="485"/>
      <c r="D90" s="1300"/>
      <c r="E90" s="1300"/>
      <c r="F90" s="1300"/>
      <c r="I90" s="491"/>
    </row>
    <row r="91" spans="1:9">
      <c r="A91" s="485"/>
      <c r="B91" s="485"/>
      <c r="D91" s="446"/>
      <c r="E91" s="446"/>
      <c r="F91" s="446"/>
      <c r="I91" s="491"/>
    </row>
    <row r="92" spans="1:9">
      <c r="A92" s="485"/>
      <c r="B92" s="486" t="s">
        <v>2727</v>
      </c>
      <c r="D92" s="1300" t="s">
        <v>1746</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2726</v>
      </c>
      <c r="D96" s="1300" t="s">
        <v>1745</v>
      </c>
      <c r="E96" s="1300"/>
      <c r="F96" s="1300"/>
      <c r="I96" s="491"/>
    </row>
    <row r="97" spans="1:9" s="988" customFormat="1">
      <c r="A97" s="986"/>
      <c r="B97" s="986"/>
      <c r="C97" s="987"/>
      <c r="D97" s="1300"/>
      <c r="E97" s="1300"/>
      <c r="F97" s="1300"/>
      <c r="I97" s="1156"/>
    </row>
    <row r="98" spans="1:9">
      <c r="A98" s="485"/>
      <c r="B98" s="485"/>
      <c r="D98" s="393"/>
      <c r="E98" s="313" t="s">
        <v>1925</v>
      </c>
      <c r="F98" s="446"/>
      <c r="I98" s="491"/>
    </row>
    <row r="99" spans="1:9">
      <c r="A99" s="485"/>
      <c r="B99" s="485"/>
      <c r="D99" s="386"/>
      <c r="E99" s="386"/>
      <c r="F99" s="386"/>
      <c r="I99" s="491"/>
    </row>
    <row r="100" spans="1:9">
      <c r="A100" s="485"/>
      <c r="B100" s="486" t="s">
        <v>2727</v>
      </c>
      <c r="D100" s="1300" t="s">
        <v>1744</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2727</v>
      </c>
      <c r="D103" s="1300" t="s">
        <v>1195</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2727</v>
      </c>
      <c r="D119" s="1322" t="s">
        <v>1104</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2726</v>
      </c>
      <c r="C128" s="403"/>
      <c r="D128" s="1322" t="s">
        <v>2052</v>
      </c>
      <c r="E128" s="1322"/>
      <c r="F128" s="1322"/>
      <c r="I128" s="491"/>
    </row>
    <row r="129" spans="1:9">
      <c r="A129" s="485"/>
      <c r="B129" s="485"/>
      <c r="C129" s="403"/>
      <c r="D129" s="1322"/>
      <c r="E129" s="1322"/>
      <c r="F129" s="1322"/>
      <c r="I129" s="491"/>
    </row>
    <row r="130" spans="1:9">
      <c r="I130" s="491"/>
    </row>
    <row r="131" spans="1:9">
      <c r="A131" s="485"/>
      <c r="B131" s="486" t="s">
        <v>2727</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2726</v>
      </c>
      <c r="D137" s="1300" t="s">
        <v>1106</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2727</v>
      </c>
      <c r="D151" s="1300" t="s">
        <v>1178</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2075</v>
      </c>
      <c r="E169" s="1319"/>
      <c r="F169" s="1319"/>
      <c r="G169" s="508"/>
      <c r="I169" s="491"/>
    </row>
    <row r="170" spans="1:9" ht="13.75" customHeight="1">
      <c r="D170" s="1317"/>
      <c r="E170" s="1317"/>
      <c r="F170" s="1317"/>
      <c r="G170" s="1317"/>
      <c r="I170" s="491"/>
    </row>
    <row r="171" spans="1:9" ht="14.5" customHeight="1">
      <c r="A171" s="490"/>
      <c r="B171" s="486" t="s">
        <v>2727</v>
      </c>
      <c r="C171" s="477"/>
      <c r="D171" s="1271" t="s">
        <v>2215</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2726</v>
      </c>
      <c r="C177" s="477"/>
      <c r="D177" s="1271" t="s">
        <v>1107</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2727</v>
      </c>
      <c r="D182" s="1312" t="s">
        <v>2053</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2726</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2727</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2727</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2727</v>
      </c>
      <c r="D209" s="387" t="s">
        <v>1896</v>
      </c>
      <c r="E209" s="386"/>
      <c r="F209" s="386"/>
      <c r="I209" s="491"/>
    </row>
    <row r="210" spans="1:9">
      <c r="A210" s="485"/>
      <c r="B210" s="485"/>
      <c r="D210" s="1287" t="s">
        <v>1903</v>
      </c>
      <c r="E210" s="1287"/>
      <c r="F210" s="1287"/>
      <c r="I210" s="491"/>
    </row>
    <row r="211" spans="1:9">
      <c r="D211" s="386"/>
      <c r="E211" s="1324" t="s">
        <v>1929</v>
      </c>
      <c r="F211" s="1324"/>
      <c r="I211" s="491"/>
    </row>
    <row r="212" spans="1:9">
      <c r="D212" s="448"/>
      <c r="I212" s="491"/>
    </row>
    <row r="213" spans="1:9">
      <c r="B213" s="486" t="s">
        <v>2727</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c r="A217" s="485"/>
      <c r="B217" s="486" t="s">
        <v>2727</v>
      </c>
      <c r="D217" s="1300" t="s">
        <v>1217</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5" customHeight="1">
      <c r="A227" s="491"/>
      <c r="C227" s="491"/>
      <c r="D227" s="1308" t="s">
        <v>547</v>
      </c>
      <c r="E227" s="1308"/>
      <c r="F227" s="1308"/>
      <c r="I227" s="491"/>
    </row>
    <row r="228" spans="1:9">
      <c r="A228" s="485"/>
      <c r="B228" s="486" t="s">
        <v>2726</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2726</v>
      </c>
      <c r="D233" s="1300" t="s">
        <v>1755</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1119</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2726</v>
      </c>
      <c r="D245" s="1300" t="s">
        <v>2055</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1897</v>
      </c>
      <c r="I248" s="491"/>
    </row>
    <row r="249" spans="1:9">
      <c r="A249" s="485"/>
      <c r="B249" s="485"/>
      <c r="D249" s="447"/>
      <c r="E249" s="447"/>
      <c r="F249" s="447"/>
      <c r="I249" s="491"/>
    </row>
    <row r="250" spans="1:9" ht="14.5" customHeight="1">
      <c r="A250" s="485"/>
      <c r="B250" s="486" t="s">
        <v>2727</v>
      </c>
      <c r="D250" s="1300" t="s">
        <v>2056</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2726</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2726</v>
      </c>
      <c r="D259" s="1300" t="s">
        <v>1120</v>
      </c>
      <c r="E259" s="1300"/>
      <c r="F259" s="1300"/>
      <c r="I259" s="491"/>
    </row>
    <row r="260" spans="1:9">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2726</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5" customHeight="1">
      <c r="A271" s="485"/>
      <c r="B271" s="486" t="s">
        <v>2727</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2727</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c r="A290" s="485"/>
      <c r="B290" s="486" t="s">
        <v>2727</v>
      </c>
      <c r="D290" s="1300" t="s">
        <v>1126</v>
      </c>
      <c r="E290" s="1300"/>
      <c r="F290" s="1300"/>
      <c r="I290" s="491"/>
    </row>
    <row r="291" spans="1:9">
      <c r="A291" s="485"/>
      <c r="B291" s="485"/>
      <c r="D291" s="1300"/>
      <c r="E291" s="1300"/>
      <c r="F291" s="1300"/>
      <c r="I291" s="491"/>
    </row>
    <row r="292" spans="1:9">
      <c r="D292" s="447"/>
      <c r="E292" s="447"/>
      <c r="F292" s="447"/>
      <c r="I292" s="491"/>
    </row>
    <row r="293" spans="1:9">
      <c r="A293" s="485"/>
      <c r="B293" s="486" t="s">
        <v>2727</v>
      </c>
      <c r="D293" s="1300" t="s">
        <v>1127</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2727</v>
      </c>
      <c r="D297" s="1300" t="s">
        <v>1128</v>
      </c>
      <c r="E297" s="1300"/>
      <c r="F297" s="1300"/>
      <c r="I297" s="491"/>
    </row>
    <row r="298" spans="1:9">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2727</v>
      </c>
      <c r="D305" s="1298" t="s">
        <v>1130</v>
      </c>
      <c r="E305" s="1298"/>
      <c r="F305" s="1298"/>
      <c r="I305" s="491"/>
    </row>
    <row r="306" spans="1:9">
      <c r="A306" s="485"/>
      <c r="B306" s="485"/>
      <c r="D306" s="495"/>
      <c r="E306" s="496"/>
      <c r="F306" s="496"/>
      <c r="I306" s="491"/>
    </row>
    <row r="307" spans="1:9" ht="13.75" customHeight="1">
      <c r="B307" s="486" t="s">
        <v>2727</v>
      </c>
      <c r="D307" s="1309" t="s">
        <v>1220</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2727</v>
      </c>
      <c r="D313" s="1309" t="s">
        <v>1131</v>
      </c>
      <c r="E313" s="1309"/>
      <c r="F313" s="1309"/>
      <c r="I313" s="491"/>
    </row>
    <row r="314" spans="1:9">
      <c r="D314" s="1309"/>
      <c r="E314" s="1309"/>
      <c r="F314" s="1309"/>
      <c r="I314" s="491"/>
    </row>
    <row r="315" spans="1:9">
      <c r="A315" s="485"/>
      <c r="B315" s="485"/>
      <c r="D315" s="495"/>
      <c r="E315" s="496"/>
      <c r="F315" s="496"/>
      <c r="I315" s="491"/>
    </row>
    <row r="316" spans="1:9">
      <c r="B316" s="486" t="s">
        <v>2727</v>
      </c>
      <c r="D316" s="1298" t="s">
        <v>1132</v>
      </c>
      <c r="E316" s="1298"/>
      <c r="F316" s="1298"/>
      <c r="I316" s="491"/>
    </row>
    <row r="317" spans="1:9">
      <c r="E317" s="447"/>
      <c r="F317" s="447"/>
      <c r="I317" s="491"/>
    </row>
    <row r="318" spans="1:9">
      <c r="A318" s="485"/>
      <c r="B318" s="486" t="s">
        <v>2727</v>
      </c>
      <c r="D318" s="1300" t="s">
        <v>2249</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2727</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2727</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2727</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c r="A360" s="485"/>
      <c r="B360" s="486" t="s">
        <v>2727</v>
      </c>
      <c r="C360" s="477"/>
      <c r="D360" s="1317" t="s">
        <v>2059</v>
      </c>
      <c r="E360" s="1317"/>
      <c r="F360" s="1317"/>
      <c r="I360" s="481"/>
    </row>
    <row r="361" spans="1:9">
      <c r="A361" s="477"/>
      <c r="B361" s="477"/>
      <c r="C361" s="477"/>
      <c r="D361" s="448"/>
      <c r="E361" s="448"/>
      <c r="F361" s="447"/>
      <c r="I361" s="491"/>
    </row>
    <row r="362" spans="1:9">
      <c r="A362" s="477"/>
      <c r="B362" s="486" t="s">
        <v>2727</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2727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2727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2727</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2727</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2727</v>
      </c>
      <c r="D423" s="1271" t="s">
        <v>1883</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2727</v>
      </c>
      <c r="C429" s="477"/>
      <c r="D429" s="1271" t="s">
        <v>1241</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c r="A435" s="485"/>
      <c r="B435" s="486" t="s">
        <v>2727</v>
      </c>
      <c r="C435" s="488"/>
      <c r="D435" s="1300" t="s">
        <v>2061</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2727</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2727</v>
      </c>
      <c r="C471" s="485"/>
      <c r="D471" s="1300" t="s">
        <v>1198</v>
      </c>
      <c r="E471" s="1300"/>
      <c r="F471" s="1300"/>
      <c r="I471" s="491"/>
    </row>
    <row r="472" spans="1:9">
      <c r="D472" s="1300"/>
      <c r="E472" s="1300"/>
      <c r="F472" s="1300"/>
      <c r="I472" s="491"/>
    </row>
    <row r="473" spans="1:9">
      <c r="D473" s="447"/>
      <c r="E473" s="447"/>
      <c r="F473" s="447"/>
      <c r="I473" s="491"/>
    </row>
    <row r="474" spans="1:9">
      <c r="B474" s="486" t="s">
        <v>2727</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2727</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2727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2727</v>
      </c>
      <c r="C486" s="403"/>
      <c r="D486" s="1300"/>
      <c r="E486" s="1300"/>
      <c r="F486" s="1300"/>
      <c r="I486" s="491"/>
    </row>
    <row r="487" spans="1:9">
      <c r="A487" s="403"/>
      <c r="C487" s="403"/>
      <c r="D487" s="1300"/>
      <c r="E487" s="1300"/>
      <c r="F487" s="1300"/>
      <c r="I487" s="491"/>
    </row>
    <row r="488" spans="1:9">
      <c r="A488" s="403"/>
      <c r="B488" s="486" t="s">
        <v>2727</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2727</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c r="A499" s="485"/>
      <c r="B499" s="485"/>
      <c r="D499" s="1317" t="s">
        <v>1142</v>
      </c>
      <c r="E499" s="1317"/>
      <c r="F499" s="1317"/>
      <c r="I499" s="491"/>
    </row>
    <row r="500" spans="1:9">
      <c r="A500" s="485"/>
      <c r="B500" s="485"/>
      <c r="D500" s="448"/>
      <c r="I500" s="491"/>
    </row>
    <row r="501" spans="1:9">
      <c r="A501" s="485"/>
      <c r="B501" s="486" t="s">
        <v>2727</v>
      </c>
      <c r="D501" s="1271" t="s">
        <v>1143</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2727</v>
      </c>
      <c r="D504" s="1312" t="s">
        <v>1274</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2727</v>
      </c>
      <c r="D509" s="1298" t="s">
        <v>1144</v>
      </c>
      <c r="E509" s="1298"/>
      <c r="F509" s="1298"/>
      <c r="I509" s="491"/>
    </row>
    <row r="510" spans="1:9">
      <c r="A510" s="485"/>
      <c r="B510" s="485"/>
      <c r="D510" s="447"/>
      <c r="I510" s="491"/>
    </row>
    <row r="511" spans="1:9">
      <c r="A511" s="485"/>
      <c r="B511" s="486" t="s">
        <v>2727</v>
      </c>
      <c r="D511" s="1300" t="s">
        <v>1145</v>
      </c>
      <c r="E511" s="1300"/>
      <c r="F511" s="1300"/>
      <c r="I511" s="491"/>
    </row>
    <row r="512" spans="1:9">
      <c r="A512" s="485"/>
      <c r="D512" s="1300"/>
      <c r="E512" s="1300"/>
      <c r="F512" s="1300"/>
      <c r="I512" s="491"/>
    </row>
    <row r="513" spans="1:9">
      <c r="A513" s="491"/>
      <c r="B513" s="491"/>
      <c r="D513" s="448"/>
      <c r="I513" s="491"/>
    </row>
    <row r="514" spans="1:9">
      <c r="A514" s="491"/>
      <c r="B514" s="486" t="s">
        <v>2727</v>
      </c>
      <c r="D514" s="1298" t="s">
        <v>1146</v>
      </c>
      <c r="E514" s="1298"/>
      <c r="F514" s="1298"/>
      <c r="I514" s="491"/>
    </row>
    <row r="515" spans="1:9">
      <c r="D515" s="447"/>
      <c r="E515" s="447"/>
      <c r="F515" s="447"/>
      <c r="I515" s="491"/>
    </row>
    <row r="516" spans="1:9">
      <c r="B516" s="486" t="s">
        <v>2727</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2726</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2726</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2727</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5" customHeight="1">
      <c r="A548" s="485"/>
      <c r="B548" s="486" t="s">
        <v>2726</v>
      </c>
      <c r="C548" s="488"/>
      <c r="D548" s="1298" t="s">
        <v>885</v>
      </c>
      <c r="E548" s="1298"/>
      <c r="F548" s="1298"/>
      <c r="I548" s="491"/>
    </row>
    <row r="549" spans="1:9" ht="13.75" customHeight="1">
      <c r="A549" s="488"/>
      <c r="B549" s="488"/>
      <c r="C549" s="488"/>
      <c r="D549" s="447"/>
      <c r="I549" s="491"/>
    </row>
    <row r="550" spans="1:9">
      <c r="A550" s="485"/>
      <c r="B550" s="486" t="s">
        <v>2726</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2726</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2726</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2726</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2727</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2727</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2726</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c r="A572" s="485"/>
      <c r="B572" s="485"/>
      <c r="C572" s="488"/>
      <c r="E572" s="447"/>
      <c r="F572" s="447"/>
      <c r="I572" s="491"/>
    </row>
    <row r="573" spans="1:9">
      <c r="A573" s="485"/>
      <c r="B573" s="486" t="s">
        <v>2726</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2726</v>
      </c>
      <c r="C578" s="488"/>
      <c r="D578" s="1300" t="s">
        <v>2065</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2726</v>
      </c>
      <c r="D588" s="1312" t="s">
        <v>889</v>
      </c>
      <c r="E588" s="1312"/>
      <c r="F588" s="1312"/>
      <c r="I588" s="491"/>
    </row>
    <row r="589" spans="1:9">
      <c r="A589" s="491"/>
      <c r="B589" s="491"/>
      <c r="D589" s="477"/>
      <c r="I589" s="491"/>
    </row>
    <row r="590" spans="1:9">
      <c r="A590" s="491"/>
      <c r="B590" s="486" t="s">
        <v>2726</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2727</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2726</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2727</v>
      </c>
      <c r="D602" s="1312" t="s">
        <v>1070</v>
      </c>
      <c r="E602" s="1312"/>
      <c r="F602" s="1312"/>
      <c r="I602" s="491"/>
    </row>
    <row r="603" spans="1:9">
      <c r="A603" s="491"/>
      <c r="B603" s="491"/>
      <c r="D603" s="1312"/>
      <c r="E603" s="1312"/>
      <c r="F603" s="1312"/>
      <c r="I603" s="491"/>
    </row>
    <row r="604" spans="1:9">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2726</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2726</v>
      </c>
      <c r="D620" s="1306" t="s">
        <v>1112</v>
      </c>
      <c r="E620" s="1306"/>
      <c r="F620" s="1306"/>
      <c r="I620" s="491"/>
    </row>
    <row r="621" spans="1:9">
      <c r="D621" s="1306"/>
      <c r="E621" s="1306"/>
      <c r="F621" s="1306"/>
      <c r="I621" s="491"/>
    </row>
    <row r="622" spans="1:9">
      <c r="I622" s="491"/>
    </row>
    <row r="623" spans="1:9">
      <c r="B623" s="486" t="s">
        <v>2726</v>
      </c>
      <c r="D623" s="1306" t="s">
        <v>1113</v>
      </c>
      <c r="E623" s="1306"/>
      <c r="F623" s="1306"/>
      <c r="I623" s="491"/>
    </row>
    <row r="624" spans="1:9">
      <c r="C624" s="501"/>
      <c r="D624" s="1306"/>
      <c r="E624" s="1306"/>
      <c r="F624" s="1306"/>
      <c r="I624" s="491"/>
    </row>
    <row r="625" spans="1:9">
      <c r="C625" s="501"/>
      <c r="I625" s="491"/>
    </row>
    <row r="626" spans="1:9">
      <c r="B626" s="486" t="s">
        <v>2727</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2726</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2727</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2727</v>
      </c>
      <c r="C643" s="488"/>
      <c r="D643" s="1300" t="s">
        <v>1226</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2727</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2727</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2727</v>
      </c>
      <c r="C658" s="488"/>
      <c r="D658" s="1300" t="s">
        <v>1284</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2727</v>
      </c>
      <c r="C664" s="488"/>
      <c r="D664" s="1300" t="s">
        <v>1283</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2727</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c r="A685" s="485"/>
      <c r="B685" s="486" t="s">
        <v>2726</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2726</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2726</v>
      </c>
      <c r="C694" s="484"/>
      <c r="D694" s="1298" t="s">
        <v>918</v>
      </c>
      <c r="E694" s="1298"/>
      <c r="F694" s="1298"/>
      <c r="H694" s="502"/>
      <c r="I694" s="484"/>
      <c r="J694" s="502"/>
      <c r="K694" s="502"/>
    </row>
    <row r="695" spans="1:11">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2727</v>
      </c>
      <c r="C698" s="484"/>
      <c r="D698" s="1298" t="s">
        <v>2473</v>
      </c>
      <c r="E698" s="1298"/>
      <c r="F698" s="1298"/>
      <c r="H698" s="502"/>
      <c r="I698" s="484"/>
      <c r="J698" s="502"/>
      <c r="K698" s="502"/>
    </row>
    <row r="699" spans="1:11">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2727</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2727</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2727</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2727</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2727</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2727</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2727</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2726</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c r="A758" s="485"/>
      <c r="B758" s="486" t="s">
        <v>2726</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2726</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2726</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2727</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2727</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2727</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2727</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2727</v>
      </c>
      <c r="C794" s="990"/>
      <c r="D794" s="1293" t="s">
        <v>1759</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2727</v>
      </c>
      <c r="C798" s="990"/>
      <c r="D798" s="1293" t="s">
        <v>1760</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1803</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2727</v>
      </c>
      <c r="C808" s="990"/>
      <c r="D808" s="1293" t="s">
        <v>1761</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2727</v>
      </c>
      <c r="C815" s="990"/>
      <c r="D815" s="1293" t="s">
        <v>1762</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2727</v>
      </c>
      <c r="C822" s="990"/>
      <c r="D822" s="1288" t="s">
        <v>1763</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2726</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2726</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2727</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2727</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2727</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2726</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2726</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2727</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2727</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2727</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2726</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2726</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2726</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2727</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2727</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2727</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2727</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2727</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2726</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2726</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2727</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2727</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2727</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2726</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2726</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2727</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2727</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2727</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2727</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2726</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2726</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2727</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2726</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2727</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2727</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2726</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2727</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2727</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2727</v>
      </c>
      <c r="C1062" s="403"/>
      <c r="D1062" s="403" t="s">
        <v>1813</v>
      </c>
      <c r="I1062" s="491"/>
    </row>
    <row r="1063" spans="1:9">
      <c r="A1063" s="403"/>
      <c r="B1063" s="403"/>
      <c r="C1063" s="403"/>
      <c r="I1063" s="491"/>
    </row>
    <row r="1064" spans="1:9">
      <c r="A1064" s="403"/>
      <c r="B1064" s="486" t="s">
        <v>2727</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2726</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2727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2727</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2727</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2727</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2727</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2727</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2727</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2727</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2727</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2727</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V1" zoomScale="63" zoomScaleNormal="63"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26</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3"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3" customHeight="1">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3" customHeight="1">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26</v>
      </c>
    </row>
    <row r="12" spans="1:58" ht="13"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3"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104</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101</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419" t="s">
        <v>2626</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 xml:space="preserve">Berryessa Family Apartments </v>
      </c>
    </row>
    <row r="17" spans="1:58" ht="13" customHeight="1">
      <c r="BD17" s="1251" t="s">
        <v>2523</v>
      </c>
      <c r="BE17" s="1253">
        <f>Application!AA934</f>
        <v>0</v>
      </c>
    </row>
    <row r="18" spans="1:58" ht="13" customHeight="1">
      <c r="A18" s="57" t="s">
        <v>101</v>
      </c>
      <c r="C18" s="4"/>
      <c r="D18" s="4"/>
      <c r="E18" s="4"/>
      <c r="F18" s="4"/>
      <c r="G18" s="4"/>
      <c r="H18" s="1416" t="s">
        <v>2706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3" customHeight="1">
      <c r="BD19" s="1251" t="s">
        <v>2525</v>
      </c>
      <c r="BE19" s="1253">
        <f>Application!M26</f>
        <v>7126766</v>
      </c>
    </row>
    <row r="20" spans="1:58" ht="13"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3"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69000000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140091791</v>
      </c>
      <c r="BF22" s="3" t="s">
        <v>2600</v>
      </c>
    </row>
    <row r="23" spans="1:58" ht="13"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283803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3" customHeight="1">
      <c r="A26" s="4"/>
      <c r="C26" s="4"/>
      <c r="D26" s="4"/>
      <c r="E26" s="4"/>
      <c r="F26" s="4"/>
      <c r="G26" s="4"/>
      <c r="H26" s="4"/>
      <c r="I26" s="4"/>
      <c r="J26" s="4"/>
      <c r="K26" s="4"/>
      <c r="L26" s="4"/>
      <c r="M26" s="1418">
        <f>'Basis &amp; Credits'!AB56</f>
        <v>7126766</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331" t="s">
        <v>670</v>
      </c>
      <c r="P33" s="1331"/>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South and West Bay Region: San Mateo and Santa Clara Counties</v>
      </c>
    </row>
    <row r="34" spans="1:57" ht="13"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 xml:space="preserve">1655 Berryessa Roqad </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San  Jose</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Santa Clara</v>
      </c>
    </row>
    <row r="38" spans="1:57" ht="13" customHeight="1">
      <c r="A38" s="3"/>
      <c r="AZ38" s="20"/>
      <c r="BD38" s="1252" t="s">
        <v>2539</v>
      </c>
      <c r="BE38" s="1253">
        <f>Application!I190</f>
        <v>95131</v>
      </c>
    </row>
    <row r="39" spans="1:57" ht="13"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260</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257</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0.59883268482490259</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0.59891527312477744</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538814.58076923073</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0</v>
      </c>
    </row>
    <row r="46" spans="1:57" ht="13"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Green Valley Corporation</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Mark Pilarczyk</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Green Valle Corp. dba Swenson</v>
      </c>
    </row>
    <row r="51" spans="1:57" ht="13"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PacH San Jose Holdings,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 xml:space="preserve">Mat Eland </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Pacific Housing, Inc.</v>
      </c>
    </row>
    <row r="54" spans="1:57" ht="13"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Green Valley Corp. dba Swenson</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777 N. First Street, 5th Floor</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San Jose, CA 95112</v>
      </c>
    </row>
    <row r="60" spans="1:57" ht="13"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Mark Pilarczyk</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mark@swenson.com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0.85000100000000001</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CMFA</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120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785" t="s">
        <v>2162</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2572</v>
      </c>
      <c r="BE75" s="1253">
        <f>'Points System'!AF808</f>
        <v>10</v>
      </c>
    </row>
    <row r="76" spans="1:57" ht="13"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2573</v>
      </c>
      <c r="BE76" s="1253">
        <f>'Points System'!AF811</f>
        <v>10</v>
      </c>
    </row>
    <row r="77" spans="1:57" ht="13"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10</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1.4055619655302032</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City of San Jose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Jennifer Maguire  (Executive Assistant is Sandra Cranford)</v>
      </c>
    </row>
    <row r="86" spans="1:57" ht="13"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200 East Santa Clara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San Jose</v>
      </c>
    </row>
    <row r="89" spans="1:57" ht="13" customHeight="1">
      <c r="A89" s="1784" t="s">
        <v>2166</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2586</v>
      </c>
      <c r="BE89" s="1253">
        <f>Application!O158</f>
        <v>95113</v>
      </c>
    </row>
    <row r="90" spans="1:57" ht="13"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2587</v>
      </c>
      <c r="BE90" s="1253" t="str">
        <f>Application!H16</f>
        <v>Green Valley Corporation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777 N. First Street, 5th Floor</v>
      </c>
    </row>
    <row r="92" spans="1:57" ht="13" customHeight="1">
      <c r="A92" s="1785" t="s">
        <v>2167</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2589</v>
      </c>
      <c r="BE92" s="1253" t="str">
        <f>Application!M234</f>
        <v>San Jose</v>
      </c>
    </row>
    <row r="93" spans="1:57" ht="13"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2590</v>
      </c>
      <c r="BE93" s="1253" t="str">
        <f>Application!W234</f>
        <v>CA</v>
      </c>
    </row>
    <row r="94" spans="1:57" ht="13"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2591</v>
      </c>
      <c r="BE94" s="1253">
        <f>Application!AC234</f>
        <v>95112</v>
      </c>
    </row>
    <row r="95" spans="1:57" ht="13"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2592</v>
      </c>
      <c r="BE95" s="1253" t="str">
        <f>Application!M235</f>
        <v>Mark Pilarczyk</v>
      </c>
    </row>
    <row r="96" spans="1:57" ht="13"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2593</v>
      </c>
      <c r="BE96" s="1253" t="str">
        <f>Application!M237</f>
        <v>mark@swenson.com</v>
      </c>
    </row>
    <row r="97" spans="1:57" ht="13"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2594</v>
      </c>
      <c r="BE97" s="1253" t="str">
        <f>Application!M248</f>
        <v>mark@swenson.com</v>
      </c>
    </row>
    <row r="98" spans="1:57" ht="13"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2595</v>
      </c>
      <c r="BE98" s="1253" t="str">
        <f>Application!M256</f>
        <v>meland@pacifichousing.org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786" t="s">
        <v>2168</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2597</v>
      </c>
      <c r="BE100" s="1253" t="str">
        <f>Application!L279</f>
        <v>mark@swenson.com</v>
      </c>
    </row>
    <row r="101" spans="1:57" ht="13"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2602</v>
      </c>
      <c r="BE101">
        <f>'Sources and Uses Budget'!C105</f>
        <v>140091791</v>
      </c>
    </row>
    <row r="102" spans="1:57" ht="13"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2603</v>
      </c>
      <c r="BE102" t="b">
        <f>T197="Yes"</f>
        <v>0</v>
      </c>
    </row>
    <row r="103" spans="1:57" ht="13"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6" t="s">
        <v>2169</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3"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7"/>
      <c r="H113" s="1787"/>
      <c r="I113" s="3" t="s">
        <v>182</v>
      </c>
      <c r="L113" s="1787"/>
      <c r="M113" s="1787"/>
      <c r="N113" s="1787"/>
      <c r="O113" s="1787"/>
      <c r="P113" s="1793" t="s">
        <v>2244</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8"/>
      <c r="D115" s="1798"/>
      <c r="E115" s="1798"/>
      <c r="F115" s="1798"/>
      <c r="G115" s="1798"/>
      <c r="H115" s="1798"/>
      <c r="I115" s="1798"/>
      <c r="J115" s="1798"/>
      <c r="K115" s="1798"/>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t="s">
        <v>2723</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Santa Clara</v>
      </c>
      <c r="DH122" s="1654"/>
      <c r="DI122" s="1654"/>
      <c r="DJ122" s="1654"/>
      <c r="DK122" s="1654"/>
      <c r="DL122" s="1654"/>
      <c r="DM122" s="1655"/>
    </row>
    <row r="123" spans="1:117" ht="13" customHeight="1">
      <c r="A123" s="3"/>
      <c r="B123" s="3"/>
      <c r="T123" s="3"/>
      <c r="U123" s="3"/>
      <c r="V123" s="3"/>
      <c r="W123" s="3"/>
      <c r="X123" s="3"/>
      <c r="Y123" s="1787" t="s">
        <v>2724</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7" t="s">
        <v>2612</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36" t="s">
        <v>2613</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3" customHeight="1">
      <c r="D156" t="s">
        <v>313</v>
      </c>
      <c r="O156" s="1371" t="s">
        <v>2614</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7" t="s">
        <v>2615</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0">
        <v>95113</v>
      </c>
      <c r="P158" s="1790"/>
      <c r="Q158" s="1790"/>
      <c r="R158" s="179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8" t="s">
        <v>2616</v>
      </c>
      <c r="P159" s="1778"/>
      <c r="Q159" s="1778"/>
      <c r="R159" s="1778"/>
      <c r="S159" s="1778"/>
      <c r="T159" s="1778"/>
      <c r="V159" s="97" t="s">
        <v>271</v>
      </c>
      <c r="W159" s="1791"/>
      <c r="X159" s="179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78"/>
      <c r="P160" s="1778"/>
      <c r="Q160" s="1778"/>
      <c r="R160" s="1778"/>
      <c r="S160" s="1778"/>
      <c r="T160" s="1778"/>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2" t="s">
        <v>2617</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799" t="s">
        <v>2219</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670</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5">
        <v>24</v>
      </c>
      <c r="V176" s="1425"/>
      <c r="W176" s="1" t="s">
        <v>306</v>
      </c>
      <c r="X176" s="1781">
        <v>822</v>
      </c>
      <c r="Y176" s="1781"/>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0"/>
      <c r="AG178" s="1780"/>
      <c r="AH178" s="1" t="s">
        <v>306</v>
      </c>
      <c r="AI178" s="1802"/>
      <c r="AJ178" s="1802"/>
      <c r="AK178" s="1802"/>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1" t="s">
        <v>670</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7" t="str">
        <f>H18</f>
        <v xml:space="preserve">Berryessa Family Apartments </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7" t="s">
        <v>2618</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6" t="s">
        <v>2619</v>
      </c>
      <c r="J189" s="1371"/>
      <c r="K189" s="1371"/>
      <c r="L189" s="1371"/>
      <c r="M189" s="1371"/>
      <c r="N189" s="1371"/>
      <c r="O189" s="1371"/>
      <c r="P189" s="1371"/>
      <c r="Q189" t="s">
        <v>583</v>
      </c>
      <c r="T189" s="1371" t="s">
        <v>192</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7">
        <v>95131</v>
      </c>
      <c r="J190" s="1347"/>
      <c r="K190" s="1347"/>
      <c r="L190" s="1347"/>
      <c r="M190" s="1347"/>
      <c r="N190" s="1347"/>
      <c r="O190" t="s">
        <v>586</v>
      </c>
      <c r="T190" s="1788">
        <v>6077003111</v>
      </c>
      <c r="U190" s="1788"/>
      <c r="V190" s="1788"/>
      <c r="W190" s="1788"/>
      <c r="X190" s="1788"/>
      <c r="Y190" s="1788"/>
      <c r="Z190" s="1788"/>
      <c r="AA190" s="1788"/>
      <c r="AB190" s="1788"/>
      <c r="AC190" s="1788"/>
      <c r="AD190" s="1788"/>
      <c r="AE190" s="178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1" t="s">
        <v>2620</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2" t="s">
        <v>1939</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1" t="s">
        <v>546</v>
      </c>
      <c r="U195" s="1331"/>
      <c r="W195" t="s">
        <v>685</v>
      </c>
      <c r="AH195" s="1331">
        <v>18</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2" t="s">
        <v>546</v>
      </c>
      <c r="U196" s="1402"/>
      <c r="W196" t="s">
        <v>686</v>
      </c>
      <c r="AH196" s="1331">
        <v>26</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2" t="s">
        <v>670</v>
      </c>
      <c r="U197" s="1402"/>
      <c r="W197" t="s">
        <v>687</v>
      </c>
      <c r="AH197" s="1331">
        <v>15</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1"/>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7" t="s">
        <v>385</v>
      </c>
      <c r="E204" s="1357"/>
      <c r="F204" s="1357"/>
      <c r="G204" s="1357"/>
      <c r="H204" s="1357"/>
      <c r="I204" s="1357"/>
      <c r="J204" s="1357"/>
      <c r="K204" s="1357"/>
      <c r="L204" s="1357"/>
      <c r="M204" s="1357"/>
      <c r="P204" s="1800">
        <f>M26</f>
        <v>7126766</v>
      </c>
      <c r="Q204" s="1779"/>
      <c r="R204" s="1779"/>
      <c r="S204" s="1779"/>
      <c r="T204" s="1779"/>
      <c r="U204" s="1779"/>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09" t="s">
        <v>1248</v>
      </c>
      <c r="E205" s="1357"/>
      <c r="F205" s="1357"/>
      <c r="G205" s="1357"/>
      <c r="H205" s="1357"/>
      <c r="I205" s="1357"/>
      <c r="J205" s="1357"/>
      <c r="K205" s="1357"/>
      <c r="L205" s="1357"/>
      <c r="M205" s="1357"/>
      <c r="P205" s="1779">
        <f>M27</f>
        <v>0</v>
      </c>
      <c r="Q205" s="1779"/>
      <c r="R205" s="1779"/>
      <c r="S205" s="1779"/>
      <c r="T205" s="1779"/>
      <c r="U205" s="1779"/>
      <c r="V205" s="28"/>
      <c r="W205" s="3" t="s">
        <v>1721</v>
      </c>
      <c r="Z205" s="1807" t="s">
        <v>1185</v>
      </c>
      <c r="AA205" s="1807"/>
      <c r="AB205" s="1807"/>
      <c r="AC205" s="1807"/>
      <c r="AD205" s="1807"/>
      <c r="AE205" s="1807"/>
      <c r="AF205" s="1807"/>
      <c r="AG205" s="1807"/>
      <c r="AH205" s="1807"/>
      <c r="AI205" s="1807"/>
      <c r="AJ205" s="1807"/>
      <c r="AK205" s="1807"/>
      <c r="AL205" s="1807"/>
      <c r="AM205" s="1807"/>
      <c r="AN205" s="1807"/>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7" t="s">
        <v>2621</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1042</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1"/>
      <c r="R212" s="1331"/>
      <c r="T212" s="1794">
        <f>IFERROR(Q212/AG440,0)</f>
        <v>0</v>
      </c>
      <c r="U212" s="1795"/>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7" t="s">
        <v>1027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2470</v>
      </c>
      <c r="AD220" s="1808"/>
      <c r="AE220" s="1808"/>
      <c r="AF220" s="1808"/>
      <c r="AG220" s="1808"/>
      <c r="AH220" s="1808"/>
      <c r="AI220" s="1808"/>
      <c r="AJ220" s="1808"/>
      <c r="AK220" s="1808"/>
      <c r="AL220" s="1808"/>
      <c r="AM220" s="1808"/>
      <c r="AN220" s="1808"/>
      <c r="AO220" s="1808"/>
      <c r="AP220" s="1808"/>
      <c r="AQ220" s="1808"/>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546</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546</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89" t="str">
        <f>H16</f>
        <v>Green Valley Corporation</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539</v>
      </c>
      <c r="BG232" s="242">
        <f>IF(AND(AND($M$249="nonprofit",$M$257="nonprofit",$M$265="for profit")),2,0)</f>
        <v>0</v>
      </c>
    </row>
    <row r="233" spans="1:59" ht="13" customHeight="1">
      <c r="D233" s="4" t="s">
        <v>85</v>
      </c>
      <c r="E233" s="4"/>
      <c r="F233" s="4"/>
      <c r="G233" s="4"/>
      <c r="H233" s="4"/>
      <c r="I233" s="4"/>
      <c r="J233" s="4"/>
      <c r="K233" s="4"/>
      <c r="M233" s="1417" t="s">
        <v>2627</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3" customHeight="1">
      <c r="D234" s="4" t="s">
        <v>581</v>
      </c>
      <c r="E234" s="4"/>
      <c r="M234" s="1417" t="s">
        <v>2615</v>
      </c>
      <c r="N234" s="1417"/>
      <c r="O234" s="1417"/>
      <c r="P234" s="1417"/>
      <c r="Q234" s="1417"/>
      <c r="R234" s="1417"/>
      <c r="S234" s="1417"/>
      <c r="T234" s="1417"/>
      <c r="V234" s="33" t="s">
        <v>86</v>
      </c>
      <c r="W234" s="1436" t="s">
        <v>2623</v>
      </c>
      <c r="X234" s="1436"/>
      <c r="Y234" s="4" t="s">
        <v>584</v>
      </c>
      <c r="AC234" s="1417">
        <v>95112</v>
      </c>
      <c r="AD234" s="1417"/>
      <c r="AE234" s="1417"/>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7" t="s">
        <v>2628</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2629</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3" customHeight="1">
      <c r="D237" s="4" t="s">
        <v>90</v>
      </c>
      <c r="E237" s="4"/>
      <c r="F237" s="4"/>
      <c r="M237" s="1782" t="s">
        <v>2630</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7" t="s">
        <v>527</v>
      </c>
      <c r="N238" s="1347"/>
      <c r="O238" s="1347"/>
      <c r="P238" s="1347"/>
      <c r="Q238" s="1347"/>
      <c r="R238" s="1347"/>
      <c r="S238" s="1347"/>
      <c r="T238" s="1347"/>
      <c r="U238" s="205" t="s">
        <v>907</v>
      </c>
      <c r="V238" s="205"/>
      <c r="W238" s="205"/>
      <c r="X238" s="205"/>
      <c r="Y238" s="205"/>
      <c r="Z238" s="205"/>
      <c r="AA238" s="1783" t="s">
        <v>2639</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0" t="s">
        <v>2626</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2627</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
        <v>2615</v>
      </c>
      <c r="N245" s="1417"/>
      <c r="O245" s="1417"/>
      <c r="P245" s="1417"/>
      <c r="Q245" s="1417"/>
      <c r="R245" s="1417"/>
      <c r="S245" s="1417"/>
      <c r="T245" s="1417"/>
      <c r="V245" s="33" t="s">
        <v>86</v>
      </c>
      <c r="W245" s="1545" t="s">
        <v>2623</v>
      </c>
      <c r="X245" s="1436"/>
      <c r="Y245" s="4" t="s">
        <v>584</v>
      </c>
      <c r="AC245" s="1417">
        <v>95112</v>
      </c>
      <c r="AD245" s="1417"/>
      <c r="AE245" s="1417"/>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7" t="s">
        <v>2628</v>
      </c>
      <c r="N246" s="1417"/>
      <c r="O246" s="1417"/>
      <c r="P246" s="1417"/>
      <c r="Q246" s="1417"/>
      <c r="R246" s="1417"/>
      <c r="S246" s="1417"/>
      <c r="T246" s="1417"/>
      <c r="U246" s="1417"/>
      <c r="V246" s="1417"/>
      <c r="W246" s="1417"/>
      <c r="X246" s="1417"/>
      <c r="Y246" s="1417"/>
      <c r="Z246" s="1417"/>
      <c r="AA246" s="1417"/>
      <c r="AB246" s="1417"/>
      <c r="AC246" s="1417"/>
      <c r="AD246" s="1417"/>
      <c r="AE246" s="1417"/>
      <c r="AH246" s="1776">
        <v>8.9999999999999993E-3</v>
      </c>
      <c r="AI246" s="1776"/>
      <c r="AJ246" s="1776"/>
      <c r="AK246" s="1776"/>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5" t="s">
        <v>2629</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3" customHeight="1">
      <c r="A248" s="19"/>
      <c r="B248" s="4"/>
      <c r="C248" s="4"/>
      <c r="D248" s="4" t="s">
        <v>90</v>
      </c>
      <c r="E248" s="4"/>
      <c r="F248" s="4"/>
      <c r="M248" s="1782" t="s">
        <v>2630</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7" t="s">
        <v>537</v>
      </c>
      <c r="N249" s="1347"/>
      <c r="O249" s="1347"/>
      <c r="P249" s="1347"/>
      <c r="Q249" s="1347"/>
      <c r="R249" s="1347"/>
      <c r="S249" s="1347"/>
      <c r="T249" s="1347"/>
      <c r="U249" s="205" t="s">
        <v>907</v>
      </c>
      <c r="V249" s="205"/>
      <c r="W249" s="205"/>
      <c r="X249" s="205"/>
      <c r="Y249" s="205"/>
      <c r="Z249" s="205"/>
      <c r="AA249" s="1774" t="s">
        <v>2631</v>
      </c>
      <c r="AB249" s="1774"/>
      <c r="AC249" s="1774"/>
      <c r="AD249" s="1774"/>
      <c r="AE249" s="1774"/>
      <c r="AF249" s="1774"/>
      <c r="AG249" s="1774"/>
      <c r="AH249" s="1774"/>
      <c r="AI249" s="1774"/>
      <c r="AJ249" s="1774"/>
      <c r="AK249" s="177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0" t="s">
        <v>2611</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2633</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7" t="s">
        <v>2622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3" customHeight="1">
      <c r="A253" s="19"/>
      <c r="B253" s="4"/>
      <c r="C253" s="4"/>
      <c r="D253" s="4" t="s">
        <v>581</v>
      </c>
      <c r="E253" s="4"/>
      <c r="M253" s="1417" t="s">
        <v>68</v>
      </c>
      <c r="N253" s="1417"/>
      <c r="O253" s="1417"/>
      <c r="P253" s="1417"/>
      <c r="Q253" s="1417"/>
      <c r="R253" s="1417"/>
      <c r="S253" s="1417"/>
      <c r="T253" s="1417"/>
      <c r="V253" s="33" t="s">
        <v>86</v>
      </c>
      <c r="W253" s="1545" t="s">
        <v>2623</v>
      </c>
      <c r="X253" s="1436"/>
      <c r="Y253" s="4" t="s">
        <v>584</v>
      </c>
      <c r="AC253" s="1417">
        <v>95816</v>
      </c>
      <c r="AD253" s="1417"/>
      <c r="AE253" s="141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76">
        <v>1E-3</v>
      </c>
      <c r="AI254" s="1776"/>
      <c r="AJ254" s="1776"/>
      <c r="AK254" s="1776"/>
      <c r="AL254" s="4"/>
      <c r="AM254" s="4"/>
      <c r="AN254" s="4"/>
      <c r="AO254" s="4"/>
      <c r="AP254" s="4"/>
      <c r="AQ254" s="4"/>
      <c r="AR254" s="4"/>
      <c r="AS254" s="4"/>
      <c r="AT254" s="4"/>
    </row>
    <row r="255" spans="1:67" ht="13" customHeight="1">
      <c r="A255" s="19"/>
      <c r="B255" s="4"/>
      <c r="C255" s="4"/>
      <c r="D255" s="4" t="s">
        <v>88</v>
      </c>
      <c r="E255" s="4"/>
      <c r="F255" s="4"/>
      <c r="M255" s="1345" t="s">
        <v>2624</v>
      </c>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3" customHeight="1">
      <c r="A256" s="19"/>
      <c r="B256" s="4"/>
      <c r="C256" s="4"/>
      <c r="D256" s="4" t="s">
        <v>90</v>
      </c>
      <c r="E256" s="4"/>
      <c r="F256" s="4"/>
      <c r="M256" s="1782" t="s">
        <v>2625</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7" t="s">
        <v>535</v>
      </c>
      <c r="N257" s="1347"/>
      <c r="O257" s="1347"/>
      <c r="P257" s="1347"/>
      <c r="Q257" s="1347"/>
      <c r="R257" s="1347"/>
      <c r="S257" s="1347"/>
      <c r="T257" s="1347"/>
      <c r="U257" s="205" t="s">
        <v>907</v>
      </c>
      <c r="V257" s="205"/>
      <c r="W257" s="205"/>
      <c r="X257" s="205"/>
      <c r="Y257" s="205"/>
      <c r="Z257" s="205"/>
      <c r="AA257" s="1774" t="s">
        <v>2635</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7" t="str">
        <f>IFERROR(BO245,"")</f>
        <v>Joint Venture</v>
      </c>
      <c r="U267" s="1777"/>
      <c r="V267" s="1777"/>
      <c r="W267" s="1777"/>
      <c r="X267" s="1777"/>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7" t="s">
        <v>173</v>
      </c>
      <c r="E270" s="1417"/>
      <c r="F270" s="1417"/>
      <c r="G270" s="1417"/>
      <c r="H270" s="1417"/>
      <c r="J270" t="s">
        <v>279</v>
      </c>
      <c r="X270" s="1690">
        <v>45931</v>
      </c>
      <c r="Y270" s="1690"/>
      <c r="Z270" s="1690"/>
      <c r="AA270" s="1690"/>
      <c r="AB270" s="1690"/>
      <c r="AC270" s="169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0" t="s">
        <v>2635</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2627</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7" t="s">
        <v>2636</v>
      </c>
      <c r="M276" s="1417"/>
      <c r="N276" s="1417"/>
      <c r="O276" s="1417"/>
      <c r="P276" s="1417"/>
      <c r="Q276" s="1417"/>
      <c r="R276" s="1417"/>
      <c r="S276" s="1417"/>
      <c r="U276" s="33" t="s">
        <v>86</v>
      </c>
      <c r="V276" s="1545" t="s">
        <v>2623</v>
      </c>
      <c r="W276" s="1436"/>
      <c r="X276" s="4" t="s">
        <v>584</v>
      </c>
      <c r="AB276" s="1417">
        <v>95112</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2628</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5" t="s">
        <v>2629</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3" customHeight="1">
      <c r="D279" s="4" t="s">
        <v>90</v>
      </c>
      <c r="E279" s="4"/>
      <c r="F279" s="4"/>
      <c r="L279" s="1782" t="s">
        <v>2630</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3" customHeight="1">
      <c r="D280" s="3" t="s">
        <v>624</v>
      </c>
      <c r="E280" s="3"/>
      <c r="F280" s="3"/>
      <c r="G280" s="3"/>
      <c r="H280" s="3"/>
      <c r="I280" s="3"/>
      <c r="L280" s="1545" t="s">
        <v>2637</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1" t="s">
        <v>2639</v>
      </c>
      <c r="I287" s="1371"/>
      <c r="J287" s="1371"/>
      <c r="K287" s="1371"/>
      <c r="L287" s="1371"/>
      <c r="M287" s="1371"/>
      <c r="N287" s="1371"/>
      <c r="O287" s="1371"/>
      <c r="P287" s="1371"/>
      <c r="Q287" s="1371"/>
      <c r="R287" s="1371"/>
      <c r="T287" s="3" t="s">
        <v>568</v>
      </c>
      <c r="V287" s="3"/>
      <c r="W287" s="3"/>
      <c r="X287" s="3"/>
      <c r="Y287" s="3"/>
      <c r="AA287" s="1371" t="s">
        <v>2640</v>
      </c>
      <c r="AB287" s="1371"/>
      <c r="AC287" s="1371"/>
      <c r="AD287" s="1371"/>
      <c r="AE287" s="1371"/>
      <c r="AF287" s="1371"/>
      <c r="AG287" s="1371"/>
      <c r="AH287" s="1371"/>
      <c r="AI287" s="1371"/>
      <c r="AJ287" s="1371"/>
      <c r="AK287" s="1371"/>
    </row>
    <row r="288" spans="1:51" ht="13" customHeight="1">
      <c r="B288" s="3" t="s">
        <v>472</v>
      </c>
      <c r="C288" s="3"/>
      <c r="D288" s="3"/>
      <c r="E288" s="3"/>
      <c r="F288" s="3"/>
      <c r="H288" s="1347" t="s">
        <v>2627</v>
      </c>
      <c r="I288" s="1347"/>
      <c r="J288" s="1347"/>
      <c r="K288" s="1347"/>
      <c r="L288" s="1347"/>
      <c r="M288" s="1347"/>
      <c r="N288" s="1347"/>
      <c r="O288" s="1347"/>
      <c r="P288" s="1347"/>
      <c r="Q288" s="1347"/>
      <c r="R288" s="1347"/>
      <c r="T288" s="3" t="s">
        <v>472</v>
      </c>
      <c r="V288" s="3"/>
      <c r="W288" s="3"/>
      <c r="X288" s="3"/>
      <c r="Y288" s="3"/>
      <c r="AA288" s="1347" t="s">
        <v>2627</v>
      </c>
      <c r="AB288" s="1347"/>
      <c r="AC288" s="1347"/>
      <c r="AD288" s="1347"/>
      <c r="AE288" s="1347"/>
      <c r="AF288" s="1347"/>
      <c r="AG288" s="1347"/>
      <c r="AH288" s="1347"/>
      <c r="AI288" s="1347"/>
      <c r="AJ288" s="1347"/>
      <c r="AK288" s="1347"/>
    </row>
    <row r="289" spans="2:37" ht="13" customHeight="1">
      <c r="B289" s="3" t="s">
        <v>473</v>
      </c>
      <c r="C289" s="3"/>
      <c r="D289" s="3"/>
      <c r="E289" s="3"/>
      <c r="F289" s="3"/>
      <c r="H289" s="1347" t="s">
        <v>2638</v>
      </c>
      <c r="I289" s="1347"/>
      <c r="J289" s="1347"/>
      <c r="K289" s="1347"/>
      <c r="L289" s="1347"/>
      <c r="M289" s="1347"/>
      <c r="N289" s="1347"/>
      <c r="O289" s="1347"/>
      <c r="P289" s="1347"/>
      <c r="Q289" s="1347"/>
      <c r="R289" s="1347"/>
      <c r="T289" s="3" t="s">
        <v>75</v>
      </c>
      <c r="V289" s="3"/>
      <c r="W289" s="3"/>
      <c r="X289" s="3"/>
      <c r="Y289" s="3"/>
      <c r="AA289" s="1347" t="s">
        <v>2638</v>
      </c>
      <c r="AB289" s="1347"/>
      <c r="AC289" s="1347"/>
      <c r="AD289" s="1347"/>
      <c r="AE289" s="1347"/>
      <c r="AF289" s="1347"/>
      <c r="AG289" s="1347"/>
      <c r="AH289" s="1347"/>
      <c r="AI289" s="1347"/>
      <c r="AJ289" s="1347"/>
      <c r="AK289" s="1347"/>
    </row>
    <row r="290" spans="2:37" ht="13" customHeight="1">
      <c r="B290" s="3" t="s">
        <v>87</v>
      </c>
      <c r="C290" s="3"/>
      <c r="D290" s="3"/>
      <c r="E290" s="3"/>
      <c r="F290" s="3"/>
      <c r="H290" s="1347" t="s">
        <v>2628</v>
      </c>
      <c r="I290" s="1347"/>
      <c r="J290" s="1347"/>
      <c r="K290" s="1347"/>
      <c r="L290" s="1347"/>
      <c r="M290" s="1347"/>
      <c r="N290" s="1347"/>
      <c r="O290" s="1347"/>
      <c r="P290" s="1347"/>
      <c r="Q290" s="1347"/>
      <c r="R290" s="1347"/>
      <c r="T290" s="3" t="s">
        <v>87</v>
      </c>
      <c r="V290" s="3"/>
      <c r="W290" s="3"/>
      <c r="X290" s="3"/>
      <c r="Y290" s="3"/>
      <c r="AA290" s="1347" t="s">
        <v>2641</v>
      </c>
      <c r="AB290" s="1347"/>
      <c r="AC290" s="1347"/>
      <c r="AD290" s="1347"/>
      <c r="AE290" s="1347"/>
      <c r="AF290" s="1347"/>
      <c r="AG290" s="1347"/>
      <c r="AH290" s="1347"/>
      <c r="AI290" s="1347"/>
      <c r="AJ290" s="1347"/>
      <c r="AK290" s="1347"/>
    </row>
    <row r="291" spans="2:37" ht="13" customHeight="1">
      <c r="B291" s="3" t="s">
        <v>88</v>
      </c>
      <c r="C291" s="3"/>
      <c r="D291" s="3"/>
      <c r="E291" s="3"/>
      <c r="F291" s="3"/>
      <c r="G291" s="3"/>
      <c r="H291" s="1423" t="s">
        <v>2629</v>
      </c>
      <c r="I291" s="1423"/>
      <c r="J291" s="1423"/>
      <c r="K291" s="1423"/>
      <c r="L291" s="1423"/>
      <c r="M291" s="1423"/>
      <c r="N291" s="4" t="s">
        <v>206</v>
      </c>
      <c r="O291" s="4"/>
      <c r="P291" s="1417"/>
      <c r="Q291" s="1417"/>
      <c r="R291" s="1417"/>
      <c r="S291" s="3"/>
      <c r="T291" s="3" t="s">
        <v>88</v>
      </c>
      <c r="V291" s="3"/>
      <c r="W291" s="3"/>
      <c r="X291" s="3"/>
      <c r="Y291" s="3"/>
      <c r="AA291" s="1423" t="s">
        <v>2642</v>
      </c>
      <c r="AB291" s="1423"/>
      <c r="AC291" s="1423"/>
      <c r="AD291" s="1423"/>
      <c r="AE291" s="1423"/>
      <c r="AF291" s="1423"/>
      <c r="AG291" s="4" t="s">
        <v>206</v>
      </c>
      <c r="AH291" s="4"/>
      <c r="AI291" s="1417"/>
      <c r="AJ291" s="1417"/>
      <c r="AK291" s="1417"/>
    </row>
    <row r="292" spans="2:37" ht="13"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3" customHeight="1">
      <c r="B293" s="3" t="s">
        <v>76</v>
      </c>
      <c r="C293" s="3"/>
      <c r="D293" s="3"/>
      <c r="E293" s="3"/>
      <c r="F293" s="3"/>
      <c r="G293" s="3"/>
      <c r="H293" s="1347" t="s">
        <v>2630</v>
      </c>
      <c r="I293" s="1347"/>
      <c r="J293" s="1347"/>
      <c r="K293" s="1347"/>
      <c r="L293" s="1347"/>
      <c r="M293" s="1347"/>
      <c r="N293" s="1371"/>
      <c r="O293" s="1371"/>
      <c r="P293" s="1371"/>
      <c r="Q293" s="1371"/>
      <c r="R293" s="1371"/>
      <c r="S293" s="3"/>
      <c r="T293" s="3" t="s">
        <v>76</v>
      </c>
      <c r="V293" s="3"/>
      <c r="W293" s="3"/>
      <c r="X293" s="3"/>
      <c r="Y293" s="3"/>
      <c r="AA293" s="1347" t="s">
        <v>2643</v>
      </c>
      <c r="AB293" s="1347"/>
      <c r="AC293" s="1347"/>
      <c r="AD293" s="1347"/>
      <c r="AE293" s="1347"/>
      <c r="AF293" s="1347"/>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1"/>
      <c r="I295" s="1371"/>
      <c r="J295" s="1371"/>
      <c r="K295" s="1371"/>
      <c r="L295" s="1371"/>
      <c r="M295" s="1371"/>
      <c r="N295" s="1371"/>
      <c r="O295" s="1371"/>
      <c r="P295" s="1371"/>
      <c r="Q295" s="1371"/>
      <c r="R295" s="1371"/>
      <c r="T295" s="3" t="s">
        <v>364</v>
      </c>
      <c r="V295" s="3"/>
      <c r="W295" s="3"/>
      <c r="X295" s="3"/>
      <c r="Y295" s="3"/>
      <c r="AA295" s="1371" t="s">
        <v>2640</v>
      </c>
      <c r="AB295" s="1371"/>
      <c r="AC295" s="1371"/>
      <c r="AD295" s="1371"/>
      <c r="AE295" s="1371"/>
      <c r="AF295" s="1371"/>
      <c r="AG295" s="1371"/>
      <c r="AH295" s="1371"/>
      <c r="AI295" s="1371"/>
      <c r="AJ295" s="1371"/>
      <c r="AK295" s="1371"/>
    </row>
    <row r="296" spans="2:37" ht="13" customHeight="1">
      <c r="B296" s="3" t="s">
        <v>472</v>
      </c>
      <c r="C296" s="3"/>
      <c r="D296" s="3"/>
      <c r="E296" s="3"/>
      <c r="F296" s="3"/>
      <c r="H296" s="1347"/>
      <c r="I296" s="1347"/>
      <c r="J296" s="1347"/>
      <c r="K296" s="1347"/>
      <c r="L296" s="1347"/>
      <c r="M296" s="1347"/>
      <c r="N296" s="1347"/>
      <c r="O296" s="1347"/>
      <c r="P296" s="1347"/>
      <c r="Q296" s="1347"/>
      <c r="R296" s="1347"/>
      <c r="T296" s="3" t="s">
        <v>472</v>
      </c>
      <c r="V296" s="3"/>
      <c r="W296" s="3"/>
      <c r="X296" s="3"/>
      <c r="Y296" s="3"/>
      <c r="AA296" s="1347" t="s">
        <v>2627</v>
      </c>
      <c r="AB296" s="1347"/>
      <c r="AC296" s="1347"/>
      <c r="AD296" s="1347"/>
      <c r="AE296" s="1347"/>
      <c r="AF296" s="1347"/>
      <c r="AG296" s="1347"/>
      <c r="AH296" s="1347"/>
      <c r="AI296" s="1347"/>
      <c r="AJ296" s="1347"/>
      <c r="AK296" s="1347"/>
    </row>
    <row r="297" spans="2:37" ht="13" customHeight="1">
      <c r="B297" s="3" t="s">
        <v>473</v>
      </c>
      <c r="C297" s="3"/>
      <c r="D297" s="3"/>
      <c r="E297" s="3"/>
      <c r="F297" s="3"/>
      <c r="H297" s="1347"/>
      <c r="I297" s="1347"/>
      <c r="J297" s="1347"/>
      <c r="K297" s="1347"/>
      <c r="L297" s="1347"/>
      <c r="M297" s="1347"/>
      <c r="N297" s="1347"/>
      <c r="O297" s="1347"/>
      <c r="P297" s="1347"/>
      <c r="Q297" s="1347"/>
      <c r="R297" s="1347"/>
      <c r="T297" s="3" t="s">
        <v>75</v>
      </c>
      <c r="V297" s="3"/>
      <c r="W297" s="3"/>
      <c r="X297" s="3"/>
      <c r="Y297" s="3"/>
      <c r="AA297" s="1347" t="s">
        <v>2638</v>
      </c>
      <c r="AB297" s="1347"/>
      <c r="AC297" s="1347"/>
      <c r="AD297" s="1347"/>
      <c r="AE297" s="1347"/>
      <c r="AF297" s="1347"/>
      <c r="AG297" s="1347"/>
      <c r="AH297" s="1347"/>
      <c r="AI297" s="1347"/>
      <c r="AJ297" s="1347"/>
      <c r="AK297" s="1347"/>
    </row>
    <row r="298" spans="2:37" ht="13" customHeight="1">
      <c r="B298" s="3" t="s">
        <v>87</v>
      </c>
      <c r="C298" s="3"/>
      <c r="D298" s="3"/>
      <c r="E298" s="3"/>
      <c r="F298" s="3"/>
      <c r="H298" s="1347"/>
      <c r="I298" s="1347"/>
      <c r="J298" s="1347"/>
      <c r="K298" s="1347"/>
      <c r="L298" s="1347"/>
      <c r="M298" s="1347"/>
      <c r="N298" s="1347"/>
      <c r="O298" s="1347"/>
      <c r="P298" s="1347"/>
      <c r="Q298" s="1347"/>
      <c r="R298" s="1347"/>
      <c r="T298" s="3" t="s">
        <v>87</v>
      </c>
      <c r="V298" s="3"/>
      <c r="W298" s="3"/>
      <c r="X298" s="3"/>
      <c r="Y298" s="3"/>
      <c r="AA298" s="1347" t="s">
        <v>2644</v>
      </c>
      <c r="AB298" s="1347"/>
      <c r="AC298" s="1347"/>
      <c r="AD298" s="1347"/>
      <c r="AE298" s="1347"/>
      <c r="AF298" s="1347"/>
      <c r="AG298" s="1347"/>
      <c r="AH298" s="1347"/>
      <c r="AI298" s="1347"/>
      <c r="AJ298" s="1347"/>
      <c r="AK298" s="1347"/>
    </row>
    <row r="299" spans="2:37" ht="13" customHeight="1">
      <c r="B299" s="3" t="s">
        <v>88</v>
      </c>
      <c r="C299" s="3"/>
      <c r="D299" s="3"/>
      <c r="E299" s="3"/>
      <c r="F299" s="3"/>
      <c r="G299" s="3"/>
      <c r="H299" s="1423"/>
      <c r="I299" s="1423"/>
      <c r="J299" s="1423"/>
      <c r="K299" s="1423"/>
      <c r="L299" s="1423"/>
      <c r="M299" s="1423"/>
      <c r="N299" s="4" t="s">
        <v>206</v>
      </c>
      <c r="O299" s="4"/>
      <c r="P299" s="1417"/>
      <c r="Q299" s="1417"/>
      <c r="R299" s="1417"/>
      <c r="S299" s="3"/>
      <c r="T299" s="3" t="s">
        <v>88</v>
      </c>
      <c r="V299" s="3"/>
      <c r="W299" s="3"/>
      <c r="X299" s="3"/>
      <c r="Y299" s="3"/>
      <c r="AA299" s="1423" t="s">
        <v>2645</v>
      </c>
      <c r="AB299" s="1423"/>
      <c r="AC299" s="1423"/>
      <c r="AD299" s="1423"/>
      <c r="AE299" s="1423"/>
      <c r="AF299" s="1423"/>
      <c r="AG299" s="4" t="s">
        <v>206</v>
      </c>
      <c r="AH299" s="4"/>
      <c r="AI299" s="1417"/>
      <c r="AJ299" s="1417"/>
      <c r="AK299" s="1417"/>
    </row>
    <row r="300" spans="2:37" ht="13"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3" customHeight="1">
      <c r="B301" s="3" t="s">
        <v>76</v>
      </c>
      <c r="C301" s="3"/>
      <c r="D301" s="3"/>
      <c r="E301" s="3"/>
      <c r="F301" s="3"/>
      <c r="G301" s="3"/>
      <c r="H301" s="1347"/>
      <c r="I301" s="1347"/>
      <c r="J301" s="1347"/>
      <c r="K301" s="1347"/>
      <c r="L301" s="1347"/>
      <c r="M301" s="1347"/>
      <c r="N301" s="1371"/>
      <c r="O301" s="1371"/>
      <c r="P301" s="1371"/>
      <c r="Q301" s="1371"/>
      <c r="R301" s="1371"/>
      <c r="S301" s="3"/>
      <c r="T301" s="3" t="s">
        <v>76</v>
      </c>
      <c r="V301" s="3"/>
      <c r="W301" s="3"/>
      <c r="X301" s="3"/>
      <c r="Y301" s="3"/>
      <c r="AA301" s="1347" t="s">
        <v>2646</v>
      </c>
      <c r="AB301" s="1347"/>
      <c r="AC301" s="1347"/>
      <c r="AD301" s="1347"/>
      <c r="AE301" s="1347"/>
      <c r="AF301" s="1347"/>
      <c r="AG301" s="1371"/>
      <c r="AH301" s="1371"/>
      <c r="AI301" s="1371"/>
      <c r="AJ301" s="1371"/>
      <c r="AK301" s="1371"/>
    </row>
    <row r="302" spans="2:37" ht="13" customHeight="1"/>
    <row r="303" spans="2:37" ht="13" customHeight="1">
      <c r="B303" s="3" t="s">
        <v>77</v>
      </c>
      <c r="C303" s="3"/>
      <c r="D303" s="3"/>
      <c r="E303" s="3"/>
      <c r="F303" s="3"/>
      <c r="H303" s="1371" t="s">
        <v>2647</v>
      </c>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3" customHeight="1">
      <c r="B304" s="3" t="s">
        <v>472</v>
      </c>
      <c r="C304" s="3"/>
      <c r="D304" s="3"/>
      <c r="E304" s="3"/>
      <c r="F304" s="3"/>
      <c r="H304" s="1347" t="s">
        <v>2648</v>
      </c>
      <c r="I304" s="1347"/>
      <c r="J304" s="1347"/>
      <c r="K304" s="1347"/>
      <c r="L304" s="1347"/>
      <c r="M304" s="1347"/>
      <c r="N304" s="1347"/>
      <c r="O304" s="1347"/>
      <c r="P304" s="1347"/>
      <c r="Q304" s="1347"/>
      <c r="R304" s="1347"/>
      <c r="T304" s="3" t="s">
        <v>472</v>
      </c>
      <c r="V304" s="3"/>
      <c r="W304" s="3"/>
      <c r="X304" s="3"/>
      <c r="Y304" s="3"/>
      <c r="AA304" s="1347"/>
      <c r="AB304" s="1347"/>
      <c r="AC304" s="1347"/>
      <c r="AD304" s="1347"/>
      <c r="AE304" s="1347"/>
      <c r="AF304" s="1347"/>
      <c r="AG304" s="1347"/>
      <c r="AH304" s="1347"/>
      <c r="AI304" s="1347"/>
      <c r="AJ304" s="1347"/>
      <c r="AK304" s="1347"/>
    </row>
    <row r="305" spans="2:37" ht="13" customHeight="1">
      <c r="B305" s="3" t="s">
        <v>473</v>
      </c>
      <c r="C305" s="3"/>
      <c r="D305" s="3"/>
      <c r="E305" s="3"/>
      <c r="F305" s="3"/>
      <c r="H305" s="1347" t="s">
        <v>2649</v>
      </c>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3" customHeight="1">
      <c r="B306" s="3" t="s">
        <v>87</v>
      </c>
      <c r="C306" s="3"/>
      <c r="D306" s="3"/>
      <c r="E306" s="3"/>
      <c r="F306" s="3"/>
      <c r="H306" s="1347" t="s">
        <v>2650</v>
      </c>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3" customHeight="1">
      <c r="B307" s="3" t="s">
        <v>88</v>
      </c>
      <c r="C307" s="3"/>
      <c r="D307" s="3"/>
      <c r="E307" s="3"/>
      <c r="F307" s="3"/>
      <c r="G307" s="3"/>
      <c r="H307" s="1423" t="s">
        <v>2651</v>
      </c>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3"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3" customHeight="1">
      <c r="B309" s="3" t="s">
        <v>76</v>
      </c>
      <c r="C309" s="3"/>
      <c r="D309" s="3"/>
      <c r="E309" s="3"/>
      <c r="F309" s="3"/>
      <c r="G309" s="3"/>
      <c r="H309" s="1347" t="s">
        <v>2652</v>
      </c>
      <c r="I309" s="1347"/>
      <c r="J309" s="1347"/>
      <c r="K309" s="1347"/>
      <c r="L309" s="1347"/>
      <c r="M309" s="1347"/>
      <c r="N309" s="1371"/>
      <c r="O309" s="1371"/>
      <c r="P309" s="1371"/>
      <c r="Q309" s="1371"/>
      <c r="R309" s="1371"/>
      <c r="S309" s="3"/>
      <c r="T309" s="3" t="s">
        <v>76</v>
      </c>
      <c r="V309" s="3"/>
      <c r="W309" s="3"/>
      <c r="X309" s="3"/>
      <c r="Y309" s="3"/>
      <c r="AA309" s="1347"/>
      <c r="AB309" s="1347"/>
      <c r="AC309" s="1347"/>
      <c r="AD309" s="1347"/>
      <c r="AE309" s="1347"/>
      <c r="AF309" s="1347"/>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
        <v>2647</v>
      </c>
      <c r="I311" s="1371"/>
      <c r="J311" s="1371"/>
      <c r="K311" s="1371"/>
      <c r="L311" s="1371"/>
      <c r="M311" s="1371"/>
      <c r="N311" s="1371"/>
      <c r="O311" s="1371"/>
      <c r="P311" s="1371"/>
      <c r="Q311" s="1371"/>
      <c r="R311" s="1371"/>
      <c r="S311" s="3"/>
      <c r="T311" s="3" t="s">
        <v>365</v>
      </c>
      <c r="V311" s="3"/>
      <c r="W311" s="3"/>
      <c r="X311" s="3"/>
      <c r="Y311" s="3"/>
      <c r="AA311" s="1371" t="s">
        <v>2653</v>
      </c>
      <c r="AB311" s="1371"/>
      <c r="AC311" s="1371"/>
      <c r="AD311" s="1371"/>
      <c r="AE311" s="1371"/>
      <c r="AF311" s="1371"/>
      <c r="AG311" s="1371"/>
      <c r="AH311" s="1371"/>
      <c r="AI311" s="1371"/>
      <c r="AJ311" s="1371"/>
      <c r="AK311" s="1371"/>
    </row>
    <row r="312" spans="2:37" ht="13" customHeight="1">
      <c r="B312" s="3" t="s">
        <v>472</v>
      </c>
      <c r="C312" s="3"/>
      <c r="D312" s="3"/>
      <c r="E312" s="3"/>
      <c r="F312" s="3"/>
      <c r="H312" s="1347" t="s">
        <v>2648</v>
      </c>
      <c r="I312" s="1347"/>
      <c r="J312" s="1347"/>
      <c r="K312" s="1347"/>
      <c r="L312" s="1347"/>
      <c r="M312" s="1347"/>
      <c r="N312" s="1347"/>
      <c r="O312" s="1347"/>
      <c r="P312" s="1347"/>
      <c r="Q312" s="1347"/>
      <c r="R312" s="1347"/>
      <c r="S312" s="3"/>
      <c r="T312" s="3" t="s">
        <v>472</v>
      </c>
      <c r="V312" s="3"/>
      <c r="W312" s="3"/>
      <c r="X312" s="3"/>
      <c r="Y312" s="3"/>
      <c r="AA312" s="1347" t="s">
        <v>2654</v>
      </c>
      <c r="AB312" s="1347"/>
      <c r="AC312" s="1347"/>
      <c r="AD312" s="1347"/>
      <c r="AE312" s="1347"/>
      <c r="AF312" s="1347"/>
      <c r="AG312" s="1347"/>
      <c r="AH312" s="1347"/>
      <c r="AI312" s="1347"/>
      <c r="AJ312" s="1347"/>
      <c r="AK312" s="1347"/>
    </row>
    <row r="313" spans="2:37" ht="13" customHeight="1">
      <c r="B313" s="3" t="s">
        <v>473</v>
      </c>
      <c r="C313" s="3"/>
      <c r="D313" s="3"/>
      <c r="E313" s="3"/>
      <c r="F313" s="3"/>
      <c r="H313" s="1347" t="s">
        <v>2649</v>
      </c>
      <c r="I313" s="1347"/>
      <c r="J313" s="1347"/>
      <c r="K313" s="1347"/>
      <c r="L313" s="1347"/>
      <c r="M313" s="1347"/>
      <c r="N313" s="1347"/>
      <c r="O313" s="1347"/>
      <c r="P313" s="1347"/>
      <c r="Q313" s="1347"/>
      <c r="R313" s="1347"/>
      <c r="S313" s="3"/>
      <c r="T313" s="3" t="s">
        <v>75</v>
      </c>
      <c r="V313" s="3"/>
      <c r="W313" s="3"/>
      <c r="X313" s="3"/>
      <c r="Y313" s="3"/>
      <c r="AA313" s="1347" t="s">
        <v>2655</v>
      </c>
      <c r="AB313" s="1347"/>
      <c r="AC313" s="1347"/>
      <c r="AD313" s="1347"/>
      <c r="AE313" s="1347"/>
      <c r="AF313" s="1347"/>
      <c r="AG313" s="1347"/>
      <c r="AH313" s="1347"/>
      <c r="AI313" s="1347"/>
      <c r="AJ313" s="1347"/>
      <c r="AK313" s="1347"/>
    </row>
    <row r="314" spans="2:37" ht="13" customHeight="1">
      <c r="B314" s="3" t="s">
        <v>87</v>
      </c>
      <c r="C314" s="3"/>
      <c r="D314" s="3"/>
      <c r="E314" s="3"/>
      <c r="F314" s="3"/>
      <c r="H314" s="1347" t="s">
        <v>2650</v>
      </c>
      <c r="I314" s="1347"/>
      <c r="J314" s="1347"/>
      <c r="K314" s="1347"/>
      <c r="L314" s="1347"/>
      <c r="M314" s="1347"/>
      <c r="N314" s="1347"/>
      <c r="O314" s="1347"/>
      <c r="P314" s="1347"/>
      <c r="Q314" s="1347"/>
      <c r="R314" s="1347"/>
      <c r="S314" s="3"/>
      <c r="T314" s="3" t="s">
        <v>87</v>
      </c>
      <c r="V314" s="3"/>
      <c r="W314" s="3"/>
      <c r="X314" s="3"/>
      <c r="Y314" s="3"/>
      <c r="AA314" s="1347" t="s">
        <v>2656</v>
      </c>
      <c r="AB314" s="1347"/>
      <c r="AC314" s="1347"/>
      <c r="AD314" s="1347"/>
      <c r="AE314" s="1347"/>
      <c r="AF314" s="1347"/>
      <c r="AG314" s="1347"/>
      <c r="AH314" s="1347"/>
      <c r="AI314" s="1347"/>
      <c r="AJ314" s="1347"/>
      <c r="AK314" s="1347"/>
    </row>
    <row r="315" spans="2:37" ht="13" customHeight="1">
      <c r="B315" s="3" t="s">
        <v>88</v>
      </c>
      <c r="C315" s="3"/>
      <c r="D315" s="3"/>
      <c r="E315" s="3"/>
      <c r="F315" s="3"/>
      <c r="G315" s="3"/>
      <c r="H315" s="1423" t="s">
        <v>2651</v>
      </c>
      <c r="I315" s="1423"/>
      <c r="J315" s="1423"/>
      <c r="K315" s="1423"/>
      <c r="L315" s="1423"/>
      <c r="M315" s="1423"/>
      <c r="N315" s="4" t="s">
        <v>206</v>
      </c>
      <c r="O315" s="4"/>
      <c r="P315" s="1417"/>
      <c r="Q315" s="1417"/>
      <c r="R315" s="1417"/>
      <c r="S315" s="3"/>
      <c r="T315" s="3" t="s">
        <v>88</v>
      </c>
      <c r="V315" s="3"/>
      <c r="W315" s="3"/>
      <c r="X315" s="3"/>
      <c r="Y315" s="3"/>
      <c r="AA315" s="1423" t="s">
        <v>2657</v>
      </c>
      <c r="AB315" s="1423"/>
      <c r="AC315" s="1423"/>
      <c r="AD315" s="1423"/>
      <c r="AE315" s="1423"/>
      <c r="AF315" s="1423"/>
      <c r="AG315" s="4" t="s">
        <v>206</v>
      </c>
      <c r="AH315" s="4"/>
      <c r="AI315" s="1417"/>
      <c r="AJ315" s="1417"/>
      <c r="AK315" s="1417"/>
    </row>
    <row r="316" spans="2:37" ht="13"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3" customHeight="1">
      <c r="B317" s="3" t="s">
        <v>76</v>
      </c>
      <c r="C317" s="3"/>
      <c r="D317" s="3"/>
      <c r="E317" s="3"/>
      <c r="F317" s="3"/>
      <c r="G317" s="3"/>
      <c r="H317" s="1347" t="s">
        <v>2652</v>
      </c>
      <c r="I317" s="1347"/>
      <c r="J317" s="1347"/>
      <c r="K317" s="1347"/>
      <c r="L317" s="1347"/>
      <c r="M317" s="1347"/>
      <c r="N317" s="1371"/>
      <c r="O317" s="1371"/>
      <c r="P317" s="1371"/>
      <c r="Q317" s="1371"/>
      <c r="R317" s="1371"/>
      <c r="S317" s="3"/>
      <c r="T317" s="3" t="s">
        <v>76</v>
      </c>
      <c r="V317" s="3"/>
      <c r="W317" s="3"/>
      <c r="X317" s="3"/>
      <c r="Y317" s="3"/>
      <c r="AA317" s="1347" t="s">
        <v>2658</v>
      </c>
      <c r="AB317" s="1347"/>
      <c r="AC317" s="1347"/>
      <c r="AD317" s="1347"/>
      <c r="AE317" s="1347"/>
      <c r="AF317" s="1347"/>
      <c r="AG317" s="1371"/>
      <c r="AH317" s="1371"/>
      <c r="AI317" s="1371"/>
      <c r="AJ317" s="1371"/>
      <c r="AK317" s="1371"/>
    </row>
    <row r="318" spans="2:37" ht="13" customHeight="1"/>
    <row r="319" spans="2:37" ht="13"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2659</v>
      </c>
      <c r="AB319" s="1371"/>
      <c r="AC319" s="1371"/>
      <c r="AD319" s="1371"/>
      <c r="AE319" s="1371"/>
      <c r="AF319" s="1371"/>
      <c r="AG319" s="1371"/>
      <c r="AH319" s="1371"/>
      <c r="AI319" s="1371"/>
      <c r="AJ319" s="1371"/>
      <c r="AK319" s="1371"/>
    </row>
    <row r="320" spans="2:37" ht="13" customHeight="1">
      <c r="B320" s="3" t="s">
        <v>472</v>
      </c>
      <c r="C320" s="3"/>
      <c r="D320" s="3"/>
      <c r="E320" s="3"/>
      <c r="F320" s="3"/>
      <c r="H320" s="1347"/>
      <c r="I320" s="1347"/>
      <c r="J320" s="1347"/>
      <c r="K320" s="1347"/>
      <c r="L320" s="1347"/>
      <c r="M320" s="1347"/>
      <c r="N320" s="1347"/>
      <c r="O320" s="1347"/>
      <c r="P320" s="1347"/>
      <c r="Q320" s="1347"/>
      <c r="R320" s="1347"/>
      <c r="T320" s="3" t="s">
        <v>472</v>
      </c>
      <c r="V320" s="3"/>
      <c r="W320" s="3"/>
      <c r="X320" s="3"/>
      <c r="Y320" s="3"/>
      <c r="AA320" s="1347" t="s">
        <v>2660</v>
      </c>
      <c r="AB320" s="1347"/>
      <c r="AC320" s="1347"/>
      <c r="AD320" s="1347"/>
      <c r="AE320" s="1347"/>
      <c r="AF320" s="1347"/>
      <c r="AG320" s="1347"/>
      <c r="AH320" s="1347"/>
      <c r="AI320" s="1347"/>
      <c r="AJ320" s="1347"/>
      <c r="AK320" s="1347"/>
    </row>
    <row r="321" spans="2:37" ht="13" customHeight="1">
      <c r="B321" s="3" t="s">
        <v>473</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t="s">
        <v>2661</v>
      </c>
      <c r="AB321" s="1347"/>
      <c r="AC321" s="1347"/>
      <c r="AD321" s="1347"/>
      <c r="AE321" s="1347"/>
      <c r="AF321" s="1347"/>
      <c r="AG321" s="1347"/>
      <c r="AH321" s="1347"/>
      <c r="AI321" s="1347"/>
      <c r="AJ321" s="1347"/>
      <c r="AK321" s="1347"/>
    </row>
    <row r="322" spans="2:37" ht="13"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t="s">
        <v>2662</v>
      </c>
      <c r="AB322" s="1347"/>
      <c r="AC322" s="1347"/>
      <c r="AD322" s="1347"/>
      <c r="AE322" s="1347"/>
      <c r="AF322" s="1347"/>
      <c r="AG322" s="1347"/>
      <c r="AH322" s="1347"/>
      <c r="AI322" s="1347"/>
      <c r="AJ322" s="1347"/>
      <c r="AK322" s="1347"/>
    </row>
    <row r="323" spans="2:37" ht="13"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2663</v>
      </c>
      <c r="AB323" s="1423"/>
      <c r="AC323" s="1423"/>
      <c r="AD323" s="1423"/>
      <c r="AE323" s="1423"/>
      <c r="AF323" s="1423"/>
      <c r="AG323" s="4" t="s">
        <v>206</v>
      </c>
      <c r="AH323" s="4"/>
      <c r="AI323" s="1417"/>
      <c r="AJ323" s="1417"/>
      <c r="AK323" s="1417"/>
    </row>
    <row r="324" spans="2:37" ht="13"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3" customHeight="1">
      <c r="B325" s="3" t="s">
        <v>76</v>
      </c>
      <c r="C325" s="3"/>
      <c r="D325" s="3"/>
      <c r="E325" s="3"/>
      <c r="F325" s="3"/>
      <c r="G325" s="3"/>
      <c r="H325" s="1347"/>
      <c r="I325" s="1347"/>
      <c r="J325" s="1347"/>
      <c r="K325" s="1347"/>
      <c r="L325" s="1347"/>
      <c r="M325" s="1347"/>
      <c r="N325" s="1371"/>
      <c r="O325" s="1371"/>
      <c r="P325" s="1371"/>
      <c r="Q325" s="1371"/>
      <c r="R325" s="1371"/>
      <c r="S325" s="3"/>
      <c r="T325" s="3" t="s">
        <v>76</v>
      </c>
      <c r="V325" s="3"/>
      <c r="W325" s="3"/>
      <c r="X325" s="3"/>
      <c r="Y325" s="3"/>
      <c r="AA325" s="1347" t="s">
        <v>2664</v>
      </c>
      <c r="AB325" s="1347"/>
      <c r="AC325" s="1347"/>
      <c r="AD325" s="1347"/>
      <c r="AE325" s="1347"/>
      <c r="AF325" s="1347"/>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1" t="s">
        <v>2659</v>
      </c>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3" customHeight="1">
      <c r="B328" s="3" t="s">
        <v>472</v>
      </c>
      <c r="C328" s="3"/>
      <c r="D328" s="3"/>
      <c r="E328" s="3"/>
      <c r="F328" s="3"/>
      <c r="H328" s="1347" t="s">
        <v>2660</v>
      </c>
      <c r="I328" s="1347"/>
      <c r="J328" s="1347"/>
      <c r="K328" s="1347"/>
      <c r="L328" s="1347"/>
      <c r="M328" s="1347"/>
      <c r="N328" s="1347"/>
      <c r="O328" s="1347"/>
      <c r="P328" s="1347"/>
      <c r="Q328" s="1347"/>
      <c r="R328" s="1347"/>
      <c r="T328" s="3" t="s">
        <v>472</v>
      </c>
      <c r="V328" s="3"/>
      <c r="W328" s="3"/>
      <c r="X328" s="3"/>
      <c r="Y328" s="3"/>
      <c r="AA328" s="1347"/>
      <c r="AB328" s="1347"/>
      <c r="AC328" s="1347"/>
      <c r="AD328" s="1347"/>
      <c r="AE328" s="1347"/>
      <c r="AF328" s="1347"/>
      <c r="AG328" s="1347"/>
      <c r="AH328" s="1347"/>
      <c r="AI328" s="1347"/>
      <c r="AJ328" s="1347"/>
      <c r="AK328" s="1347"/>
    </row>
    <row r="329" spans="2:37" ht="13" customHeight="1">
      <c r="B329" s="3" t="s">
        <v>473</v>
      </c>
      <c r="C329" s="3"/>
      <c r="D329" s="3"/>
      <c r="E329" s="3"/>
      <c r="F329" s="3"/>
      <c r="H329" s="1347" t="s">
        <v>2661</v>
      </c>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3" customHeight="1">
      <c r="B330" s="3" t="s">
        <v>87</v>
      </c>
      <c r="C330" s="3"/>
      <c r="D330" s="3"/>
      <c r="E330" s="3"/>
      <c r="F330" s="3"/>
      <c r="H330" s="1347" t="s">
        <v>2662</v>
      </c>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3" customHeight="1">
      <c r="B331" s="3" t="s">
        <v>88</v>
      </c>
      <c r="C331" s="3"/>
      <c r="D331" s="3"/>
      <c r="E331" s="3"/>
      <c r="F331" s="3"/>
      <c r="G331" s="3"/>
      <c r="H331" s="1423" t="s">
        <v>2663</v>
      </c>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3"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3" customHeight="1">
      <c r="B333" s="3" t="s">
        <v>76</v>
      </c>
      <c r="C333" s="3"/>
      <c r="D333" s="3"/>
      <c r="E333" s="3"/>
      <c r="F333" s="3"/>
      <c r="G333" s="3"/>
      <c r="H333" s="1347" t="s">
        <v>2664</v>
      </c>
      <c r="I333" s="1347"/>
      <c r="J333" s="1347"/>
      <c r="K333" s="1347"/>
      <c r="L333" s="1347"/>
      <c r="M333" s="1347"/>
      <c r="N333" s="1371"/>
      <c r="O333" s="1371"/>
      <c r="P333" s="1371"/>
      <c r="Q333" s="1371"/>
      <c r="R333" s="1371"/>
      <c r="S333" s="3"/>
      <c r="T333" s="3" t="s">
        <v>76</v>
      </c>
      <c r="V333" s="3"/>
      <c r="W333" s="3"/>
      <c r="X333" s="3"/>
      <c r="Y333" s="3"/>
      <c r="AA333" s="1347"/>
      <c r="AB333" s="1347"/>
      <c r="AC333" s="1347"/>
      <c r="AD333" s="1347"/>
      <c r="AE333" s="1347"/>
      <c r="AF333" s="1347"/>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1" t="s">
        <v>2665</v>
      </c>
      <c r="I335" s="1371"/>
      <c r="J335" s="1371"/>
      <c r="K335" s="1371"/>
      <c r="L335" s="1371"/>
      <c r="M335" s="1371"/>
      <c r="N335" s="1371"/>
      <c r="O335" s="1371"/>
      <c r="P335" s="1371"/>
      <c r="Q335" s="1371"/>
      <c r="R335" s="1371"/>
      <c r="T335" s="205" t="s">
        <v>887</v>
      </c>
      <c r="V335" s="3"/>
      <c r="W335" s="3"/>
      <c r="X335" s="3"/>
      <c r="Y335" s="3"/>
      <c r="AA335" s="1371" t="s">
        <v>2671</v>
      </c>
      <c r="AB335" s="1371"/>
      <c r="AC335" s="1371"/>
      <c r="AD335" s="1371"/>
      <c r="AE335" s="1371"/>
      <c r="AF335" s="1371"/>
      <c r="AG335" s="1371"/>
      <c r="AH335" s="1371"/>
      <c r="AI335" s="1371"/>
      <c r="AJ335" s="1371"/>
      <c r="AK335" s="1371"/>
    </row>
    <row r="336" spans="2:37" ht="13" customHeight="1">
      <c r="B336" s="3" t="s">
        <v>472</v>
      </c>
      <c r="C336" s="3"/>
      <c r="D336" s="3"/>
      <c r="E336" s="3"/>
      <c r="F336" s="3"/>
      <c r="H336" s="1347" t="s">
        <v>2666</v>
      </c>
      <c r="I336" s="1347"/>
      <c r="J336" s="1347"/>
      <c r="K336" s="1347"/>
      <c r="L336" s="1347"/>
      <c r="M336" s="1347"/>
      <c r="N336" s="1347"/>
      <c r="O336" s="1347"/>
      <c r="P336" s="1347"/>
      <c r="Q336" s="1347"/>
      <c r="R336" s="1347"/>
      <c r="T336" s="3" t="s">
        <v>472</v>
      </c>
      <c r="V336" s="3"/>
      <c r="W336" s="3"/>
      <c r="X336" s="3"/>
      <c r="Y336" s="3"/>
      <c r="AA336" s="1347" t="s">
        <v>2672</v>
      </c>
      <c r="AB336" s="1347"/>
      <c r="AC336" s="1347"/>
      <c r="AD336" s="1347"/>
      <c r="AE336" s="1347"/>
      <c r="AF336" s="1347"/>
      <c r="AG336" s="1347"/>
      <c r="AH336" s="1347"/>
      <c r="AI336" s="1347"/>
      <c r="AJ336" s="1347"/>
      <c r="AK336" s="1347"/>
    </row>
    <row r="337" spans="1:66" ht="13" customHeight="1">
      <c r="B337" s="3" t="s">
        <v>75</v>
      </c>
      <c r="C337" s="3"/>
      <c r="D337" s="3"/>
      <c r="E337" s="3"/>
      <c r="F337" s="3"/>
      <c r="H337" s="1347" t="s">
        <v>2667</v>
      </c>
      <c r="I337" s="1347"/>
      <c r="J337" s="1347"/>
      <c r="K337" s="1347"/>
      <c r="L337" s="1347"/>
      <c r="M337" s="1347"/>
      <c r="N337" s="1347"/>
      <c r="O337" s="1347"/>
      <c r="P337" s="1347"/>
      <c r="Q337" s="1347"/>
      <c r="R337" s="1347"/>
      <c r="T337" s="3" t="s">
        <v>75</v>
      </c>
      <c r="V337" s="3"/>
      <c r="W337" s="3"/>
      <c r="X337" s="3"/>
      <c r="Y337" s="3"/>
      <c r="AA337" s="1347" t="s">
        <v>2673</v>
      </c>
      <c r="AB337" s="1347"/>
      <c r="AC337" s="1347"/>
      <c r="AD337" s="1347"/>
      <c r="AE337" s="1347"/>
      <c r="AF337" s="1347"/>
      <c r="AG337" s="1347"/>
      <c r="AH337" s="1347"/>
      <c r="AI337" s="1347"/>
      <c r="AJ337" s="1347"/>
      <c r="AK337" s="1347"/>
    </row>
    <row r="338" spans="1:66" ht="13" customHeight="1">
      <c r="B338" s="3" t="s">
        <v>87</v>
      </c>
      <c r="C338" s="3"/>
      <c r="D338" s="3"/>
      <c r="E338" s="3"/>
      <c r="F338" s="3"/>
      <c r="G338" s="3"/>
      <c r="H338" s="1347" t="s">
        <v>2668</v>
      </c>
      <c r="I338" s="1347"/>
      <c r="J338" s="1347"/>
      <c r="K338" s="1347"/>
      <c r="L338" s="1347"/>
      <c r="M338" s="1347"/>
      <c r="N338" s="1347"/>
      <c r="O338" s="1347"/>
      <c r="P338" s="1347"/>
      <c r="Q338" s="1347"/>
      <c r="R338" s="1347"/>
      <c r="T338" s="3" t="s">
        <v>87</v>
      </c>
      <c r="V338" s="3"/>
      <c r="W338" s="3"/>
      <c r="X338" s="3"/>
      <c r="Y338" s="3"/>
      <c r="AA338" s="1347" t="s">
        <v>2675</v>
      </c>
      <c r="AB338" s="1347"/>
      <c r="AC338" s="1347"/>
      <c r="AD338" s="1347"/>
      <c r="AE338" s="1347"/>
      <c r="AF338" s="1347"/>
      <c r="AG338" s="1347"/>
      <c r="AH338" s="1347"/>
      <c r="AI338" s="1347"/>
      <c r="AJ338" s="1347"/>
      <c r="AK338" s="1347"/>
    </row>
    <row r="339" spans="1:66" ht="13" customHeight="1">
      <c r="B339" s="3" t="s">
        <v>88</v>
      </c>
      <c r="C339" s="3"/>
      <c r="D339" s="3"/>
      <c r="E339" s="3"/>
      <c r="F339" s="3"/>
      <c r="G339" s="3"/>
      <c r="H339" s="1423" t="s">
        <v>2669</v>
      </c>
      <c r="I339" s="1423"/>
      <c r="J339" s="1423"/>
      <c r="K339" s="1423"/>
      <c r="L339" s="1423"/>
      <c r="M339" s="1423"/>
      <c r="N339" s="4" t="s">
        <v>206</v>
      </c>
      <c r="O339" s="4"/>
      <c r="P339" s="1417"/>
      <c r="Q339" s="1417"/>
      <c r="R339" s="1417"/>
      <c r="S339" s="3"/>
      <c r="T339" s="3" t="s">
        <v>88</v>
      </c>
      <c r="V339" s="3"/>
      <c r="W339" s="3"/>
      <c r="X339" s="3"/>
      <c r="Y339" s="3"/>
      <c r="AA339" s="1423" t="s">
        <v>2674</v>
      </c>
      <c r="AB339" s="1423"/>
      <c r="AC339" s="1423"/>
      <c r="AD339" s="1423"/>
      <c r="AE339" s="1423"/>
      <c r="AF339" s="1423"/>
      <c r="AG339" s="4" t="s">
        <v>206</v>
      </c>
      <c r="AH339" s="4"/>
      <c r="AI339" s="1417"/>
      <c r="AJ339" s="1417"/>
      <c r="AK339" s="1417"/>
    </row>
    <row r="340" spans="1:66" ht="13"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3" customHeight="1">
      <c r="B341" s="3" t="s">
        <v>76</v>
      </c>
      <c r="C341" s="3"/>
      <c r="D341" s="3"/>
      <c r="E341" s="3"/>
      <c r="F341" s="3"/>
      <c r="G341" s="3"/>
      <c r="H341" s="1347" t="s">
        <v>2670</v>
      </c>
      <c r="I341" s="1347"/>
      <c r="J341" s="1347"/>
      <c r="K341" s="1347"/>
      <c r="L341" s="1347"/>
      <c r="M341" s="1347"/>
      <c r="N341" s="1371"/>
      <c r="O341" s="1371"/>
      <c r="P341" s="1371"/>
      <c r="Q341" s="1371"/>
      <c r="R341" s="1371"/>
      <c r="S341" s="3"/>
      <c r="T341" s="3" t="s">
        <v>76</v>
      </c>
      <c r="V341" s="3"/>
      <c r="W341" s="3"/>
      <c r="X341" s="3"/>
      <c r="Y341" s="3"/>
      <c r="AA341" s="1347" t="s">
        <v>2676</v>
      </c>
      <c r="AB341" s="1347"/>
      <c r="AC341" s="1347"/>
      <c r="AD341" s="1347"/>
      <c r="AE341" s="1347"/>
      <c r="AF341" s="1347"/>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3"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3"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3"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3"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3"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1" t="s">
        <v>546</v>
      </c>
      <c r="N355" s="1331"/>
      <c r="P355" t="s">
        <v>1651</v>
      </c>
      <c r="AJ355" s="1331" t="s">
        <v>670</v>
      </c>
      <c r="AK355" s="1331"/>
    </row>
    <row r="356" spans="1:46" ht="13" customHeight="1">
      <c r="D356" s="3" t="s">
        <v>1640</v>
      </c>
      <c r="M356" s="1331" t="s">
        <v>592</v>
      </c>
      <c r="N356" s="1331"/>
      <c r="P356" s="3" t="s">
        <v>1720</v>
      </c>
      <c r="AJ356" s="1446"/>
      <c r="AK356" s="1446"/>
    </row>
    <row r="357" spans="1:46" ht="13" customHeight="1">
      <c r="D357" s="3" t="s">
        <v>705</v>
      </c>
      <c r="M357" s="1331" t="s">
        <v>592</v>
      </c>
      <c r="N357" s="1331"/>
      <c r="P357" t="s">
        <v>1650</v>
      </c>
      <c r="AJ357" s="1331" t="s">
        <v>592</v>
      </c>
      <c r="AK357" s="1331"/>
    </row>
    <row r="358" spans="1:46" ht="13" customHeight="1">
      <c r="D358" s="3" t="s">
        <v>706</v>
      </c>
      <c r="M358" s="1331" t="s">
        <v>592</v>
      </c>
      <c r="N358" s="1331"/>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3" customHeight="1">
      <c r="E364" t="s">
        <v>370</v>
      </c>
      <c r="Y364" s="1331" t="s">
        <v>592</v>
      </c>
      <c r="Z364" s="1331"/>
    </row>
    <row r="365" spans="1:46" ht="13"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449</v>
      </c>
      <c r="F370" s="4"/>
      <c r="G370" s="4"/>
      <c r="H370" s="4"/>
      <c r="I370" s="4"/>
      <c r="J370" s="4"/>
      <c r="K370" s="4"/>
      <c r="L370" s="4"/>
      <c r="N370" s="1662"/>
      <c r="O370" s="1662"/>
      <c r="P370" s="1662"/>
      <c r="Q370" s="1662"/>
      <c r="R370" s="4"/>
      <c r="U370" s="4" t="s">
        <v>450</v>
      </c>
      <c r="V370" s="4"/>
      <c r="W370" s="4"/>
      <c r="X370" s="4"/>
      <c r="Y370" s="4"/>
      <c r="Z370" s="4"/>
      <c r="AA370" s="4"/>
      <c r="AB370" s="4"/>
      <c r="AC370" s="1662"/>
      <c r="AD370" s="1662"/>
      <c r="AE370" s="1662"/>
      <c r="AF370" s="1662"/>
    </row>
    <row r="371" spans="1:34" ht="13"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3"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3"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3"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3"/>
      <c r="T377" s="1813"/>
      <c r="U377" s="1" t="s">
        <v>306</v>
      </c>
      <c r="V377" s="1813"/>
      <c r="W377" s="1813"/>
      <c r="Y377" t="s">
        <v>2082</v>
      </c>
      <c r="AC377" s="27" t="s">
        <v>305</v>
      </c>
      <c r="AD377" s="1813"/>
      <c r="AE377" s="1813"/>
      <c r="AF377" s="1" t="s">
        <v>306</v>
      </c>
      <c r="AG377" s="1813"/>
      <c r="AH377" s="1813"/>
    </row>
    <row r="378" spans="1:34" ht="13" customHeight="1">
      <c r="E378" s="4" t="s">
        <v>988</v>
      </c>
      <c r="F378" s="4"/>
      <c r="G378" s="4"/>
      <c r="H378" s="4"/>
      <c r="I378" s="4"/>
      <c r="J378" s="4"/>
      <c r="K378" s="4"/>
      <c r="L378" s="4"/>
      <c r="N378" s="1813"/>
      <c r="O378" s="1813"/>
      <c r="P378" s="1813"/>
    </row>
    <row r="379" spans="1:34" ht="13" customHeight="1">
      <c r="E379" s="205" t="s">
        <v>2088</v>
      </c>
      <c r="F379" s="4"/>
      <c r="G379" s="4"/>
      <c r="H379" s="4"/>
      <c r="I379" s="4"/>
      <c r="J379" s="4"/>
      <c r="K379" s="4"/>
      <c r="L379" s="4"/>
      <c r="AG379" s="1802" t="s">
        <v>592</v>
      </c>
      <c r="AH379" s="1802"/>
    </row>
    <row r="380" spans="1:34" ht="13" customHeight="1">
      <c r="E380" s="4"/>
      <c r="F380" s="4"/>
      <c r="G380" s="4" t="s">
        <v>2089</v>
      </c>
      <c r="H380" s="4"/>
      <c r="I380" s="4"/>
      <c r="J380" s="4"/>
      <c r="K380" s="4"/>
      <c r="L380" s="4"/>
      <c r="AG380" s="1802" t="s">
        <v>592</v>
      </c>
      <c r="AH380" s="1802"/>
    </row>
    <row r="381" spans="1:34" ht="13" customHeight="1">
      <c r="E381" s="4"/>
      <c r="F381" s="4"/>
      <c r="G381" s="321" t="s">
        <v>989</v>
      </c>
      <c r="H381" s="4"/>
      <c r="I381" s="4"/>
      <c r="J381" s="4"/>
      <c r="K381" s="4"/>
      <c r="L381" s="4"/>
      <c r="V381" s="1331" t="s">
        <v>592</v>
      </c>
      <c r="W381" s="1331"/>
      <c r="Y381" s="22" t="s">
        <v>981</v>
      </c>
    </row>
    <row r="382" spans="1:34" ht="13" customHeight="1">
      <c r="E382" s="4" t="s">
        <v>982</v>
      </c>
      <c r="F382" s="4"/>
      <c r="G382" s="4"/>
      <c r="H382" s="4"/>
      <c r="I382" s="4"/>
      <c r="J382" s="4"/>
      <c r="K382" s="4"/>
      <c r="L382" s="4"/>
      <c r="V382" s="1331" t="s">
        <v>592</v>
      </c>
      <c r="W382" s="1331"/>
      <c r="Y382" s="4" t="s">
        <v>983</v>
      </c>
    </row>
    <row r="383" spans="1:34" ht="13" customHeight="1"/>
    <row r="384" spans="1:34" ht="13" customHeight="1">
      <c r="A384" s="2" t="s">
        <v>78</v>
      </c>
      <c r="B384" s="2"/>
    </row>
    <row r="385" spans="4:36" ht="13" customHeight="1">
      <c r="D385" t="s">
        <v>428</v>
      </c>
      <c r="J385" s="1371" t="s">
        <v>2707</v>
      </c>
      <c r="K385" s="1371"/>
      <c r="L385" s="1371"/>
      <c r="M385" s="1371"/>
      <c r="N385" s="1371"/>
      <c r="O385" s="1371"/>
      <c r="P385" s="1371"/>
      <c r="Q385" s="1371"/>
      <c r="R385" s="1371"/>
      <c r="S385" s="1371"/>
      <c r="T385" s="1371"/>
      <c r="U385" s="1371"/>
      <c r="V385" s="8" t="s">
        <v>83</v>
      </c>
      <c r="W385" s="8"/>
      <c r="X385" s="8"/>
      <c r="Y385" s="8"/>
      <c r="Z385" s="8"/>
      <c r="AA385" s="8"/>
      <c r="AB385" s="8"/>
      <c r="AC385" s="1371" t="s">
        <v>2708</v>
      </c>
      <c r="AD385" s="1371"/>
      <c r="AE385" s="1371"/>
      <c r="AF385" s="1371"/>
      <c r="AG385" s="1371"/>
      <c r="AH385" s="1371"/>
      <c r="AI385" s="1371"/>
      <c r="AJ385" s="1371"/>
    </row>
    <row r="386" spans="4:36" ht="13" customHeight="1">
      <c r="D386" s="3" t="s">
        <v>1183</v>
      </c>
      <c r="J386" s="1347" t="s">
        <v>2708</v>
      </c>
      <c r="K386" s="1347"/>
      <c r="L386" s="1347"/>
      <c r="M386" s="1347"/>
      <c r="N386" s="1347"/>
      <c r="O386" s="1347"/>
      <c r="P386" s="1347"/>
      <c r="Q386" s="1347"/>
      <c r="R386" s="1347"/>
      <c r="S386" s="1347"/>
      <c r="T386" s="1347"/>
      <c r="U386" s="1347"/>
      <c r="V386" s="3" t="s">
        <v>1183</v>
      </c>
      <c r="W386" s="8"/>
      <c r="X386" s="8"/>
      <c r="Y386" s="8"/>
      <c r="Z386" s="8"/>
      <c r="AA386" s="8"/>
      <c r="AB386" s="8"/>
      <c r="AC386" s="1371"/>
      <c r="AD386" s="1371"/>
      <c r="AE386" s="1371"/>
      <c r="AF386" s="1371"/>
      <c r="AG386" s="1371"/>
      <c r="AH386" s="1371"/>
      <c r="AI386" s="1371"/>
      <c r="AJ386" s="1371"/>
    </row>
    <row r="387" spans="4:36" ht="13" customHeight="1">
      <c r="D387" s="3" t="s">
        <v>442</v>
      </c>
      <c r="J387" s="1347" t="s">
        <v>2709</v>
      </c>
      <c r="K387" s="1347"/>
      <c r="L387" s="1347"/>
      <c r="M387" s="1347"/>
      <c r="N387" s="1347"/>
      <c r="O387" s="1347"/>
      <c r="P387" s="1347"/>
      <c r="Q387" s="1347"/>
      <c r="R387" s="1347"/>
      <c r="S387" s="1347"/>
      <c r="T387" s="1347"/>
      <c r="U387" s="1347"/>
      <c r="V387" s="3" t="s">
        <v>442</v>
      </c>
      <c r="W387" s="8"/>
      <c r="X387" s="8"/>
      <c r="Y387" s="8"/>
      <c r="Z387" s="8"/>
      <c r="AA387" s="8"/>
      <c r="AB387" s="8"/>
      <c r="AC387" s="1371"/>
      <c r="AD387" s="1371"/>
      <c r="AE387" s="1371"/>
      <c r="AF387" s="1371"/>
      <c r="AG387" s="1371"/>
      <c r="AH387" s="1371"/>
      <c r="AI387" s="1371"/>
      <c r="AJ387" s="1371"/>
    </row>
    <row r="388" spans="4:36" ht="13" customHeight="1">
      <c r="D388" t="s">
        <v>1179</v>
      </c>
      <c r="J388" s="1402" t="s">
        <v>2710</v>
      </c>
      <c r="K388" s="1402"/>
      <c r="L388" s="1402"/>
      <c r="M388" s="1402"/>
      <c r="N388" s="1402"/>
      <c r="O388" s="1402"/>
      <c r="P388" s="1402"/>
      <c r="Q388" s="1402"/>
      <c r="R388" s="1402"/>
      <c r="S388" s="1402"/>
      <c r="T388" s="1402"/>
      <c r="U388" s="1402"/>
      <c r="V388" s="1371" t="s">
        <v>2711</v>
      </c>
      <c r="W388" s="1371"/>
      <c r="X388" s="1371"/>
      <c r="Y388" s="1371"/>
      <c r="Z388" s="1371"/>
      <c r="AA388" s="1371"/>
      <c r="AB388" s="1371"/>
      <c r="AC388" s="1371"/>
      <c r="AD388" s="1371"/>
      <c r="AE388" s="1371"/>
      <c r="AF388" s="1371"/>
      <c r="AG388" s="1371"/>
      <c r="AH388" s="1371"/>
      <c r="AI388" s="1371"/>
      <c r="AJ388" s="1371"/>
    </row>
    <row r="389" spans="4:36" ht="13" customHeight="1">
      <c r="D389" t="s">
        <v>4</v>
      </c>
      <c r="Q389" s="1750">
        <v>45637</v>
      </c>
      <c r="R389" s="1750"/>
      <c r="S389" s="1750"/>
      <c r="T389" s="1750"/>
      <c r="U389" s="1750"/>
      <c r="V389" t="s">
        <v>309</v>
      </c>
      <c r="AI389" s="1331" t="s">
        <v>670</v>
      </c>
      <c r="AJ389" s="1331"/>
    </row>
    <row r="390" spans="4:36" ht="13" customHeight="1">
      <c r="D390" t="s">
        <v>5</v>
      </c>
      <c r="Q390" s="1533">
        <v>46203</v>
      </c>
      <c r="R390" s="1817"/>
      <c r="S390" s="1817"/>
      <c r="T390" s="1817"/>
      <c r="U390" s="1817"/>
      <c r="W390" s="21" t="s">
        <v>74</v>
      </c>
      <c r="AG390" s="1815"/>
      <c r="AH390" s="1815"/>
      <c r="AI390" s="1815"/>
      <c r="AJ390" s="1815"/>
    </row>
    <row r="391" spans="4:36" ht="13" customHeight="1">
      <c r="D391" t="s">
        <v>427</v>
      </c>
      <c r="Q391" s="1826">
        <v>15200000</v>
      </c>
      <c r="R391" s="1826"/>
      <c r="S391" s="1826"/>
      <c r="T391" s="1826"/>
      <c r="U391" s="1826"/>
      <c r="V391" s="3" t="s">
        <v>1182</v>
      </c>
      <c r="AG391" s="1816">
        <v>45945</v>
      </c>
      <c r="AH391" s="1816"/>
      <c r="AI391" s="1816"/>
      <c r="AJ391" s="1816"/>
    </row>
    <row r="392" spans="4:36" ht="13" customHeight="1">
      <c r="D392" t="s">
        <v>88</v>
      </c>
      <c r="I392" s="1423" t="s">
        <v>2645</v>
      </c>
      <c r="J392" s="1423"/>
      <c r="K392" s="1423"/>
      <c r="L392" s="1423"/>
      <c r="M392" s="1423"/>
      <c r="N392" s="1423"/>
      <c r="Q392" s="4" t="s">
        <v>206</v>
      </c>
      <c r="S392" s="1825"/>
      <c r="T392" s="1825"/>
      <c r="U392" s="1825"/>
      <c r="V392" t="s">
        <v>73</v>
      </c>
      <c r="AI392" s="1331" t="s">
        <v>670</v>
      </c>
      <c r="AJ392" s="1331"/>
    </row>
    <row r="393" spans="4:36" ht="13" customHeight="1">
      <c r="D393" t="s">
        <v>310</v>
      </c>
      <c r="Q393" s="1408"/>
      <c r="R393" s="1408"/>
      <c r="S393" s="1408"/>
      <c r="T393" s="1408"/>
      <c r="U393" s="1408"/>
      <c r="V393" t="s">
        <v>311</v>
      </c>
      <c r="AG393" s="1815"/>
      <c r="AH393" s="1815"/>
      <c r="AI393" s="1815"/>
      <c r="AJ393" s="1815"/>
    </row>
    <row r="394" spans="4:36" ht="13" customHeight="1">
      <c r="D394" t="s">
        <v>312</v>
      </c>
      <c r="Q394" s="1754"/>
      <c r="R394" s="1754"/>
      <c r="S394" s="1754"/>
      <c r="T394" s="1754"/>
      <c r="U394" s="1754"/>
      <c r="V394" t="s">
        <v>1164</v>
      </c>
      <c r="AG394" s="1815"/>
      <c r="AH394" s="1815"/>
      <c r="AI394" s="1815"/>
      <c r="AJ394" s="1815"/>
    </row>
    <row r="395" spans="4:36" ht="13" customHeight="1">
      <c r="D395" t="s">
        <v>1163</v>
      </c>
      <c r="AG395" s="1815"/>
      <c r="AH395" s="1815"/>
      <c r="AI395" s="1815"/>
      <c r="AJ395" s="1815"/>
    </row>
    <row r="396" spans="4:36" ht="13" customHeight="1">
      <c r="AG396" s="457"/>
      <c r="AH396" s="457"/>
      <c r="AI396" s="457"/>
      <c r="AJ396" s="457"/>
    </row>
    <row r="397" spans="4:36" ht="13" customHeight="1">
      <c r="D397" s="3" t="s">
        <v>2145</v>
      </c>
      <c r="AG397" s="457"/>
      <c r="AH397" s="457"/>
      <c r="AI397" s="1331" t="s">
        <v>670</v>
      </c>
      <c r="AJ397" s="1331"/>
    </row>
    <row r="398" spans="4:36" ht="13" customHeight="1">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3" customHeight="1">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3" customHeight="1">
      <c r="AG400" s="457"/>
      <c r="AH400" s="457"/>
      <c r="AI400" s="457"/>
      <c r="AJ400" s="457"/>
    </row>
    <row r="401" spans="1:36" ht="13" customHeight="1">
      <c r="D401" s="3" t="s">
        <v>1661</v>
      </c>
      <c r="S401" s="1749" t="s">
        <v>546</v>
      </c>
      <c r="T401" s="1749"/>
      <c r="U401" s="1749"/>
      <c r="V401" t="s">
        <v>1662</v>
      </c>
      <c r="AG401" s="1819">
        <v>99</v>
      </c>
      <c r="AH401" s="1819"/>
      <c r="AI401" s="1819"/>
      <c r="AJ401" s="1819"/>
    </row>
    <row r="402" spans="1:36" ht="13" customHeight="1">
      <c r="D402" s="3" t="s">
        <v>1659</v>
      </c>
      <c r="S402" s="1749" t="s">
        <v>670</v>
      </c>
      <c r="T402" s="1749"/>
      <c r="U402" s="1749"/>
      <c r="V402" t="s">
        <v>1664</v>
      </c>
      <c r="AE402" s="1814"/>
      <c r="AF402" s="1814"/>
      <c r="AG402" s="1814"/>
      <c r="AH402" s="1814"/>
      <c r="AI402" s="1814"/>
      <c r="AJ402" s="1814"/>
    </row>
    <row r="403" spans="1:36" ht="13" customHeight="1">
      <c r="D403" s="3" t="s">
        <v>1660</v>
      </c>
      <c r="K403" s="1796" t="s">
        <v>2712</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3" customHeight="1">
      <c r="D404" s="3" t="s">
        <v>1663</v>
      </c>
      <c r="K404" s="1796" t="s">
        <v>2720</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3" customHeight="1">
      <c r="D405" s="3" t="s">
        <v>1666</v>
      </c>
      <c r="E405" s="478"/>
      <c r="F405" s="478"/>
      <c r="G405" s="478"/>
      <c r="H405" s="478"/>
      <c r="I405" s="478"/>
      <c r="J405" s="478"/>
      <c r="K405" s="478"/>
      <c r="L405" s="478"/>
      <c r="M405" s="478"/>
      <c r="N405" s="478"/>
      <c r="O405" s="478"/>
      <c r="P405" s="478"/>
      <c r="Q405" s="478"/>
      <c r="R405" s="478"/>
      <c r="S405" s="1824" t="s">
        <v>2713</v>
      </c>
      <c r="T405" s="1824"/>
      <c r="U405" s="1824"/>
      <c r="V405" s="1824"/>
      <c r="W405" s="1824"/>
      <c r="X405" s="1824"/>
      <c r="Y405" s="1824"/>
      <c r="Z405" s="1824"/>
      <c r="AA405" s="1824"/>
      <c r="AB405" s="1824"/>
      <c r="AC405" s="1824"/>
      <c r="AD405" s="1824"/>
      <c r="AE405" s="1824"/>
      <c r="AF405" s="1824"/>
      <c r="AG405" s="1824"/>
      <c r="AH405" s="1824"/>
      <c r="AI405" s="1824"/>
      <c r="AJ405" s="1824"/>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6" t="s">
        <v>2677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1" t="s">
        <v>546</v>
      </c>
      <c r="S411" s="1331"/>
      <c r="AC411" s="27" t="s">
        <v>571</v>
      </c>
      <c r="AD411" s="1662">
        <v>6</v>
      </c>
      <c r="AE411" s="1662"/>
    </row>
    <row r="412" spans="1:36" ht="13" customHeight="1">
      <c r="E412" t="s">
        <v>107</v>
      </c>
      <c r="R412" s="1331" t="s">
        <v>592</v>
      </c>
      <c r="S412" s="1331"/>
      <c r="AC412" s="27" t="s">
        <v>571</v>
      </c>
      <c r="AD412" s="1662"/>
      <c r="AE412" s="1662"/>
    </row>
    <row r="413" spans="1:36" ht="13" customHeight="1">
      <c r="E413" t="s">
        <v>108</v>
      </c>
      <c r="S413" s="1331" t="s">
        <v>592</v>
      </c>
      <c r="T413" s="1331"/>
    </row>
    <row r="414" spans="1:36" ht="13"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 customHeight="1"/>
    <row r="417" spans="1:39" ht="13" customHeight="1">
      <c r="A417" s="2" t="s">
        <v>591</v>
      </c>
      <c r="B417" s="2"/>
      <c r="C417" s="2"/>
      <c r="D417" s="2" t="s">
        <v>114</v>
      </c>
      <c r="AF417" s="2" t="s">
        <v>958</v>
      </c>
    </row>
    <row r="418" spans="1:39" ht="13" customHeight="1">
      <c r="E418" s="1813"/>
      <c r="F418" s="1813"/>
      <c r="G418" s="1813"/>
      <c r="H418" s="13" t="s">
        <v>115</v>
      </c>
      <c r="I418" s="1813"/>
      <c r="J418" s="1813"/>
      <c r="K418" s="1813"/>
      <c r="L418" t="s">
        <v>116</v>
      </c>
      <c r="N418" s="27" t="s">
        <v>576</v>
      </c>
      <c r="P418" s="1758">
        <v>2.35</v>
      </c>
      <c r="Q418" s="1758"/>
      <c r="R418" s="1758"/>
      <c r="S418" t="s">
        <v>117</v>
      </c>
      <c r="W418" s="1823">
        <f>IF(E418&gt;0,(E418*I418),(P418*43560))</f>
        <v>102366</v>
      </c>
      <c r="X418" s="1823"/>
      <c r="Y418" s="1823"/>
      <c r="Z418" t="s">
        <v>118</v>
      </c>
      <c r="AF418" s="1759">
        <f>IFERROR(IF(P418&gt;0,(AG437/P418),(AG437/(W418/43560))),0)</f>
        <v>110.63829787234042</v>
      </c>
      <c r="AG418" s="1759"/>
      <c r="AH418" s="1759"/>
      <c r="AM418" s="3"/>
    </row>
    <row r="419" spans="1:39" ht="13" customHeight="1">
      <c r="E419" t="s">
        <v>51</v>
      </c>
    </row>
    <row r="420" spans="1:39" ht="13"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3" customHeight="1">
      <c r="E421" s="118" t="s">
        <v>1737</v>
      </c>
      <c r="F421" s="1014"/>
      <c r="G421" s="1014"/>
      <c r="H421" s="1014"/>
      <c r="I421" s="1757">
        <v>2.35</v>
      </c>
      <c r="J421" s="1757"/>
      <c r="K421" s="1757"/>
      <c r="L421" s="1014"/>
      <c r="M421" s="118"/>
      <c r="N421" s="1014"/>
      <c r="O421" s="1014"/>
      <c r="P421" s="1440">
        <f>(DU755+DU778+DU800)/I421</f>
        <v>209.36170212765956</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1">
        <v>1</v>
      </c>
      <c r="Q424" s="1331"/>
      <c r="S424" t="s">
        <v>189</v>
      </c>
      <c r="AE424" s="1331">
        <v>0</v>
      </c>
      <c r="AF424" s="1331"/>
    </row>
    <row r="425" spans="1:39" ht="13" customHeight="1">
      <c r="E425" t="s">
        <v>190</v>
      </c>
      <c r="P425" s="1331">
        <v>1</v>
      </c>
      <c r="Q425" s="1331"/>
      <c r="S425" t="s">
        <v>131</v>
      </c>
      <c r="AE425" s="1331" t="s">
        <v>592</v>
      </c>
      <c r="AF425" s="1331"/>
    </row>
    <row r="426" spans="1:39" ht="13" customHeight="1">
      <c r="F426" s="28" t="s">
        <v>132</v>
      </c>
    </row>
    <row r="427" spans="1:39" ht="13"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3" customHeight="1">
      <c r="E429" t="s">
        <v>609</v>
      </c>
      <c r="P429" s="1"/>
      <c r="Q429" s="1331" t="s">
        <v>670</v>
      </c>
      <c r="R429" s="1331"/>
    </row>
    <row r="430" spans="1:39" ht="13" customHeight="1">
      <c r="F430" t="s">
        <v>610</v>
      </c>
      <c r="P430" s="1"/>
      <c r="Q430" s="1"/>
      <c r="AF430" s="1331" t="s">
        <v>592</v>
      </c>
      <c r="AG430" s="1821"/>
    </row>
    <row r="431" spans="1:39" ht="13" customHeight="1"/>
    <row r="432" spans="1:39" ht="13" customHeight="1">
      <c r="A432" s="2"/>
      <c r="B432" s="2"/>
      <c r="C432" s="2"/>
      <c r="E432" s="4" t="s">
        <v>308</v>
      </c>
      <c r="Z432" s="1331" t="s">
        <v>670</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3" customHeight="1"/>
    <row r="436" spans="1:55" ht="13" customHeight="1">
      <c r="A436" s="2" t="s">
        <v>468</v>
      </c>
      <c r="B436" s="2"/>
      <c r="C436" s="2"/>
      <c r="D436" s="2" t="s">
        <v>765</v>
      </c>
      <c r="AF436" s="48"/>
    </row>
    <row r="437" spans="1:55" ht="13"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18">
        <v>260</v>
      </c>
      <c r="AH437" s="1818"/>
      <c r="AI437" s="1818"/>
      <c r="AJ437" s="1818"/>
    </row>
    <row r="438" spans="1:55" ht="13"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2">
        <v>0</v>
      </c>
      <c r="AH438" s="1612"/>
      <c r="AI438" s="1612"/>
      <c r="AJ438" s="1612"/>
    </row>
    <row r="439" spans="1:55" ht="13"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8">
        <v>257</v>
      </c>
      <c r="AH439" s="1818"/>
      <c r="AI439" s="1818"/>
      <c r="AJ439" s="1818"/>
    </row>
    <row r="440" spans="1:55" ht="13"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8">
        <v>257</v>
      </c>
      <c r="AH440" s="1818"/>
      <c r="AI440" s="1818"/>
      <c r="AJ440" s="1818"/>
    </row>
    <row r="441" spans="1:55" ht="13"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3"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215892</v>
      </c>
      <c r="AH442" s="1694"/>
      <c r="AI442" s="1694"/>
      <c r="AJ442" s="1694"/>
    </row>
    <row r="443" spans="1:55" ht="13"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215892</v>
      </c>
      <c r="AH443" s="1694"/>
      <c r="AI443" s="1694"/>
      <c r="AJ443" s="1694"/>
    </row>
    <row r="444" spans="1:55" ht="13"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3"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3" customHeight="1">
      <c r="D446" s="1741"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3500</v>
      </c>
      <c r="AH446" s="1694"/>
      <c r="AI446" s="1694"/>
      <c r="AJ446" s="1694"/>
      <c r="AZ446" s="34"/>
      <c r="BA446" s="34"/>
      <c r="BB446" s="34"/>
      <c r="BC446" s="34"/>
    </row>
    <row r="447" spans="1:55" ht="13"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3"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2628</v>
      </c>
      <c r="AH448" s="1694"/>
      <c r="AI448" s="1694"/>
      <c r="AJ448" s="1694"/>
      <c r="AZ448" s="3"/>
      <c r="BA448" s="3"/>
      <c r="BB448" s="3"/>
      <c r="BC448" s="3"/>
    </row>
    <row r="449" spans="1:55" ht="13"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61783</v>
      </c>
      <c r="AH449" s="1694"/>
      <c r="AI449" s="1694"/>
      <c r="AJ449" s="1694"/>
      <c r="BB449" s="3"/>
      <c r="BC449" s="3"/>
    </row>
    <row r="450" spans="1:55" ht="13"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2">
        <f>AG442+AG446+AG448+AG449</f>
        <v>283803</v>
      </c>
      <c r="AH450" s="1842"/>
      <c r="AI450" s="1842"/>
      <c r="AJ450" s="1842"/>
      <c r="AZ450" s="3"/>
      <c r="BA450" s="3"/>
      <c r="BB450" s="3"/>
      <c r="BC450" s="3"/>
    </row>
    <row r="451" spans="1:55" ht="13"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538814.58076923073</v>
      </c>
      <c r="AD454" s="1810"/>
      <c r="AE454" s="1810"/>
      <c r="AF454" s="1810"/>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538814.58076923073</v>
      </c>
      <c r="AD455" s="1810"/>
      <c r="AE455" s="1810"/>
      <c r="AF455" s="1810"/>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527181.00384615385</v>
      </c>
      <c r="AD456" s="1810"/>
      <c r="AE456" s="1810"/>
      <c r="AF456" s="1810"/>
      <c r="AG456" s="177"/>
      <c r="AH456" s="177"/>
      <c r="AI456" s="177"/>
      <c r="AJ456" s="183"/>
      <c r="AZ456" s="3"/>
      <c r="BA456" s="3"/>
      <c r="BB456" s="3"/>
      <c r="BC456" s="3"/>
    </row>
    <row r="457" spans="1:55" ht="13"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3"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1" t="s">
        <v>2193</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3" customHeight="1">
      <c r="B486" s="45" t="s">
        <v>394</v>
      </c>
      <c r="C486" s="5"/>
      <c r="D486" s="5"/>
      <c r="E486" s="5"/>
      <c r="F486" s="5"/>
      <c r="G486" s="5"/>
      <c r="H486" s="5"/>
      <c r="I486" s="5"/>
      <c r="J486" s="5"/>
      <c r="K486" s="5"/>
      <c r="L486" s="5"/>
      <c r="M486" s="5"/>
      <c r="N486" s="5"/>
      <c r="O486" s="5"/>
      <c r="P486" s="5"/>
      <c r="Q486" s="1576" t="s">
        <v>2678</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3" customHeight="1">
      <c r="B487" s="45" t="s">
        <v>395</v>
      </c>
      <c r="C487" s="5"/>
      <c r="D487" s="5"/>
      <c r="E487" s="5"/>
      <c r="F487" s="5"/>
      <c r="G487" s="5"/>
      <c r="H487" s="5"/>
      <c r="I487" s="5"/>
      <c r="J487" s="5"/>
      <c r="K487" s="5"/>
      <c r="L487" s="5"/>
      <c r="M487" s="5"/>
      <c r="N487" s="5"/>
      <c r="O487" s="5"/>
      <c r="P487" s="5"/>
      <c r="Q487" s="1576" t="s">
        <v>2714</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3" customHeight="1">
      <c r="B488" s="45" t="s">
        <v>396</v>
      </c>
      <c r="C488" s="5"/>
      <c r="D488" s="5"/>
      <c r="E488" s="5"/>
      <c r="F488" s="5"/>
      <c r="G488" s="5"/>
      <c r="H488" s="5"/>
      <c r="I488" s="5"/>
      <c r="J488" s="5"/>
      <c r="K488" s="5"/>
      <c r="L488" s="5"/>
      <c r="M488" s="5"/>
      <c r="N488" s="5"/>
      <c r="O488" s="5"/>
      <c r="P488" s="5"/>
      <c r="Q488" s="1576" t="s">
        <v>2680</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3" customHeight="1">
      <c r="B489" s="1830" t="s">
        <v>397</v>
      </c>
      <c r="C489" s="1831"/>
      <c r="D489" s="1831"/>
      <c r="E489" s="1831"/>
      <c r="F489" s="1831"/>
      <c r="G489" s="1831"/>
      <c r="H489" s="1831"/>
      <c r="I489" s="1831"/>
      <c r="J489" s="1831"/>
      <c r="K489" s="1831"/>
      <c r="L489" s="1831"/>
      <c r="M489" s="1831"/>
      <c r="N489" s="1831"/>
      <c r="O489" s="1831"/>
      <c r="P489" s="1832"/>
      <c r="Q489" s="1836" t="s">
        <v>670</v>
      </c>
      <c r="R489" s="1837"/>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3"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3" t="s">
        <v>2679</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3" customHeight="1">
      <c r="B492" s="45" t="s">
        <v>398</v>
      </c>
      <c r="C492" s="5"/>
      <c r="D492" s="5"/>
      <c r="E492" s="5"/>
      <c r="F492" s="5"/>
      <c r="G492" s="5"/>
      <c r="H492" s="5"/>
      <c r="I492" s="5"/>
      <c r="J492" s="5"/>
      <c r="K492" s="5"/>
      <c r="L492" s="5"/>
      <c r="M492" s="5"/>
      <c r="N492" s="5"/>
      <c r="O492" s="5"/>
      <c r="P492" s="5"/>
      <c r="Q492" s="1576" t="s">
        <v>2715</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3" customHeight="1">
      <c r="B493" s="45" t="s">
        <v>399</v>
      </c>
      <c r="C493" s="5"/>
      <c r="D493" s="5"/>
      <c r="E493" s="5"/>
      <c r="F493" s="5"/>
      <c r="G493" s="5"/>
      <c r="H493" s="5"/>
      <c r="I493" s="5"/>
      <c r="J493" s="5"/>
      <c r="K493" s="5"/>
      <c r="L493" s="5"/>
      <c r="M493" s="5"/>
      <c r="N493" s="5"/>
      <c r="O493" s="5"/>
      <c r="P493" s="5"/>
      <c r="Q493" s="1576">
        <v>0.5</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6">
        <v>198</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3" customHeight="1">
      <c r="B495" s="121" t="s">
        <v>1670</v>
      </c>
      <c r="C495" s="5"/>
      <c r="D495" s="5"/>
      <c r="E495" s="5"/>
      <c r="F495" s="5"/>
      <c r="G495" s="5"/>
      <c r="H495" s="5"/>
      <c r="I495" s="5"/>
      <c r="J495" s="5"/>
      <c r="K495" s="5"/>
      <c r="L495" s="5"/>
      <c r="M495" s="1445">
        <v>198</v>
      </c>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3"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3</v>
      </c>
      <c r="AD501" s="1662"/>
      <c r="AE501" s="1662"/>
      <c r="AF501" s="1662"/>
      <c r="AG501" s="13" t="s">
        <v>403</v>
      </c>
      <c r="AH501" s="1402">
        <v>2023</v>
      </c>
      <c r="AI501" s="1402"/>
      <c r="AJ501" s="1402"/>
      <c r="AK501" s="1403"/>
      <c r="AZ501" s="3"/>
      <c r="BA501" s="3"/>
      <c r="BB501" s="3"/>
      <c r="BC501" s="3"/>
      <c r="BD501" s="3"/>
      <c r="BE501" s="3"/>
      <c r="BF501" s="3"/>
      <c r="BG501" s="3"/>
      <c r="BH501" s="3"/>
      <c r="BI501" s="3"/>
      <c r="BJ501" s="3"/>
      <c r="BK501" s="3"/>
      <c r="BL501" s="3"/>
      <c r="BM501" s="3"/>
      <c r="BN501" s="3"/>
    </row>
    <row r="502" spans="1:66" ht="13"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c r="AD502" s="1662"/>
      <c r="AE502" s="1662"/>
      <c r="AF502" s="1662"/>
      <c r="AG502" s="38" t="s">
        <v>403</v>
      </c>
      <c r="AH502" s="1402"/>
      <c r="AI502" s="1402"/>
      <c r="AJ502" s="1402"/>
      <c r="AK502" s="1403"/>
      <c r="AZ502" s="3"/>
      <c r="BA502" s="3"/>
      <c r="BB502" s="3"/>
      <c r="BC502" s="3"/>
      <c r="BD502" s="3"/>
      <c r="BE502" s="3"/>
      <c r="BF502" s="3"/>
      <c r="BG502" s="3"/>
      <c r="BH502" s="3"/>
      <c r="BI502" s="3"/>
      <c r="BJ502" s="3"/>
      <c r="BK502" s="3"/>
      <c r="BL502" s="3"/>
      <c r="BM502" s="3"/>
      <c r="BN502" s="3"/>
    </row>
    <row r="503" spans="1:66" ht="13"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2"/>
      <c r="C505" s="1432"/>
      <c r="D505" s="1432"/>
      <c r="E505" s="1432"/>
      <c r="F505" s="1432"/>
      <c r="G505" s="1432"/>
      <c r="H505" s="1433"/>
      <c r="I505" t="s">
        <v>411</v>
      </c>
      <c r="AC505" s="1661">
        <v>8</v>
      </c>
      <c r="AD505" s="1662"/>
      <c r="AE505" s="1662"/>
      <c r="AF505" s="1662"/>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3" customHeight="1">
      <c r="B506" s="1672"/>
      <c r="C506" s="1432"/>
      <c r="D506" s="1432"/>
      <c r="E506" s="1432"/>
      <c r="F506" s="1432"/>
      <c r="G506" s="1432"/>
      <c r="H506" s="1433"/>
      <c r="I506" t="s">
        <v>412</v>
      </c>
      <c r="AC506" s="1661">
        <v>10</v>
      </c>
      <c r="AD506" s="1662"/>
      <c r="AE506" s="1662"/>
      <c r="AF506" s="1662"/>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3" customHeight="1">
      <c r="B507" s="1672"/>
      <c r="C507" s="1432"/>
      <c r="D507" s="1432"/>
      <c r="E507" s="1432"/>
      <c r="F507" s="1432"/>
      <c r="G507" s="1432"/>
      <c r="H507" s="1433"/>
      <c r="I507" s="3" t="s">
        <v>413</v>
      </c>
      <c r="AC507" s="1336">
        <v>2</v>
      </c>
      <c r="AD507" s="1337"/>
      <c r="AE507" s="1337"/>
      <c r="AF507" s="1337"/>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3" customHeight="1">
      <c r="B508" s="1672"/>
      <c r="C508" s="1432"/>
      <c r="D508" s="1432"/>
      <c r="E508" s="1432"/>
      <c r="F508" s="1432"/>
      <c r="G508" s="1432"/>
      <c r="H508" s="1433"/>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1"/>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18" t="s">
        <v>670</v>
      </c>
      <c r="AD509" s="1818"/>
      <c r="AE509" s="1818"/>
      <c r="AF509" s="1818"/>
      <c r="AG509" s="13"/>
      <c r="AH509" s="1334"/>
      <c r="AI509" s="1334"/>
      <c r="AJ509" s="1334"/>
      <c r="AK509" s="1670"/>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7">
        <v>0.2</v>
      </c>
      <c r="AD512" s="1828"/>
      <c r="AE512" s="1828"/>
      <c r="AF512" s="1829"/>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40"/>
      <c r="AZ513" s="3"/>
      <c r="BA513" s="3"/>
      <c r="BB513" s="3"/>
      <c r="BC513" s="3"/>
      <c r="BD513" s="3"/>
      <c r="BE513" s="3"/>
      <c r="BF513" s="3"/>
      <c r="BG513" s="3"/>
      <c r="BH513" s="3"/>
      <c r="BI513" s="3"/>
      <c r="BJ513" s="3"/>
      <c r="BK513" s="3"/>
      <c r="BL513" s="3"/>
      <c r="BM513" s="3"/>
      <c r="BN513" s="3" t="s">
        <v>2107</v>
      </c>
    </row>
    <row r="514" spans="2:66" ht="13"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3" customHeight="1">
      <c r="B515" s="1672"/>
      <c r="C515" s="1432"/>
      <c r="D515" s="1432"/>
      <c r="E515" s="1432"/>
      <c r="F515" s="1432"/>
      <c r="G515" s="1432"/>
      <c r="H515" s="1433"/>
      <c r="I515" t="s">
        <v>416</v>
      </c>
      <c r="AC515" s="1661">
        <v>1</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3"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3"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3" customHeight="1">
      <c r="B518" s="1672"/>
      <c r="C518" s="1432"/>
      <c r="D518" s="1432"/>
      <c r="E518" s="1432"/>
      <c r="F518" s="1432"/>
      <c r="G518" s="1432"/>
      <c r="H518" s="1433"/>
      <c r="I518" t="s">
        <v>416</v>
      </c>
      <c r="AC518" s="1661">
        <v>1</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3"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10</v>
      </c>
      <c r="AD519" s="1662"/>
      <c r="AE519" s="1662"/>
      <c r="AF519" s="1662"/>
      <c r="AG519" s="38" t="s">
        <v>403</v>
      </c>
      <c r="AH519" s="1402">
        <v>2025</v>
      </c>
      <c r="AI519" s="1402"/>
      <c r="AJ519" s="1402"/>
      <c r="AK519" s="1403"/>
      <c r="BB519" s="3"/>
      <c r="BC519" s="3"/>
      <c r="BD519" s="3"/>
      <c r="BE519" s="3"/>
      <c r="BF519" s="3"/>
      <c r="BG519" s="3"/>
      <c r="BH519" s="3"/>
      <c r="BI519" s="3"/>
      <c r="BJ519" s="3"/>
      <c r="BK519" s="3"/>
      <c r="BL519" s="3"/>
      <c r="BM519" s="3"/>
      <c r="BN519" s="3" t="s">
        <v>2113</v>
      </c>
    </row>
    <row r="520" spans="2:66" ht="13" customHeight="1">
      <c r="B520" s="1671" t="s">
        <v>419</v>
      </c>
      <c r="C520" s="1430"/>
      <c r="D520" s="1430"/>
      <c r="E520" s="1430"/>
      <c r="F520" s="1430"/>
      <c r="G520" s="1430"/>
      <c r="H520" s="1431"/>
      <c r="I520" s="41" t="s">
        <v>420</v>
      </c>
      <c r="J520" s="42"/>
      <c r="K520" s="42"/>
      <c r="L520" s="42"/>
      <c r="M520" s="42"/>
      <c r="N520" s="42"/>
      <c r="O520" s="1748" t="s">
        <v>334</v>
      </c>
      <c r="P520" s="1749"/>
      <c r="Q520" s="1749"/>
      <c r="R520" s="1749"/>
      <c r="S520" s="1749"/>
      <c r="T520" s="1749"/>
      <c r="U520" s="1749"/>
      <c r="V520" s="1749"/>
      <c r="W520" s="1749"/>
      <c r="X520" s="1749"/>
      <c r="Y520" s="1749"/>
      <c r="Z520" s="1749"/>
      <c r="AA520" s="1749"/>
      <c r="AB520" s="58"/>
      <c r="AC520" s="1336" t="s">
        <v>592</v>
      </c>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3"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2115</v>
      </c>
    </row>
    <row r="522" spans="2:66" ht="13"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2116</v>
      </c>
    </row>
    <row r="523" spans="2:66" ht="13"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3"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3"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3"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3"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3"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3"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3"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3"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3"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3"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3"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3"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3"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3"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3"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7</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3" customHeight="1">
      <c r="B539" s="1672"/>
      <c r="C539" s="1432"/>
      <c r="D539" s="1432"/>
      <c r="E539" s="1432"/>
      <c r="F539" s="1432"/>
      <c r="G539" s="1432"/>
      <c r="H539" s="1433"/>
      <c r="I539" t="s">
        <v>564</v>
      </c>
      <c r="AC539" s="1661">
        <v>10</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2"/>
      <c r="C540" s="1432"/>
      <c r="D540" s="1432"/>
      <c r="E540" s="1432"/>
      <c r="F540" s="1432"/>
      <c r="G540" s="1432"/>
      <c r="H540" s="1433"/>
      <c r="I540" t="s">
        <v>565</v>
      </c>
      <c r="AC540" s="1661">
        <v>1</v>
      </c>
      <c r="AD540" s="1662"/>
      <c r="AE540" s="1662"/>
      <c r="AF540" s="1662"/>
      <c r="AG540" s="38" t="s">
        <v>403</v>
      </c>
      <c r="AH540" s="1402">
        <v>2028</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2"/>
      <c r="C541" s="1432"/>
      <c r="D541" s="1432"/>
      <c r="E541" s="1432"/>
      <c r="F541" s="1432"/>
      <c r="G541" s="1432"/>
      <c r="H541" s="1433"/>
      <c r="I541" t="s">
        <v>566</v>
      </c>
      <c r="AC541" s="1661">
        <v>2</v>
      </c>
      <c r="AD541" s="1662"/>
      <c r="AE541" s="1662"/>
      <c r="AF541" s="1662"/>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3"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3"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3" customHeight="1">
      <c r="B554" s="51" t="s">
        <v>112</v>
      </c>
      <c r="C554" s="1692" t="s">
        <v>2681</v>
      </c>
      <c r="D554" s="1692"/>
      <c r="E554" s="1692"/>
      <c r="F554" s="1692"/>
      <c r="G554" s="1692"/>
      <c r="H554" s="1692"/>
      <c r="I554" s="1692"/>
      <c r="J554" s="1692"/>
      <c r="K554" s="1692"/>
      <c r="L554" s="1692"/>
      <c r="M554" s="1692" t="s">
        <v>2122</v>
      </c>
      <c r="N554" s="1692"/>
      <c r="O554" s="1692"/>
      <c r="P554" s="1692"/>
      <c r="Q554" s="1452">
        <v>36</v>
      </c>
      <c r="R554" s="1452"/>
      <c r="S554" s="1453"/>
      <c r="T554" s="1451"/>
      <c r="U554" s="1452"/>
      <c r="V554" s="1453"/>
      <c r="W554" s="1454">
        <v>7.1499999999999994E-2</v>
      </c>
      <c r="X554" s="1455"/>
      <c r="Y554" s="1456"/>
      <c r="Z554" s="1693" t="s">
        <v>2725</v>
      </c>
      <c r="AA554" s="1693"/>
      <c r="AB554" s="1693"/>
      <c r="AC554" s="1693"/>
      <c r="AD554" s="1693"/>
      <c r="AE554" s="1674">
        <v>1</v>
      </c>
      <c r="AF554" s="1675"/>
      <c r="AG554" s="1675"/>
      <c r="AH554" s="1676"/>
      <c r="AI554" s="1677"/>
      <c r="AJ554" s="1678"/>
      <c r="AK554" s="1678"/>
      <c r="AL554" s="1679"/>
      <c r="AM554" s="1667">
        <v>69000000</v>
      </c>
      <c r="AN554" s="1668"/>
      <c r="AO554" s="1668"/>
      <c r="AP554" s="1668"/>
      <c r="AQ554" s="1668"/>
      <c r="AR554" s="1668"/>
      <c r="AS554" s="1669"/>
      <c r="AT554" s="1150"/>
      <c r="AU554" s="1149"/>
      <c r="BB554" s="3"/>
      <c r="BC554" s="3"/>
      <c r="BD554" s="3"/>
      <c r="BE554" s="3"/>
      <c r="BF554" s="3"/>
      <c r="BG554" s="3"/>
      <c r="BH554" s="3"/>
      <c r="BI554" s="3"/>
    </row>
    <row r="555" spans="1:61" ht="13" customHeight="1">
      <c r="B555" s="52" t="s">
        <v>113</v>
      </c>
      <c r="C555" s="1680" t="s">
        <v>2682</v>
      </c>
      <c r="D555" s="1680"/>
      <c r="E555" s="1680"/>
      <c r="F555" s="1680"/>
      <c r="G555" s="1680"/>
      <c r="H555" s="1680"/>
      <c r="I555" s="1680"/>
      <c r="J555" s="1680"/>
      <c r="K555" s="1680"/>
      <c r="L555" s="1680"/>
      <c r="M555" s="1692" t="s">
        <v>2123</v>
      </c>
      <c r="N555" s="1692"/>
      <c r="O555" s="1692"/>
      <c r="P555" s="1692"/>
      <c r="Q555" s="1451">
        <v>36</v>
      </c>
      <c r="R555" s="1452"/>
      <c r="S555" s="1453"/>
      <c r="T555" s="1451"/>
      <c r="U555" s="1452"/>
      <c r="V555" s="1453"/>
      <c r="W555" s="1454">
        <v>7.1499999999999994E-2</v>
      </c>
      <c r="X555" s="1455"/>
      <c r="Y555" s="1456"/>
      <c r="Z555" s="1693" t="s">
        <v>2725</v>
      </c>
      <c r="AA555" s="1693"/>
      <c r="AB555" s="1693"/>
      <c r="AC555" s="1693"/>
      <c r="AD555" s="1693"/>
      <c r="AE555" s="1674"/>
      <c r="AF555" s="1675"/>
      <c r="AG555" s="1675"/>
      <c r="AH555" s="1676"/>
      <c r="AI555" s="1677"/>
      <c r="AJ555" s="1678"/>
      <c r="AK555" s="1678"/>
      <c r="AL555" s="1679"/>
      <c r="AM555" s="1667">
        <v>11300000</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3" customHeight="1">
      <c r="B556" s="52" t="s">
        <v>119</v>
      </c>
      <c r="C556" s="1680" t="s">
        <v>2683</v>
      </c>
      <c r="D556" s="1680"/>
      <c r="E556" s="1680"/>
      <c r="F556" s="1680"/>
      <c r="G556" s="1680"/>
      <c r="H556" s="1680"/>
      <c r="I556" s="1680"/>
      <c r="J556" s="1680"/>
      <c r="K556" s="1680"/>
      <c r="L556" s="1680"/>
      <c r="M556" s="1692" t="s">
        <v>2121</v>
      </c>
      <c r="N556" s="1692"/>
      <c r="O556" s="1692"/>
      <c r="P556" s="1692"/>
      <c r="Q556" s="1451">
        <v>36</v>
      </c>
      <c r="R556" s="1452"/>
      <c r="S556" s="1453"/>
      <c r="T556" s="1451"/>
      <c r="U556" s="1452"/>
      <c r="V556" s="1453"/>
      <c r="W556" s="1454">
        <v>7.1499999999999994E-2</v>
      </c>
      <c r="X556" s="1455"/>
      <c r="Y556" s="1456"/>
      <c r="Z556" s="1693" t="s">
        <v>2725</v>
      </c>
      <c r="AA556" s="1693"/>
      <c r="AB556" s="1693"/>
      <c r="AC556" s="1693"/>
      <c r="AD556" s="1693"/>
      <c r="AE556" s="1674"/>
      <c r="AF556" s="1675"/>
      <c r="AG556" s="1675"/>
      <c r="AH556" s="1676"/>
      <c r="AI556" s="1677"/>
      <c r="AJ556" s="1678"/>
      <c r="AK556" s="1678"/>
      <c r="AL556" s="1679"/>
      <c r="AM556" s="1667">
        <v>13693154</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3" customHeight="1">
      <c r="B557" s="52" t="s">
        <v>582</v>
      </c>
      <c r="C557" s="1680" t="s">
        <v>2684</v>
      </c>
      <c r="D557" s="1680"/>
      <c r="E557" s="1680"/>
      <c r="F557" s="1680"/>
      <c r="G557" s="1680"/>
      <c r="H557" s="1680"/>
      <c r="I557" s="1680"/>
      <c r="J557" s="1680"/>
      <c r="K557" s="1680"/>
      <c r="L557" s="1680"/>
      <c r="M557" s="1692" t="s">
        <v>2113</v>
      </c>
      <c r="N557" s="1692"/>
      <c r="O557" s="1692"/>
      <c r="P557" s="1692"/>
      <c r="Q557" s="1451"/>
      <c r="R557" s="1452"/>
      <c r="S557" s="1453"/>
      <c r="T557" s="1451"/>
      <c r="U557" s="1452"/>
      <c r="V557" s="1453"/>
      <c r="W557" s="1454"/>
      <c r="X557" s="1455"/>
      <c r="Y557" s="1456"/>
      <c r="Z557" s="1693" t="s">
        <v>592</v>
      </c>
      <c r="AA557" s="1693"/>
      <c r="AB557" s="1693"/>
      <c r="AC557" s="1693"/>
      <c r="AD557" s="1693"/>
      <c r="AE557" s="1674"/>
      <c r="AF557" s="1675"/>
      <c r="AG557" s="1675"/>
      <c r="AH557" s="1676"/>
      <c r="AI557" s="1677"/>
      <c r="AJ557" s="1678"/>
      <c r="AK557" s="1678"/>
      <c r="AL557" s="1679"/>
      <c r="AM557" s="1667">
        <v>12115516</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3" customHeight="1">
      <c r="B558" s="52" t="s">
        <v>764</v>
      </c>
      <c r="C558" s="1680" t="s">
        <v>2325</v>
      </c>
      <c r="D558" s="1680"/>
      <c r="E558" s="1680"/>
      <c r="F558" s="1680"/>
      <c r="G558" s="1680"/>
      <c r="H558" s="1680"/>
      <c r="I558" s="1680"/>
      <c r="J558" s="1680"/>
      <c r="K558" s="1680"/>
      <c r="L558" s="1680"/>
      <c r="M558" s="1692" t="s">
        <v>2109</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15028312</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No</v>
      </c>
    </row>
    <row r="559" spans="1:61" ht="13" customHeight="1">
      <c r="B559" s="52" t="s">
        <v>585</v>
      </c>
      <c r="C559" s="1680" t="s">
        <v>2685</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v>1154808</v>
      </c>
      <c r="AN559" s="1668"/>
      <c r="AO559" s="1668"/>
      <c r="AP559" s="1668"/>
      <c r="AQ559" s="1668"/>
      <c r="AR559" s="1668"/>
      <c r="AS559" s="1669"/>
      <c r="AT559" s="1150" t="str">
        <f t="shared" si="0"/>
        <v/>
      </c>
      <c r="AU559" s="1149"/>
      <c r="BB559" s="3"/>
      <c r="BC559" s="3"/>
      <c r="BD559" s="3"/>
      <c r="BE559" s="3"/>
      <c r="BF559" s="3"/>
      <c r="BG559" s="3"/>
      <c r="BH559" s="3" t="s">
        <v>585</v>
      </c>
      <c r="BI559" s="3" t="str">
        <f>AG665</f>
        <v>No</v>
      </c>
    </row>
    <row r="560" spans="1:61" ht="13" customHeight="1">
      <c r="B560" s="52" t="s">
        <v>456</v>
      </c>
      <c r="C560" s="1680" t="s">
        <v>2686</v>
      </c>
      <c r="D560" s="1680"/>
      <c r="E560" s="1680"/>
      <c r="F560" s="1680"/>
      <c r="G560" s="1680"/>
      <c r="H560" s="1680"/>
      <c r="I560" s="1680"/>
      <c r="J560" s="1680"/>
      <c r="K560" s="1680"/>
      <c r="L560" s="1680"/>
      <c r="M560" s="1692" t="s">
        <v>2114</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17800000</v>
      </c>
      <c r="AN560" s="1668"/>
      <c r="AO560" s="1668"/>
      <c r="AP560" s="1668"/>
      <c r="AQ560" s="1668"/>
      <c r="AR560" s="1668"/>
      <c r="AS560" s="1669"/>
      <c r="AT560" s="1150" t="str">
        <f t="shared" si="0"/>
        <v/>
      </c>
      <c r="AU560" s="1149"/>
      <c r="BB560" s="3"/>
      <c r="BC560" s="3"/>
      <c r="BD560" s="3"/>
      <c r="BE560" s="3"/>
      <c r="BF560" s="3"/>
      <c r="BG560" s="3"/>
      <c r="BH560" s="3"/>
      <c r="BI560" s="3"/>
    </row>
    <row r="561" spans="1:61" ht="13" customHeight="1">
      <c r="B561" s="52" t="s">
        <v>457</v>
      </c>
      <c r="C561" s="1680"/>
      <c r="D561" s="1680"/>
      <c r="E561" s="1680"/>
      <c r="F561" s="1680"/>
      <c r="G561" s="1680"/>
      <c r="H561" s="1680"/>
      <c r="I561" s="1680"/>
      <c r="J561" s="1680"/>
      <c r="K561" s="1680"/>
      <c r="L561" s="1680"/>
      <c r="M561" s="1692" t="s">
        <v>1185</v>
      </c>
      <c r="N561" s="1692"/>
      <c r="O561" s="1692"/>
      <c r="P561" s="1692"/>
      <c r="Q561" s="1451"/>
      <c r="R561" s="1452"/>
      <c r="S561" s="1453"/>
      <c r="T561" s="1451"/>
      <c r="U561" s="1452"/>
      <c r="V561" s="1453"/>
      <c r="W561" s="1454"/>
      <c r="X561" s="1455"/>
      <c r="Y561" s="1456"/>
      <c r="Z561" s="1693" t="s">
        <v>1185</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50" t="str">
        <f t="shared" si="0"/>
        <v/>
      </c>
      <c r="AU561" s="1149"/>
      <c r="BB561" s="3"/>
      <c r="BC561" s="3"/>
      <c r="BD561" s="3"/>
      <c r="BE561" s="3"/>
      <c r="BF561" s="3"/>
      <c r="BG561" s="3"/>
      <c r="BH561" s="3"/>
      <c r="BI561" s="3"/>
    </row>
    <row r="562" spans="1:61" ht="13" customHeight="1">
      <c r="B562" s="52" t="s">
        <v>462</v>
      </c>
      <c r="C562" s="1680"/>
      <c r="D562" s="1680"/>
      <c r="E562" s="1680"/>
      <c r="F562" s="1680"/>
      <c r="G562" s="1680"/>
      <c r="H562" s="1680"/>
      <c r="I562" s="1680"/>
      <c r="J562" s="1680"/>
      <c r="K562" s="1680"/>
      <c r="L562" s="1680"/>
      <c r="M562" s="1692" t="s">
        <v>1185</v>
      </c>
      <c r="N562" s="1692"/>
      <c r="O562" s="1692"/>
      <c r="P562" s="1692"/>
      <c r="Q562" s="1451"/>
      <c r="R562" s="1452"/>
      <c r="S562" s="1453"/>
      <c r="T562" s="1451"/>
      <c r="U562" s="1452"/>
      <c r="V562" s="1453"/>
      <c r="W562" s="1454"/>
      <c r="X562" s="1455"/>
      <c r="Y562" s="1456"/>
      <c r="Z562" s="1693" t="s">
        <v>1185</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50" t="str">
        <f t="shared" si="0"/>
        <v/>
      </c>
      <c r="AU562" s="1149"/>
      <c r="BB562" s="3"/>
      <c r="BC562" s="3"/>
      <c r="BD562" s="3"/>
      <c r="BE562" s="3"/>
      <c r="BF562" s="3"/>
      <c r="BG562" s="3"/>
      <c r="BH562" s="3"/>
      <c r="BI562" s="3"/>
    </row>
    <row r="563" spans="1:61" ht="13"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3"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3"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3"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140091790</v>
      </c>
      <c r="AN566" s="1615"/>
      <c r="AO566" s="1615"/>
      <c r="AP566" s="1615"/>
      <c r="AQ566" s="1615"/>
      <c r="AR566" s="1615"/>
      <c r="AS566" s="161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7" t="str">
        <f>C554</f>
        <v>Berkadia - TEB</v>
      </c>
      <c r="H568" s="1357"/>
      <c r="I568" s="1357"/>
      <c r="J568" s="1357"/>
      <c r="K568" s="1357"/>
      <c r="L568" s="1357"/>
      <c r="M568" s="1357"/>
      <c r="N568" s="1357"/>
      <c r="O568" s="1357"/>
      <c r="P568" s="1357"/>
      <c r="Q568" s="1357"/>
      <c r="R568" s="1357"/>
      <c r="S568" s="8"/>
      <c r="T568" s="55" t="s">
        <v>113</v>
      </c>
      <c r="U568" t="s">
        <v>464</v>
      </c>
      <c r="Z568" s="1357" t="str">
        <f>C555</f>
        <v>Berkadia - Recycled Bonds</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3" customHeight="1">
      <c r="A569" s="22"/>
      <c r="B569" t="s">
        <v>85</v>
      </c>
      <c r="G569" s="1371" t="s">
        <v>2687</v>
      </c>
      <c r="H569" s="1371"/>
      <c r="I569" s="1371"/>
      <c r="J569" s="1371"/>
      <c r="K569" s="1371"/>
      <c r="L569" s="1371"/>
      <c r="M569" s="1371"/>
      <c r="N569" s="1371"/>
      <c r="O569" s="1371"/>
      <c r="P569" s="1371"/>
      <c r="Q569" s="1371"/>
      <c r="R569" s="1371"/>
      <c r="S569" s="8"/>
      <c r="T569" s="22"/>
      <c r="U569" t="s">
        <v>85</v>
      </c>
      <c r="Z569" s="1371" t="s">
        <v>2687</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581</v>
      </c>
      <c r="G570" s="1371" t="s">
        <v>495</v>
      </c>
      <c r="H570" s="1371"/>
      <c r="I570" s="1371"/>
      <c r="J570" s="1371"/>
      <c r="K570" s="1371"/>
      <c r="L570" s="1371"/>
      <c r="M570" s="1371"/>
      <c r="N570" s="1371"/>
      <c r="O570" s="1371"/>
      <c r="P570" s="1371"/>
      <c r="Q570" s="1371"/>
      <c r="R570" s="1371"/>
      <c r="T570" s="22"/>
      <c r="U570" t="s">
        <v>581</v>
      </c>
      <c r="Z570" s="1347" t="s">
        <v>495</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3" customHeight="1">
      <c r="A571" s="22"/>
      <c r="B571" t="s">
        <v>17</v>
      </c>
      <c r="G571" s="1371" t="s">
        <v>2688</v>
      </c>
      <c r="H571" s="1371"/>
      <c r="I571" s="1371"/>
      <c r="J571" s="1371"/>
      <c r="K571" s="1371"/>
      <c r="L571" s="1371"/>
      <c r="M571" s="1371"/>
      <c r="N571" s="1371"/>
      <c r="O571" s="1371"/>
      <c r="P571" s="1371"/>
      <c r="Q571" s="1371"/>
      <c r="R571" s="1371"/>
      <c r="S571" s="8"/>
      <c r="T571" s="22"/>
      <c r="U571" t="s">
        <v>17</v>
      </c>
      <c r="Z571" s="1347" t="s">
        <v>2688</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3" customHeight="1">
      <c r="A572" s="22"/>
      <c r="B572" t="s">
        <v>316</v>
      </c>
      <c r="G572" s="1345" t="s">
        <v>2690</v>
      </c>
      <c r="H572" s="1345"/>
      <c r="I572" s="1345"/>
      <c r="J572" s="1345"/>
      <c r="K572" s="1345"/>
      <c r="L572" s="1345"/>
      <c r="O572" s="33" t="s">
        <v>206</v>
      </c>
      <c r="P572" s="1436"/>
      <c r="Q572" s="1436"/>
      <c r="R572" s="1436"/>
      <c r="S572" s="10"/>
      <c r="T572" s="22"/>
      <c r="U572" t="s">
        <v>316</v>
      </c>
      <c r="Z572" s="1345" t="s">
        <v>2690</v>
      </c>
      <c r="AA572" s="1345"/>
      <c r="AB572" s="1345"/>
      <c r="AC572" s="1345"/>
      <c r="AD572" s="1345"/>
      <c r="AE572" s="1345"/>
      <c r="AH572" s="33" t="s">
        <v>206</v>
      </c>
      <c r="AI572" s="1436"/>
      <c r="AJ572" s="1436"/>
      <c r="AK572" s="1436"/>
      <c r="BB572" s="3"/>
      <c r="BC572" s="3"/>
      <c r="BD572" s="3"/>
      <c r="BE572" s="3"/>
      <c r="BF572" s="3"/>
      <c r="BG572" s="3"/>
      <c r="BH572" s="3"/>
      <c r="BI572" s="3"/>
    </row>
    <row r="573" spans="1:61" ht="13" customHeight="1">
      <c r="A573" s="22"/>
      <c r="B573" t="s">
        <v>18</v>
      </c>
      <c r="H573" s="1371" t="s">
        <v>2689</v>
      </c>
      <c r="I573" s="1371"/>
      <c r="J573" s="1371"/>
      <c r="K573" s="1371"/>
      <c r="L573" s="1371"/>
      <c r="M573" s="1371"/>
      <c r="N573" s="1371"/>
      <c r="O573" s="1371"/>
      <c r="P573" s="1371"/>
      <c r="Q573" s="1371"/>
      <c r="R573" s="1371"/>
      <c r="S573" s="8"/>
      <c r="T573" s="22"/>
      <c r="U573" t="s">
        <v>18</v>
      </c>
      <c r="AA573" s="1371" t="s">
        <v>2691</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3" customHeight="1">
      <c r="A575" s="22"/>
      <c r="B575" t="s">
        <v>20</v>
      </c>
      <c r="N575" s="1331" t="s">
        <v>546</v>
      </c>
      <c r="O575" s="1331"/>
      <c r="T575" s="22"/>
      <c r="U575" t="s">
        <v>20</v>
      </c>
      <c r="AG575" s="1331" t="s">
        <v>546</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7" t="str">
        <f>C556</f>
        <v>Berkadia - Taxable Tail</v>
      </c>
      <c r="H577" s="1357"/>
      <c r="I577" s="1357"/>
      <c r="J577" s="1357"/>
      <c r="K577" s="1357"/>
      <c r="L577" s="1357"/>
      <c r="M577" s="1357"/>
      <c r="N577" s="1357"/>
      <c r="O577" s="1357"/>
      <c r="P577" s="1357"/>
      <c r="Q577" s="1357"/>
      <c r="R577" s="1357"/>
      <c r="T577" s="55" t="s">
        <v>582</v>
      </c>
      <c r="U577" t="s">
        <v>464</v>
      </c>
      <c r="Z577" s="1357" t="str">
        <f>C557</f>
        <v>CREA - Tax Credit Equity</v>
      </c>
      <c r="AA577" s="1357"/>
      <c r="AB577" s="1357"/>
      <c r="AC577" s="1357"/>
      <c r="AD577" s="1357"/>
      <c r="AE577" s="1357"/>
      <c r="AF577" s="1357"/>
      <c r="AG577" s="1357"/>
      <c r="AH577" s="1357"/>
      <c r="AI577" s="1357"/>
      <c r="AJ577" s="1357"/>
      <c r="AK577" s="1357"/>
      <c r="BB577" s="3"/>
      <c r="BC577" s="3"/>
    </row>
    <row r="578" spans="1:55" ht="13" customHeight="1">
      <c r="A578" s="22"/>
      <c r="B578" t="s">
        <v>85</v>
      </c>
      <c r="G578" s="1371" t="s">
        <v>2687</v>
      </c>
      <c r="H578" s="1371"/>
      <c r="I578" s="1371"/>
      <c r="J578" s="1371"/>
      <c r="K578" s="1371"/>
      <c r="L578" s="1371"/>
      <c r="M578" s="1371"/>
      <c r="N578" s="1371"/>
      <c r="O578" s="1371"/>
      <c r="P578" s="1371"/>
      <c r="Q578" s="1371"/>
      <c r="R578" s="1371"/>
      <c r="T578" s="22"/>
      <c r="U578" t="s">
        <v>85</v>
      </c>
      <c r="Z578" s="1371" t="s">
        <v>2654</v>
      </c>
      <c r="AA578" s="1371"/>
      <c r="AB578" s="1371"/>
      <c r="AC578" s="1371"/>
      <c r="AD578" s="1371"/>
      <c r="AE578" s="1371"/>
      <c r="AF578" s="1371"/>
      <c r="AG578" s="1371"/>
      <c r="AH578" s="1371"/>
      <c r="AI578" s="1371"/>
      <c r="AJ578" s="1371"/>
      <c r="AK578" s="1371"/>
      <c r="BB578" s="3"/>
      <c r="BC578" s="3"/>
    </row>
    <row r="579" spans="1:55" ht="13" customHeight="1">
      <c r="A579" s="22"/>
      <c r="B579" t="s">
        <v>581</v>
      </c>
      <c r="G579" s="1347" t="s">
        <v>495</v>
      </c>
      <c r="H579" s="1347"/>
      <c r="I579" s="1347"/>
      <c r="J579" s="1347"/>
      <c r="K579" s="1347"/>
      <c r="L579" s="1347"/>
      <c r="M579" s="1347"/>
      <c r="N579" s="1347"/>
      <c r="O579" s="1347"/>
      <c r="P579" s="1347"/>
      <c r="Q579" s="1347"/>
      <c r="R579" s="1347"/>
      <c r="T579" s="22"/>
      <c r="U579" t="s">
        <v>581</v>
      </c>
      <c r="Z579" s="1347" t="s">
        <v>730</v>
      </c>
      <c r="AA579" s="1347"/>
      <c r="AB579" s="1347"/>
      <c r="AC579" s="1347"/>
      <c r="AD579" s="1347"/>
      <c r="AE579" s="1347"/>
      <c r="AF579" s="1347"/>
      <c r="AG579" s="1347"/>
      <c r="AH579" s="1347"/>
      <c r="AI579" s="1347"/>
      <c r="AJ579" s="1347"/>
      <c r="AK579" s="1347"/>
      <c r="BB579" s="3"/>
      <c r="BC579" s="3"/>
    </row>
    <row r="580" spans="1:55" ht="13" customHeight="1">
      <c r="A580" s="22"/>
      <c r="B580" t="s">
        <v>17</v>
      </c>
      <c r="G580" s="1347" t="s">
        <v>2688</v>
      </c>
      <c r="H580" s="1347"/>
      <c r="I580" s="1347"/>
      <c r="J580" s="1347"/>
      <c r="K580" s="1347"/>
      <c r="L580" s="1347"/>
      <c r="M580" s="1347"/>
      <c r="N580" s="1347"/>
      <c r="O580" s="1347"/>
      <c r="P580" s="1347"/>
      <c r="Q580" s="1347"/>
      <c r="R580" s="1347"/>
      <c r="T580" s="22"/>
      <c r="U580" t="s">
        <v>17</v>
      </c>
      <c r="Z580" s="1347" t="s">
        <v>2656</v>
      </c>
      <c r="AA580" s="1347"/>
      <c r="AB580" s="1347"/>
      <c r="AC580" s="1347"/>
      <c r="AD580" s="1347"/>
      <c r="AE580" s="1347"/>
      <c r="AF580" s="1347"/>
      <c r="AG580" s="1347"/>
      <c r="AH580" s="1347"/>
      <c r="AI580" s="1347"/>
      <c r="AJ580" s="1347"/>
      <c r="AK580" s="1347"/>
      <c r="BB580" s="3"/>
      <c r="BC580" s="3"/>
    </row>
    <row r="581" spans="1:55" ht="13" customHeight="1">
      <c r="A581" s="22"/>
      <c r="B581" t="s">
        <v>316</v>
      </c>
      <c r="G581" s="1345" t="s">
        <v>2690</v>
      </c>
      <c r="H581" s="1345"/>
      <c r="I581" s="1345"/>
      <c r="J581" s="1345"/>
      <c r="K581" s="1345"/>
      <c r="L581" s="1345"/>
      <c r="O581" s="33" t="s">
        <v>206</v>
      </c>
      <c r="P581" s="1436"/>
      <c r="Q581" s="1436"/>
      <c r="R581" s="1436"/>
      <c r="T581" s="22"/>
      <c r="U581" t="s">
        <v>316</v>
      </c>
      <c r="Z581" s="1345" t="s">
        <v>2657</v>
      </c>
      <c r="AA581" s="1345"/>
      <c r="AB581" s="1345"/>
      <c r="AC581" s="1345"/>
      <c r="AD581" s="1345"/>
      <c r="AE581" s="1345"/>
      <c r="AH581" s="33" t="s">
        <v>206</v>
      </c>
      <c r="AI581" s="1436"/>
      <c r="AJ581" s="1436"/>
      <c r="AK581" s="1436"/>
      <c r="BB581" s="3"/>
      <c r="BC581" s="3"/>
    </row>
    <row r="582" spans="1:55" ht="13" customHeight="1">
      <c r="A582" s="22"/>
      <c r="B582" t="s">
        <v>18</v>
      </c>
      <c r="H582" s="1371" t="s">
        <v>2121</v>
      </c>
      <c r="I582" s="1371"/>
      <c r="J582" s="1371"/>
      <c r="K582" s="1371"/>
      <c r="L582" s="1371"/>
      <c r="M582" s="1371"/>
      <c r="N582" s="1371"/>
      <c r="O582" s="1371"/>
      <c r="P582" s="1371"/>
      <c r="Q582" s="1371"/>
      <c r="R582" s="1371"/>
      <c r="T582" s="22"/>
      <c r="U582" t="s">
        <v>18</v>
      </c>
      <c r="AA582" s="1371" t="s">
        <v>2692</v>
      </c>
      <c r="AB582" s="1371"/>
      <c r="AC582" s="1371"/>
      <c r="AD582" s="1371"/>
      <c r="AE582" s="1371"/>
      <c r="AF582" s="1371"/>
      <c r="AG582" s="1371"/>
      <c r="AH582" s="1371"/>
      <c r="AI582" s="1371"/>
      <c r="AJ582" s="1371"/>
      <c r="AK582" s="1371"/>
      <c r="BB582" s="3"/>
      <c r="BC582" s="3"/>
    </row>
    <row r="583" spans="1:55" ht="13" customHeight="1">
      <c r="A583" s="22"/>
      <c r="B583" t="s">
        <v>20</v>
      </c>
      <c r="N583" s="1331" t="s">
        <v>546</v>
      </c>
      <c r="O583" s="1331"/>
      <c r="T583" s="22"/>
      <c r="U583" t="s">
        <v>20</v>
      </c>
      <c r="AG583" s="1331" t="s">
        <v>546</v>
      </c>
      <c r="AH583" s="1331"/>
      <c r="BB583" s="3"/>
      <c r="BC583" s="3"/>
    </row>
    <row r="584" spans="1:55" ht="13" customHeight="1">
      <c r="A584" s="22"/>
      <c r="T584" s="22"/>
      <c r="BB584" s="3"/>
      <c r="BC584" s="3"/>
    </row>
    <row r="585" spans="1:55" ht="13" customHeight="1">
      <c r="A585" s="55" t="s">
        <v>764</v>
      </c>
      <c r="B585" t="s">
        <v>464</v>
      </c>
      <c r="G585" s="1357" t="str">
        <f>C558</f>
        <v>Deferred Developer Fee</v>
      </c>
      <c r="H585" s="1357"/>
      <c r="I585" s="1357"/>
      <c r="J585" s="1357"/>
      <c r="K585" s="1357"/>
      <c r="L585" s="1357"/>
      <c r="M585" s="1357"/>
      <c r="N585" s="1357"/>
      <c r="O585" s="1357"/>
      <c r="P585" s="1357"/>
      <c r="Q585" s="1357"/>
      <c r="R585" s="1357"/>
      <c r="T585" s="55" t="s">
        <v>585</v>
      </c>
      <c r="U585" t="s">
        <v>464</v>
      </c>
      <c r="Z585" s="1357" t="str">
        <f>C559</f>
        <v>Deferred Reserve Funding</v>
      </c>
      <c r="AA585" s="1357"/>
      <c r="AB585" s="1357"/>
      <c r="AC585" s="1357"/>
      <c r="AD585" s="1357"/>
      <c r="AE585" s="1357"/>
      <c r="AF585" s="1357"/>
      <c r="AG585" s="1357"/>
      <c r="AH585" s="1357"/>
      <c r="AI585" s="1357"/>
      <c r="AJ585" s="1357"/>
      <c r="AK585" s="1357"/>
      <c r="BB585" s="3"/>
      <c r="BC585" s="3"/>
    </row>
    <row r="586" spans="1:55" ht="13" customHeight="1">
      <c r="A586" s="22"/>
      <c r="B586" t="s">
        <v>85</v>
      </c>
      <c r="G586" s="1371" t="s">
        <v>2627</v>
      </c>
      <c r="H586" s="1371"/>
      <c r="I586" s="1371"/>
      <c r="J586" s="1371"/>
      <c r="K586" s="1371"/>
      <c r="L586" s="1371"/>
      <c r="M586" s="1371"/>
      <c r="N586" s="1371"/>
      <c r="O586" s="1371"/>
      <c r="P586" s="1371"/>
      <c r="Q586" s="1371"/>
      <c r="R586" s="1371"/>
      <c r="T586" s="22"/>
      <c r="U586" t="s">
        <v>85</v>
      </c>
      <c r="Z586" s="1371" t="s">
        <v>2627</v>
      </c>
      <c r="AA586" s="1371"/>
      <c r="AB586" s="1371"/>
      <c r="AC586" s="1371"/>
      <c r="AD586" s="1371"/>
      <c r="AE586" s="1371"/>
      <c r="AF586" s="1371"/>
      <c r="AG586" s="1371"/>
      <c r="AH586" s="1371"/>
      <c r="AI586" s="1371"/>
      <c r="AJ586" s="1371"/>
      <c r="AK586" s="1371"/>
      <c r="BB586" s="3"/>
      <c r="BC586" s="3"/>
    </row>
    <row r="587" spans="1:55" ht="13" customHeight="1">
      <c r="A587" s="22"/>
      <c r="B587" t="s">
        <v>581</v>
      </c>
      <c r="G587" s="1371" t="s">
        <v>2615</v>
      </c>
      <c r="H587" s="1371"/>
      <c r="I587" s="1371"/>
      <c r="J587" s="1371"/>
      <c r="K587" s="1371"/>
      <c r="L587" s="1371"/>
      <c r="M587" s="1371"/>
      <c r="N587" s="1371"/>
      <c r="O587" s="1371"/>
      <c r="P587" s="1371"/>
      <c r="Q587" s="1371"/>
      <c r="R587" s="1371"/>
      <c r="T587" s="22"/>
      <c r="U587" t="s">
        <v>581</v>
      </c>
      <c r="Z587" s="1347" t="s">
        <v>2615</v>
      </c>
      <c r="AA587" s="1347"/>
      <c r="AB587" s="1347"/>
      <c r="AC587" s="1347"/>
      <c r="AD587" s="1347"/>
      <c r="AE587" s="1347"/>
      <c r="AF587" s="1347"/>
      <c r="AG587" s="1347"/>
      <c r="AH587" s="1347"/>
      <c r="AI587" s="1347"/>
      <c r="AJ587" s="1347"/>
      <c r="AK587" s="1347"/>
      <c r="BB587" s="3"/>
      <c r="BC587" s="3"/>
    </row>
    <row r="588" spans="1:55" ht="13" customHeight="1">
      <c r="A588" s="22"/>
      <c r="B588" t="s">
        <v>17</v>
      </c>
      <c r="G588" s="1371" t="s">
        <v>2628</v>
      </c>
      <c r="H588" s="1371"/>
      <c r="I588" s="1371"/>
      <c r="J588" s="1371"/>
      <c r="K588" s="1371"/>
      <c r="L588" s="1371"/>
      <c r="M588" s="1371"/>
      <c r="N588" s="1371"/>
      <c r="O588" s="1371"/>
      <c r="P588" s="1371"/>
      <c r="Q588" s="1371"/>
      <c r="R588" s="1371"/>
      <c r="T588" s="22"/>
      <c r="U588" t="s">
        <v>17</v>
      </c>
      <c r="Z588" s="1347" t="s">
        <v>2628</v>
      </c>
      <c r="AA588" s="1347"/>
      <c r="AB588" s="1347"/>
      <c r="AC588" s="1347"/>
      <c r="AD588" s="1347"/>
      <c r="AE588" s="1347"/>
      <c r="AF588" s="1347"/>
      <c r="AG588" s="1347"/>
      <c r="AH588" s="1347"/>
      <c r="AI588" s="1347"/>
      <c r="AJ588" s="1347"/>
      <c r="AK588" s="1347"/>
    </row>
    <row r="589" spans="1:55" ht="13" customHeight="1">
      <c r="A589" s="22"/>
      <c r="B589" t="s">
        <v>316</v>
      </c>
      <c r="G589" s="1345" t="s">
        <v>2693</v>
      </c>
      <c r="H589" s="1345"/>
      <c r="I589" s="1345"/>
      <c r="J589" s="1345"/>
      <c r="K589" s="1345"/>
      <c r="L589" s="1345"/>
      <c r="O589" s="33" t="s">
        <v>206</v>
      </c>
      <c r="P589" s="1436"/>
      <c r="Q589" s="1436"/>
      <c r="R589" s="1436"/>
      <c r="T589" s="22"/>
      <c r="U589" t="s">
        <v>316</v>
      </c>
      <c r="Z589" s="1345" t="s">
        <v>2693</v>
      </c>
      <c r="AA589" s="1345"/>
      <c r="AB589" s="1345"/>
      <c r="AC589" s="1345"/>
      <c r="AD589" s="1345"/>
      <c r="AE589" s="1345"/>
      <c r="AH589" s="33" t="s">
        <v>206</v>
      </c>
      <c r="AI589" s="1436"/>
      <c r="AJ589" s="1436"/>
      <c r="AK589" s="1436"/>
      <c r="AZ589" s="3"/>
      <c r="BA589" s="3"/>
      <c r="BB589" s="3"/>
      <c r="BC589" s="3"/>
    </row>
    <row r="590" spans="1:55" ht="13" customHeight="1">
      <c r="A590" s="22"/>
      <c r="B590" t="s">
        <v>18</v>
      </c>
      <c r="H590" s="1371" t="s">
        <v>2325</v>
      </c>
      <c r="I590" s="1371"/>
      <c r="J590" s="1371"/>
      <c r="K590" s="1371"/>
      <c r="L590" s="1371"/>
      <c r="M590" s="1371"/>
      <c r="N590" s="1371"/>
      <c r="O590" s="1371"/>
      <c r="P590" s="1371"/>
      <c r="Q590" s="1371"/>
      <c r="R590" s="1371"/>
      <c r="T590" s="22"/>
      <c r="U590" t="s">
        <v>18</v>
      </c>
      <c r="AA590" s="1371" t="s">
        <v>2694</v>
      </c>
      <c r="AB590" s="1371"/>
      <c r="AC590" s="1371"/>
      <c r="AD590" s="1371"/>
      <c r="AE590" s="1371"/>
      <c r="AF590" s="1371"/>
      <c r="AG590" s="1371"/>
      <c r="AH590" s="1371"/>
      <c r="AI590" s="1371"/>
      <c r="AJ590" s="1371"/>
      <c r="AK590" s="1371"/>
      <c r="AZ590" s="3"/>
      <c r="BA590" s="3"/>
      <c r="BB590" s="3"/>
      <c r="BC590" s="3"/>
    </row>
    <row r="591" spans="1:55" ht="13" customHeight="1">
      <c r="A591" s="22"/>
      <c r="B591" t="s">
        <v>20</v>
      </c>
      <c r="N591" s="1331" t="s">
        <v>546</v>
      </c>
      <c r="O591" s="1331"/>
      <c r="T591" s="22"/>
      <c r="U591" t="s">
        <v>20</v>
      </c>
      <c r="AG591" s="1331" t="s">
        <v>546</v>
      </c>
      <c r="AH591" s="1331"/>
      <c r="AZ591" s="3"/>
      <c r="BA591" s="3"/>
      <c r="BB591" s="3"/>
      <c r="BC591" s="3"/>
    </row>
    <row r="592" spans="1:55" ht="13" customHeight="1">
      <c r="A592" s="22"/>
      <c r="T592" s="22"/>
      <c r="AZ592" s="3"/>
      <c r="BA592" s="3"/>
      <c r="BB592" s="3"/>
      <c r="BC592" s="3"/>
    </row>
    <row r="593" spans="1:55" ht="13" customHeight="1">
      <c r="A593" s="55" t="s">
        <v>456</v>
      </c>
      <c r="B593" t="s">
        <v>464</v>
      </c>
      <c r="G593" s="1357" t="str">
        <f>C560</f>
        <v>Ground Lease TI Contribution</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3" customHeight="1">
      <c r="A594" s="22"/>
      <c r="B594" t="s">
        <v>85</v>
      </c>
      <c r="C594"/>
      <c r="D594"/>
      <c r="E594"/>
      <c r="F594"/>
      <c r="G594" s="1371" t="s">
        <v>2716</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t="s">
        <v>2717</v>
      </c>
      <c r="H595" s="1371"/>
      <c r="I595" s="1371"/>
      <c r="J595" s="1371"/>
      <c r="K595" s="1371"/>
      <c r="L595" s="1371"/>
      <c r="M595" s="1371"/>
      <c r="N595" s="1371"/>
      <c r="O595" s="1371"/>
      <c r="P595" s="1371"/>
      <c r="Q595" s="1371"/>
      <c r="R595" s="1371"/>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t="s">
        <v>2718</v>
      </c>
      <c r="H596" s="1371"/>
      <c r="I596" s="1371"/>
      <c r="J596" s="1371"/>
      <c r="K596" s="1371"/>
      <c r="L596" s="1371"/>
      <c r="M596" s="1371"/>
      <c r="N596" s="1371"/>
      <c r="O596" s="1371"/>
      <c r="P596" s="1371"/>
      <c r="Q596" s="1371"/>
      <c r="R596" s="1371"/>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70" t="s">
        <v>2719</v>
      </c>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2686</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1" t="s">
        <v>546</v>
      </c>
      <c r="O599" s="1331"/>
      <c r="T599" s="22"/>
      <c r="U599" t="s">
        <v>20</v>
      </c>
      <c r="AG599" s="1331" t="s">
        <v>670</v>
      </c>
      <c r="AH599" s="1331"/>
      <c r="BB599" s="3"/>
      <c r="BC599" s="3"/>
    </row>
    <row r="600" spans="1:55" ht="13" customHeight="1">
      <c r="A600" s="22"/>
      <c r="T600" s="22"/>
      <c r="BB600" s="3"/>
      <c r="BC600" s="3"/>
    </row>
    <row r="601" spans="1:55" ht="13"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3"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581</v>
      </c>
      <c r="G603" s="1371"/>
      <c r="H603" s="1371"/>
      <c r="I603" s="1371"/>
      <c r="J603" s="1371"/>
      <c r="K603" s="1371"/>
      <c r="L603" s="1371"/>
      <c r="M603" s="1371"/>
      <c r="N603" s="1371"/>
      <c r="O603" s="1371"/>
      <c r="P603" s="1371"/>
      <c r="Q603" s="1371"/>
      <c r="R603" s="1371"/>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3" customHeight="1">
      <c r="A604" s="22"/>
      <c r="B604" t="s">
        <v>17</v>
      </c>
      <c r="G604" s="1371"/>
      <c r="H604" s="1371"/>
      <c r="I604" s="1371"/>
      <c r="J604" s="1371"/>
      <c r="K604" s="1371"/>
      <c r="L604" s="1371"/>
      <c r="M604" s="1371"/>
      <c r="N604" s="1371"/>
      <c r="O604" s="1371"/>
      <c r="P604" s="1371"/>
      <c r="Q604" s="1371"/>
      <c r="R604" s="1371"/>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3" customHeight="1">
      <c r="A605" s="22"/>
      <c r="B605" t="s">
        <v>316</v>
      </c>
      <c r="C605"/>
      <c r="D605"/>
      <c r="E605"/>
      <c r="F605"/>
      <c r="G605" s="1345"/>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581</v>
      </c>
      <c r="G611" s="1371"/>
      <c r="H611" s="1371"/>
      <c r="I611" s="1371"/>
      <c r="J611" s="1371"/>
      <c r="K611" s="1371"/>
      <c r="L611" s="1371"/>
      <c r="M611" s="1371"/>
      <c r="N611" s="1371"/>
      <c r="O611" s="1371"/>
      <c r="P611" s="1371"/>
      <c r="Q611" s="1371"/>
      <c r="R611" s="1371"/>
      <c r="U611" t="s">
        <v>581</v>
      </c>
      <c r="Z611" s="1347"/>
      <c r="AA611" s="1347"/>
      <c r="AB611" s="1347"/>
      <c r="AC611" s="1347"/>
      <c r="AD611" s="1347"/>
      <c r="AE611" s="1347"/>
      <c r="AF611" s="1347"/>
      <c r="AG611" s="1347"/>
      <c r="AH611" s="1347"/>
      <c r="AI611" s="1347"/>
      <c r="AJ611" s="1347"/>
      <c r="AK611" s="1347"/>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7"/>
      <c r="AA612" s="1347"/>
      <c r="AB612" s="1347"/>
      <c r="AC612" s="1347"/>
      <c r="AD612" s="1347"/>
      <c r="AE612" s="1347"/>
      <c r="AF612" s="1347"/>
      <c r="AG612" s="1347"/>
      <c r="AH612" s="1347"/>
      <c r="AI612" s="1347"/>
      <c r="AJ612" s="1347"/>
      <c r="AK612" s="1347"/>
      <c r="AZ612" s="3"/>
      <c r="BA612" s="3"/>
      <c r="BB612" s="3"/>
      <c r="BC612" s="3"/>
    </row>
    <row r="613" spans="1:55" ht="13"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c r="B615" t="s">
        <v>20</v>
      </c>
      <c r="N615" s="1331" t="s">
        <v>670</v>
      </c>
      <c r="O615" s="1331"/>
      <c r="U615" t="s">
        <v>20</v>
      </c>
      <c r="AG615" s="1331" t="s">
        <v>670</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99" t="s">
        <v>2105</v>
      </c>
      <c r="C624" s="1699"/>
      <c r="D624" s="1699"/>
      <c r="E624" s="1699"/>
      <c r="F624" s="1699"/>
      <c r="G624" s="1699"/>
      <c r="H624" s="1699"/>
      <c r="I624" s="1699"/>
      <c r="J624" s="1699"/>
      <c r="K624" s="1699"/>
      <c r="L624" s="1699"/>
      <c r="M624" s="1441" t="s">
        <v>2106</v>
      </c>
      <c r="N624" s="1441"/>
      <c r="O624" s="1441"/>
      <c r="P624" s="1441"/>
      <c r="Q624" s="1441" t="s">
        <v>1854</v>
      </c>
      <c r="R624" s="1441"/>
      <c r="S624" s="1441"/>
      <c r="T624" s="1441" t="s">
        <v>1852</v>
      </c>
      <c r="U624" s="1441"/>
      <c r="V624" s="1441"/>
      <c r="W624" s="1700" t="s">
        <v>454</v>
      </c>
      <c r="X624" s="1700"/>
      <c r="Y624" s="1700"/>
      <c r="Z624" s="1430" t="s">
        <v>2135</v>
      </c>
      <c r="AA624" s="1430"/>
      <c r="AB624" s="1431"/>
      <c r="AC624" s="1681" t="s">
        <v>1677</v>
      </c>
      <c r="AD624" s="1682"/>
      <c r="AE624" s="1683"/>
      <c r="AF624" s="1671" t="s">
        <v>1932</v>
      </c>
      <c r="AG624" s="1430"/>
      <c r="AH624" s="1430"/>
      <c r="AI624" s="1430"/>
      <c r="AJ624" s="1431"/>
      <c r="AK624" s="1732" t="s">
        <v>1933</v>
      </c>
      <c r="AL624" s="1733"/>
      <c r="AM624" s="1733"/>
      <c r="AN624" s="1734"/>
      <c r="AO624" s="1441" t="s">
        <v>455</v>
      </c>
      <c r="AP624" s="1441"/>
      <c r="AQ624" s="1441"/>
      <c r="AR624" s="1441"/>
      <c r="AS624" s="1441"/>
      <c r="AU624" s="3"/>
      <c r="AZ624" s="3"/>
      <c r="BA624" s="3"/>
      <c r="BB624" s="3"/>
      <c r="BC624" s="3"/>
    </row>
    <row r="625" spans="2:157" ht="13"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3"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3" customHeight="1">
      <c r="B627" s="51" t="s">
        <v>112</v>
      </c>
      <c r="C627" s="1691" t="s">
        <v>2696</v>
      </c>
      <c r="D627" s="1691"/>
      <c r="E627" s="1691"/>
      <c r="F627" s="1691"/>
      <c r="G627" s="1691"/>
      <c r="H627" s="1691"/>
      <c r="I627" s="1691"/>
      <c r="J627" s="1691"/>
      <c r="K627" s="1691"/>
      <c r="L627" s="1691"/>
      <c r="M627" s="1617" t="s">
        <v>2116</v>
      </c>
      <c r="N627" s="1617"/>
      <c r="O627" s="1617"/>
      <c r="P627" s="1617"/>
      <c r="Q627" s="1425">
        <v>180</v>
      </c>
      <c r="R627" s="1425"/>
      <c r="S627" s="1426"/>
      <c r="T627" s="1424"/>
      <c r="U627" s="1425"/>
      <c r="V627" s="1426"/>
      <c r="W627" s="1437">
        <v>6.5000000000000002E-2</v>
      </c>
      <c r="X627" s="1438"/>
      <c r="Y627" s="1439"/>
      <c r="Z627" s="1477" t="s">
        <v>2134</v>
      </c>
      <c r="AA627" s="1478"/>
      <c r="AB627" s="1479"/>
      <c r="AC627" s="1445"/>
      <c r="AD627" s="1446"/>
      <c r="AE627" s="1447"/>
      <c r="AF627" s="1474">
        <v>3116433</v>
      </c>
      <c r="AG627" s="1475"/>
      <c r="AH627" s="1475"/>
      <c r="AI627" s="1475"/>
      <c r="AJ627" s="1476"/>
      <c r="AK627" s="1427"/>
      <c r="AL627" s="1428"/>
      <c r="AM627" s="1428"/>
      <c r="AN627" s="1429"/>
      <c r="AO627" s="1480">
        <v>44359000</v>
      </c>
      <c r="AP627" s="1480"/>
      <c r="AQ627" s="1480"/>
      <c r="AR627" s="1480"/>
      <c r="AS627" s="1480"/>
      <c r="AT627" s="3"/>
      <c r="AU627" s="3"/>
      <c r="AZ627" s="3"/>
      <c r="BA627" s="3"/>
      <c r="BB627" s="3"/>
      <c r="BC627" s="3"/>
      <c r="BD627" s="3"/>
    </row>
    <row r="628" spans="2:157" ht="13" customHeight="1">
      <c r="B628" s="52" t="s">
        <v>113</v>
      </c>
      <c r="C628" s="1691" t="s">
        <v>2697</v>
      </c>
      <c r="D628" s="1691"/>
      <c r="E628" s="1691"/>
      <c r="F628" s="1691"/>
      <c r="G628" s="1691"/>
      <c r="H628" s="1691"/>
      <c r="I628" s="1691"/>
      <c r="J628" s="1691"/>
      <c r="K628" s="1691"/>
      <c r="L628" s="1691"/>
      <c r="M628" s="1617" t="s">
        <v>2124</v>
      </c>
      <c r="N628" s="1617"/>
      <c r="O628" s="1617"/>
      <c r="P628" s="1617"/>
      <c r="Q628" s="1424"/>
      <c r="R628" s="1425"/>
      <c r="S628" s="1426"/>
      <c r="T628" s="1424"/>
      <c r="U628" s="1425"/>
      <c r="V628" s="1426"/>
      <c r="W628" s="1437"/>
      <c r="X628" s="1438"/>
      <c r="Y628" s="1439"/>
      <c r="Z628" s="1477" t="s">
        <v>2134</v>
      </c>
      <c r="AA628" s="1478"/>
      <c r="AB628" s="1479"/>
      <c r="AC628" s="1445"/>
      <c r="AD628" s="1446"/>
      <c r="AE628" s="1447"/>
      <c r="AF628" s="1474"/>
      <c r="AG628" s="1475"/>
      <c r="AH628" s="1475"/>
      <c r="AI628" s="1475"/>
      <c r="AJ628" s="1476"/>
      <c r="AK628" s="1427"/>
      <c r="AL628" s="1428"/>
      <c r="AM628" s="1428"/>
      <c r="AN628" s="1429"/>
      <c r="AO628" s="1465">
        <v>2434279</v>
      </c>
      <c r="AP628" s="1466"/>
      <c r="AQ628" s="1466"/>
      <c r="AR628" s="1466"/>
      <c r="AS628" s="1467"/>
      <c r="AT628" s="1150" t="str">
        <f>IF(AND(NOT(C627=""),C628="",NOT(C629="")),"!","")</f>
        <v/>
      </c>
      <c r="AU628" s="3"/>
      <c r="AZ628" s="3"/>
      <c r="BA628" s="3"/>
      <c r="BB628" s="3"/>
      <c r="BC628" s="3"/>
      <c r="BD628" s="3"/>
    </row>
    <row r="629" spans="2:157" ht="13" customHeight="1">
      <c r="B629" s="52" t="s">
        <v>119</v>
      </c>
      <c r="C629" s="1691" t="s">
        <v>2686</v>
      </c>
      <c r="D629" s="1691"/>
      <c r="E629" s="1691"/>
      <c r="F629" s="1691"/>
      <c r="G629" s="1691"/>
      <c r="H629" s="1691"/>
      <c r="I629" s="1691"/>
      <c r="J629" s="1691"/>
      <c r="K629" s="1691"/>
      <c r="L629" s="1691"/>
      <c r="M629" s="1617" t="s">
        <v>2114</v>
      </c>
      <c r="N629" s="1617"/>
      <c r="O629" s="1617"/>
      <c r="P629" s="1617"/>
      <c r="Q629" s="1424"/>
      <c r="R629" s="1425"/>
      <c r="S629" s="1426"/>
      <c r="T629" s="1424"/>
      <c r="U629" s="1425"/>
      <c r="V629" s="1426"/>
      <c r="W629" s="1437"/>
      <c r="X629" s="1438"/>
      <c r="Y629" s="1439"/>
      <c r="Z629" s="1477" t="s">
        <v>300</v>
      </c>
      <c r="AA629" s="1478"/>
      <c r="AB629" s="1479"/>
      <c r="AC629" s="1445"/>
      <c r="AD629" s="1446"/>
      <c r="AE629" s="1447"/>
      <c r="AF629" s="1474"/>
      <c r="AG629" s="1475"/>
      <c r="AH629" s="1475"/>
      <c r="AI629" s="1475"/>
      <c r="AJ629" s="1476"/>
      <c r="AK629" s="1427"/>
      <c r="AL629" s="1428"/>
      <c r="AM629" s="1428"/>
      <c r="AN629" s="1429"/>
      <c r="AO629" s="1465">
        <v>17800000</v>
      </c>
      <c r="AP629" s="1466"/>
      <c r="AQ629" s="1466"/>
      <c r="AR629" s="1466"/>
      <c r="AS629" s="1467"/>
      <c r="AT629" s="1150" t="str">
        <f t="shared" ref="AT629:AT638" si="1">IF(AND(NOT(C628=""),C629="",NOT(C630="")),"!","")</f>
        <v/>
      </c>
      <c r="AU629" s="3"/>
      <c r="AZ629" s="3"/>
      <c r="BA629" s="3"/>
      <c r="BB629" s="3"/>
      <c r="BC629" s="3"/>
      <c r="BD629" s="3"/>
    </row>
    <row r="630" spans="2:157" ht="13" customHeight="1">
      <c r="B630" s="52" t="s">
        <v>582</v>
      </c>
      <c r="C630" s="1346" t="s">
        <v>2325</v>
      </c>
      <c r="D630" s="1346"/>
      <c r="E630" s="1346"/>
      <c r="F630" s="1346"/>
      <c r="G630" s="1346"/>
      <c r="H630" s="1346"/>
      <c r="I630" s="1346"/>
      <c r="J630" s="1346"/>
      <c r="K630" s="1346"/>
      <c r="L630" s="1346"/>
      <c r="M630" s="1617" t="s">
        <v>2109</v>
      </c>
      <c r="N630" s="1617"/>
      <c r="O630" s="1617"/>
      <c r="P630" s="1617"/>
      <c r="Q630" s="1424"/>
      <c r="R630" s="1425"/>
      <c r="S630" s="1426"/>
      <c r="T630" s="1424"/>
      <c r="U630" s="1425"/>
      <c r="V630" s="1426"/>
      <c r="W630" s="1437"/>
      <c r="X630" s="1438"/>
      <c r="Y630" s="1439"/>
      <c r="Z630" s="1477" t="s">
        <v>459</v>
      </c>
      <c r="AA630" s="1478"/>
      <c r="AB630" s="1479"/>
      <c r="AC630" s="1445"/>
      <c r="AD630" s="1446"/>
      <c r="AE630" s="1447"/>
      <c r="AF630" s="1474"/>
      <c r="AG630" s="1475"/>
      <c r="AH630" s="1475"/>
      <c r="AI630" s="1475"/>
      <c r="AJ630" s="1476"/>
      <c r="AK630" s="1427"/>
      <c r="AL630" s="1428"/>
      <c r="AM630" s="1428"/>
      <c r="AN630" s="1429"/>
      <c r="AO630" s="1465">
        <v>14920930</v>
      </c>
      <c r="AP630" s="1466"/>
      <c r="AQ630" s="1466"/>
      <c r="AR630" s="1466"/>
      <c r="AS630" s="1467"/>
      <c r="AT630" s="1150" t="str">
        <f t="shared" si="1"/>
        <v/>
      </c>
      <c r="AU630" s="3"/>
      <c r="AZ630" s="3"/>
      <c r="BA630" s="3"/>
      <c r="BB630" s="3"/>
      <c r="BC630" s="3"/>
      <c r="BD630" s="3"/>
    </row>
    <row r="631" spans="2:157" ht="13" customHeight="1">
      <c r="B631" s="52" t="s">
        <v>764</v>
      </c>
      <c r="C631" s="1346"/>
      <c r="D631" s="1346"/>
      <c r="E631" s="1346"/>
      <c r="F631" s="1346"/>
      <c r="G631" s="1346"/>
      <c r="H631" s="1346"/>
      <c r="I631" s="1346"/>
      <c r="J631" s="1346"/>
      <c r="K631" s="1346"/>
      <c r="L631" s="1346"/>
      <c r="M631" s="1617" t="s">
        <v>1185</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50" t="str">
        <f t="shared" si="1"/>
        <v/>
      </c>
      <c r="AU631" s="3"/>
      <c r="AZ631" s="3"/>
      <c r="BA631" s="3"/>
      <c r="BB631" s="3"/>
      <c r="BC631" s="3"/>
      <c r="BD631" s="3"/>
    </row>
    <row r="632" spans="2:157" ht="13" customHeight="1">
      <c r="B632" s="52" t="s">
        <v>585</v>
      </c>
      <c r="C632" s="1346"/>
      <c r="D632" s="1346"/>
      <c r="E632" s="1346"/>
      <c r="F632" s="1346"/>
      <c r="G632" s="1346"/>
      <c r="H632" s="1346"/>
      <c r="I632" s="1346"/>
      <c r="J632" s="1346"/>
      <c r="K632" s="1346"/>
      <c r="L632" s="1346"/>
      <c r="M632" s="1617" t="s">
        <v>1185</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50" t="str">
        <f t="shared" si="1"/>
        <v/>
      </c>
      <c r="AU632" s="3"/>
      <c r="AZ632" s="3"/>
      <c r="BA632" s="3"/>
      <c r="BB632" s="3"/>
      <c r="BC632" s="3"/>
      <c r="BD632" s="3"/>
    </row>
    <row r="633" spans="2:157" ht="13" customHeight="1">
      <c r="B633" s="52" t="s">
        <v>456</v>
      </c>
      <c r="C633" s="1346"/>
      <c r="D633" s="1346"/>
      <c r="E633" s="1346"/>
      <c r="F633" s="1346"/>
      <c r="G633" s="1346"/>
      <c r="H633" s="1346"/>
      <c r="I633" s="1346"/>
      <c r="J633" s="1346"/>
      <c r="K633" s="1346"/>
      <c r="L633" s="1346"/>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1"/>
        <v/>
      </c>
      <c r="AU633" s="3"/>
      <c r="AV633" s="3"/>
      <c r="AW633" s="3"/>
      <c r="AX633" s="3"/>
      <c r="AY633" s="3"/>
      <c r="AZ633" s="3"/>
      <c r="BA633" s="3"/>
      <c r="BB633" s="3"/>
      <c r="BC633" s="3"/>
      <c r="BD633" s="3"/>
    </row>
    <row r="634" spans="2:157" ht="13" customHeight="1">
      <c r="B634" s="52" t="s">
        <v>457</v>
      </c>
      <c r="C634" s="1346"/>
      <c r="D634" s="1346"/>
      <c r="E634" s="1346"/>
      <c r="F634" s="1346"/>
      <c r="G634" s="1346"/>
      <c r="H634" s="1346"/>
      <c r="I634" s="1346"/>
      <c r="J634" s="1346"/>
      <c r="K634" s="1346"/>
      <c r="L634" s="1346"/>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1"/>
        <v/>
      </c>
      <c r="AU634" s="3"/>
      <c r="AV634" s="3"/>
      <c r="AW634" s="3"/>
      <c r="AX634" s="3"/>
      <c r="AY634" s="3"/>
      <c r="AZ634" s="3"/>
      <c r="BA634" s="3" t="s">
        <v>1185</v>
      </c>
      <c r="BB634" s="3"/>
      <c r="BC634" s="3"/>
      <c r="BD634" s="3"/>
    </row>
    <row r="635" spans="2:157" ht="13" customHeight="1">
      <c r="B635" s="52" t="s">
        <v>462</v>
      </c>
      <c r="C635" s="1346"/>
      <c r="D635" s="1346"/>
      <c r="E635" s="1346"/>
      <c r="F635" s="1346"/>
      <c r="G635" s="1346"/>
      <c r="H635" s="1346"/>
      <c r="I635" s="1346"/>
      <c r="J635" s="1346"/>
      <c r="K635" s="1346"/>
      <c r="L635" s="1346"/>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944.40000000000009</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3" customHeight="1">
      <c r="B636" s="52" t="s">
        <v>647</v>
      </c>
      <c r="C636" s="1346"/>
      <c r="D636" s="1346"/>
      <c r="E636" s="1346"/>
      <c r="F636" s="1346"/>
      <c r="G636" s="1346"/>
      <c r="H636" s="1346"/>
      <c r="I636" s="1346"/>
      <c r="J636" s="1346"/>
      <c r="K636" s="1346"/>
      <c r="L636" s="1346"/>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806</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3" customHeight="1">
      <c r="B637" s="52" t="s">
        <v>362</v>
      </c>
      <c r="C637" s="1346"/>
      <c r="D637" s="1346"/>
      <c r="E637" s="1346"/>
      <c r="F637" s="1346"/>
      <c r="G637" s="1346"/>
      <c r="H637" s="1346"/>
      <c r="I637" s="1346"/>
      <c r="J637" s="1346"/>
      <c r="K637" s="1346"/>
      <c r="L637" s="1346"/>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166.9</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3" customHeight="1">
      <c r="B638" s="52" t="s">
        <v>363</v>
      </c>
      <c r="C638" s="1346"/>
      <c r="D638" s="1346"/>
      <c r="E638" s="1346"/>
      <c r="F638" s="1346"/>
      <c r="G638" s="1346"/>
      <c r="H638" s="1346"/>
      <c r="I638" s="1346"/>
      <c r="J638" s="1346"/>
      <c r="K638" s="1346"/>
      <c r="L638" s="1346"/>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97.800000000000011</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3"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79514209</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1107.0588235294117</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3"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60577582</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991.52941176470586</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140091791</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195.39215686274508</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f t="shared" si="4"/>
        <v>114.11764705882352</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3" customHeight="1">
      <c r="A643" s="55" t="s">
        <v>112</v>
      </c>
      <c r="B643" t="s">
        <v>464</v>
      </c>
      <c r="G643" s="1357" t="str">
        <f>C627</f>
        <v>Berkadia/Fannie Mae MTEB</v>
      </c>
      <c r="H643" s="1357"/>
      <c r="I643" s="1357"/>
      <c r="J643" s="1357"/>
      <c r="K643" s="1357"/>
      <c r="L643" s="1357"/>
      <c r="M643" s="1357"/>
      <c r="N643" s="1357"/>
      <c r="O643" s="1357"/>
      <c r="P643" s="1357"/>
      <c r="Q643" s="1357"/>
      <c r="R643" s="1357"/>
      <c r="S643" s="8"/>
      <c r="T643" s="55" t="s">
        <v>113</v>
      </c>
      <c r="U643" t="s">
        <v>464</v>
      </c>
      <c r="Z643" s="1357" t="str">
        <f>C628</f>
        <v>Lease Up Income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f t="shared" si="5"/>
        <v>1250.3846153846155</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3" customHeight="1">
      <c r="A644" s="22"/>
      <c r="B644" t="s">
        <v>85</v>
      </c>
      <c r="G644" s="1371" t="s">
        <v>2687</v>
      </c>
      <c r="H644" s="1371"/>
      <c r="I644" s="1371"/>
      <c r="J644" s="1371"/>
      <c r="K644" s="1371"/>
      <c r="L644" s="1371"/>
      <c r="M644" s="1371"/>
      <c r="N644" s="1371"/>
      <c r="O644" s="1371"/>
      <c r="P644" s="1371"/>
      <c r="Q644" s="1371"/>
      <c r="R644" s="1371"/>
      <c r="S644" s="8"/>
      <c r="T644" s="22"/>
      <c r="U644" t="s">
        <v>85</v>
      </c>
      <c r="Z644" s="1371" t="s">
        <v>2699</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1108.8</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3" customHeight="1">
      <c r="A645" s="22"/>
      <c r="B645" t="s">
        <v>581</v>
      </c>
      <c r="G645" s="1371" t="s">
        <v>495</v>
      </c>
      <c r="H645" s="1371"/>
      <c r="I645" s="1371"/>
      <c r="J645" s="1371"/>
      <c r="K645" s="1371"/>
      <c r="L645" s="1371"/>
      <c r="M645" s="1371"/>
      <c r="N645" s="1371"/>
      <c r="O645" s="1371"/>
      <c r="P645" s="1371"/>
      <c r="Q645" s="1371"/>
      <c r="R645" s="1371"/>
      <c r="T645" s="22"/>
      <c r="U645" t="s">
        <v>581</v>
      </c>
      <c r="Z645" s="1347" t="s">
        <v>2615</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f t="shared" si="5"/>
        <v>246.93846153846155</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3" customHeight="1">
      <c r="A646" s="22"/>
      <c r="B646" t="s">
        <v>17</v>
      </c>
      <c r="G646" s="1371" t="s">
        <v>2688</v>
      </c>
      <c r="H646" s="1371"/>
      <c r="I646" s="1371"/>
      <c r="J646" s="1371"/>
      <c r="K646" s="1371"/>
      <c r="L646" s="1371"/>
      <c r="M646" s="1371"/>
      <c r="N646" s="1371"/>
      <c r="O646" s="1371"/>
      <c r="P646" s="1371"/>
      <c r="Q646" s="1371"/>
      <c r="R646" s="1371"/>
      <c r="S646" s="8"/>
      <c r="T646" s="22"/>
      <c r="U646" t="s">
        <v>17</v>
      </c>
      <c r="Z646" s="1347" t="s">
        <v>2628</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f t="shared" si="5"/>
        <v>143.66153846153847</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3" customHeight="1">
      <c r="A647" s="22"/>
      <c r="B647" t="s">
        <v>316</v>
      </c>
      <c r="G647" s="1345" t="s">
        <v>2690</v>
      </c>
      <c r="H647" s="1345"/>
      <c r="I647" s="1345"/>
      <c r="J647" s="1345"/>
      <c r="K647" s="1345"/>
      <c r="L647" s="1345"/>
      <c r="O647" s="33" t="s">
        <v>206</v>
      </c>
      <c r="P647" s="1436"/>
      <c r="Q647" s="1436"/>
      <c r="R647" s="1436"/>
      <c r="S647" s="10"/>
      <c r="T647" s="22"/>
      <c r="U647" t="s">
        <v>316</v>
      </c>
      <c r="Z647" s="1345" t="s">
        <v>2629</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3" customHeight="1">
      <c r="A648" s="22"/>
      <c r="B648" t="s">
        <v>18</v>
      </c>
      <c r="H648" s="1371" t="s">
        <v>2698</v>
      </c>
      <c r="I648" s="1371"/>
      <c r="J648" s="1371"/>
      <c r="K648" s="1371"/>
      <c r="L648" s="1371"/>
      <c r="M648" s="1371"/>
      <c r="N648" s="1371"/>
      <c r="O648" s="1371"/>
      <c r="P648" s="1371"/>
      <c r="Q648" s="1371"/>
      <c r="R648" s="1371"/>
      <c r="S648" s="8"/>
      <c r="T648" s="22"/>
      <c r="U648" t="s">
        <v>18</v>
      </c>
      <c r="AA648" s="1371" t="s">
        <v>2697</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3"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3"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3" customHeight="1">
      <c r="A651" s="55" t="s">
        <v>119</v>
      </c>
      <c r="B651" t="s">
        <v>464</v>
      </c>
      <c r="G651" s="1357" t="str">
        <f>C629</f>
        <v>Ground Lease TI Contribution</v>
      </c>
      <c r="H651" s="1357"/>
      <c r="I651" s="1357"/>
      <c r="J651" s="1357"/>
      <c r="K651" s="1357"/>
      <c r="L651" s="1357"/>
      <c r="M651" s="1357"/>
      <c r="N651" s="1357"/>
      <c r="O651" s="1357"/>
      <c r="P651" s="1357"/>
      <c r="Q651" s="1357"/>
      <c r="R651" s="1357"/>
      <c r="T651" s="55" t="s">
        <v>582</v>
      </c>
      <c r="U651" t="s">
        <v>464</v>
      </c>
      <c r="Z651" s="1357" t="str">
        <f>C630</f>
        <v>Deferred Developer Fee</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3" customHeight="1">
      <c r="A652" s="22"/>
      <c r="B652" t="s">
        <v>85</v>
      </c>
      <c r="G652" s="1371" t="s">
        <v>2721</v>
      </c>
      <c r="H652" s="1371"/>
      <c r="I652" s="1371"/>
      <c r="J652" s="1371"/>
      <c r="K652" s="1371"/>
      <c r="L652" s="1371"/>
      <c r="M652" s="1371"/>
      <c r="N652" s="1371"/>
      <c r="O652" s="1371"/>
      <c r="P652" s="1371"/>
      <c r="Q652" s="1371"/>
      <c r="R652" s="1371"/>
      <c r="T652" s="22"/>
      <c r="U652" t="s">
        <v>85</v>
      </c>
      <c r="Z652" s="1371" t="s">
        <v>2699</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3" customHeight="1">
      <c r="A653" s="22"/>
      <c r="B653" t="s">
        <v>581</v>
      </c>
      <c r="G653" s="1347" t="s">
        <v>2717</v>
      </c>
      <c r="H653" s="1347"/>
      <c r="I653" s="1347"/>
      <c r="J653" s="1347"/>
      <c r="K653" s="1347"/>
      <c r="L653" s="1347"/>
      <c r="M653" s="1347"/>
      <c r="N653" s="1347"/>
      <c r="O653" s="1347"/>
      <c r="P653" s="1347"/>
      <c r="Q653" s="1347"/>
      <c r="R653" s="1347"/>
      <c r="T653" s="22"/>
      <c r="U653" t="s">
        <v>581</v>
      </c>
      <c r="Z653" s="1347" t="s">
        <v>2615</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3" customHeight="1">
      <c r="A654" s="22"/>
      <c r="B654" t="s">
        <v>17</v>
      </c>
      <c r="G654" s="1347" t="s">
        <v>2718</v>
      </c>
      <c r="H654" s="1347"/>
      <c r="I654" s="1347"/>
      <c r="J654" s="1347"/>
      <c r="K654" s="1347"/>
      <c r="L654" s="1347"/>
      <c r="M654" s="1347"/>
      <c r="N654" s="1347"/>
      <c r="O654" s="1347"/>
      <c r="P654" s="1347"/>
      <c r="Q654" s="1347"/>
      <c r="R654" s="1347"/>
      <c r="T654" s="22"/>
      <c r="U654" t="s">
        <v>17</v>
      </c>
      <c r="Z654" s="1347" t="s">
        <v>2628</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3" customHeight="1">
      <c r="A655" s="22"/>
      <c r="B655" t="s">
        <v>316</v>
      </c>
      <c r="G655" s="1370" t="s">
        <v>2719</v>
      </c>
      <c r="H655" s="1345"/>
      <c r="I655" s="1345"/>
      <c r="J655" s="1345"/>
      <c r="K655" s="1345"/>
      <c r="L655" s="1345"/>
      <c r="O655" s="33" t="s">
        <v>206</v>
      </c>
      <c r="P655" s="1436"/>
      <c r="Q655" s="1436"/>
      <c r="R655" s="1436"/>
      <c r="T655" s="22"/>
      <c r="U655" t="s">
        <v>316</v>
      </c>
      <c r="Z655" s="1345" t="s">
        <v>2629</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3" customHeight="1">
      <c r="A656" s="22"/>
      <c r="B656" t="s">
        <v>18</v>
      </c>
      <c r="H656" s="1371" t="s">
        <v>2686</v>
      </c>
      <c r="I656" s="1371"/>
      <c r="J656" s="1371"/>
      <c r="K656" s="1371"/>
      <c r="L656" s="1371"/>
      <c r="M656" s="1371"/>
      <c r="N656" s="1371"/>
      <c r="O656" s="1371"/>
      <c r="P656" s="1371"/>
      <c r="Q656" s="1371"/>
      <c r="R656" s="1371"/>
      <c r="T656" s="22"/>
      <c r="U656" t="s">
        <v>18</v>
      </c>
      <c r="AA656" s="1371" t="s">
        <v>2695</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3"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3"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3" customHeight="1">
      <c r="A659" s="55" t="s">
        <v>764</v>
      </c>
      <c r="B659" t="s">
        <v>464</v>
      </c>
      <c r="G659" s="1357">
        <f>C631</f>
        <v>0</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3"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3" customHeight="1">
      <c r="A661" s="22"/>
      <c r="B661" t="s">
        <v>581</v>
      </c>
      <c r="G661" s="1371"/>
      <c r="H661" s="1371"/>
      <c r="I661" s="1371"/>
      <c r="J661" s="1371"/>
      <c r="K661" s="1371"/>
      <c r="L661" s="1371"/>
      <c r="M661" s="1371"/>
      <c r="N661" s="1371"/>
      <c r="O661" s="1371"/>
      <c r="P661" s="1371"/>
      <c r="Q661" s="1371"/>
      <c r="R661" s="1371"/>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3" customHeight="1">
      <c r="A662" s="22"/>
      <c r="B662" t="s">
        <v>17</v>
      </c>
      <c r="G662" s="1371"/>
      <c r="H662" s="1371"/>
      <c r="I662" s="1371"/>
      <c r="J662" s="1371"/>
      <c r="K662" s="1371"/>
      <c r="L662" s="1371"/>
      <c r="M662" s="1371"/>
      <c r="N662" s="1371"/>
      <c r="O662" s="1371"/>
      <c r="P662" s="1371"/>
      <c r="Q662" s="1371"/>
      <c r="R662" s="1371"/>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3" customHeight="1">
      <c r="A663" s="22"/>
      <c r="B663" t="s">
        <v>316</v>
      </c>
      <c r="G663" s="1345"/>
      <c r="H663" s="1345"/>
      <c r="I663" s="1345"/>
      <c r="J663" s="1345"/>
      <c r="K663" s="1345"/>
      <c r="L663" s="1345"/>
      <c r="O663" s="33" t="s">
        <v>206</v>
      </c>
      <c r="P663" s="1436"/>
      <c r="Q663" s="1436"/>
      <c r="R663" s="1436"/>
      <c r="T663" s="22"/>
      <c r="U663" t="s">
        <v>316</v>
      </c>
      <c r="Z663" s="1345"/>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3"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3" customHeight="1">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3"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3" customHeight="1">
      <c r="A669" s="22"/>
      <c r="B669" t="s">
        <v>581</v>
      </c>
      <c r="G669" s="1371"/>
      <c r="H669" s="1371"/>
      <c r="I669" s="1371"/>
      <c r="J669" s="1371"/>
      <c r="K669" s="1371"/>
      <c r="L669" s="1371"/>
      <c r="M669" s="1371"/>
      <c r="N669" s="1371"/>
      <c r="O669" s="1371"/>
      <c r="P669" s="1371"/>
      <c r="Q669" s="1371"/>
      <c r="R669" s="1371"/>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2015.1000000000001</v>
      </c>
      <c r="ED670" s="1444"/>
      <c r="EE670" s="1444"/>
      <c r="EF670" s="1444"/>
      <c r="EG670" s="1444"/>
      <c r="EH670" s="1444">
        <f>SUMIF(EH635:EL669,"&gt;0")</f>
        <v>2408.0980392156862</v>
      </c>
      <c r="EI670" s="1444"/>
      <c r="EJ670" s="1444"/>
      <c r="EK670" s="1444"/>
      <c r="EL670" s="1444"/>
      <c r="EM670" s="1444">
        <f>SUMIF(EM635:EQ669,"&gt;0")</f>
        <v>2749.7846153846153</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3" customHeight="1">
      <c r="A671" s="22"/>
      <c r="B671" t="s">
        <v>316</v>
      </c>
      <c r="G671" s="1345"/>
      <c r="H671" s="1345"/>
      <c r="I671" s="1345"/>
      <c r="J671" s="1345"/>
      <c r="K671" s="1345"/>
      <c r="L671" s="1345"/>
      <c r="O671" s="33" t="s">
        <v>206</v>
      </c>
      <c r="P671" s="1436"/>
      <c r="Q671" s="1436"/>
      <c r="R671" s="1436"/>
      <c r="T671" s="22"/>
      <c r="U671" t="s">
        <v>316</v>
      </c>
      <c r="Z671" s="1345"/>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670</v>
      </c>
      <c r="O673" s="1331"/>
      <c r="T673" s="22"/>
      <c r="U673" t="s">
        <v>20</v>
      </c>
      <c r="AG673" s="1331" t="s">
        <v>670</v>
      </c>
      <c r="AH673" s="1331"/>
      <c r="AZ673" s="3"/>
    </row>
    <row r="674" spans="1:52" ht="13" customHeight="1">
      <c r="A674" s="22"/>
      <c r="T674" s="22"/>
      <c r="AZ674" s="3"/>
    </row>
    <row r="675" spans="1:52" ht="13"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581</v>
      </c>
      <c r="G677" s="1371"/>
      <c r="H677" s="1371"/>
      <c r="I677" s="1371"/>
      <c r="J677" s="1371"/>
      <c r="K677" s="1371"/>
      <c r="L677" s="1371"/>
      <c r="M677" s="1371"/>
      <c r="N677" s="1371"/>
      <c r="O677" s="1371"/>
      <c r="P677" s="1371"/>
      <c r="Q677" s="1371"/>
      <c r="R677" s="1371"/>
      <c r="T677" s="22"/>
      <c r="U677" t="s">
        <v>581</v>
      </c>
      <c r="Z677" s="1347"/>
      <c r="AA677" s="1347"/>
      <c r="AB677" s="1347"/>
      <c r="AC677" s="1347"/>
      <c r="AD677" s="1347"/>
      <c r="AE677" s="1347"/>
      <c r="AF677" s="1347"/>
      <c r="AG677" s="1347"/>
      <c r="AH677" s="1347"/>
      <c r="AI677" s="1347"/>
      <c r="AJ677" s="1347"/>
      <c r="AK677" s="1347"/>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7"/>
      <c r="AA678" s="1347"/>
      <c r="AB678" s="1347"/>
      <c r="AC678" s="1347"/>
      <c r="AD678" s="1347"/>
      <c r="AE678" s="1347"/>
      <c r="AF678" s="1347"/>
      <c r="AG678" s="1347"/>
      <c r="AH678" s="1347"/>
      <c r="AI678" s="1347"/>
      <c r="AJ678" s="1347"/>
      <c r="AK678" s="1347"/>
      <c r="AZ678" s="3"/>
    </row>
    <row r="679" spans="1:52" ht="13" customHeight="1">
      <c r="A679" s="22"/>
      <c r="B679" t="s">
        <v>316</v>
      </c>
      <c r="G679" s="1345"/>
      <c r="H679" s="1345"/>
      <c r="I679" s="1345"/>
      <c r="J679" s="1345"/>
      <c r="K679" s="1345"/>
      <c r="L679" s="1345"/>
      <c r="O679" s="33" t="s">
        <v>206</v>
      </c>
      <c r="P679" s="1436"/>
      <c r="Q679" s="1436"/>
      <c r="R679" s="1436"/>
      <c r="T679" s="22"/>
      <c r="U679" t="s">
        <v>316</v>
      </c>
      <c r="Z679" s="1345"/>
      <c r="AA679" s="1345"/>
      <c r="AB679" s="1345"/>
      <c r="AC679" s="1345"/>
      <c r="AD679" s="1345"/>
      <c r="AE679" s="1345"/>
      <c r="AH679" s="33" t="s">
        <v>206</v>
      </c>
      <c r="AI679" s="1436"/>
      <c r="AJ679" s="1436"/>
      <c r="AK679" s="1436"/>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1" t="s">
        <v>670</v>
      </c>
      <c r="O681" s="1331"/>
      <c r="T681" s="22"/>
      <c r="U681" t="s">
        <v>20</v>
      </c>
      <c r="AG681" s="1331" t="s">
        <v>670</v>
      </c>
      <c r="AH681" s="1331"/>
      <c r="AZ681" s="3"/>
    </row>
    <row r="682" spans="1:52" ht="13" customHeight="1">
      <c r="A682" s="22"/>
      <c r="T682" s="22"/>
      <c r="AZ682" s="3"/>
    </row>
    <row r="683" spans="1:52" ht="13"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581</v>
      </c>
      <c r="G685" s="1371"/>
      <c r="H685" s="1371"/>
      <c r="I685" s="1371"/>
      <c r="J685" s="1371"/>
      <c r="K685" s="1371"/>
      <c r="L685" s="1371"/>
      <c r="M685" s="1371"/>
      <c r="N685" s="1371"/>
      <c r="O685" s="1371"/>
      <c r="P685" s="1371"/>
      <c r="Q685" s="1371"/>
      <c r="R685" s="1371"/>
      <c r="U685" t="s">
        <v>581</v>
      </c>
      <c r="Z685" s="1347"/>
      <c r="AA685" s="1347"/>
      <c r="AB685" s="1347"/>
      <c r="AC685" s="1347"/>
      <c r="AD685" s="1347"/>
      <c r="AE685" s="1347"/>
      <c r="AF685" s="1347"/>
      <c r="AG685" s="1347"/>
      <c r="AH685" s="1347"/>
      <c r="AI685" s="1347"/>
      <c r="AJ685" s="1347"/>
      <c r="AK685" s="1347"/>
      <c r="AZ685" s="3"/>
    </row>
    <row r="686" spans="1:52" ht="13" customHeight="1">
      <c r="B686" t="s">
        <v>17</v>
      </c>
      <c r="G686" s="1371"/>
      <c r="H686" s="1371"/>
      <c r="I686" s="1371"/>
      <c r="J686" s="1371"/>
      <c r="K686" s="1371"/>
      <c r="L686" s="1371"/>
      <c r="M686" s="1371"/>
      <c r="N686" s="1371"/>
      <c r="O686" s="1371"/>
      <c r="P686" s="1371"/>
      <c r="Q686" s="1371"/>
      <c r="R686" s="1371"/>
      <c r="U686" t="s">
        <v>17</v>
      </c>
      <c r="Z686" s="1347"/>
      <c r="AA686" s="1347"/>
      <c r="AB686" s="1347"/>
      <c r="AC686" s="1347"/>
      <c r="AD686" s="1347"/>
      <c r="AE686" s="1347"/>
      <c r="AF686" s="1347"/>
      <c r="AG686" s="1347"/>
      <c r="AH686" s="1347"/>
      <c r="AI686" s="1347"/>
      <c r="AJ686" s="1347"/>
      <c r="AK686" s="1347"/>
      <c r="AZ686" s="3"/>
    </row>
    <row r="687" spans="1:52" ht="13"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1" t="s">
        <v>670</v>
      </c>
      <c r="O689" s="1331"/>
      <c r="U689" t="s">
        <v>20</v>
      </c>
      <c r="AG689" s="1331" t="s">
        <v>670</v>
      </c>
      <c r="AH689" s="1331"/>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546</v>
      </c>
      <c r="AF693" s="1331"/>
      <c r="AZ693" s="3"/>
    </row>
    <row r="694" spans="1:67" ht="13" customHeight="1">
      <c r="B694" s="135"/>
      <c r="C694" s="135"/>
      <c r="D694" s="136" t="s">
        <v>438</v>
      </c>
      <c r="E694" s="135"/>
      <c r="F694" s="135"/>
      <c r="G694" s="135"/>
      <c r="H694" s="135"/>
      <c r="AE694" s="1331" t="s">
        <v>546</v>
      </c>
      <c r="AF694" s="1331"/>
      <c r="AZ694" s="3"/>
    </row>
    <row r="695" spans="1:67" ht="13" customHeight="1">
      <c r="B695" s="135"/>
      <c r="C695" s="135"/>
      <c r="D695" s="136" t="s">
        <v>921</v>
      </c>
      <c r="E695" s="135"/>
      <c r="F695" s="135"/>
      <c r="G695" s="135"/>
      <c r="H695" s="135"/>
      <c r="AE695" s="1690">
        <v>45685</v>
      </c>
      <c r="AF695" s="1690"/>
      <c r="AG695" s="1690"/>
      <c r="AH695" s="1690"/>
      <c r="AI695" s="1690"/>
    </row>
    <row r="696" spans="1:67" ht="13" customHeight="1">
      <c r="B696" s="135"/>
      <c r="C696" s="135"/>
      <c r="D696" s="318" t="s">
        <v>984</v>
      </c>
      <c r="E696" s="135"/>
      <c r="F696" s="135"/>
      <c r="G696" s="135"/>
      <c r="H696" s="135"/>
      <c r="AE696" s="1701">
        <v>45755</v>
      </c>
      <c r="AF696" s="1701"/>
      <c r="AG696" s="1701"/>
      <c r="AH696" s="1701"/>
      <c r="AI696" s="1701"/>
    </row>
    <row r="697" spans="1:67" ht="13" customHeight="1">
      <c r="B697" s="135"/>
      <c r="C697" s="135"/>
    </row>
    <row r="698" spans="1:67" ht="13" customHeight="1">
      <c r="B698" s="135"/>
      <c r="C698" s="135"/>
      <c r="D698" s="136" t="s">
        <v>817</v>
      </c>
      <c r="E698" s="135"/>
      <c r="F698" s="135"/>
      <c r="G698" s="135"/>
      <c r="H698" s="135"/>
      <c r="AE698" s="1690">
        <v>45931</v>
      </c>
      <c r="AF698" s="1690"/>
      <c r="AG698" s="1690"/>
      <c r="AH698" s="1690"/>
      <c r="AI698" s="1690"/>
    </row>
    <row r="699" spans="1:67" ht="13" customHeight="1">
      <c r="B699" s="135"/>
      <c r="C699" s="135"/>
      <c r="D699" s="136" t="s">
        <v>436</v>
      </c>
      <c r="E699" s="135"/>
      <c r="F699" s="135"/>
      <c r="G699" s="135"/>
      <c r="H699" s="135"/>
      <c r="AE699" s="1660">
        <v>0.50339999999999996</v>
      </c>
      <c r="AF699" s="1660"/>
      <c r="AG699" s="1660"/>
      <c r="AH699" s="1660"/>
      <c r="AI699" s="1660"/>
    </row>
    <row r="700" spans="1:67" ht="13" customHeight="1">
      <c r="B700" s="135"/>
      <c r="C700" s="135"/>
      <c r="D700" s="136" t="s">
        <v>437</v>
      </c>
      <c r="E700" s="135"/>
      <c r="F700" s="135"/>
      <c r="G700" s="135"/>
      <c r="H700" s="135"/>
      <c r="W700" s="1357" t="str">
        <f>H335</f>
        <v>CMFA</v>
      </c>
      <c r="X700" s="1357"/>
      <c r="Y700" s="1357"/>
      <c r="Z700" s="1357"/>
      <c r="AA700" s="1357"/>
      <c r="AB700" s="1357"/>
      <c r="AC700" s="1357"/>
      <c r="AD700" s="1357"/>
      <c r="AE700" s="1357"/>
      <c r="AF700" s="1357"/>
      <c r="AG700" s="1357"/>
      <c r="AH700" s="1357"/>
      <c r="AI700" s="1357"/>
      <c r="AJ700" s="1357"/>
      <c r="AK700" s="1357"/>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670</v>
      </c>
      <c r="AF702" s="1331"/>
      <c r="AZ702" s="4" t="s">
        <v>324</v>
      </c>
    </row>
    <row r="703" spans="1:67" ht="13"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1" t="s">
        <v>389</v>
      </c>
      <c r="C714" s="1362"/>
      <c r="D714" s="1362"/>
      <c r="E714" s="1362"/>
      <c r="F714" s="1363"/>
      <c r="G714" s="1361" t="s">
        <v>285</v>
      </c>
      <c r="H714" s="1362"/>
      <c r="I714" s="1362"/>
      <c r="J714" s="1363"/>
      <c r="K714" s="1718" t="s">
        <v>1680</v>
      </c>
      <c r="L714" s="1719"/>
      <c r="M714" s="1719"/>
      <c r="N714" s="1720"/>
      <c r="O714" s="1361" t="s">
        <v>448</v>
      </c>
      <c r="P714" s="1362"/>
      <c r="Q714" s="1362"/>
      <c r="R714" s="1362"/>
      <c r="S714" s="1363"/>
      <c r="T714" s="1658" t="s">
        <v>1951</v>
      </c>
      <c r="U714" s="1362"/>
      <c r="V714" s="1362"/>
      <c r="W714" s="1363"/>
      <c r="X714" s="1658" t="s">
        <v>1953</v>
      </c>
      <c r="Y714" s="1362"/>
      <c r="Z714" s="1362"/>
      <c r="AA714" s="1362"/>
      <c r="AB714" s="1363"/>
      <c r="AC714" s="1658" t="s">
        <v>1952</v>
      </c>
      <c r="AD714" s="1362"/>
      <c r="AE714" s="1362"/>
      <c r="AF714" s="1362"/>
      <c r="AG714" s="1363"/>
      <c r="AH714" s="1658" t="s">
        <v>1954</v>
      </c>
      <c r="AI714" s="1362"/>
      <c r="AJ714" s="1363"/>
      <c r="AK714" s="1658"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3" customHeight="1">
      <c r="A718" s="4"/>
      <c r="B718" s="1336" t="s">
        <v>325</v>
      </c>
      <c r="C718" s="1337"/>
      <c r="D718" s="1337"/>
      <c r="E718" s="1337"/>
      <c r="F718" s="1338"/>
      <c r="G718" s="1348">
        <v>36</v>
      </c>
      <c r="H718" s="1349"/>
      <c r="I718" s="1349"/>
      <c r="J718" s="1350"/>
      <c r="K718" s="1342">
        <v>600</v>
      </c>
      <c r="L718" s="1343"/>
      <c r="M718" s="1343"/>
      <c r="N718" s="1344"/>
      <c r="O718" s="1339">
        <v>2361</v>
      </c>
      <c r="P718" s="1340"/>
      <c r="Q718" s="1340"/>
      <c r="R718" s="1340"/>
      <c r="S718" s="1341"/>
      <c r="T718" s="1339">
        <v>59</v>
      </c>
      <c r="U718" s="1340"/>
      <c r="V718" s="1340"/>
      <c r="W718" s="1341"/>
      <c r="X718" s="1351">
        <f t="shared" ref="X718:X741" si="8">O718+T718</f>
        <v>2420</v>
      </c>
      <c r="Y718" s="1352"/>
      <c r="Z718" s="1352"/>
      <c r="AA718" s="1352"/>
      <c r="AB718" s="1353"/>
      <c r="AC718" s="1358">
        <v>0.7</v>
      </c>
      <c r="AD718" s="1359"/>
      <c r="AE718" s="1359"/>
      <c r="AF718" s="1359"/>
      <c r="AG718" s="1360"/>
      <c r="AH718" s="1354">
        <f>IF($AC718&gt;0,($X718/$AZ718), "")</f>
        <v>0.70023148148148151</v>
      </c>
      <c r="AI718" s="1355"/>
      <c r="AJ718" s="1356"/>
      <c r="AK718" s="1336" t="s">
        <v>592</v>
      </c>
      <c r="AL718" s="1337"/>
      <c r="AM718" s="1337"/>
      <c r="AN718" s="1337"/>
      <c r="AO718" s="1338"/>
      <c r="AP718" s="3"/>
      <c r="AQ718" s="3"/>
      <c r="AR718" s="3"/>
      <c r="AS718" s="3"/>
      <c r="AZ718" s="118">
        <f>IF($G718=0,"N/A",VLOOKUP($T$189,TC_Rent,(MATCH($B718,bedrooms,FALSE)),FALSE))</f>
        <v>3456</v>
      </c>
      <c r="BA718" s="3"/>
      <c r="BB718" s="3"/>
      <c r="BC718" s="3"/>
      <c r="BD718" s="3"/>
      <c r="BE718" s="205"/>
      <c r="BF718" s="294">
        <f t="shared" ref="BF718:BF752" si="9">G718</f>
        <v>36</v>
      </c>
      <c r="BG718" s="298">
        <f t="shared" ref="BG718:BG752" si="10">IF($BF$753=0,0,BF718/$BF$753)</f>
        <v>0.14007782101167315</v>
      </c>
      <c r="BH718" s="299">
        <f t="shared" ref="BH718:BH752" si="11">IF(BG718=0,"",BG718*AC718)</f>
        <v>9.8054474708171205E-2</v>
      </c>
      <c r="BI718" s="3"/>
      <c r="BJ718" s="3"/>
      <c r="BK718" s="3"/>
      <c r="BL718" s="3"/>
      <c r="BM718" s="3"/>
      <c r="BN718" s="3"/>
      <c r="BS718" s="294">
        <f t="shared" ref="BS718:BS752" si="12">G718</f>
        <v>36</v>
      </c>
      <c r="BT718" s="298">
        <f t="shared" ref="BT718:BT752" si="13">IF($BS$753=0,0,BS718/$BS$753)</f>
        <v>0.14007782101167315</v>
      </c>
      <c r="BU718" s="299">
        <f t="shared" ref="BU718:BU752" si="14">IF(BT718=0,"",BT718*AH718)</f>
        <v>9.8086900129701685E-2</v>
      </c>
      <c r="CC718" s="3"/>
      <c r="CD718" s="3"/>
      <c r="CE718" s="3"/>
      <c r="CF718" s="3"/>
      <c r="CG718" s="1462">
        <f>IF(AND(AC718&lt;=0.5,AC718&gt;=0.36),1,0)</f>
        <v>0</v>
      </c>
      <c r="CH718" s="1463"/>
      <c r="CI718" s="1468">
        <f>IF(CG718=1,G718,0)</f>
        <v>0</v>
      </c>
      <c r="CJ718" s="1469"/>
      <c r="CK718" s="1462">
        <f t="shared" ref="CK718:CK752" si="15">IF(AND(AC718&lt;=0.35,AC718&gt;0),1,0)</f>
        <v>0</v>
      </c>
      <c r="CL718" s="1463"/>
      <c r="CM718" s="1468">
        <f t="shared" ref="CM718:CM752" si="16">IF(CK718=1,G718,0)</f>
        <v>0</v>
      </c>
      <c r="CN718" s="1469"/>
      <c r="CO718" s="3"/>
      <c r="CP718" s="1457">
        <f t="shared" ref="CP718:CP752" si="17">IF(B718="SRO/Studio",G718,0)</f>
        <v>0</v>
      </c>
      <c r="CQ718" s="1458"/>
      <c r="CR718" s="1458"/>
      <c r="CS718" s="1458"/>
      <c r="CT718" s="1459"/>
      <c r="CU718" s="1442">
        <f t="shared" ref="CU718:CU752" si="18">IF(B718="1 Bedroom",G718,0)</f>
        <v>36</v>
      </c>
      <c r="CV718" s="1442"/>
      <c r="CW718" s="1442"/>
      <c r="CX718" s="1442"/>
      <c r="CY718" s="1442"/>
      <c r="CZ718" s="1442">
        <f t="shared" ref="CZ718:CZ752" si="19">IF(B718="2 Bedrooms",G718,0)</f>
        <v>0</v>
      </c>
      <c r="DA718" s="1442"/>
      <c r="DB718" s="1442"/>
      <c r="DC718" s="1442"/>
      <c r="DD718" s="1442"/>
      <c r="DE718" s="1442">
        <f t="shared" ref="DE718:DE752" si="20">IF(B718="3 Bedrooms",G718,0)</f>
        <v>0</v>
      </c>
      <c r="DF718" s="1442"/>
      <c r="DG718" s="1442"/>
      <c r="DH718" s="1442"/>
      <c r="DI718" s="1442"/>
      <c r="DJ718" s="1442">
        <f t="shared" ref="DJ718:DJ752" si="21">IF(B718="4 Bedrooms",G718,0)</f>
        <v>0</v>
      </c>
      <c r="DK718" s="1442"/>
      <c r="DL718" s="1442"/>
      <c r="DM718" s="1442"/>
      <c r="DN718" s="1442"/>
      <c r="DO718" s="1442">
        <f t="shared" ref="DO718:DO752" si="22">IF(B718="5 Bedrooms",G718,0)</f>
        <v>0</v>
      </c>
      <c r="DP718" s="1442"/>
      <c r="DQ718" s="1442"/>
      <c r="DR718" s="1442"/>
      <c r="DS718" s="1442"/>
      <c r="DT718" s="6"/>
      <c r="DU718" s="1443">
        <f t="shared" ref="DU718:DU752" si="23">IF(AND(B718="SRO/Studio",AC718&lt;=0.3),G718,0)</f>
        <v>0</v>
      </c>
      <c r="DV718" s="1443"/>
      <c r="DW718" s="1443"/>
      <c r="DX718" s="1443"/>
      <c r="DY718" s="1443"/>
      <c r="DZ718" s="1443">
        <f t="shared" ref="DZ718:DZ752" si="24">IF(AND(B718="1 Bedroom",AC718&lt;=0.3),G718,0)</f>
        <v>0</v>
      </c>
      <c r="EA718" s="1443"/>
      <c r="EB718" s="1443"/>
      <c r="EC718" s="1443"/>
      <c r="ED718" s="1443"/>
      <c r="EE718" s="1443">
        <f t="shared" ref="EE718:EE752" si="25">IF(AND(B718="2 Bedrooms",AC718&lt;=0.3),G718,0)</f>
        <v>0</v>
      </c>
      <c r="EF718" s="1443"/>
      <c r="EG718" s="1443"/>
      <c r="EH718" s="1443"/>
      <c r="EI718" s="1443"/>
      <c r="EJ718" s="1443">
        <f t="shared" ref="EJ718:EJ752" si="26">IF(AND(B718="3 Bedrooms",AC718&lt;=0.3),G718,0)</f>
        <v>0</v>
      </c>
      <c r="EK718" s="1443"/>
      <c r="EL718" s="1443"/>
      <c r="EM718" s="1443"/>
      <c r="EN718" s="1443"/>
      <c r="EO718" s="1443">
        <f t="shared" ref="EO718:EO752" si="27">IF(AND(B718="4 Bedrooms",AC718&lt;=0.3),G718,0)</f>
        <v>0</v>
      </c>
      <c r="EP718" s="1443"/>
      <c r="EQ718" s="1443"/>
      <c r="ER718" s="1443"/>
      <c r="ES718" s="1443"/>
      <c r="ET718" s="1443">
        <f t="shared" ref="ET718:ET752" si="28">IF(AND(B718="5 Bedrooms",AC718&lt;=0.3),G718,0)</f>
        <v>0</v>
      </c>
      <c r="EU718" s="1443"/>
      <c r="EV718" s="1443"/>
      <c r="EW718" s="1443"/>
      <c r="EX718" s="1443"/>
      <c r="EY718" s="4"/>
      <c r="EZ718" s="1462" t="str">
        <f t="shared" ref="EZ718:EZ752" si="29">IF(CP718&gt;0,O718,"")</f>
        <v/>
      </c>
      <c r="FA718" s="1464"/>
      <c r="FB718" s="1464"/>
      <c r="FC718" s="1464"/>
      <c r="FD718" s="1463"/>
      <c r="FE718" s="1462">
        <f t="shared" ref="FE718:FE752" si="30">IF(CU718&gt;0,O718,"")</f>
        <v>2361</v>
      </c>
      <c r="FF718" s="1464"/>
      <c r="FG718" s="1464"/>
      <c r="FH718" s="1464"/>
      <c r="FI718" s="1463"/>
      <c r="FJ718" s="1462" t="str">
        <f t="shared" ref="FJ718:FJ752" si="31">IF(CZ718&gt;0,O718,"")</f>
        <v/>
      </c>
      <c r="FK718" s="1464"/>
      <c r="FL718" s="1464"/>
      <c r="FM718" s="1464"/>
      <c r="FN718" s="1463"/>
      <c r="FO718" s="1462" t="str">
        <f t="shared" ref="FO718:FO752" si="32">IF(DE718&gt;0,O718,"")</f>
        <v/>
      </c>
      <c r="FP718" s="1464"/>
      <c r="FQ718" s="1464"/>
      <c r="FR718" s="1464"/>
      <c r="FS718" s="1463"/>
      <c r="FT718" s="1462" t="str">
        <f t="shared" ref="FT718:FT752" si="33">IF(DJ718&gt;0,O718,"")</f>
        <v/>
      </c>
      <c r="FU718" s="1464"/>
      <c r="FV718" s="1464"/>
      <c r="FW718" s="1464"/>
      <c r="FX718" s="1463"/>
      <c r="FY718" s="1462" t="str">
        <f t="shared" ref="FY718:FY752" si="34">IF(DO718&gt;0,O718,"")</f>
        <v/>
      </c>
      <c r="FZ718" s="1464"/>
      <c r="GA718" s="1464"/>
      <c r="GB718" s="1464"/>
      <c r="GC718" s="1463"/>
    </row>
    <row r="719" spans="1:185" ht="13" customHeight="1">
      <c r="A719" s="4"/>
      <c r="B719" s="1336" t="s">
        <v>325</v>
      </c>
      <c r="C719" s="1337"/>
      <c r="D719" s="1337"/>
      <c r="E719" s="1337"/>
      <c r="F719" s="1338"/>
      <c r="G719" s="1348">
        <v>36</v>
      </c>
      <c r="H719" s="1349"/>
      <c r="I719" s="1349"/>
      <c r="J719" s="1350"/>
      <c r="K719" s="1342">
        <v>600</v>
      </c>
      <c r="L719" s="1343"/>
      <c r="M719" s="1343"/>
      <c r="N719" s="1344"/>
      <c r="O719" s="1339">
        <v>2015</v>
      </c>
      <c r="P719" s="1340"/>
      <c r="Q719" s="1340"/>
      <c r="R719" s="1340"/>
      <c r="S719" s="1341"/>
      <c r="T719" s="1339">
        <v>59</v>
      </c>
      <c r="U719" s="1340"/>
      <c r="V719" s="1340"/>
      <c r="W719" s="1341"/>
      <c r="X719" s="1351">
        <f t="shared" si="8"/>
        <v>2074</v>
      </c>
      <c r="Y719" s="1352"/>
      <c r="Z719" s="1352"/>
      <c r="AA719" s="1352"/>
      <c r="AB719" s="1353"/>
      <c r="AC719" s="1358">
        <v>0.6</v>
      </c>
      <c r="AD719" s="1359"/>
      <c r="AE719" s="1359"/>
      <c r="AF719" s="1359"/>
      <c r="AG719" s="1360"/>
      <c r="AH719" s="1354">
        <f t="shared" ref="AH719:AH752" si="35">IF($AC719&gt;0,($X719/$AZ719), "")</f>
        <v>0.6001157407407407</v>
      </c>
      <c r="AI719" s="1355"/>
      <c r="AJ719" s="1356"/>
      <c r="AK719" s="1336" t="s">
        <v>592</v>
      </c>
      <c r="AL719" s="1337"/>
      <c r="AM719" s="1337"/>
      <c r="AN719" s="1337"/>
      <c r="AO719" s="1338"/>
      <c r="AP719" s="3"/>
      <c r="AQ719" s="3"/>
      <c r="AR719" s="3"/>
      <c r="AS719" s="3"/>
      <c r="AZ719" s="118">
        <f>IF($G719=0,"N/A",VLOOKUP($T$189,TC_Rent,(MATCH($B719,bedrooms,FALSE)),FALSE))</f>
        <v>3456</v>
      </c>
      <c r="BA719" s="3"/>
      <c r="BB719" s="3"/>
      <c r="BC719" s="3"/>
      <c r="BD719" s="3"/>
      <c r="BE719" s="205"/>
      <c r="BF719" s="295">
        <f t="shared" si="9"/>
        <v>36</v>
      </c>
      <c r="BG719" s="298">
        <f t="shared" si="10"/>
        <v>0.14007782101167315</v>
      </c>
      <c r="BH719" s="299">
        <f t="shared" si="11"/>
        <v>8.4046692607003884E-2</v>
      </c>
      <c r="BI719" s="3"/>
      <c r="BJ719" s="3"/>
      <c r="BK719" s="3"/>
      <c r="BL719" s="3"/>
      <c r="BM719" s="3"/>
      <c r="BN719" s="3"/>
      <c r="BS719" s="295">
        <f t="shared" si="12"/>
        <v>36</v>
      </c>
      <c r="BT719" s="298">
        <f t="shared" si="13"/>
        <v>0.14007782101167315</v>
      </c>
      <c r="BU719" s="299">
        <f t="shared" si="14"/>
        <v>8.4062905317769124E-2</v>
      </c>
      <c r="CC719" s="3"/>
      <c r="CD719" s="3"/>
      <c r="CE719" s="3"/>
      <c r="CF719" s="3"/>
      <c r="CG719" s="1462">
        <f t="shared" ref="CG719:CG752" si="36">IF(AND(AC719&lt;=0.5,AC719&gt;=0.36),1,0)</f>
        <v>0</v>
      </c>
      <c r="CH719" s="1463"/>
      <c r="CI719" s="1468">
        <f t="shared" ref="CI719:CI752" si="37">IF(CG719=1,G719,0)</f>
        <v>0</v>
      </c>
      <c r="CJ719" s="1469"/>
      <c r="CK719" s="1462">
        <f t="shared" si="15"/>
        <v>0</v>
      </c>
      <c r="CL719" s="1463"/>
      <c r="CM719" s="1468">
        <f t="shared" si="16"/>
        <v>0</v>
      </c>
      <c r="CN719" s="1469"/>
      <c r="CO719" s="3"/>
      <c r="CP719" s="1457">
        <f t="shared" si="17"/>
        <v>0</v>
      </c>
      <c r="CQ719" s="1458"/>
      <c r="CR719" s="1458"/>
      <c r="CS719" s="1458"/>
      <c r="CT719" s="1459"/>
      <c r="CU719" s="1442">
        <f t="shared" si="18"/>
        <v>36</v>
      </c>
      <c r="CV719" s="1442"/>
      <c r="CW719" s="1442"/>
      <c r="CX719" s="1442"/>
      <c r="CY719" s="1442"/>
      <c r="CZ719" s="1442">
        <f t="shared" si="19"/>
        <v>0</v>
      </c>
      <c r="DA719" s="1442"/>
      <c r="DB719" s="1442"/>
      <c r="DC719" s="1442"/>
      <c r="DD719" s="1442"/>
      <c r="DE719" s="1442">
        <f t="shared" si="20"/>
        <v>0</v>
      </c>
      <c r="DF719" s="1442"/>
      <c r="DG719" s="1442"/>
      <c r="DH719" s="1442"/>
      <c r="DI719" s="1442"/>
      <c r="DJ719" s="1442">
        <f t="shared" si="21"/>
        <v>0</v>
      </c>
      <c r="DK719" s="1442"/>
      <c r="DL719" s="1442"/>
      <c r="DM719" s="1442"/>
      <c r="DN719" s="1442"/>
      <c r="DO719" s="1442">
        <f t="shared" si="22"/>
        <v>0</v>
      </c>
      <c r="DP719" s="1442"/>
      <c r="DQ719" s="1442"/>
      <c r="DR719" s="1442"/>
      <c r="DS719" s="1442"/>
      <c r="DT719" s="6"/>
      <c r="DU719" s="1443">
        <f t="shared" si="23"/>
        <v>0</v>
      </c>
      <c r="DV719" s="1443"/>
      <c r="DW719" s="1443"/>
      <c r="DX719" s="1443"/>
      <c r="DY719" s="1443"/>
      <c r="DZ719" s="1443">
        <f t="shared" si="24"/>
        <v>0</v>
      </c>
      <c r="EA719" s="1443"/>
      <c r="EB719" s="1443"/>
      <c r="EC719" s="1443"/>
      <c r="ED719" s="1443"/>
      <c r="EE719" s="1443">
        <f t="shared" si="25"/>
        <v>0</v>
      </c>
      <c r="EF719" s="1443"/>
      <c r="EG719" s="1443"/>
      <c r="EH719" s="1443"/>
      <c r="EI719" s="1443"/>
      <c r="EJ719" s="1443">
        <f t="shared" si="26"/>
        <v>0</v>
      </c>
      <c r="EK719" s="1443"/>
      <c r="EL719" s="1443"/>
      <c r="EM719" s="1443"/>
      <c r="EN719" s="1443"/>
      <c r="EO719" s="1443">
        <f t="shared" si="27"/>
        <v>0</v>
      </c>
      <c r="EP719" s="1443"/>
      <c r="EQ719" s="1443"/>
      <c r="ER719" s="1443"/>
      <c r="ES719" s="1443"/>
      <c r="ET719" s="1443">
        <f t="shared" si="28"/>
        <v>0</v>
      </c>
      <c r="EU719" s="1443"/>
      <c r="EV719" s="1443"/>
      <c r="EW719" s="1443"/>
      <c r="EX719" s="1443"/>
      <c r="EY719" s="4"/>
      <c r="EZ719" s="1462" t="str">
        <f t="shared" si="29"/>
        <v/>
      </c>
      <c r="FA719" s="1464"/>
      <c r="FB719" s="1464"/>
      <c r="FC719" s="1464"/>
      <c r="FD719" s="1463"/>
      <c r="FE719" s="1462">
        <f t="shared" si="30"/>
        <v>2015</v>
      </c>
      <c r="FF719" s="1464"/>
      <c r="FG719" s="1464"/>
      <c r="FH719" s="1464"/>
      <c r="FI719" s="1463"/>
      <c r="FJ719" s="1462" t="str">
        <f t="shared" si="31"/>
        <v/>
      </c>
      <c r="FK719" s="1464"/>
      <c r="FL719" s="1464"/>
      <c r="FM719" s="1464"/>
      <c r="FN719" s="1463"/>
      <c r="FO719" s="1462" t="str">
        <f t="shared" si="32"/>
        <v/>
      </c>
      <c r="FP719" s="1464"/>
      <c r="FQ719" s="1464"/>
      <c r="FR719" s="1464"/>
      <c r="FS719" s="1463"/>
      <c r="FT719" s="1462" t="str">
        <f t="shared" si="33"/>
        <v/>
      </c>
      <c r="FU719" s="1464"/>
      <c r="FV719" s="1464"/>
      <c r="FW719" s="1464"/>
      <c r="FX719" s="1463"/>
      <c r="FY719" s="1462" t="str">
        <f t="shared" si="34"/>
        <v/>
      </c>
      <c r="FZ719" s="1464"/>
      <c r="GA719" s="1464"/>
      <c r="GB719" s="1464"/>
      <c r="GC719" s="1463"/>
    </row>
    <row r="720" spans="1:185" ht="13" customHeight="1">
      <c r="A720" s="4"/>
      <c r="B720" s="1336" t="s">
        <v>325</v>
      </c>
      <c r="C720" s="1337"/>
      <c r="D720" s="1337"/>
      <c r="E720" s="1337"/>
      <c r="F720" s="1338"/>
      <c r="G720" s="1348">
        <v>9</v>
      </c>
      <c r="H720" s="1349"/>
      <c r="I720" s="1349"/>
      <c r="J720" s="1350"/>
      <c r="K720" s="1342">
        <v>600</v>
      </c>
      <c r="L720" s="1343"/>
      <c r="M720" s="1343"/>
      <c r="N720" s="1344"/>
      <c r="O720" s="1339">
        <v>1669</v>
      </c>
      <c r="P720" s="1340"/>
      <c r="Q720" s="1340"/>
      <c r="R720" s="1340"/>
      <c r="S720" s="1341"/>
      <c r="T720" s="1339">
        <v>59</v>
      </c>
      <c r="U720" s="1340"/>
      <c r="V720" s="1340"/>
      <c r="W720" s="1341"/>
      <c r="X720" s="1351">
        <f t="shared" si="8"/>
        <v>1728</v>
      </c>
      <c r="Y720" s="1352"/>
      <c r="Z720" s="1352"/>
      <c r="AA720" s="1352"/>
      <c r="AB720" s="1353"/>
      <c r="AC720" s="1358">
        <v>0.5</v>
      </c>
      <c r="AD720" s="1359"/>
      <c r="AE720" s="1359"/>
      <c r="AF720" s="1359"/>
      <c r="AG720" s="1360"/>
      <c r="AH720" s="1354">
        <f t="shared" si="35"/>
        <v>0.5</v>
      </c>
      <c r="AI720" s="1355"/>
      <c r="AJ720" s="1356"/>
      <c r="AK720" s="1336" t="s">
        <v>592</v>
      </c>
      <c r="AL720" s="1337"/>
      <c r="AM720" s="1337"/>
      <c r="AN720" s="1337"/>
      <c r="AO720" s="1338"/>
      <c r="AP720" s="3"/>
      <c r="AQ720" s="3"/>
      <c r="AR720" s="3"/>
      <c r="AS720" s="3"/>
      <c r="AZ720" s="118">
        <f>IF($G720=0,"N/A",VLOOKUP($T$189,TC_Rent,(MATCH($B720,bedrooms,FALSE)),FALSE))</f>
        <v>3456</v>
      </c>
      <c r="BA720" s="3"/>
      <c r="BB720" s="3"/>
      <c r="BC720" s="3"/>
      <c r="BD720" s="3"/>
      <c r="BE720" s="205"/>
      <c r="BF720" s="295">
        <f t="shared" si="9"/>
        <v>9</v>
      </c>
      <c r="BG720" s="298">
        <f t="shared" si="10"/>
        <v>3.5019455252918288E-2</v>
      </c>
      <c r="BH720" s="299">
        <f t="shared" si="11"/>
        <v>1.7509727626459144E-2</v>
      </c>
      <c r="BI720" s="3"/>
      <c r="BJ720" s="3"/>
      <c r="BK720" s="3"/>
      <c r="BL720" s="3"/>
      <c r="BM720" s="3"/>
      <c r="BN720" s="3"/>
      <c r="BS720" s="295">
        <f t="shared" si="12"/>
        <v>9</v>
      </c>
      <c r="BT720" s="298">
        <f t="shared" si="13"/>
        <v>3.5019455252918288E-2</v>
      </c>
      <c r="BU720" s="299">
        <f t="shared" si="14"/>
        <v>1.7509727626459144E-2</v>
      </c>
      <c r="CC720" s="3"/>
      <c r="CD720" s="3"/>
      <c r="CE720" s="3"/>
      <c r="CF720" s="3"/>
      <c r="CG720" s="1462">
        <f t="shared" si="36"/>
        <v>1</v>
      </c>
      <c r="CH720" s="1463"/>
      <c r="CI720" s="1468">
        <f t="shared" si="37"/>
        <v>9</v>
      </c>
      <c r="CJ720" s="1469"/>
      <c r="CK720" s="1462">
        <f t="shared" si="15"/>
        <v>0</v>
      </c>
      <c r="CL720" s="1463"/>
      <c r="CM720" s="1468">
        <f t="shared" si="16"/>
        <v>0</v>
      </c>
      <c r="CN720" s="1469"/>
      <c r="CO720" s="3"/>
      <c r="CP720" s="1457">
        <f t="shared" si="17"/>
        <v>0</v>
      </c>
      <c r="CQ720" s="1458"/>
      <c r="CR720" s="1458"/>
      <c r="CS720" s="1458"/>
      <c r="CT720" s="1459"/>
      <c r="CU720" s="1442">
        <f t="shared" si="18"/>
        <v>9</v>
      </c>
      <c r="CV720" s="1442"/>
      <c r="CW720" s="1442"/>
      <c r="CX720" s="1442"/>
      <c r="CY720" s="1442"/>
      <c r="CZ720" s="1442">
        <f t="shared" si="19"/>
        <v>0</v>
      </c>
      <c r="DA720" s="1442"/>
      <c r="DB720" s="1442"/>
      <c r="DC720" s="1442"/>
      <c r="DD720" s="1442"/>
      <c r="DE720" s="1442">
        <f t="shared" si="20"/>
        <v>0</v>
      </c>
      <c r="DF720" s="1442"/>
      <c r="DG720" s="1442"/>
      <c r="DH720" s="1442"/>
      <c r="DI720" s="1442"/>
      <c r="DJ720" s="1442">
        <f t="shared" si="21"/>
        <v>0</v>
      </c>
      <c r="DK720" s="1442"/>
      <c r="DL720" s="1442"/>
      <c r="DM720" s="1442"/>
      <c r="DN720" s="1442"/>
      <c r="DO720" s="1442">
        <f t="shared" si="22"/>
        <v>0</v>
      </c>
      <c r="DP720" s="1442"/>
      <c r="DQ720" s="1442"/>
      <c r="DR720" s="1442"/>
      <c r="DS720" s="1442"/>
      <c r="DT720" s="6"/>
      <c r="DU720" s="1443">
        <f t="shared" si="23"/>
        <v>0</v>
      </c>
      <c r="DV720" s="1443"/>
      <c r="DW720" s="1443"/>
      <c r="DX720" s="1443"/>
      <c r="DY720" s="1443"/>
      <c r="DZ720" s="1443">
        <f t="shared" si="24"/>
        <v>0</v>
      </c>
      <c r="EA720" s="1443"/>
      <c r="EB720" s="1443"/>
      <c r="EC720" s="1443"/>
      <c r="ED720" s="1443"/>
      <c r="EE720" s="1443">
        <f t="shared" si="25"/>
        <v>0</v>
      </c>
      <c r="EF720" s="1443"/>
      <c r="EG720" s="1443"/>
      <c r="EH720" s="1443"/>
      <c r="EI720" s="1443"/>
      <c r="EJ720" s="1443">
        <f t="shared" si="26"/>
        <v>0</v>
      </c>
      <c r="EK720" s="1443"/>
      <c r="EL720" s="1443"/>
      <c r="EM720" s="1443"/>
      <c r="EN720" s="1443"/>
      <c r="EO720" s="1443">
        <f t="shared" si="27"/>
        <v>0</v>
      </c>
      <c r="EP720" s="1443"/>
      <c r="EQ720" s="1443"/>
      <c r="ER720" s="1443"/>
      <c r="ES720" s="1443"/>
      <c r="ET720" s="1443">
        <f t="shared" si="28"/>
        <v>0</v>
      </c>
      <c r="EU720" s="1443"/>
      <c r="EV720" s="1443"/>
      <c r="EW720" s="1443"/>
      <c r="EX720" s="1443"/>
      <c r="EZ720" s="1462" t="str">
        <f t="shared" si="29"/>
        <v/>
      </c>
      <c r="FA720" s="1464"/>
      <c r="FB720" s="1464"/>
      <c r="FC720" s="1464"/>
      <c r="FD720" s="1463"/>
      <c r="FE720" s="1462">
        <f t="shared" si="30"/>
        <v>1669</v>
      </c>
      <c r="FF720" s="1464"/>
      <c r="FG720" s="1464"/>
      <c r="FH720" s="1464"/>
      <c r="FI720" s="1463"/>
      <c r="FJ720" s="1462" t="str">
        <f t="shared" si="31"/>
        <v/>
      </c>
      <c r="FK720" s="1464"/>
      <c r="FL720" s="1464"/>
      <c r="FM720" s="1464"/>
      <c r="FN720" s="1463"/>
      <c r="FO720" s="1462" t="str">
        <f t="shared" si="32"/>
        <v/>
      </c>
      <c r="FP720" s="1464"/>
      <c r="FQ720" s="1464"/>
      <c r="FR720" s="1464"/>
      <c r="FS720" s="1463"/>
      <c r="FT720" s="1462" t="str">
        <f t="shared" si="33"/>
        <v/>
      </c>
      <c r="FU720" s="1464"/>
      <c r="FV720" s="1464"/>
      <c r="FW720" s="1464"/>
      <c r="FX720" s="1463"/>
      <c r="FY720" s="1462" t="str">
        <f t="shared" si="34"/>
        <v/>
      </c>
      <c r="FZ720" s="1464"/>
      <c r="GA720" s="1464"/>
      <c r="GB720" s="1464"/>
      <c r="GC720" s="1463"/>
    </row>
    <row r="721" spans="1:185" ht="13" customHeight="1">
      <c r="B721" s="1336" t="s">
        <v>325</v>
      </c>
      <c r="C721" s="1337"/>
      <c r="D721" s="1337"/>
      <c r="E721" s="1337"/>
      <c r="F721" s="1338"/>
      <c r="G721" s="1348">
        <v>9</v>
      </c>
      <c r="H721" s="1349"/>
      <c r="I721" s="1349"/>
      <c r="J721" s="1350"/>
      <c r="K721" s="1342">
        <v>600</v>
      </c>
      <c r="L721" s="1343"/>
      <c r="M721" s="1343"/>
      <c r="N721" s="1344"/>
      <c r="O721" s="1339">
        <v>978</v>
      </c>
      <c r="P721" s="1340"/>
      <c r="Q721" s="1340"/>
      <c r="R721" s="1340"/>
      <c r="S721" s="1341"/>
      <c r="T721" s="1339">
        <v>59</v>
      </c>
      <c r="U721" s="1340"/>
      <c r="V721" s="1340"/>
      <c r="W721" s="1341"/>
      <c r="X721" s="1351">
        <f t="shared" si="8"/>
        <v>1037</v>
      </c>
      <c r="Y721" s="1352"/>
      <c r="Z721" s="1352"/>
      <c r="AA721" s="1352"/>
      <c r="AB721" s="1353"/>
      <c r="AC721" s="1358">
        <v>0.3</v>
      </c>
      <c r="AD721" s="1359"/>
      <c r="AE721" s="1359"/>
      <c r="AF721" s="1359"/>
      <c r="AG721" s="1360"/>
      <c r="AH721" s="1354">
        <f t="shared" si="35"/>
        <v>0.30005787037037035</v>
      </c>
      <c r="AI721" s="1355"/>
      <c r="AJ721" s="1356"/>
      <c r="AK721" s="1336" t="s">
        <v>592</v>
      </c>
      <c r="AL721" s="1337"/>
      <c r="AM721" s="1337"/>
      <c r="AN721" s="1337"/>
      <c r="AO721" s="1338"/>
      <c r="AP721" s="3"/>
      <c r="AQ721" s="3"/>
      <c r="AR721" s="3"/>
      <c r="AS721" s="3"/>
      <c r="AY721" s="116"/>
      <c r="AZ721" s="118">
        <f>IF($G721=0,"N/A",VLOOKUP($T$189,TC_Rent,(MATCH($B721,bedrooms,FALSE)),FALSE))</f>
        <v>3456</v>
      </c>
      <c r="BA721" s="3"/>
      <c r="BB721" s="3"/>
      <c r="BC721" s="3"/>
      <c r="BD721" s="3"/>
      <c r="BE721" s="205"/>
      <c r="BF721" s="295">
        <f t="shared" si="9"/>
        <v>9</v>
      </c>
      <c r="BG721" s="298">
        <f t="shared" si="10"/>
        <v>3.5019455252918288E-2</v>
      </c>
      <c r="BH721" s="299">
        <f t="shared" si="11"/>
        <v>1.0505836575875485E-2</v>
      </c>
      <c r="BI721" s="3"/>
      <c r="BJ721" s="3"/>
      <c r="BK721" s="3"/>
      <c r="BL721" s="3"/>
      <c r="BM721" s="3"/>
      <c r="BN721" s="3"/>
      <c r="BS721" s="295">
        <f t="shared" si="12"/>
        <v>9</v>
      </c>
      <c r="BT721" s="298">
        <f t="shared" si="13"/>
        <v>3.5019455252918288E-2</v>
      </c>
      <c r="BU721" s="299">
        <f t="shared" si="14"/>
        <v>1.050786316472114E-2</v>
      </c>
      <c r="CC721" s="3"/>
      <c r="CD721" s="3"/>
      <c r="CE721" s="3"/>
      <c r="CF721" s="3"/>
      <c r="CG721" s="1462">
        <f t="shared" si="36"/>
        <v>0</v>
      </c>
      <c r="CH721" s="1463"/>
      <c r="CI721" s="1468">
        <f t="shared" si="37"/>
        <v>0</v>
      </c>
      <c r="CJ721" s="1469"/>
      <c r="CK721" s="1462">
        <f t="shared" si="15"/>
        <v>1</v>
      </c>
      <c r="CL721" s="1463"/>
      <c r="CM721" s="1468">
        <f t="shared" si="16"/>
        <v>9</v>
      </c>
      <c r="CN721" s="1469"/>
      <c r="CO721" s="3"/>
      <c r="CP721" s="1457">
        <f t="shared" si="17"/>
        <v>0</v>
      </c>
      <c r="CQ721" s="1458"/>
      <c r="CR721" s="1458"/>
      <c r="CS721" s="1458"/>
      <c r="CT721" s="1459"/>
      <c r="CU721" s="1442">
        <f t="shared" si="18"/>
        <v>9</v>
      </c>
      <c r="CV721" s="1442"/>
      <c r="CW721" s="1442"/>
      <c r="CX721" s="1442"/>
      <c r="CY721" s="1442"/>
      <c r="CZ721" s="1442">
        <f t="shared" si="19"/>
        <v>0</v>
      </c>
      <c r="DA721" s="1442"/>
      <c r="DB721" s="1442"/>
      <c r="DC721" s="1442"/>
      <c r="DD721" s="1442"/>
      <c r="DE721" s="1442">
        <f t="shared" si="20"/>
        <v>0</v>
      </c>
      <c r="DF721" s="1442"/>
      <c r="DG721" s="1442"/>
      <c r="DH721" s="1442"/>
      <c r="DI721" s="1442"/>
      <c r="DJ721" s="1442">
        <f t="shared" si="21"/>
        <v>0</v>
      </c>
      <c r="DK721" s="1442"/>
      <c r="DL721" s="1442"/>
      <c r="DM721" s="1442"/>
      <c r="DN721" s="1442"/>
      <c r="DO721" s="1442">
        <f t="shared" si="22"/>
        <v>0</v>
      </c>
      <c r="DP721" s="1442"/>
      <c r="DQ721" s="1442"/>
      <c r="DR721" s="1442"/>
      <c r="DS721" s="1442"/>
      <c r="DT721" s="6"/>
      <c r="DU721" s="1443">
        <f t="shared" si="23"/>
        <v>0</v>
      </c>
      <c r="DV721" s="1443"/>
      <c r="DW721" s="1443"/>
      <c r="DX721" s="1443"/>
      <c r="DY721" s="1443"/>
      <c r="DZ721" s="1443">
        <f t="shared" si="24"/>
        <v>9</v>
      </c>
      <c r="EA721" s="1443"/>
      <c r="EB721" s="1443"/>
      <c r="EC721" s="1443"/>
      <c r="ED721" s="1443"/>
      <c r="EE721" s="1443">
        <f t="shared" si="25"/>
        <v>0</v>
      </c>
      <c r="EF721" s="1443"/>
      <c r="EG721" s="1443"/>
      <c r="EH721" s="1443"/>
      <c r="EI721" s="1443"/>
      <c r="EJ721" s="1443">
        <f t="shared" si="26"/>
        <v>0</v>
      </c>
      <c r="EK721" s="1443"/>
      <c r="EL721" s="1443"/>
      <c r="EM721" s="1443"/>
      <c r="EN721" s="1443"/>
      <c r="EO721" s="1443">
        <f t="shared" si="27"/>
        <v>0</v>
      </c>
      <c r="EP721" s="1443"/>
      <c r="EQ721" s="1443"/>
      <c r="ER721" s="1443"/>
      <c r="ES721" s="1443"/>
      <c r="ET721" s="1443">
        <f t="shared" si="28"/>
        <v>0</v>
      </c>
      <c r="EU721" s="1443"/>
      <c r="EV721" s="1443"/>
      <c r="EW721" s="1443"/>
      <c r="EX721" s="1443"/>
      <c r="EZ721" s="1462" t="str">
        <f t="shared" si="29"/>
        <v/>
      </c>
      <c r="FA721" s="1464"/>
      <c r="FB721" s="1464"/>
      <c r="FC721" s="1464"/>
      <c r="FD721" s="1463"/>
      <c r="FE721" s="1462">
        <f t="shared" si="30"/>
        <v>978</v>
      </c>
      <c r="FF721" s="1464"/>
      <c r="FG721" s="1464"/>
      <c r="FH721" s="1464"/>
      <c r="FI721" s="1463"/>
      <c r="FJ721" s="1462" t="str">
        <f t="shared" si="31"/>
        <v/>
      </c>
      <c r="FK721" s="1464"/>
      <c r="FL721" s="1464"/>
      <c r="FM721" s="1464"/>
      <c r="FN721" s="1463"/>
      <c r="FO721" s="1462" t="str">
        <f t="shared" si="32"/>
        <v/>
      </c>
      <c r="FP721" s="1464"/>
      <c r="FQ721" s="1464"/>
      <c r="FR721" s="1464"/>
      <c r="FS721" s="1463"/>
      <c r="FT721" s="1462" t="str">
        <f t="shared" si="33"/>
        <v/>
      </c>
      <c r="FU721" s="1464"/>
      <c r="FV721" s="1464"/>
      <c r="FW721" s="1464"/>
      <c r="FX721" s="1463"/>
      <c r="FY721" s="1462" t="str">
        <f t="shared" si="34"/>
        <v/>
      </c>
      <c r="FZ721" s="1464"/>
      <c r="GA721" s="1464"/>
      <c r="GB721" s="1464"/>
      <c r="GC721" s="1463"/>
    </row>
    <row r="722" spans="1:185" ht="13" customHeight="1">
      <c r="B722" s="1336" t="s">
        <v>163</v>
      </c>
      <c r="C722" s="1337"/>
      <c r="D722" s="1337"/>
      <c r="E722" s="1337"/>
      <c r="F722" s="1338"/>
      <c r="G722" s="1348">
        <v>40</v>
      </c>
      <c r="H722" s="1349"/>
      <c r="I722" s="1349"/>
      <c r="J722" s="1350"/>
      <c r="K722" s="1342">
        <v>1140</v>
      </c>
      <c r="L722" s="1343"/>
      <c r="M722" s="1343"/>
      <c r="N722" s="1344"/>
      <c r="O722" s="1339">
        <v>2823</v>
      </c>
      <c r="P722" s="1340"/>
      <c r="Q722" s="1340"/>
      <c r="R722" s="1340"/>
      <c r="S722" s="1341"/>
      <c r="T722" s="1339">
        <v>80</v>
      </c>
      <c r="U722" s="1340"/>
      <c r="V722" s="1340"/>
      <c r="W722" s="1341"/>
      <c r="X722" s="1351">
        <f t="shared" si="8"/>
        <v>2903</v>
      </c>
      <c r="Y722" s="1352"/>
      <c r="Z722" s="1352"/>
      <c r="AA722" s="1352"/>
      <c r="AB722" s="1353"/>
      <c r="AC722" s="1358">
        <v>0.7</v>
      </c>
      <c r="AD722" s="1359"/>
      <c r="AE722" s="1359"/>
      <c r="AF722" s="1359"/>
      <c r="AG722" s="1360"/>
      <c r="AH722" s="1354">
        <f t="shared" si="35"/>
        <v>0.70019295706705253</v>
      </c>
      <c r="AI722" s="1355"/>
      <c r="AJ722" s="1356"/>
      <c r="AK722" s="1336" t="s">
        <v>592</v>
      </c>
      <c r="AL722" s="1337"/>
      <c r="AM722" s="1337"/>
      <c r="AN722" s="1337"/>
      <c r="AO722" s="1338"/>
      <c r="AP722" s="3"/>
      <c r="AQ722" s="3"/>
      <c r="AR722" s="3"/>
      <c r="AS722" s="3"/>
      <c r="AY722" s="116"/>
      <c r="AZ722" s="118">
        <f>IF($G722=0,"N/A",VLOOKUP($T$189,TC_Rent,(MATCH($B722,bedrooms,FALSE)),FALSE))</f>
        <v>4146</v>
      </c>
      <c r="BA722" s="3"/>
      <c r="BB722" s="3"/>
      <c r="BC722" s="3"/>
      <c r="BD722" s="3"/>
      <c r="BE722" s="205"/>
      <c r="BF722" s="295">
        <f t="shared" si="9"/>
        <v>40</v>
      </c>
      <c r="BG722" s="298">
        <f t="shared" si="10"/>
        <v>0.1556420233463035</v>
      </c>
      <c r="BH722" s="299">
        <f t="shared" si="11"/>
        <v>0.10894941634241245</v>
      </c>
      <c r="BI722" s="3"/>
      <c r="BJ722" s="3"/>
      <c r="BK722" s="3"/>
      <c r="BL722" s="3"/>
      <c r="BM722" s="3"/>
      <c r="BN722" s="3"/>
      <c r="BS722" s="295">
        <f t="shared" si="12"/>
        <v>40</v>
      </c>
      <c r="BT722" s="298">
        <f t="shared" si="13"/>
        <v>0.1556420233463035</v>
      </c>
      <c r="BU722" s="299">
        <f t="shared" si="14"/>
        <v>0.10897944857074748</v>
      </c>
      <c r="CC722" s="3"/>
      <c r="CD722" s="3"/>
      <c r="CE722" s="3"/>
      <c r="CF722" s="3"/>
      <c r="CG722" s="1462">
        <f t="shared" si="36"/>
        <v>0</v>
      </c>
      <c r="CH722" s="1463"/>
      <c r="CI722" s="1468">
        <f t="shared" si="37"/>
        <v>0</v>
      </c>
      <c r="CJ722" s="1469"/>
      <c r="CK722" s="1462">
        <f t="shared" si="15"/>
        <v>0</v>
      </c>
      <c r="CL722" s="1463"/>
      <c r="CM722" s="1468">
        <f t="shared" si="16"/>
        <v>0</v>
      </c>
      <c r="CN722" s="1469"/>
      <c r="CO722" s="3"/>
      <c r="CP722" s="1457">
        <f t="shared" si="17"/>
        <v>0</v>
      </c>
      <c r="CQ722" s="1458"/>
      <c r="CR722" s="1458"/>
      <c r="CS722" s="1458"/>
      <c r="CT722" s="1459"/>
      <c r="CU722" s="1442">
        <f t="shared" si="18"/>
        <v>0</v>
      </c>
      <c r="CV722" s="1442"/>
      <c r="CW722" s="1442"/>
      <c r="CX722" s="1442"/>
      <c r="CY722" s="1442"/>
      <c r="CZ722" s="1442">
        <f t="shared" si="19"/>
        <v>40</v>
      </c>
      <c r="DA722" s="1442"/>
      <c r="DB722" s="1442"/>
      <c r="DC722" s="1442"/>
      <c r="DD722" s="1442"/>
      <c r="DE722" s="1442">
        <f t="shared" si="20"/>
        <v>0</v>
      </c>
      <c r="DF722" s="1442"/>
      <c r="DG722" s="1442"/>
      <c r="DH722" s="1442"/>
      <c r="DI722" s="1442"/>
      <c r="DJ722" s="1442">
        <f t="shared" si="21"/>
        <v>0</v>
      </c>
      <c r="DK722" s="1442"/>
      <c r="DL722" s="1442"/>
      <c r="DM722" s="1442"/>
      <c r="DN722" s="1442"/>
      <c r="DO722" s="1442">
        <f t="shared" si="22"/>
        <v>0</v>
      </c>
      <c r="DP722" s="1442"/>
      <c r="DQ722" s="1442"/>
      <c r="DR722" s="1442"/>
      <c r="DS722" s="1442"/>
      <c r="DT722" s="6"/>
      <c r="DU722" s="1443">
        <f t="shared" si="23"/>
        <v>0</v>
      </c>
      <c r="DV722" s="1443"/>
      <c r="DW722" s="1443"/>
      <c r="DX722" s="1443"/>
      <c r="DY722" s="1443"/>
      <c r="DZ722" s="1443">
        <f t="shared" si="24"/>
        <v>0</v>
      </c>
      <c r="EA722" s="1443"/>
      <c r="EB722" s="1443"/>
      <c r="EC722" s="1443"/>
      <c r="ED722" s="1443"/>
      <c r="EE722" s="1443">
        <f t="shared" si="25"/>
        <v>0</v>
      </c>
      <c r="EF722" s="1443"/>
      <c r="EG722" s="1443"/>
      <c r="EH722" s="1443"/>
      <c r="EI722" s="1443"/>
      <c r="EJ722" s="1443">
        <f t="shared" si="26"/>
        <v>0</v>
      </c>
      <c r="EK722" s="1443"/>
      <c r="EL722" s="1443"/>
      <c r="EM722" s="1443"/>
      <c r="EN722" s="1443"/>
      <c r="EO722" s="1443">
        <f t="shared" si="27"/>
        <v>0</v>
      </c>
      <c r="EP722" s="1443"/>
      <c r="EQ722" s="1443"/>
      <c r="ER722" s="1443"/>
      <c r="ES722" s="1443"/>
      <c r="ET722" s="1443">
        <f t="shared" si="28"/>
        <v>0</v>
      </c>
      <c r="EU722" s="1443"/>
      <c r="EV722" s="1443"/>
      <c r="EW722" s="1443"/>
      <c r="EX722" s="1443"/>
      <c r="EZ722" s="1462" t="str">
        <f t="shared" si="29"/>
        <v/>
      </c>
      <c r="FA722" s="1464"/>
      <c r="FB722" s="1464"/>
      <c r="FC722" s="1464"/>
      <c r="FD722" s="1463"/>
      <c r="FE722" s="1462" t="str">
        <f t="shared" si="30"/>
        <v/>
      </c>
      <c r="FF722" s="1464"/>
      <c r="FG722" s="1464"/>
      <c r="FH722" s="1464"/>
      <c r="FI722" s="1463"/>
      <c r="FJ722" s="1462">
        <f t="shared" si="31"/>
        <v>2823</v>
      </c>
      <c r="FK722" s="1464"/>
      <c r="FL722" s="1464"/>
      <c r="FM722" s="1464"/>
      <c r="FN722" s="1463"/>
      <c r="FO722" s="1462" t="str">
        <f t="shared" si="32"/>
        <v/>
      </c>
      <c r="FP722" s="1464"/>
      <c r="FQ722" s="1464"/>
      <c r="FR722" s="1464"/>
      <c r="FS722" s="1463"/>
      <c r="FT722" s="1462" t="str">
        <f t="shared" si="33"/>
        <v/>
      </c>
      <c r="FU722" s="1464"/>
      <c r="FV722" s="1464"/>
      <c r="FW722" s="1464"/>
      <c r="FX722" s="1463"/>
      <c r="FY722" s="1462" t="str">
        <f t="shared" si="34"/>
        <v/>
      </c>
      <c r="FZ722" s="1464"/>
      <c r="GA722" s="1464"/>
      <c r="GB722" s="1464"/>
      <c r="GC722" s="1463"/>
    </row>
    <row r="723" spans="1:185" ht="13" customHeight="1">
      <c r="B723" s="1336" t="s">
        <v>163</v>
      </c>
      <c r="C723" s="1337"/>
      <c r="D723" s="1337"/>
      <c r="E723" s="1337"/>
      <c r="F723" s="1338"/>
      <c r="G723" s="1348">
        <v>42</v>
      </c>
      <c r="H723" s="1349"/>
      <c r="I723" s="1349"/>
      <c r="J723" s="1350"/>
      <c r="K723" s="1342">
        <v>1140</v>
      </c>
      <c r="L723" s="1343"/>
      <c r="M723" s="1343"/>
      <c r="N723" s="1344"/>
      <c r="O723" s="1339">
        <v>2408</v>
      </c>
      <c r="P723" s="1340"/>
      <c r="Q723" s="1340"/>
      <c r="R723" s="1340"/>
      <c r="S723" s="1341"/>
      <c r="T723" s="1339">
        <v>80</v>
      </c>
      <c r="U723" s="1340"/>
      <c r="V723" s="1340"/>
      <c r="W723" s="1341"/>
      <c r="X723" s="1351">
        <f t="shared" si="8"/>
        <v>2488</v>
      </c>
      <c r="Y723" s="1352"/>
      <c r="Z723" s="1352"/>
      <c r="AA723" s="1352"/>
      <c r="AB723" s="1353"/>
      <c r="AC723" s="1358">
        <v>0.6</v>
      </c>
      <c r="AD723" s="1359"/>
      <c r="AE723" s="1359"/>
      <c r="AF723" s="1359"/>
      <c r="AG723" s="1360"/>
      <c r="AH723" s="1354">
        <f t="shared" si="35"/>
        <v>0.60009647853352632</v>
      </c>
      <c r="AI723" s="1355"/>
      <c r="AJ723" s="1356"/>
      <c r="AK723" s="1336" t="s">
        <v>592</v>
      </c>
      <c r="AL723" s="1337"/>
      <c r="AM723" s="1337"/>
      <c r="AN723" s="1337"/>
      <c r="AO723" s="1338"/>
      <c r="AP723" s="3"/>
      <c r="AQ723" s="3"/>
      <c r="AR723" s="3"/>
      <c r="AS723" s="3"/>
      <c r="AY723" s="116"/>
      <c r="AZ723" s="118">
        <f>IF($G723=0,"N/A",VLOOKUP($T$189,TC_Rent,(MATCH($B723,bedrooms,FALSE)),FALSE))</f>
        <v>4146</v>
      </c>
      <c r="BA723" s="3"/>
      <c r="BB723" s="3"/>
      <c r="BC723" s="3"/>
      <c r="BD723" s="3"/>
      <c r="BE723" s="205"/>
      <c r="BF723" s="295">
        <f t="shared" si="9"/>
        <v>42</v>
      </c>
      <c r="BG723" s="298">
        <f t="shared" si="10"/>
        <v>0.16342412451361868</v>
      </c>
      <c r="BH723" s="299">
        <f t="shared" si="11"/>
        <v>9.8054474708171205E-2</v>
      </c>
      <c r="BI723" s="3"/>
      <c r="BJ723" s="3"/>
      <c r="BK723" s="3"/>
      <c r="BL723" s="3"/>
      <c r="BM723" s="3"/>
      <c r="BN723" s="3"/>
      <c r="BS723" s="295">
        <f t="shared" si="12"/>
        <v>42</v>
      </c>
      <c r="BT723" s="298">
        <f t="shared" si="13"/>
        <v>0.16342412451361868</v>
      </c>
      <c r="BU723" s="299">
        <f t="shared" si="14"/>
        <v>9.8070241628047103E-2</v>
      </c>
      <c r="CC723" s="3"/>
      <c r="CD723" s="3"/>
      <c r="CE723" s="3"/>
      <c r="CF723" s="3"/>
      <c r="CG723" s="1462">
        <f t="shared" si="36"/>
        <v>0</v>
      </c>
      <c r="CH723" s="1463"/>
      <c r="CI723" s="1468">
        <f t="shared" si="37"/>
        <v>0</v>
      </c>
      <c r="CJ723" s="1469"/>
      <c r="CK723" s="1462">
        <f t="shared" si="15"/>
        <v>0</v>
      </c>
      <c r="CL723" s="1463"/>
      <c r="CM723" s="1468">
        <f t="shared" si="16"/>
        <v>0</v>
      </c>
      <c r="CN723" s="1469"/>
      <c r="CO723" s="3"/>
      <c r="CP723" s="1457">
        <f t="shared" si="17"/>
        <v>0</v>
      </c>
      <c r="CQ723" s="1458"/>
      <c r="CR723" s="1458"/>
      <c r="CS723" s="1458"/>
      <c r="CT723" s="1459"/>
      <c r="CU723" s="1442">
        <f t="shared" si="18"/>
        <v>0</v>
      </c>
      <c r="CV723" s="1442"/>
      <c r="CW723" s="1442"/>
      <c r="CX723" s="1442"/>
      <c r="CY723" s="1442"/>
      <c r="CZ723" s="1442">
        <f t="shared" si="19"/>
        <v>42</v>
      </c>
      <c r="DA723" s="1442"/>
      <c r="DB723" s="1442"/>
      <c r="DC723" s="1442"/>
      <c r="DD723" s="1442"/>
      <c r="DE723" s="1442">
        <f t="shared" si="20"/>
        <v>0</v>
      </c>
      <c r="DF723" s="1442"/>
      <c r="DG723" s="1442"/>
      <c r="DH723" s="1442"/>
      <c r="DI723" s="1442"/>
      <c r="DJ723" s="1442">
        <f t="shared" si="21"/>
        <v>0</v>
      </c>
      <c r="DK723" s="1442"/>
      <c r="DL723" s="1442"/>
      <c r="DM723" s="1442"/>
      <c r="DN723" s="1442"/>
      <c r="DO723" s="1442">
        <f t="shared" si="22"/>
        <v>0</v>
      </c>
      <c r="DP723" s="1442"/>
      <c r="DQ723" s="1442"/>
      <c r="DR723" s="1442"/>
      <c r="DS723" s="1442"/>
      <c r="DT723" s="6"/>
      <c r="DU723" s="1443">
        <f t="shared" si="23"/>
        <v>0</v>
      </c>
      <c r="DV723" s="1443"/>
      <c r="DW723" s="1443"/>
      <c r="DX723" s="1443"/>
      <c r="DY723" s="1443"/>
      <c r="DZ723" s="1443">
        <f t="shared" si="24"/>
        <v>0</v>
      </c>
      <c r="EA723" s="1443"/>
      <c r="EB723" s="1443"/>
      <c r="EC723" s="1443"/>
      <c r="ED723" s="1443"/>
      <c r="EE723" s="1443">
        <f t="shared" si="25"/>
        <v>0</v>
      </c>
      <c r="EF723" s="1443"/>
      <c r="EG723" s="1443"/>
      <c r="EH723" s="1443"/>
      <c r="EI723" s="1443"/>
      <c r="EJ723" s="1443">
        <f t="shared" si="26"/>
        <v>0</v>
      </c>
      <c r="EK723" s="1443"/>
      <c r="EL723" s="1443"/>
      <c r="EM723" s="1443"/>
      <c r="EN723" s="1443"/>
      <c r="EO723" s="1443">
        <f t="shared" si="27"/>
        <v>0</v>
      </c>
      <c r="EP723" s="1443"/>
      <c r="EQ723" s="1443"/>
      <c r="ER723" s="1443"/>
      <c r="ES723" s="1443"/>
      <c r="ET723" s="1443">
        <f t="shared" si="28"/>
        <v>0</v>
      </c>
      <c r="EU723" s="1443"/>
      <c r="EV723" s="1443"/>
      <c r="EW723" s="1443"/>
      <c r="EX723" s="1443"/>
      <c r="EZ723" s="1462" t="str">
        <f t="shared" si="29"/>
        <v/>
      </c>
      <c r="FA723" s="1464"/>
      <c r="FB723" s="1464"/>
      <c r="FC723" s="1464"/>
      <c r="FD723" s="1463"/>
      <c r="FE723" s="1462" t="str">
        <f t="shared" si="30"/>
        <v/>
      </c>
      <c r="FF723" s="1464"/>
      <c r="FG723" s="1464"/>
      <c r="FH723" s="1464"/>
      <c r="FI723" s="1463"/>
      <c r="FJ723" s="1462">
        <f t="shared" si="31"/>
        <v>2408</v>
      </c>
      <c r="FK723" s="1464"/>
      <c r="FL723" s="1464"/>
      <c r="FM723" s="1464"/>
      <c r="FN723" s="1463"/>
      <c r="FO723" s="1462" t="str">
        <f t="shared" si="32"/>
        <v/>
      </c>
      <c r="FP723" s="1464"/>
      <c r="FQ723" s="1464"/>
      <c r="FR723" s="1464"/>
      <c r="FS723" s="1463"/>
      <c r="FT723" s="1462" t="str">
        <f t="shared" si="33"/>
        <v/>
      </c>
      <c r="FU723" s="1464"/>
      <c r="FV723" s="1464"/>
      <c r="FW723" s="1464"/>
      <c r="FX723" s="1463"/>
      <c r="FY723" s="1462" t="str">
        <f t="shared" si="34"/>
        <v/>
      </c>
      <c r="FZ723" s="1464"/>
      <c r="GA723" s="1464"/>
      <c r="GB723" s="1464"/>
      <c r="GC723" s="1463"/>
    </row>
    <row r="724" spans="1:185" ht="13" customHeight="1">
      <c r="B724" s="1336" t="s">
        <v>163</v>
      </c>
      <c r="C724" s="1337"/>
      <c r="D724" s="1337"/>
      <c r="E724" s="1337"/>
      <c r="F724" s="1338"/>
      <c r="G724" s="1348">
        <v>10</v>
      </c>
      <c r="H724" s="1349"/>
      <c r="I724" s="1349"/>
      <c r="J724" s="1350"/>
      <c r="K724" s="1342">
        <v>1140</v>
      </c>
      <c r="L724" s="1343"/>
      <c r="M724" s="1343"/>
      <c r="N724" s="1344"/>
      <c r="O724" s="1339">
        <v>1993</v>
      </c>
      <c r="P724" s="1340"/>
      <c r="Q724" s="1340"/>
      <c r="R724" s="1340"/>
      <c r="S724" s="1341"/>
      <c r="T724" s="1339">
        <v>80</v>
      </c>
      <c r="U724" s="1340"/>
      <c r="V724" s="1340"/>
      <c r="W724" s="1341"/>
      <c r="X724" s="1351">
        <f t="shared" si="8"/>
        <v>2073</v>
      </c>
      <c r="Y724" s="1352"/>
      <c r="Z724" s="1352"/>
      <c r="AA724" s="1352"/>
      <c r="AB724" s="1353"/>
      <c r="AC724" s="1358">
        <v>0.5</v>
      </c>
      <c r="AD724" s="1359"/>
      <c r="AE724" s="1359"/>
      <c r="AF724" s="1359"/>
      <c r="AG724" s="1360"/>
      <c r="AH724" s="1354">
        <f t="shared" si="35"/>
        <v>0.5</v>
      </c>
      <c r="AI724" s="1355"/>
      <c r="AJ724" s="1356"/>
      <c r="AK724" s="1336" t="s">
        <v>592</v>
      </c>
      <c r="AL724" s="1337"/>
      <c r="AM724" s="1337"/>
      <c r="AN724" s="1337"/>
      <c r="AO724" s="1338"/>
      <c r="AP724" s="3"/>
      <c r="AQ724" s="3"/>
      <c r="AR724" s="3"/>
      <c r="AS724" s="3"/>
      <c r="AY724" s="116"/>
      <c r="AZ724" s="118">
        <f>IF($G724=0,"N/A",VLOOKUP($T$189,TC_Rent,(MATCH($B724,bedrooms,FALSE)),FALSE))</f>
        <v>4146</v>
      </c>
      <c r="BA724" s="3"/>
      <c r="BB724" s="3"/>
      <c r="BC724" s="3"/>
      <c r="BD724" s="3"/>
      <c r="BE724" s="205"/>
      <c r="BF724" s="295">
        <f t="shared" si="9"/>
        <v>10</v>
      </c>
      <c r="BG724" s="298">
        <f t="shared" si="10"/>
        <v>3.8910505836575876E-2</v>
      </c>
      <c r="BH724" s="299">
        <f t="shared" si="11"/>
        <v>1.9455252918287938E-2</v>
      </c>
      <c r="BI724" s="3"/>
      <c r="BJ724" s="3"/>
      <c r="BK724" s="3"/>
      <c r="BL724" s="3"/>
      <c r="BM724" s="3"/>
      <c r="BN724" s="3"/>
      <c r="BS724" s="295">
        <f t="shared" si="12"/>
        <v>10</v>
      </c>
      <c r="BT724" s="298">
        <f t="shared" si="13"/>
        <v>3.8910505836575876E-2</v>
      </c>
      <c r="BU724" s="299">
        <f t="shared" si="14"/>
        <v>1.9455252918287938E-2</v>
      </c>
      <c r="CC724" s="3"/>
      <c r="CE724" s="3"/>
      <c r="CF724" s="3"/>
      <c r="CG724" s="1462">
        <f t="shared" si="36"/>
        <v>1</v>
      </c>
      <c r="CH724" s="1463"/>
      <c r="CI724" s="1468">
        <f t="shared" si="37"/>
        <v>10</v>
      </c>
      <c r="CJ724" s="1469"/>
      <c r="CK724" s="1462">
        <f t="shared" si="15"/>
        <v>0</v>
      </c>
      <c r="CL724" s="1463"/>
      <c r="CM724" s="1468">
        <f t="shared" si="16"/>
        <v>0</v>
      </c>
      <c r="CN724" s="1469"/>
      <c r="CO724" s="3"/>
      <c r="CP724" s="1457">
        <f t="shared" si="17"/>
        <v>0</v>
      </c>
      <c r="CQ724" s="1458"/>
      <c r="CR724" s="1458"/>
      <c r="CS724" s="1458"/>
      <c r="CT724" s="1459"/>
      <c r="CU724" s="1442">
        <f t="shared" si="18"/>
        <v>0</v>
      </c>
      <c r="CV724" s="1442"/>
      <c r="CW724" s="1442"/>
      <c r="CX724" s="1442"/>
      <c r="CY724" s="1442"/>
      <c r="CZ724" s="1442">
        <f t="shared" si="19"/>
        <v>10</v>
      </c>
      <c r="DA724" s="1442"/>
      <c r="DB724" s="1442"/>
      <c r="DC724" s="1442"/>
      <c r="DD724" s="1442"/>
      <c r="DE724" s="1442">
        <f t="shared" si="20"/>
        <v>0</v>
      </c>
      <c r="DF724" s="1442"/>
      <c r="DG724" s="1442"/>
      <c r="DH724" s="1442"/>
      <c r="DI724" s="1442"/>
      <c r="DJ724" s="1442">
        <f t="shared" si="21"/>
        <v>0</v>
      </c>
      <c r="DK724" s="1442"/>
      <c r="DL724" s="1442"/>
      <c r="DM724" s="1442"/>
      <c r="DN724" s="1442"/>
      <c r="DO724" s="1442">
        <f t="shared" si="22"/>
        <v>0</v>
      </c>
      <c r="DP724" s="1442"/>
      <c r="DQ724" s="1442"/>
      <c r="DR724" s="1442"/>
      <c r="DS724" s="1442"/>
      <c r="DT724" s="6"/>
      <c r="DU724" s="1443">
        <f t="shared" si="23"/>
        <v>0</v>
      </c>
      <c r="DV724" s="1443"/>
      <c r="DW724" s="1443"/>
      <c r="DX724" s="1443"/>
      <c r="DY724" s="1443"/>
      <c r="DZ724" s="1443">
        <f t="shared" si="24"/>
        <v>0</v>
      </c>
      <c r="EA724" s="1443"/>
      <c r="EB724" s="1443"/>
      <c r="EC724" s="1443"/>
      <c r="ED724" s="1443"/>
      <c r="EE724" s="1443">
        <f t="shared" si="25"/>
        <v>0</v>
      </c>
      <c r="EF724" s="1443"/>
      <c r="EG724" s="1443"/>
      <c r="EH724" s="1443"/>
      <c r="EI724" s="1443"/>
      <c r="EJ724" s="1443">
        <f t="shared" si="26"/>
        <v>0</v>
      </c>
      <c r="EK724" s="1443"/>
      <c r="EL724" s="1443"/>
      <c r="EM724" s="1443"/>
      <c r="EN724" s="1443"/>
      <c r="EO724" s="1443">
        <f t="shared" si="27"/>
        <v>0</v>
      </c>
      <c r="EP724" s="1443"/>
      <c r="EQ724" s="1443"/>
      <c r="ER724" s="1443"/>
      <c r="ES724" s="1443"/>
      <c r="ET724" s="1443">
        <f t="shared" si="28"/>
        <v>0</v>
      </c>
      <c r="EU724" s="1443"/>
      <c r="EV724" s="1443"/>
      <c r="EW724" s="1443"/>
      <c r="EX724" s="1443"/>
      <c r="EZ724" s="1462" t="str">
        <f t="shared" si="29"/>
        <v/>
      </c>
      <c r="FA724" s="1464"/>
      <c r="FB724" s="1464"/>
      <c r="FC724" s="1464"/>
      <c r="FD724" s="1463"/>
      <c r="FE724" s="1462" t="str">
        <f t="shared" si="30"/>
        <v/>
      </c>
      <c r="FF724" s="1464"/>
      <c r="FG724" s="1464"/>
      <c r="FH724" s="1464"/>
      <c r="FI724" s="1463"/>
      <c r="FJ724" s="1462">
        <f t="shared" si="31"/>
        <v>1993</v>
      </c>
      <c r="FK724" s="1464"/>
      <c r="FL724" s="1464"/>
      <c r="FM724" s="1464"/>
      <c r="FN724" s="1463"/>
      <c r="FO724" s="1462" t="str">
        <f t="shared" si="32"/>
        <v/>
      </c>
      <c r="FP724" s="1464"/>
      <c r="FQ724" s="1464"/>
      <c r="FR724" s="1464"/>
      <c r="FS724" s="1463"/>
      <c r="FT724" s="1462" t="str">
        <f t="shared" si="33"/>
        <v/>
      </c>
      <c r="FU724" s="1464"/>
      <c r="FV724" s="1464"/>
      <c r="FW724" s="1464"/>
      <c r="FX724" s="1463"/>
      <c r="FY724" s="1462" t="str">
        <f t="shared" si="34"/>
        <v/>
      </c>
      <c r="FZ724" s="1464"/>
      <c r="GA724" s="1464"/>
      <c r="GB724" s="1464"/>
      <c r="GC724" s="1463"/>
    </row>
    <row r="725" spans="1:185" ht="13" customHeight="1">
      <c r="B725" s="1336" t="s">
        <v>163</v>
      </c>
      <c r="C725" s="1337"/>
      <c r="D725" s="1337"/>
      <c r="E725" s="1337"/>
      <c r="F725" s="1338"/>
      <c r="G725" s="1348">
        <v>10</v>
      </c>
      <c r="H725" s="1349"/>
      <c r="I725" s="1349"/>
      <c r="J725" s="1350"/>
      <c r="K725" s="1342">
        <v>1140</v>
      </c>
      <c r="L725" s="1343"/>
      <c r="M725" s="1343"/>
      <c r="N725" s="1344"/>
      <c r="O725" s="1339">
        <v>1164</v>
      </c>
      <c r="P725" s="1340"/>
      <c r="Q725" s="1340"/>
      <c r="R725" s="1340"/>
      <c r="S725" s="1341"/>
      <c r="T725" s="1339">
        <v>80</v>
      </c>
      <c r="U725" s="1340"/>
      <c r="V725" s="1340"/>
      <c r="W725" s="1341"/>
      <c r="X725" s="1351">
        <f t="shared" si="8"/>
        <v>1244</v>
      </c>
      <c r="Y725" s="1352"/>
      <c r="Z725" s="1352"/>
      <c r="AA725" s="1352"/>
      <c r="AB725" s="1353"/>
      <c r="AC725" s="1358">
        <v>0.3</v>
      </c>
      <c r="AD725" s="1359"/>
      <c r="AE725" s="1359"/>
      <c r="AF725" s="1359"/>
      <c r="AG725" s="1360"/>
      <c r="AH725" s="1354">
        <f t="shared" si="35"/>
        <v>0.30004823926676316</v>
      </c>
      <c r="AI725" s="1355"/>
      <c r="AJ725" s="1356"/>
      <c r="AK725" s="1336" t="s">
        <v>592</v>
      </c>
      <c r="AL725" s="1337"/>
      <c r="AM725" s="1337"/>
      <c r="AN725" s="1337"/>
      <c r="AO725" s="1338"/>
      <c r="AP725" s="3"/>
      <c r="AQ725" s="3"/>
      <c r="AR725" s="3"/>
      <c r="AS725" s="3"/>
      <c r="AY725" s="1087"/>
      <c r="AZ725" s="118">
        <f>IF($G725=0,"N/A",VLOOKUP($T$189,TC_Rent,(MATCH($B725,bedrooms,FALSE)),FALSE))</f>
        <v>4146</v>
      </c>
      <c r="BA725" s="3"/>
      <c r="BB725" s="3"/>
      <c r="BC725" s="3"/>
      <c r="BD725" s="3"/>
      <c r="BE725" s="205"/>
      <c r="BF725" s="295">
        <f t="shared" si="9"/>
        <v>10</v>
      </c>
      <c r="BG725" s="298">
        <f t="shared" si="10"/>
        <v>3.8910505836575876E-2</v>
      </c>
      <c r="BH725" s="299">
        <f t="shared" si="11"/>
        <v>1.1673151750972763E-2</v>
      </c>
      <c r="BI725" s="3"/>
      <c r="BJ725" s="3"/>
      <c r="BK725" s="3"/>
      <c r="BL725" s="3"/>
      <c r="BM725" s="3"/>
      <c r="BN725" s="3"/>
      <c r="BS725" s="295">
        <f t="shared" si="12"/>
        <v>10</v>
      </c>
      <c r="BT725" s="298">
        <f t="shared" si="13"/>
        <v>3.8910505836575876E-2</v>
      </c>
      <c r="BU725" s="299">
        <f t="shared" si="14"/>
        <v>1.1675028765243702E-2</v>
      </c>
      <c r="BV725" s="293"/>
      <c r="BW725" s="3"/>
      <c r="BX725" s="3"/>
      <c r="BY725" s="3"/>
      <c r="BZ725" s="3"/>
      <c r="CA725" s="3"/>
      <c r="CB725" s="3"/>
      <c r="CC725" s="3"/>
      <c r="CE725" s="3"/>
      <c r="CF725" s="3"/>
      <c r="CG725" s="1462">
        <f t="shared" si="36"/>
        <v>0</v>
      </c>
      <c r="CH725" s="1463"/>
      <c r="CI725" s="1468">
        <f t="shared" si="37"/>
        <v>0</v>
      </c>
      <c r="CJ725" s="1469"/>
      <c r="CK725" s="1462">
        <f t="shared" si="15"/>
        <v>1</v>
      </c>
      <c r="CL725" s="1463"/>
      <c r="CM725" s="1468">
        <f t="shared" si="16"/>
        <v>10</v>
      </c>
      <c r="CN725" s="1469"/>
      <c r="CO725" s="3"/>
      <c r="CP725" s="1457">
        <f t="shared" si="17"/>
        <v>0</v>
      </c>
      <c r="CQ725" s="1458"/>
      <c r="CR725" s="1458"/>
      <c r="CS725" s="1458"/>
      <c r="CT725" s="1459"/>
      <c r="CU725" s="1442">
        <f t="shared" si="18"/>
        <v>0</v>
      </c>
      <c r="CV725" s="1442"/>
      <c r="CW725" s="1442"/>
      <c r="CX725" s="1442"/>
      <c r="CY725" s="1442"/>
      <c r="CZ725" s="1442">
        <f t="shared" si="19"/>
        <v>10</v>
      </c>
      <c r="DA725" s="1442"/>
      <c r="DB725" s="1442"/>
      <c r="DC725" s="1442"/>
      <c r="DD725" s="1442"/>
      <c r="DE725" s="1442">
        <f t="shared" si="20"/>
        <v>0</v>
      </c>
      <c r="DF725" s="1442"/>
      <c r="DG725" s="1442"/>
      <c r="DH725" s="1442"/>
      <c r="DI725" s="1442"/>
      <c r="DJ725" s="1442">
        <f t="shared" si="21"/>
        <v>0</v>
      </c>
      <c r="DK725" s="1442"/>
      <c r="DL725" s="1442"/>
      <c r="DM725" s="1442"/>
      <c r="DN725" s="1442"/>
      <c r="DO725" s="1442">
        <f t="shared" si="22"/>
        <v>0</v>
      </c>
      <c r="DP725" s="1442"/>
      <c r="DQ725" s="1442"/>
      <c r="DR725" s="1442"/>
      <c r="DS725" s="1442"/>
      <c r="DT725" s="6"/>
      <c r="DU725" s="1443">
        <f t="shared" si="23"/>
        <v>0</v>
      </c>
      <c r="DV725" s="1443"/>
      <c r="DW725" s="1443"/>
      <c r="DX725" s="1443"/>
      <c r="DY725" s="1443"/>
      <c r="DZ725" s="1443">
        <f t="shared" si="24"/>
        <v>0</v>
      </c>
      <c r="EA725" s="1443"/>
      <c r="EB725" s="1443"/>
      <c r="EC725" s="1443"/>
      <c r="ED725" s="1443"/>
      <c r="EE725" s="1443">
        <f t="shared" si="25"/>
        <v>10</v>
      </c>
      <c r="EF725" s="1443"/>
      <c r="EG725" s="1443"/>
      <c r="EH725" s="1443"/>
      <c r="EI725" s="1443"/>
      <c r="EJ725" s="1443">
        <f t="shared" si="26"/>
        <v>0</v>
      </c>
      <c r="EK725" s="1443"/>
      <c r="EL725" s="1443"/>
      <c r="EM725" s="1443"/>
      <c r="EN725" s="1443"/>
      <c r="EO725" s="1443">
        <f t="shared" si="27"/>
        <v>0</v>
      </c>
      <c r="EP725" s="1443"/>
      <c r="EQ725" s="1443"/>
      <c r="ER725" s="1443"/>
      <c r="ES725" s="1443"/>
      <c r="ET725" s="1443">
        <f t="shared" si="28"/>
        <v>0</v>
      </c>
      <c r="EU725" s="1443"/>
      <c r="EV725" s="1443"/>
      <c r="EW725" s="1443"/>
      <c r="EX725" s="1443"/>
      <c r="EZ725" s="1462" t="str">
        <f t="shared" si="29"/>
        <v/>
      </c>
      <c r="FA725" s="1464"/>
      <c r="FB725" s="1464"/>
      <c r="FC725" s="1464"/>
      <c r="FD725" s="1463"/>
      <c r="FE725" s="1462" t="str">
        <f t="shared" si="30"/>
        <v/>
      </c>
      <c r="FF725" s="1464"/>
      <c r="FG725" s="1464"/>
      <c r="FH725" s="1464"/>
      <c r="FI725" s="1463"/>
      <c r="FJ725" s="1462">
        <f t="shared" si="31"/>
        <v>1164</v>
      </c>
      <c r="FK725" s="1464"/>
      <c r="FL725" s="1464"/>
      <c r="FM725" s="1464"/>
      <c r="FN725" s="1463"/>
      <c r="FO725" s="1462" t="str">
        <f t="shared" si="32"/>
        <v/>
      </c>
      <c r="FP725" s="1464"/>
      <c r="FQ725" s="1464"/>
      <c r="FR725" s="1464"/>
      <c r="FS725" s="1463"/>
      <c r="FT725" s="1462" t="str">
        <f t="shared" si="33"/>
        <v/>
      </c>
      <c r="FU725" s="1464"/>
      <c r="FV725" s="1464"/>
      <c r="FW725" s="1464"/>
      <c r="FX725" s="1463"/>
      <c r="FY725" s="1462" t="str">
        <f t="shared" si="34"/>
        <v/>
      </c>
      <c r="FZ725" s="1464"/>
      <c r="GA725" s="1464"/>
      <c r="GB725" s="1464"/>
      <c r="GC725" s="1463"/>
    </row>
    <row r="726" spans="1:185" ht="13" customHeight="1">
      <c r="B726" s="1336" t="s">
        <v>164</v>
      </c>
      <c r="C726" s="1337"/>
      <c r="D726" s="1337"/>
      <c r="E726" s="1337"/>
      <c r="F726" s="1338"/>
      <c r="G726" s="1348">
        <v>25</v>
      </c>
      <c r="H726" s="1349"/>
      <c r="I726" s="1349"/>
      <c r="J726" s="1350"/>
      <c r="K726" s="1342">
        <v>1116</v>
      </c>
      <c r="L726" s="1343"/>
      <c r="M726" s="1343"/>
      <c r="N726" s="1344"/>
      <c r="O726" s="1339">
        <v>3251</v>
      </c>
      <c r="P726" s="1340"/>
      <c r="Q726" s="1340"/>
      <c r="R726" s="1340"/>
      <c r="S726" s="1341"/>
      <c r="T726" s="1339">
        <v>103</v>
      </c>
      <c r="U726" s="1340"/>
      <c r="V726" s="1340"/>
      <c r="W726" s="1341"/>
      <c r="X726" s="1351">
        <f t="shared" si="8"/>
        <v>3354</v>
      </c>
      <c r="Y726" s="1352"/>
      <c r="Z726" s="1352"/>
      <c r="AA726" s="1352"/>
      <c r="AB726" s="1353"/>
      <c r="AC726" s="1358">
        <v>0.7</v>
      </c>
      <c r="AD726" s="1359"/>
      <c r="AE726" s="1359"/>
      <c r="AF726" s="1359"/>
      <c r="AG726" s="1360"/>
      <c r="AH726" s="1354">
        <f t="shared" si="35"/>
        <v>0.69991652754590983</v>
      </c>
      <c r="AI726" s="1355"/>
      <c r="AJ726" s="1356"/>
      <c r="AK726" s="1336" t="s">
        <v>592</v>
      </c>
      <c r="AL726" s="1337"/>
      <c r="AM726" s="1337"/>
      <c r="AN726" s="1337"/>
      <c r="AO726" s="1338"/>
      <c r="AP726" s="3"/>
      <c r="AQ726" s="3"/>
      <c r="AR726" s="3"/>
      <c r="AS726" s="3"/>
      <c r="AY726" s="1087"/>
      <c r="AZ726" s="118">
        <f>IF($G726=0,"N/A",VLOOKUP($T$189,TC_Rent,(MATCH($B726,bedrooms,FALSE)),FALSE))</f>
        <v>4792</v>
      </c>
      <c r="BA726" s="3"/>
      <c r="BB726" s="3"/>
      <c r="BC726" s="3"/>
      <c r="BD726" s="3"/>
      <c r="BE726" s="205"/>
      <c r="BF726" s="295">
        <f t="shared" si="9"/>
        <v>25</v>
      </c>
      <c r="BG726" s="298">
        <f t="shared" si="10"/>
        <v>9.727626459143969E-2</v>
      </c>
      <c r="BH726" s="299">
        <f t="shared" si="11"/>
        <v>6.8093385214007776E-2</v>
      </c>
      <c r="BI726" s="3"/>
      <c r="BJ726" s="3"/>
      <c r="BK726" s="3"/>
      <c r="BL726" s="3"/>
      <c r="BM726" s="3"/>
      <c r="BN726" s="3"/>
      <c r="BS726" s="295">
        <f t="shared" si="12"/>
        <v>25</v>
      </c>
      <c r="BT726" s="298">
        <f t="shared" si="13"/>
        <v>9.727626459143969E-2</v>
      </c>
      <c r="BU726" s="299">
        <f t="shared" si="14"/>
        <v>6.8085265325477609E-2</v>
      </c>
      <c r="BV726" s="3"/>
      <c r="BW726" s="3"/>
      <c r="BX726" s="3"/>
      <c r="BY726" s="3"/>
      <c r="BZ726" s="3"/>
      <c r="CA726" s="3"/>
      <c r="CB726" s="3"/>
      <c r="CC726" s="3"/>
      <c r="CE726" s="3"/>
      <c r="CF726" s="3"/>
      <c r="CG726" s="1462">
        <f t="shared" si="36"/>
        <v>0</v>
      </c>
      <c r="CH726" s="1463"/>
      <c r="CI726" s="1468">
        <f t="shared" si="37"/>
        <v>0</v>
      </c>
      <c r="CJ726" s="1469"/>
      <c r="CK726" s="1462">
        <f t="shared" si="15"/>
        <v>0</v>
      </c>
      <c r="CL726" s="1463"/>
      <c r="CM726" s="1468">
        <f t="shared" si="16"/>
        <v>0</v>
      </c>
      <c r="CN726" s="1469"/>
      <c r="CO726" s="3"/>
      <c r="CP726" s="1457">
        <f t="shared" si="17"/>
        <v>0</v>
      </c>
      <c r="CQ726" s="1458"/>
      <c r="CR726" s="1458"/>
      <c r="CS726" s="1458"/>
      <c r="CT726" s="1459"/>
      <c r="CU726" s="1442">
        <f t="shared" si="18"/>
        <v>0</v>
      </c>
      <c r="CV726" s="1442"/>
      <c r="CW726" s="1442"/>
      <c r="CX726" s="1442"/>
      <c r="CY726" s="1442"/>
      <c r="CZ726" s="1442">
        <f t="shared" si="19"/>
        <v>0</v>
      </c>
      <c r="DA726" s="1442"/>
      <c r="DB726" s="1442"/>
      <c r="DC726" s="1442"/>
      <c r="DD726" s="1442"/>
      <c r="DE726" s="1442">
        <f t="shared" si="20"/>
        <v>25</v>
      </c>
      <c r="DF726" s="1442"/>
      <c r="DG726" s="1442"/>
      <c r="DH726" s="1442"/>
      <c r="DI726" s="1442"/>
      <c r="DJ726" s="1442">
        <f t="shared" si="21"/>
        <v>0</v>
      </c>
      <c r="DK726" s="1442"/>
      <c r="DL726" s="1442"/>
      <c r="DM726" s="1442"/>
      <c r="DN726" s="1442"/>
      <c r="DO726" s="1442">
        <f t="shared" si="22"/>
        <v>0</v>
      </c>
      <c r="DP726" s="1442"/>
      <c r="DQ726" s="1442"/>
      <c r="DR726" s="1442"/>
      <c r="DS726" s="1442"/>
      <c r="DT726" s="6"/>
      <c r="DU726" s="1443">
        <f t="shared" si="23"/>
        <v>0</v>
      </c>
      <c r="DV726" s="1443"/>
      <c r="DW726" s="1443"/>
      <c r="DX726" s="1443"/>
      <c r="DY726" s="1443"/>
      <c r="DZ726" s="1443">
        <f t="shared" si="24"/>
        <v>0</v>
      </c>
      <c r="EA726" s="1443"/>
      <c r="EB726" s="1443"/>
      <c r="EC726" s="1443"/>
      <c r="ED726" s="1443"/>
      <c r="EE726" s="1443">
        <f t="shared" si="25"/>
        <v>0</v>
      </c>
      <c r="EF726" s="1443"/>
      <c r="EG726" s="1443"/>
      <c r="EH726" s="1443"/>
      <c r="EI726" s="1443"/>
      <c r="EJ726" s="1443">
        <f t="shared" si="26"/>
        <v>0</v>
      </c>
      <c r="EK726" s="1443"/>
      <c r="EL726" s="1443"/>
      <c r="EM726" s="1443"/>
      <c r="EN726" s="1443"/>
      <c r="EO726" s="1443">
        <f t="shared" si="27"/>
        <v>0</v>
      </c>
      <c r="EP726" s="1443"/>
      <c r="EQ726" s="1443"/>
      <c r="ER726" s="1443"/>
      <c r="ES726" s="1443"/>
      <c r="ET726" s="1443">
        <f t="shared" si="28"/>
        <v>0</v>
      </c>
      <c r="EU726" s="1443"/>
      <c r="EV726" s="1443"/>
      <c r="EW726" s="1443"/>
      <c r="EX726" s="1443"/>
      <c r="EY726" s="4"/>
      <c r="EZ726" s="1462" t="str">
        <f t="shared" si="29"/>
        <v/>
      </c>
      <c r="FA726" s="1464"/>
      <c r="FB726" s="1464"/>
      <c r="FC726" s="1464"/>
      <c r="FD726" s="1463"/>
      <c r="FE726" s="1462" t="str">
        <f t="shared" si="30"/>
        <v/>
      </c>
      <c r="FF726" s="1464"/>
      <c r="FG726" s="1464"/>
      <c r="FH726" s="1464"/>
      <c r="FI726" s="1463"/>
      <c r="FJ726" s="1462" t="str">
        <f t="shared" si="31"/>
        <v/>
      </c>
      <c r="FK726" s="1464"/>
      <c r="FL726" s="1464"/>
      <c r="FM726" s="1464"/>
      <c r="FN726" s="1463"/>
      <c r="FO726" s="1462">
        <f t="shared" si="32"/>
        <v>3251</v>
      </c>
      <c r="FP726" s="1464"/>
      <c r="FQ726" s="1464"/>
      <c r="FR726" s="1464"/>
      <c r="FS726" s="1463"/>
      <c r="FT726" s="1462" t="str">
        <f t="shared" si="33"/>
        <v/>
      </c>
      <c r="FU726" s="1464"/>
      <c r="FV726" s="1464"/>
      <c r="FW726" s="1464"/>
      <c r="FX726" s="1463"/>
      <c r="FY726" s="1462" t="str">
        <f t="shared" si="34"/>
        <v/>
      </c>
      <c r="FZ726" s="1464"/>
      <c r="GA726" s="1464"/>
      <c r="GB726" s="1464"/>
      <c r="GC726" s="1463"/>
    </row>
    <row r="727" spans="1:185" ht="13" customHeight="1">
      <c r="A727" s="4"/>
      <c r="B727" s="1336" t="s">
        <v>164</v>
      </c>
      <c r="C727" s="1337"/>
      <c r="D727" s="1337"/>
      <c r="E727" s="1337"/>
      <c r="F727" s="1338"/>
      <c r="G727" s="1348">
        <v>26</v>
      </c>
      <c r="H727" s="1349"/>
      <c r="I727" s="1349"/>
      <c r="J727" s="1350"/>
      <c r="K727" s="1342">
        <v>1116</v>
      </c>
      <c r="L727" s="1343"/>
      <c r="M727" s="1343"/>
      <c r="N727" s="1344"/>
      <c r="O727" s="1339">
        <v>2772</v>
      </c>
      <c r="P727" s="1340"/>
      <c r="Q727" s="1340"/>
      <c r="R727" s="1340"/>
      <c r="S727" s="1341"/>
      <c r="T727" s="1339">
        <v>103</v>
      </c>
      <c r="U727" s="1340"/>
      <c r="V727" s="1340"/>
      <c r="W727" s="1341"/>
      <c r="X727" s="1351">
        <f t="shared" si="8"/>
        <v>2875</v>
      </c>
      <c r="Y727" s="1352"/>
      <c r="Z727" s="1352"/>
      <c r="AA727" s="1352"/>
      <c r="AB727" s="1353"/>
      <c r="AC727" s="1358">
        <v>0.6</v>
      </c>
      <c r="AD727" s="1359"/>
      <c r="AE727" s="1359"/>
      <c r="AF727" s="1359"/>
      <c r="AG727" s="1360"/>
      <c r="AH727" s="1354">
        <f t="shared" si="35"/>
        <v>0.59995826377295491</v>
      </c>
      <c r="AI727" s="1355"/>
      <c r="AJ727" s="1356"/>
      <c r="AK727" s="1336" t="s">
        <v>592</v>
      </c>
      <c r="AL727" s="1337"/>
      <c r="AM727" s="1337"/>
      <c r="AN727" s="1337"/>
      <c r="AO727" s="1338"/>
      <c r="AP727" s="3"/>
      <c r="AQ727" s="3"/>
      <c r="AR727" s="3"/>
      <c r="AS727" s="3"/>
      <c r="AY727" s="1087"/>
      <c r="AZ727" s="118">
        <f>IF($G727=0,"N/A",VLOOKUP($T$189,TC_Rent,(MATCH($B727,bedrooms,FALSE)),FALSE))</f>
        <v>4792</v>
      </c>
      <c r="BA727" s="3"/>
      <c r="BB727" s="3"/>
      <c r="BC727" s="3"/>
      <c r="BD727" s="3"/>
      <c r="BE727" s="205"/>
      <c r="BF727" s="295">
        <f t="shared" si="9"/>
        <v>26</v>
      </c>
      <c r="BG727" s="298">
        <f t="shared" si="10"/>
        <v>0.10116731517509728</v>
      </c>
      <c r="BH727" s="299">
        <f t="shared" si="11"/>
        <v>6.0700389105058365E-2</v>
      </c>
      <c r="BI727" s="3"/>
      <c r="BJ727" s="3"/>
      <c r="BK727" s="3"/>
      <c r="BL727" s="3"/>
      <c r="BM727" s="3"/>
      <c r="BN727" s="3"/>
      <c r="BS727" s="295">
        <f t="shared" si="12"/>
        <v>26</v>
      </c>
      <c r="BT727" s="298">
        <f t="shared" si="13"/>
        <v>0.10116731517509728</v>
      </c>
      <c r="BU727" s="299">
        <f t="shared" si="14"/>
        <v>6.0696166763022676E-2</v>
      </c>
      <c r="BV727" s="3"/>
      <c r="BW727" s="3"/>
      <c r="BX727" s="3"/>
      <c r="BY727" s="3"/>
      <c r="BZ727" s="3"/>
      <c r="CA727" s="3"/>
      <c r="CB727" s="3"/>
      <c r="CC727" s="3"/>
      <c r="CE727" s="3"/>
      <c r="CF727" s="3"/>
      <c r="CG727" s="1462">
        <f t="shared" si="36"/>
        <v>0</v>
      </c>
      <c r="CH727" s="1463"/>
      <c r="CI727" s="1468">
        <f t="shared" si="37"/>
        <v>0</v>
      </c>
      <c r="CJ727" s="1469"/>
      <c r="CK727" s="1462">
        <f t="shared" si="15"/>
        <v>0</v>
      </c>
      <c r="CL727" s="1463"/>
      <c r="CM727" s="1468">
        <f t="shared" si="16"/>
        <v>0</v>
      </c>
      <c r="CN727" s="1469"/>
      <c r="CO727" s="3"/>
      <c r="CP727" s="1457">
        <f t="shared" si="17"/>
        <v>0</v>
      </c>
      <c r="CQ727" s="1458"/>
      <c r="CR727" s="1458"/>
      <c r="CS727" s="1458"/>
      <c r="CT727" s="1459"/>
      <c r="CU727" s="1442">
        <f t="shared" si="18"/>
        <v>0</v>
      </c>
      <c r="CV727" s="1442"/>
      <c r="CW727" s="1442"/>
      <c r="CX727" s="1442"/>
      <c r="CY727" s="1442"/>
      <c r="CZ727" s="1442">
        <f t="shared" si="19"/>
        <v>0</v>
      </c>
      <c r="DA727" s="1442"/>
      <c r="DB727" s="1442"/>
      <c r="DC727" s="1442"/>
      <c r="DD727" s="1442"/>
      <c r="DE727" s="1442">
        <f t="shared" si="20"/>
        <v>26</v>
      </c>
      <c r="DF727" s="1442"/>
      <c r="DG727" s="1442"/>
      <c r="DH727" s="1442"/>
      <c r="DI727" s="1442"/>
      <c r="DJ727" s="1442">
        <f t="shared" si="21"/>
        <v>0</v>
      </c>
      <c r="DK727" s="1442"/>
      <c r="DL727" s="1442"/>
      <c r="DM727" s="1442"/>
      <c r="DN727" s="1442"/>
      <c r="DO727" s="1442">
        <f t="shared" si="22"/>
        <v>0</v>
      </c>
      <c r="DP727" s="1442"/>
      <c r="DQ727" s="1442"/>
      <c r="DR727" s="1442"/>
      <c r="DS727" s="1442"/>
      <c r="DT727" s="6"/>
      <c r="DU727" s="1443">
        <f t="shared" si="23"/>
        <v>0</v>
      </c>
      <c r="DV727" s="1443"/>
      <c r="DW727" s="1443"/>
      <c r="DX727" s="1443"/>
      <c r="DY727" s="1443"/>
      <c r="DZ727" s="1443">
        <f t="shared" si="24"/>
        <v>0</v>
      </c>
      <c r="EA727" s="1443"/>
      <c r="EB727" s="1443"/>
      <c r="EC727" s="1443"/>
      <c r="ED727" s="1443"/>
      <c r="EE727" s="1443">
        <f t="shared" si="25"/>
        <v>0</v>
      </c>
      <c r="EF727" s="1443"/>
      <c r="EG727" s="1443"/>
      <c r="EH727" s="1443"/>
      <c r="EI727" s="1443"/>
      <c r="EJ727" s="1443">
        <f t="shared" si="26"/>
        <v>0</v>
      </c>
      <c r="EK727" s="1443"/>
      <c r="EL727" s="1443"/>
      <c r="EM727" s="1443"/>
      <c r="EN727" s="1443"/>
      <c r="EO727" s="1443">
        <f t="shared" si="27"/>
        <v>0</v>
      </c>
      <c r="EP727" s="1443"/>
      <c r="EQ727" s="1443"/>
      <c r="ER727" s="1443"/>
      <c r="ES727" s="1443"/>
      <c r="ET727" s="1443">
        <f t="shared" si="28"/>
        <v>0</v>
      </c>
      <c r="EU727" s="1443"/>
      <c r="EV727" s="1443"/>
      <c r="EW727" s="1443"/>
      <c r="EX727" s="1443"/>
      <c r="EY727" s="4"/>
      <c r="EZ727" s="1462" t="str">
        <f t="shared" si="29"/>
        <v/>
      </c>
      <c r="FA727" s="1464"/>
      <c r="FB727" s="1464"/>
      <c r="FC727" s="1464"/>
      <c r="FD727" s="1463"/>
      <c r="FE727" s="1462" t="str">
        <f t="shared" si="30"/>
        <v/>
      </c>
      <c r="FF727" s="1464"/>
      <c r="FG727" s="1464"/>
      <c r="FH727" s="1464"/>
      <c r="FI727" s="1463"/>
      <c r="FJ727" s="1462" t="str">
        <f t="shared" si="31"/>
        <v/>
      </c>
      <c r="FK727" s="1464"/>
      <c r="FL727" s="1464"/>
      <c r="FM727" s="1464"/>
      <c r="FN727" s="1463"/>
      <c r="FO727" s="1462">
        <f t="shared" si="32"/>
        <v>2772</v>
      </c>
      <c r="FP727" s="1464"/>
      <c r="FQ727" s="1464"/>
      <c r="FR727" s="1464"/>
      <c r="FS727" s="1463"/>
      <c r="FT727" s="1462" t="str">
        <f t="shared" si="33"/>
        <v/>
      </c>
      <c r="FU727" s="1464"/>
      <c r="FV727" s="1464"/>
      <c r="FW727" s="1464"/>
      <c r="FX727" s="1463"/>
      <c r="FY727" s="1462" t="str">
        <f t="shared" si="34"/>
        <v/>
      </c>
      <c r="FZ727" s="1464"/>
      <c r="GA727" s="1464"/>
      <c r="GB727" s="1464"/>
      <c r="GC727" s="1463"/>
    </row>
    <row r="728" spans="1:185" ht="13" customHeight="1">
      <c r="A728" s="4"/>
      <c r="B728" s="1336" t="s">
        <v>164</v>
      </c>
      <c r="C728" s="1337"/>
      <c r="D728" s="1337"/>
      <c r="E728" s="1337"/>
      <c r="F728" s="1338"/>
      <c r="G728" s="1348">
        <v>7</v>
      </c>
      <c r="H728" s="1349"/>
      <c r="I728" s="1349"/>
      <c r="J728" s="1350"/>
      <c r="K728" s="1342">
        <v>1116</v>
      </c>
      <c r="L728" s="1343"/>
      <c r="M728" s="1343"/>
      <c r="N728" s="1344"/>
      <c r="O728" s="1339">
        <v>2293</v>
      </c>
      <c r="P728" s="1340"/>
      <c r="Q728" s="1340"/>
      <c r="R728" s="1340"/>
      <c r="S728" s="1341"/>
      <c r="T728" s="1339">
        <v>103</v>
      </c>
      <c r="U728" s="1340"/>
      <c r="V728" s="1340"/>
      <c r="W728" s="1341"/>
      <c r="X728" s="1351">
        <f t="shared" si="8"/>
        <v>2396</v>
      </c>
      <c r="Y728" s="1352"/>
      <c r="Z728" s="1352"/>
      <c r="AA728" s="1352"/>
      <c r="AB728" s="1353"/>
      <c r="AC728" s="1358">
        <v>0.5</v>
      </c>
      <c r="AD728" s="1359"/>
      <c r="AE728" s="1359"/>
      <c r="AF728" s="1359"/>
      <c r="AG728" s="1360"/>
      <c r="AH728" s="1354">
        <f t="shared" si="35"/>
        <v>0.5</v>
      </c>
      <c r="AI728" s="1355"/>
      <c r="AJ728" s="1356"/>
      <c r="AK728" s="1336" t="s">
        <v>592</v>
      </c>
      <c r="AL728" s="1337"/>
      <c r="AM728" s="1337"/>
      <c r="AN728" s="1337"/>
      <c r="AO728" s="1338"/>
      <c r="AP728" s="3"/>
      <c r="AQ728" s="3"/>
      <c r="AR728" s="3"/>
      <c r="AS728" s="3"/>
      <c r="AY728" s="1087"/>
      <c r="AZ728" s="118">
        <f>IF($G728=0,"N/A",VLOOKUP($T$189,TC_Rent,(MATCH($B728,bedrooms,FALSE)),FALSE))</f>
        <v>4792</v>
      </c>
      <c r="BA728" s="3"/>
      <c r="BB728" s="3"/>
      <c r="BC728" s="3"/>
      <c r="BD728" s="3"/>
      <c r="BE728" s="205"/>
      <c r="BF728" s="295">
        <f t="shared" si="9"/>
        <v>7</v>
      </c>
      <c r="BG728" s="298">
        <f t="shared" si="10"/>
        <v>2.7237354085603113E-2</v>
      </c>
      <c r="BH728" s="299">
        <f t="shared" si="11"/>
        <v>1.3618677042801557E-2</v>
      </c>
      <c r="BI728" s="3"/>
      <c r="BJ728" s="3"/>
      <c r="BK728" s="3"/>
      <c r="BL728" s="3"/>
      <c r="BM728" s="3"/>
      <c r="BN728" s="3"/>
      <c r="BS728" s="295">
        <f t="shared" si="12"/>
        <v>7</v>
      </c>
      <c r="BT728" s="298">
        <f t="shared" si="13"/>
        <v>2.7237354085603113E-2</v>
      </c>
      <c r="BU728" s="299">
        <f t="shared" si="14"/>
        <v>1.3618677042801557E-2</v>
      </c>
      <c r="BV728" s="3"/>
      <c r="BW728" s="3"/>
      <c r="BX728" s="3"/>
      <c r="BY728" s="3"/>
      <c r="BZ728" s="3"/>
      <c r="CA728" s="3"/>
      <c r="CB728" s="3"/>
      <c r="CC728" s="3"/>
      <c r="CE728" s="3"/>
      <c r="CF728" s="3"/>
      <c r="CG728" s="1462">
        <f t="shared" si="36"/>
        <v>1</v>
      </c>
      <c r="CH728" s="1463"/>
      <c r="CI728" s="1468">
        <f t="shared" si="37"/>
        <v>7</v>
      </c>
      <c r="CJ728" s="1469"/>
      <c r="CK728" s="1462">
        <f t="shared" si="15"/>
        <v>0</v>
      </c>
      <c r="CL728" s="1463"/>
      <c r="CM728" s="1468">
        <f t="shared" si="16"/>
        <v>0</v>
      </c>
      <c r="CN728" s="1469"/>
      <c r="CO728" s="3"/>
      <c r="CP728" s="1457">
        <f t="shared" si="17"/>
        <v>0</v>
      </c>
      <c r="CQ728" s="1458"/>
      <c r="CR728" s="1458"/>
      <c r="CS728" s="1458"/>
      <c r="CT728" s="1459"/>
      <c r="CU728" s="1442">
        <f t="shared" si="18"/>
        <v>0</v>
      </c>
      <c r="CV728" s="1442"/>
      <c r="CW728" s="1442"/>
      <c r="CX728" s="1442"/>
      <c r="CY728" s="1442"/>
      <c r="CZ728" s="1442">
        <f t="shared" si="19"/>
        <v>0</v>
      </c>
      <c r="DA728" s="1442"/>
      <c r="DB728" s="1442"/>
      <c r="DC728" s="1442"/>
      <c r="DD728" s="1442"/>
      <c r="DE728" s="1442">
        <f t="shared" si="20"/>
        <v>7</v>
      </c>
      <c r="DF728" s="1442"/>
      <c r="DG728" s="1442"/>
      <c r="DH728" s="1442"/>
      <c r="DI728" s="1442"/>
      <c r="DJ728" s="1442">
        <f t="shared" si="21"/>
        <v>0</v>
      </c>
      <c r="DK728" s="1442"/>
      <c r="DL728" s="1442"/>
      <c r="DM728" s="1442"/>
      <c r="DN728" s="1442"/>
      <c r="DO728" s="1442">
        <f t="shared" si="22"/>
        <v>0</v>
      </c>
      <c r="DP728" s="1442"/>
      <c r="DQ728" s="1442"/>
      <c r="DR728" s="1442"/>
      <c r="DS728" s="1442"/>
      <c r="DT728" s="6"/>
      <c r="DU728" s="1443">
        <f t="shared" si="23"/>
        <v>0</v>
      </c>
      <c r="DV728" s="1443"/>
      <c r="DW728" s="1443"/>
      <c r="DX728" s="1443"/>
      <c r="DY728" s="1443"/>
      <c r="DZ728" s="1443">
        <f t="shared" si="24"/>
        <v>0</v>
      </c>
      <c r="EA728" s="1443"/>
      <c r="EB728" s="1443"/>
      <c r="EC728" s="1443"/>
      <c r="ED728" s="1443"/>
      <c r="EE728" s="1443">
        <f t="shared" si="25"/>
        <v>0</v>
      </c>
      <c r="EF728" s="1443"/>
      <c r="EG728" s="1443"/>
      <c r="EH728" s="1443"/>
      <c r="EI728" s="1443"/>
      <c r="EJ728" s="1443">
        <f t="shared" si="26"/>
        <v>0</v>
      </c>
      <c r="EK728" s="1443"/>
      <c r="EL728" s="1443"/>
      <c r="EM728" s="1443"/>
      <c r="EN728" s="1443"/>
      <c r="EO728" s="1443">
        <f t="shared" si="27"/>
        <v>0</v>
      </c>
      <c r="EP728" s="1443"/>
      <c r="EQ728" s="1443"/>
      <c r="ER728" s="1443"/>
      <c r="ES728" s="1443"/>
      <c r="ET728" s="1443">
        <f t="shared" si="28"/>
        <v>0</v>
      </c>
      <c r="EU728" s="1443"/>
      <c r="EV728" s="1443"/>
      <c r="EW728" s="1443"/>
      <c r="EX728" s="1443"/>
      <c r="EY728" s="4"/>
      <c r="EZ728" s="1462" t="str">
        <f t="shared" si="29"/>
        <v/>
      </c>
      <c r="FA728" s="1464"/>
      <c r="FB728" s="1464"/>
      <c r="FC728" s="1464"/>
      <c r="FD728" s="1463"/>
      <c r="FE728" s="1462" t="str">
        <f t="shared" si="30"/>
        <v/>
      </c>
      <c r="FF728" s="1464"/>
      <c r="FG728" s="1464"/>
      <c r="FH728" s="1464"/>
      <c r="FI728" s="1463"/>
      <c r="FJ728" s="1462" t="str">
        <f t="shared" si="31"/>
        <v/>
      </c>
      <c r="FK728" s="1464"/>
      <c r="FL728" s="1464"/>
      <c r="FM728" s="1464"/>
      <c r="FN728" s="1463"/>
      <c r="FO728" s="1462">
        <f t="shared" si="32"/>
        <v>2293</v>
      </c>
      <c r="FP728" s="1464"/>
      <c r="FQ728" s="1464"/>
      <c r="FR728" s="1464"/>
      <c r="FS728" s="1463"/>
      <c r="FT728" s="1462" t="str">
        <f t="shared" si="33"/>
        <v/>
      </c>
      <c r="FU728" s="1464"/>
      <c r="FV728" s="1464"/>
      <c r="FW728" s="1464"/>
      <c r="FX728" s="1463"/>
      <c r="FY728" s="1462" t="str">
        <f t="shared" si="34"/>
        <v/>
      </c>
      <c r="FZ728" s="1464"/>
      <c r="GA728" s="1464"/>
      <c r="GB728" s="1464"/>
      <c r="GC728" s="1463"/>
    </row>
    <row r="729" spans="1:185" ht="13" customHeight="1">
      <c r="A729" s="4"/>
      <c r="B729" s="1336" t="s">
        <v>164</v>
      </c>
      <c r="C729" s="1337"/>
      <c r="D729" s="1337"/>
      <c r="E729" s="1337"/>
      <c r="F729" s="1338"/>
      <c r="G729" s="1348">
        <v>7</v>
      </c>
      <c r="H729" s="1349"/>
      <c r="I729" s="1349"/>
      <c r="J729" s="1350"/>
      <c r="K729" s="1342">
        <v>1116</v>
      </c>
      <c r="L729" s="1343"/>
      <c r="M729" s="1343"/>
      <c r="N729" s="1344"/>
      <c r="O729" s="1339">
        <v>1334</v>
      </c>
      <c r="P729" s="1340"/>
      <c r="Q729" s="1340"/>
      <c r="R729" s="1340"/>
      <c r="S729" s="1341"/>
      <c r="T729" s="1339">
        <v>103</v>
      </c>
      <c r="U729" s="1340"/>
      <c r="V729" s="1340"/>
      <c r="W729" s="1341"/>
      <c r="X729" s="1351">
        <f t="shared" si="8"/>
        <v>1437</v>
      </c>
      <c r="Y729" s="1352"/>
      <c r="Z729" s="1352"/>
      <c r="AA729" s="1352"/>
      <c r="AB729" s="1353"/>
      <c r="AC729" s="1358">
        <v>0.3</v>
      </c>
      <c r="AD729" s="1359"/>
      <c r="AE729" s="1359"/>
      <c r="AF729" s="1359"/>
      <c r="AG729" s="1360"/>
      <c r="AH729" s="1354">
        <f t="shared" si="35"/>
        <v>0.2998747913188648</v>
      </c>
      <c r="AI729" s="1355"/>
      <c r="AJ729" s="1356"/>
      <c r="AK729" s="1336" t="s">
        <v>592</v>
      </c>
      <c r="AL729" s="1337"/>
      <c r="AM729" s="1337"/>
      <c r="AN729" s="1337"/>
      <c r="AO729" s="1338"/>
      <c r="AP729" s="3"/>
      <c r="AQ729" s="3"/>
      <c r="AR729" s="3"/>
      <c r="AS729" s="3"/>
      <c r="AY729" s="1087"/>
      <c r="AZ729" s="118">
        <f>IF($G729=0,"N/A",VLOOKUP($T$189,TC_Rent,(MATCH($B729,bedrooms,FALSE)),FALSE))</f>
        <v>4792</v>
      </c>
      <c r="BA729" s="3"/>
      <c r="BB729" s="3"/>
      <c r="BC729" s="3"/>
      <c r="BD729" s="3"/>
      <c r="BE729" s="205"/>
      <c r="BF729" s="295">
        <f t="shared" si="9"/>
        <v>7</v>
      </c>
      <c r="BG729" s="298">
        <f t="shared" si="10"/>
        <v>2.7237354085603113E-2</v>
      </c>
      <c r="BH729" s="299">
        <f t="shared" si="11"/>
        <v>8.1712062256809343E-3</v>
      </c>
      <c r="BI729" s="3"/>
      <c r="BJ729" s="3"/>
      <c r="BK729" s="3"/>
      <c r="BL729" s="3"/>
      <c r="BM729" s="3"/>
      <c r="BN729" s="3"/>
      <c r="BS729" s="295">
        <f t="shared" si="12"/>
        <v>7</v>
      </c>
      <c r="BT729" s="298">
        <f t="shared" si="13"/>
        <v>2.7237354085603113E-2</v>
      </c>
      <c r="BU729" s="299">
        <f t="shared" si="14"/>
        <v>8.1677958724982631E-3</v>
      </c>
      <c r="BV729" s="3"/>
      <c r="BW729" s="3"/>
      <c r="BX729" s="3"/>
      <c r="BY729" s="3"/>
      <c r="BZ729" s="3"/>
      <c r="CA729" s="3"/>
      <c r="CB729" s="3"/>
      <c r="CC729" s="3"/>
      <c r="CE729" s="3"/>
      <c r="CF729" s="3"/>
      <c r="CG729" s="1462">
        <f t="shared" si="36"/>
        <v>0</v>
      </c>
      <c r="CH729" s="1463"/>
      <c r="CI729" s="1468">
        <f t="shared" si="37"/>
        <v>0</v>
      </c>
      <c r="CJ729" s="1469"/>
      <c r="CK729" s="1462">
        <f t="shared" si="15"/>
        <v>1</v>
      </c>
      <c r="CL729" s="1463"/>
      <c r="CM729" s="1468">
        <f t="shared" si="16"/>
        <v>7</v>
      </c>
      <c r="CN729" s="1469"/>
      <c r="CO729" s="3"/>
      <c r="CP729" s="1457">
        <f t="shared" si="17"/>
        <v>0</v>
      </c>
      <c r="CQ729" s="1458"/>
      <c r="CR729" s="1458"/>
      <c r="CS729" s="1458"/>
      <c r="CT729" s="1459"/>
      <c r="CU729" s="1442">
        <f t="shared" si="18"/>
        <v>0</v>
      </c>
      <c r="CV729" s="1442"/>
      <c r="CW729" s="1442"/>
      <c r="CX729" s="1442"/>
      <c r="CY729" s="1442"/>
      <c r="CZ729" s="1442">
        <f t="shared" si="19"/>
        <v>0</v>
      </c>
      <c r="DA729" s="1442"/>
      <c r="DB729" s="1442"/>
      <c r="DC729" s="1442"/>
      <c r="DD729" s="1442"/>
      <c r="DE729" s="1442">
        <f t="shared" si="20"/>
        <v>7</v>
      </c>
      <c r="DF729" s="1442"/>
      <c r="DG729" s="1442"/>
      <c r="DH729" s="1442"/>
      <c r="DI729" s="1442"/>
      <c r="DJ729" s="1442">
        <f t="shared" si="21"/>
        <v>0</v>
      </c>
      <c r="DK729" s="1442"/>
      <c r="DL729" s="1442"/>
      <c r="DM729" s="1442"/>
      <c r="DN729" s="1442"/>
      <c r="DO729" s="1442">
        <f t="shared" si="22"/>
        <v>0</v>
      </c>
      <c r="DP729" s="1442"/>
      <c r="DQ729" s="1442"/>
      <c r="DR729" s="1442"/>
      <c r="DS729" s="1442"/>
      <c r="DT729" s="6"/>
      <c r="DU729" s="1443">
        <f t="shared" si="23"/>
        <v>0</v>
      </c>
      <c r="DV729" s="1443"/>
      <c r="DW729" s="1443"/>
      <c r="DX729" s="1443"/>
      <c r="DY729" s="1443"/>
      <c r="DZ729" s="1443">
        <f t="shared" si="24"/>
        <v>0</v>
      </c>
      <c r="EA729" s="1443"/>
      <c r="EB729" s="1443"/>
      <c r="EC729" s="1443"/>
      <c r="ED729" s="1443"/>
      <c r="EE729" s="1443">
        <f t="shared" si="25"/>
        <v>0</v>
      </c>
      <c r="EF729" s="1443"/>
      <c r="EG729" s="1443"/>
      <c r="EH729" s="1443"/>
      <c r="EI729" s="1443"/>
      <c r="EJ729" s="1443">
        <f t="shared" si="26"/>
        <v>7</v>
      </c>
      <c r="EK729" s="1443"/>
      <c r="EL729" s="1443"/>
      <c r="EM729" s="1443"/>
      <c r="EN729" s="1443"/>
      <c r="EO729" s="1443">
        <f t="shared" si="27"/>
        <v>0</v>
      </c>
      <c r="EP729" s="1443"/>
      <c r="EQ729" s="1443"/>
      <c r="ER729" s="1443"/>
      <c r="ES729" s="1443"/>
      <c r="ET729" s="1443">
        <f t="shared" si="28"/>
        <v>0</v>
      </c>
      <c r="EU729" s="1443"/>
      <c r="EV729" s="1443"/>
      <c r="EW729" s="1443"/>
      <c r="EX729" s="1443"/>
      <c r="EZ729" s="1462" t="str">
        <f t="shared" si="29"/>
        <v/>
      </c>
      <c r="FA729" s="1464"/>
      <c r="FB729" s="1464"/>
      <c r="FC729" s="1464"/>
      <c r="FD729" s="1463"/>
      <c r="FE729" s="1462" t="str">
        <f t="shared" si="30"/>
        <v/>
      </c>
      <c r="FF729" s="1464"/>
      <c r="FG729" s="1464"/>
      <c r="FH729" s="1464"/>
      <c r="FI729" s="1463"/>
      <c r="FJ729" s="1462" t="str">
        <f t="shared" si="31"/>
        <v/>
      </c>
      <c r="FK729" s="1464"/>
      <c r="FL729" s="1464"/>
      <c r="FM729" s="1464"/>
      <c r="FN729" s="1463"/>
      <c r="FO729" s="1462">
        <f t="shared" si="32"/>
        <v>1334</v>
      </c>
      <c r="FP729" s="1464"/>
      <c r="FQ729" s="1464"/>
      <c r="FR729" s="1464"/>
      <c r="FS729" s="1463"/>
      <c r="FT729" s="1462" t="str">
        <f t="shared" si="33"/>
        <v/>
      </c>
      <c r="FU729" s="1464"/>
      <c r="FV729" s="1464"/>
      <c r="FW729" s="1464"/>
      <c r="FX729" s="1463"/>
      <c r="FY729" s="1462" t="str">
        <f t="shared" si="34"/>
        <v/>
      </c>
      <c r="FZ729" s="1464"/>
      <c r="GA729" s="1464"/>
      <c r="GB729" s="1464"/>
      <c r="GC729" s="1463"/>
    </row>
    <row r="730" spans="1:185" ht="13"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2">
        <f t="shared" si="36"/>
        <v>0</v>
      </c>
      <c r="CH730" s="1463"/>
      <c r="CI730" s="1468">
        <f t="shared" si="37"/>
        <v>0</v>
      </c>
      <c r="CJ730" s="1469"/>
      <c r="CK730" s="1462">
        <f t="shared" si="15"/>
        <v>0</v>
      </c>
      <c r="CL730" s="1463"/>
      <c r="CM730" s="1468">
        <f t="shared" si="16"/>
        <v>0</v>
      </c>
      <c r="CN730" s="1469"/>
      <c r="CO730" s="3"/>
      <c r="CP730" s="1457">
        <f t="shared" si="17"/>
        <v>0</v>
      </c>
      <c r="CQ730" s="1458"/>
      <c r="CR730" s="1458"/>
      <c r="CS730" s="1458"/>
      <c r="CT730" s="1459"/>
      <c r="CU730" s="1442">
        <f t="shared" si="18"/>
        <v>0</v>
      </c>
      <c r="CV730" s="1442"/>
      <c r="CW730" s="1442"/>
      <c r="CX730" s="1442"/>
      <c r="CY730" s="1442"/>
      <c r="CZ730" s="1442">
        <f t="shared" si="19"/>
        <v>0</v>
      </c>
      <c r="DA730" s="1442"/>
      <c r="DB730" s="1442"/>
      <c r="DC730" s="1442"/>
      <c r="DD730" s="1442"/>
      <c r="DE730" s="1442">
        <f t="shared" si="20"/>
        <v>0</v>
      </c>
      <c r="DF730" s="1442"/>
      <c r="DG730" s="1442"/>
      <c r="DH730" s="1442"/>
      <c r="DI730" s="1442"/>
      <c r="DJ730" s="1442">
        <f t="shared" si="21"/>
        <v>0</v>
      </c>
      <c r="DK730" s="1442"/>
      <c r="DL730" s="1442"/>
      <c r="DM730" s="1442"/>
      <c r="DN730" s="1442"/>
      <c r="DO730" s="1442">
        <f t="shared" si="22"/>
        <v>0</v>
      </c>
      <c r="DP730" s="1442"/>
      <c r="DQ730" s="1442"/>
      <c r="DR730" s="1442"/>
      <c r="DS730" s="1442"/>
      <c r="DT730" s="6"/>
      <c r="DU730" s="1443">
        <f t="shared" si="23"/>
        <v>0</v>
      </c>
      <c r="DV730" s="1443"/>
      <c r="DW730" s="1443"/>
      <c r="DX730" s="1443"/>
      <c r="DY730" s="1443"/>
      <c r="DZ730" s="1443">
        <f t="shared" si="24"/>
        <v>0</v>
      </c>
      <c r="EA730" s="1443"/>
      <c r="EB730" s="1443"/>
      <c r="EC730" s="1443"/>
      <c r="ED730" s="1443"/>
      <c r="EE730" s="1443">
        <f t="shared" si="25"/>
        <v>0</v>
      </c>
      <c r="EF730" s="1443"/>
      <c r="EG730" s="1443"/>
      <c r="EH730" s="1443"/>
      <c r="EI730" s="1443"/>
      <c r="EJ730" s="1443">
        <f t="shared" si="26"/>
        <v>0</v>
      </c>
      <c r="EK730" s="1443"/>
      <c r="EL730" s="1443"/>
      <c r="EM730" s="1443"/>
      <c r="EN730" s="1443"/>
      <c r="EO730" s="1443">
        <f t="shared" si="27"/>
        <v>0</v>
      </c>
      <c r="EP730" s="1443"/>
      <c r="EQ730" s="1443"/>
      <c r="ER730" s="1443"/>
      <c r="ES730" s="1443"/>
      <c r="ET730" s="1443">
        <f t="shared" si="28"/>
        <v>0</v>
      </c>
      <c r="EU730" s="1443"/>
      <c r="EV730" s="1443"/>
      <c r="EW730" s="1443"/>
      <c r="EX730" s="1443"/>
      <c r="EZ730" s="1462" t="str">
        <f t="shared" si="29"/>
        <v/>
      </c>
      <c r="FA730" s="1464"/>
      <c r="FB730" s="1464"/>
      <c r="FC730" s="1464"/>
      <c r="FD730" s="1463"/>
      <c r="FE730" s="1462" t="str">
        <f t="shared" si="30"/>
        <v/>
      </c>
      <c r="FF730" s="1464"/>
      <c r="FG730" s="1464"/>
      <c r="FH730" s="1464"/>
      <c r="FI730" s="1463"/>
      <c r="FJ730" s="1462" t="str">
        <f t="shared" si="31"/>
        <v/>
      </c>
      <c r="FK730" s="1464"/>
      <c r="FL730" s="1464"/>
      <c r="FM730" s="1464"/>
      <c r="FN730" s="1463"/>
      <c r="FO730" s="1462" t="str">
        <f t="shared" si="32"/>
        <v/>
      </c>
      <c r="FP730" s="1464"/>
      <c r="FQ730" s="1464"/>
      <c r="FR730" s="1464"/>
      <c r="FS730" s="1463"/>
      <c r="FT730" s="1462" t="str">
        <f t="shared" si="33"/>
        <v/>
      </c>
      <c r="FU730" s="1464"/>
      <c r="FV730" s="1464"/>
      <c r="FW730" s="1464"/>
      <c r="FX730" s="1463"/>
      <c r="FY730" s="1462" t="str">
        <f t="shared" si="34"/>
        <v/>
      </c>
      <c r="FZ730" s="1464"/>
      <c r="GA730" s="1464"/>
      <c r="GB730" s="1464"/>
      <c r="GC730" s="1463"/>
    </row>
    <row r="731" spans="1:185" ht="13"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2">
        <f t="shared" si="36"/>
        <v>0</v>
      </c>
      <c r="CH731" s="1463"/>
      <c r="CI731" s="1468">
        <f t="shared" si="37"/>
        <v>0</v>
      </c>
      <c r="CJ731" s="1469"/>
      <c r="CK731" s="1462">
        <f t="shared" si="15"/>
        <v>0</v>
      </c>
      <c r="CL731" s="1463"/>
      <c r="CM731" s="1468">
        <f t="shared" si="16"/>
        <v>0</v>
      </c>
      <c r="CN731" s="1469"/>
      <c r="CO731" s="3"/>
      <c r="CP731" s="1457">
        <f t="shared" si="17"/>
        <v>0</v>
      </c>
      <c r="CQ731" s="1458"/>
      <c r="CR731" s="1458"/>
      <c r="CS731" s="1458"/>
      <c r="CT731" s="1459"/>
      <c r="CU731" s="1442">
        <f t="shared" si="18"/>
        <v>0</v>
      </c>
      <c r="CV731" s="1442"/>
      <c r="CW731" s="1442"/>
      <c r="CX731" s="1442"/>
      <c r="CY731" s="1442"/>
      <c r="CZ731" s="1442">
        <f t="shared" si="19"/>
        <v>0</v>
      </c>
      <c r="DA731" s="1442"/>
      <c r="DB731" s="1442"/>
      <c r="DC731" s="1442"/>
      <c r="DD731" s="1442"/>
      <c r="DE731" s="1442">
        <f t="shared" si="20"/>
        <v>0</v>
      </c>
      <c r="DF731" s="1442"/>
      <c r="DG731" s="1442"/>
      <c r="DH731" s="1442"/>
      <c r="DI731" s="1442"/>
      <c r="DJ731" s="1442">
        <f t="shared" si="21"/>
        <v>0</v>
      </c>
      <c r="DK731" s="1442"/>
      <c r="DL731" s="1442"/>
      <c r="DM731" s="1442"/>
      <c r="DN731" s="1442"/>
      <c r="DO731" s="1442">
        <f t="shared" si="22"/>
        <v>0</v>
      </c>
      <c r="DP731" s="1442"/>
      <c r="DQ731" s="1442"/>
      <c r="DR731" s="1442"/>
      <c r="DS731" s="1442"/>
      <c r="DT731" s="6"/>
      <c r="DU731" s="1443">
        <f t="shared" si="23"/>
        <v>0</v>
      </c>
      <c r="DV731" s="1443"/>
      <c r="DW731" s="1443"/>
      <c r="DX731" s="1443"/>
      <c r="DY731" s="1443"/>
      <c r="DZ731" s="1443">
        <f t="shared" si="24"/>
        <v>0</v>
      </c>
      <c r="EA731" s="1443"/>
      <c r="EB731" s="1443"/>
      <c r="EC731" s="1443"/>
      <c r="ED731" s="1443"/>
      <c r="EE731" s="1443">
        <f t="shared" si="25"/>
        <v>0</v>
      </c>
      <c r="EF731" s="1443"/>
      <c r="EG731" s="1443"/>
      <c r="EH731" s="1443"/>
      <c r="EI731" s="1443"/>
      <c r="EJ731" s="1443">
        <f t="shared" si="26"/>
        <v>0</v>
      </c>
      <c r="EK731" s="1443"/>
      <c r="EL731" s="1443"/>
      <c r="EM731" s="1443"/>
      <c r="EN731" s="1443"/>
      <c r="EO731" s="1443">
        <f t="shared" si="27"/>
        <v>0</v>
      </c>
      <c r="EP731" s="1443"/>
      <c r="EQ731" s="1443"/>
      <c r="ER731" s="1443"/>
      <c r="ES731" s="1443"/>
      <c r="ET731" s="1443">
        <f t="shared" si="28"/>
        <v>0</v>
      </c>
      <c r="EU731" s="1443"/>
      <c r="EV731" s="1443"/>
      <c r="EW731" s="1443"/>
      <c r="EX731" s="1443"/>
      <c r="EZ731" s="1462" t="str">
        <f t="shared" si="29"/>
        <v/>
      </c>
      <c r="FA731" s="1464"/>
      <c r="FB731" s="1464"/>
      <c r="FC731" s="1464"/>
      <c r="FD731" s="1463"/>
      <c r="FE731" s="1462" t="str">
        <f t="shared" si="30"/>
        <v/>
      </c>
      <c r="FF731" s="1464"/>
      <c r="FG731" s="1464"/>
      <c r="FH731" s="1464"/>
      <c r="FI731" s="1463"/>
      <c r="FJ731" s="1462" t="str">
        <f t="shared" si="31"/>
        <v/>
      </c>
      <c r="FK731" s="1464"/>
      <c r="FL731" s="1464"/>
      <c r="FM731" s="1464"/>
      <c r="FN731" s="1463"/>
      <c r="FO731" s="1462" t="str">
        <f t="shared" si="32"/>
        <v/>
      </c>
      <c r="FP731" s="1464"/>
      <c r="FQ731" s="1464"/>
      <c r="FR731" s="1464"/>
      <c r="FS731" s="1463"/>
      <c r="FT731" s="1462" t="str">
        <f t="shared" si="33"/>
        <v/>
      </c>
      <c r="FU731" s="1464"/>
      <c r="FV731" s="1464"/>
      <c r="FW731" s="1464"/>
      <c r="FX731" s="1463"/>
      <c r="FY731" s="1462" t="str">
        <f t="shared" si="34"/>
        <v/>
      </c>
      <c r="FZ731" s="1464"/>
      <c r="GA731" s="1464"/>
      <c r="GB731" s="1464"/>
      <c r="GC731" s="1463"/>
    </row>
    <row r="732" spans="1:185" ht="13"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2">
        <f t="shared" si="36"/>
        <v>0</v>
      </c>
      <c r="CH732" s="1463"/>
      <c r="CI732" s="1468">
        <f t="shared" si="37"/>
        <v>0</v>
      </c>
      <c r="CJ732" s="1469"/>
      <c r="CK732" s="1462">
        <f t="shared" si="15"/>
        <v>0</v>
      </c>
      <c r="CL732" s="1463"/>
      <c r="CM732" s="1468">
        <f t="shared" si="16"/>
        <v>0</v>
      </c>
      <c r="CN732" s="1469"/>
      <c r="CO732" s="3"/>
      <c r="CP732" s="1457">
        <f t="shared" si="17"/>
        <v>0</v>
      </c>
      <c r="CQ732" s="1458"/>
      <c r="CR732" s="1458"/>
      <c r="CS732" s="1458"/>
      <c r="CT732" s="1459"/>
      <c r="CU732" s="1442">
        <f t="shared" si="18"/>
        <v>0</v>
      </c>
      <c r="CV732" s="1442"/>
      <c r="CW732" s="1442"/>
      <c r="CX732" s="1442"/>
      <c r="CY732" s="1442"/>
      <c r="CZ732" s="1442">
        <f t="shared" si="19"/>
        <v>0</v>
      </c>
      <c r="DA732" s="1442"/>
      <c r="DB732" s="1442"/>
      <c r="DC732" s="1442"/>
      <c r="DD732" s="1442"/>
      <c r="DE732" s="1442">
        <f t="shared" si="20"/>
        <v>0</v>
      </c>
      <c r="DF732" s="1442"/>
      <c r="DG732" s="1442"/>
      <c r="DH732" s="1442"/>
      <c r="DI732" s="1442"/>
      <c r="DJ732" s="1442">
        <f t="shared" si="21"/>
        <v>0</v>
      </c>
      <c r="DK732" s="1442"/>
      <c r="DL732" s="1442"/>
      <c r="DM732" s="1442"/>
      <c r="DN732" s="1442"/>
      <c r="DO732" s="1442">
        <f t="shared" si="22"/>
        <v>0</v>
      </c>
      <c r="DP732" s="1442"/>
      <c r="DQ732" s="1442"/>
      <c r="DR732" s="1442"/>
      <c r="DS732" s="1442"/>
      <c r="DT732" s="6"/>
      <c r="DU732" s="1443">
        <f t="shared" si="23"/>
        <v>0</v>
      </c>
      <c r="DV732" s="1443"/>
      <c r="DW732" s="1443"/>
      <c r="DX732" s="1443"/>
      <c r="DY732" s="1443"/>
      <c r="DZ732" s="1443">
        <f t="shared" si="24"/>
        <v>0</v>
      </c>
      <c r="EA732" s="1443"/>
      <c r="EB732" s="1443"/>
      <c r="EC732" s="1443"/>
      <c r="ED732" s="1443"/>
      <c r="EE732" s="1443">
        <f t="shared" si="25"/>
        <v>0</v>
      </c>
      <c r="EF732" s="1443"/>
      <c r="EG732" s="1443"/>
      <c r="EH732" s="1443"/>
      <c r="EI732" s="1443"/>
      <c r="EJ732" s="1443">
        <f t="shared" si="26"/>
        <v>0</v>
      </c>
      <c r="EK732" s="1443"/>
      <c r="EL732" s="1443"/>
      <c r="EM732" s="1443"/>
      <c r="EN732" s="1443"/>
      <c r="EO732" s="1443">
        <f t="shared" si="27"/>
        <v>0</v>
      </c>
      <c r="EP732" s="1443"/>
      <c r="EQ732" s="1443"/>
      <c r="ER732" s="1443"/>
      <c r="ES732" s="1443"/>
      <c r="ET732" s="1443">
        <f t="shared" si="28"/>
        <v>0</v>
      </c>
      <c r="EU732" s="1443"/>
      <c r="EV732" s="1443"/>
      <c r="EW732" s="1443"/>
      <c r="EX732" s="1443"/>
      <c r="EZ732" s="1462" t="str">
        <f t="shared" si="29"/>
        <v/>
      </c>
      <c r="FA732" s="1464"/>
      <c r="FB732" s="1464"/>
      <c r="FC732" s="1464"/>
      <c r="FD732" s="1463"/>
      <c r="FE732" s="1462" t="str">
        <f t="shared" si="30"/>
        <v/>
      </c>
      <c r="FF732" s="1464"/>
      <c r="FG732" s="1464"/>
      <c r="FH732" s="1464"/>
      <c r="FI732" s="1463"/>
      <c r="FJ732" s="1462" t="str">
        <f t="shared" si="31"/>
        <v/>
      </c>
      <c r="FK732" s="1464"/>
      <c r="FL732" s="1464"/>
      <c r="FM732" s="1464"/>
      <c r="FN732" s="1463"/>
      <c r="FO732" s="1462" t="str">
        <f t="shared" si="32"/>
        <v/>
      </c>
      <c r="FP732" s="1464"/>
      <c r="FQ732" s="1464"/>
      <c r="FR732" s="1464"/>
      <c r="FS732" s="1463"/>
      <c r="FT732" s="1462" t="str">
        <f t="shared" si="33"/>
        <v/>
      </c>
      <c r="FU732" s="1464"/>
      <c r="FV732" s="1464"/>
      <c r="FW732" s="1464"/>
      <c r="FX732" s="1463"/>
      <c r="FY732" s="1462" t="str">
        <f t="shared" si="34"/>
        <v/>
      </c>
      <c r="FZ732" s="1464"/>
      <c r="GA732" s="1464"/>
      <c r="GB732" s="1464"/>
      <c r="GC732" s="1463"/>
    </row>
    <row r="733" spans="1:185" ht="13"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2">
        <f t="shared" si="36"/>
        <v>0</v>
      </c>
      <c r="CH733" s="1463"/>
      <c r="CI733" s="1468">
        <f t="shared" si="37"/>
        <v>0</v>
      </c>
      <c r="CJ733" s="1469"/>
      <c r="CK733" s="1462">
        <f t="shared" si="15"/>
        <v>0</v>
      </c>
      <c r="CL733" s="1463"/>
      <c r="CM733" s="1468">
        <f t="shared" si="16"/>
        <v>0</v>
      </c>
      <c r="CN733" s="1469"/>
      <c r="CO733" s="3"/>
      <c r="CP733" s="1457">
        <f t="shared" si="17"/>
        <v>0</v>
      </c>
      <c r="CQ733" s="1458"/>
      <c r="CR733" s="1458"/>
      <c r="CS733" s="1458"/>
      <c r="CT733" s="1459"/>
      <c r="CU733" s="1442">
        <f t="shared" si="18"/>
        <v>0</v>
      </c>
      <c r="CV733" s="1442"/>
      <c r="CW733" s="1442"/>
      <c r="CX733" s="1442"/>
      <c r="CY733" s="1442"/>
      <c r="CZ733" s="1442">
        <f t="shared" si="19"/>
        <v>0</v>
      </c>
      <c r="DA733" s="1442"/>
      <c r="DB733" s="1442"/>
      <c r="DC733" s="1442"/>
      <c r="DD733" s="1442"/>
      <c r="DE733" s="1442">
        <f t="shared" si="20"/>
        <v>0</v>
      </c>
      <c r="DF733" s="1442"/>
      <c r="DG733" s="1442"/>
      <c r="DH733" s="1442"/>
      <c r="DI733" s="1442"/>
      <c r="DJ733" s="1442">
        <f t="shared" si="21"/>
        <v>0</v>
      </c>
      <c r="DK733" s="1442"/>
      <c r="DL733" s="1442"/>
      <c r="DM733" s="1442"/>
      <c r="DN733" s="1442"/>
      <c r="DO733" s="1442">
        <f t="shared" si="22"/>
        <v>0</v>
      </c>
      <c r="DP733" s="1442"/>
      <c r="DQ733" s="1442"/>
      <c r="DR733" s="1442"/>
      <c r="DS733" s="1442"/>
      <c r="DT733" s="6"/>
      <c r="DU733" s="1443">
        <f t="shared" si="23"/>
        <v>0</v>
      </c>
      <c r="DV733" s="1443"/>
      <c r="DW733" s="1443"/>
      <c r="DX733" s="1443"/>
      <c r="DY733" s="1443"/>
      <c r="DZ733" s="1443">
        <f t="shared" si="24"/>
        <v>0</v>
      </c>
      <c r="EA733" s="1443"/>
      <c r="EB733" s="1443"/>
      <c r="EC733" s="1443"/>
      <c r="ED733" s="1443"/>
      <c r="EE733" s="1443">
        <f t="shared" si="25"/>
        <v>0</v>
      </c>
      <c r="EF733" s="1443"/>
      <c r="EG733" s="1443"/>
      <c r="EH733" s="1443"/>
      <c r="EI733" s="1443"/>
      <c r="EJ733" s="1443">
        <f t="shared" si="26"/>
        <v>0</v>
      </c>
      <c r="EK733" s="1443"/>
      <c r="EL733" s="1443"/>
      <c r="EM733" s="1443"/>
      <c r="EN733" s="1443"/>
      <c r="EO733" s="1443">
        <f t="shared" si="27"/>
        <v>0</v>
      </c>
      <c r="EP733" s="1443"/>
      <c r="EQ733" s="1443"/>
      <c r="ER733" s="1443"/>
      <c r="ES733" s="1443"/>
      <c r="ET733" s="1443">
        <f t="shared" si="28"/>
        <v>0</v>
      </c>
      <c r="EU733" s="1443"/>
      <c r="EV733" s="1443"/>
      <c r="EW733" s="1443"/>
      <c r="EX733" s="1443"/>
      <c r="EZ733" s="1462" t="str">
        <f t="shared" si="29"/>
        <v/>
      </c>
      <c r="FA733" s="1464"/>
      <c r="FB733" s="1464"/>
      <c r="FC733" s="1464"/>
      <c r="FD733" s="1463"/>
      <c r="FE733" s="1462" t="str">
        <f t="shared" si="30"/>
        <v/>
      </c>
      <c r="FF733" s="1464"/>
      <c r="FG733" s="1464"/>
      <c r="FH733" s="1464"/>
      <c r="FI733" s="1463"/>
      <c r="FJ733" s="1462" t="str">
        <f t="shared" si="31"/>
        <v/>
      </c>
      <c r="FK733" s="1464"/>
      <c r="FL733" s="1464"/>
      <c r="FM733" s="1464"/>
      <c r="FN733" s="1463"/>
      <c r="FO733" s="1462" t="str">
        <f t="shared" si="32"/>
        <v/>
      </c>
      <c r="FP733" s="1464"/>
      <c r="FQ733" s="1464"/>
      <c r="FR733" s="1464"/>
      <c r="FS733" s="1463"/>
      <c r="FT733" s="1462" t="str">
        <f t="shared" si="33"/>
        <v/>
      </c>
      <c r="FU733" s="1464"/>
      <c r="FV733" s="1464"/>
      <c r="FW733" s="1464"/>
      <c r="FX733" s="1463"/>
      <c r="FY733" s="1462" t="str">
        <f t="shared" si="34"/>
        <v/>
      </c>
      <c r="FZ733" s="1464"/>
      <c r="GA733" s="1464"/>
      <c r="GB733" s="1464"/>
      <c r="GC733" s="1463"/>
    </row>
    <row r="734" spans="1:185" ht="13"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2">
        <f t="shared" si="36"/>
        <v>0</v>
      </c>
      <c r="CH734" s="1463"/>
      <c r="CI734" s="1468">
        <f t="shared" si="37"/>
        <v>0</v>
      </c>
      <c r="CJ734" s="1469"/>
      <c r="CK734" s="1462">
        <f t="shared" si="15"/>
        <v>0</v>
      </c>
      <c r="CL734" s="1463"/>
      <c r="CM734" s="1468">
        <f t="shared" si="16"/>
        <v>0</v>
      </c>
      <c r="CN734" s="1469"/>
      <c r="CO734" s="3"/>
      <c r="CP734" s="1457">
        <f t="shared" si="17"/>
        <v>0</v>
      </c>
      <c r="CQ734" s="1458"/>
      <c r="CR734" s="1458"/>
      <c r="CS734" s="1458"/>
      <c r="CT734" s="1459"/>
      <c r="CU734" s="1442">
        <f t="shared" si="18"/>
        <v>0</v>
      </c>
      <c r="CV734" s="1442"/>
      <c r="CW734" s="1442"/>
      <c r="CX734" s="1442"/>
      <c r="CY734" s="1442"/>
      <c r="CZ734" s="1442">
        <f t="shared" si="19"/>
        <v>0</v>
      </c>
      <c r="DA734" s="1442"/>
      <c r="DB734" s="1442"/>
      <c r="DC734" s="1442"/>
      <c r="DD734" s="1442"/>
      <c r="DE734" s="1442">
        <f t="shared" si="20"/>
        <v>0</v>
      </c>
      <c r="DF734" s="1442"/>
      <c r="DG734" s="1442"/>
      <c r="DH734" s="1442"/>
      <c r="DI734" s="1442"/>
      <c r="DJ734" s="1442">
        <f t="shared" si="21"/>
        <v>0</v>
      </c>
      <c r="DK734" s="1442"/>
      <c r="DL734" s="1442"/>
      <c r="DM734" s="1442"/>
      <c r="DN734" s="1442"/>
      <c r="DO734" s="1442">
        <f t="shared" si="22"/>
        <v>0</v>
      </c>
      <c r="DP734" s="1442"/>
      <c r="DQ734" s="1442"/>
      <c r="DR734" s="1442"/>
      <c r="DS734" s="1442"/>
      <c r="DT734" s="6"/>
      <c r="DU734" s="1443">
        <f t="shared" si="23"/>
        <v>0</v>
      </c>
      <c r="DV734" s="1443"/>
      <c r="DW734" s="1443"/>
      <c r="DX734" s="1443"/>
      <c r="DY734" s="1443"/>
      <c r="DZ734" s="1443">
        <f t="shared" si="24"/>
        <v>0</v>
      </c>
      <c r="EA734" s="1443"/>
      <c r="EB734" s="1443"/>
      <c r="EC734" s="1443"/>
      <c r="ED734" s="1443"/>
      <c r="EE734" s="1443">
        <f t="shared" si="25"/>
        <v>0</v>
      </c>
      <c r="EF734" s="1443"/>
      <c r="EG734" s="1443"/>
      <c r="EH734" s="1443"/>
      <c r="EI734" s="1443"/>
      <c r="EJ734" s="1443">
        <f t="shared" si="26"/>
        <v>0</v>
      </c>
      <c r="EK734" s="1443"/>
      <c r="EL734" s="1443"/>
      <c r="EM734" s="1443"/>
      <c r="EN734" s="1443"/>
      <c r="EO734" s="1443">
        <f t="shared" si="27"/>
        <v>0</v>
      </c>
      <c r="EP734" s="1443"/>
      <c r="EQ734" s="1443"/>
      <c r="ER734" s="1443"/>
      <c r="ES734" s="1443"/>
      <c r="ET734" s="1443">
        <f t="shared" si="28"/>
        <v>0</v>
      </c>
      <c r="EU734" s="1443"/>
      <c r="EV734" s="1443"/>
      <c r="EW734" s="1443"/>
      <c r="EX734" s="1443"/>
      <c r="EZ734" s="1462" t="str">
        <f t="shared" si="29"/>
        <v/>
      </c>
      <c r="FA734" s="1464"/>
      <c r="FB734" s="1464"/>
      <c r="FC734" s="1464"/>
      <c r="FD734" s="1463"/>
      <c r="FE734" s="1462" t="str">
        <f t="shared" si="30"/>
        <v/>
      </c>
      <c r="FF734" s="1464"/>
      <c r="FG734" s="1464"/>
      <c r="FH734" s="1464"/>
      <c r="FI734" s="1463"/>
      <c r="FJ734" s="1462" t="str">
        <f t="shared" si="31"/>
        <v/>
      </c>
      <c r="FK734" s="1464"/>
      <c r="FL734" s="1464"/>
      <c r="FM734" s="1464"/>
      <c r="FN734" s="1463"/>
      <c r="FO734" s="1462" t="str">
        <f t="shared" si="32"/>
        <v/>
      </c>
      <c r="FP734" s="1464"/>
      <c r="FQ734" s="1464"/>
      <c r="FR734" s="1464"/>
      <c r="FS734" s="1463"/>
      <c r="FT734" s="1462" t="str">
        <f t="shared" si="33"/>
        <v/>
      </c>
      <c r="FU734" s="1464"/>
      <c r="FV734" s="1464"/>
      <c r="FW734" s="1464"/>
      <c r="FX734" s="1463"/>
      <c r="FY734" s="1462" t="str">
        <f t="shared" si="34"/>
        <v/>
      </c>
      <c r="FZ734" s="1464"/>
      <c r="GA734" s="1464"/>
      <c r="GB734" s="1464"/>
      <c r="GC734" s="1463"/>
    </row>
    <row r="735" spans="1:185" ht="13"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2">
        <f t="shared" si="36"/>
        <v>0</v>
      </c>
      <c r="CH735" s="1463"/>
      <c r="CI735" s="1468">
        <f t="shared" si="37"/>
        <v>0</v>
      </c>
      <c r="CJ735" s="1469"/>
      <c r="CK735" s="1462">
        <f t="shared" si="15"/>
        <v>0</v>
      </c>
      <c r="CL735" s="1463"/>
      <c r="CM735" s="1468">
        <f t="shared" si="16"/>
        <v>0</v>
      </c>
      <c r="CN735" s="1469"/>
      <c r="CO735" s="3"/>
      <c r="CP735" s="1457">
        <f t="shared" si="17"/>
        <v>0</v>
      </c>
      <c r="CQ735" s="1458"/>
      <c r="CR735" s="1458"/>
      <c r="CS735" s="1458"/>
      <c r="CT735" s="1459"/>
      <c r="CU735" s="1442">
        <f t="shared" si="18"/>
        <v>0</v>
      </c>
      <c r="CV735" s="1442"/>
      <c r="CW735" s="1442"/>
      <c r="CX735" s="1442"/>
      <c r="CY735" s="1442"/>
      <c r="CZ735" s="1442">
        <f t="shared" si="19"/>
        <v>0</v>
      </c>
      <c r="DA735" s="1442"/>
      <c r="DB735" s="1442"/>
      <c r="DC735" s="1442"/>
      <c r="DD735" s="1442"/>
      <c r="DE735" s="1442">
        <f t="shared" si="20"/>
        <v>0</v>
      </c>
      <c r="DF735" s="1442"/>
      <c r="DG735" s="1442"/>
      <c r="DH735" s="1442"/>
      <c r="DI735" s="1442"/>
      <c r="DJ735" s="1442">
        <f t="shared" si="21"/>
        <v>0</v>
      </c>
      <c r="DK735" s="1442"/>
      <c r="DL735" s="1442"/>
      <c r="DM735" s="1442"/>
      <c r="DN735" s="1442"/>
      <c r="DO735" s="1442">
        <f t="shared" si="22"/>
        <v>0</v>
      </c>
      <c r="DP735" s="1442"/>
      <c r="DQ735" s="1442"/>
      <c r="DR735" s="1442"/>
      <c r="DS735" s="1442"/>
      <c r="DT735" s="6"/>
      <c r="DU735" s="1443">
        <f t="shared" si="23"/>
        <v>0</v>
      </c>
      <c r="DV735" s="1443"/>
      <c r="DW735" s="1443"/>
      <c r="DX735" s="1443"/>
      <c r="DY735" s="1443"/>
      <c r="DZ735" s="1443">
        <f t="shared" si="24"/>
        <v>0</v>
      </c>
      <c r="EA735" s="1443"/>
      <c r="EB735" s="1443"/>
      <c r="EC735" s="1443"/>
      <c r="ED735" s="1443"/>
      <c r="EE735" s="1443">
        <f t="shared" si="25"/>
        <v>0</v>
      </c>
      <c r="EF735" s="1443"/>
      <c r="EG735" s="1443"/>
      <c r="EH735" s="1443"/>
      <c r="EI735" s="1443"/>
      <c r="EJ735" s="1443">
        <f t="shared" si="26"/>
        <v>0</v>
      </c>
      <c r="EK735" s="1443"/>
      <c r="EL735" s="1443"/>
      <c r="EM735" s="1443"/>
      <c r="EN735" s="1443"/>
      <c r="EO735" s="1443">
        <f t="shared" si="27"/>
        <v>0</v>
      </c>
      <c r="EP735" s="1443"/>
      <c r="EQ735" s="1443"/>
      <c r="ER735" s="1443"/>
      <c r="ES735" s="1443"/>
      <c r="ET735" s="1443">
        <f t="shared" si="28"/>
        <v>0</v>
      </c>
      <c r="EU735" s="1443"/>
      <c r="EV735" s="1443"/>
      <c r="EW735" s="1443"/>
      <c r="EX735" s="1443"/>
      <c r="EZ735" s="1462" t="str">
        <f t="shared" si="29"/>
        <v/>
      </c>
      <c r="FA735" s="1464"/>
      <c r="FB735" s="1464"/>
      <c r="FC735" s="1464"/>
      <c r="FD735" s="1463"/>
      <c r="FE735" s="1462" t="str">
        <f t="shared" si="30"/>
        <v/>
      </c>
      <c r="FF735" s="1464"/>
      <c r="FG735" s="1464"/>
      <c r="FH735" s="1464"/>
      <c r="FI735" s="1463"/>
      <c r="FJ735" s="1462" t="str">
        <f t="shared" si="31"/>
        <v/>
      </c>
      <c r="FK735" s="1464"/>
      <c r="FL735" s="1464"/>
      <c r="FM735" s="1464"/>
      <c r="FN735" s="1463"/>
      <c r="FO735" s="1462" t="str">
        <f t="shared" si="32"/>
        <v/>
      </c>
      <c r="FP735" s="1464"/>
      <c r="FQ735" s="1464"/>
      <c r="FR735" s="1464"/>
      <c r="FS735" s="1463"/>
      <c r="FT735" s="1462" t="str">
        <f t="shared" si="33"/>
        <v/>
      </c>
      <c r="FU735" s="1464"/>
      <c r="FV735" s="1464"/>
      <c r="FW735" s="1464"/>
      <c r="FX735" s="1463"/>
      <c r="FY735" s="1462" t="str">
        <f t="shared" si="34"/>
        <v/>
      </c>
      <c r="FZ735" s="1464"/>
      <c r="GA735" s="1464"/>
      <c r="GB735" s="1464"/>
      <c r="GC735" s="1463"/>
    </row>
    <row r="736" spans="1:185" ht="13"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2">
        <f t="shared" si="36"/>
        <v>0</v>
      </c>
      <c r="CH736" s="1463"/>
      <c r="CI736" s="1468">
        <f t="shared" si="37"/>
        <v>0</v>
      </c>
      <c r="CJ736" s="1469"/>
      <c r="CK736" s="1462">
        <f t="shared" si="15"/>
        <v>0</v>
      </c>
      <c r="CL736" s="1463"/>
      <c r="CM736" s="1468">
        <f t="shared" si="16"/>
        <v>0</v>
      </c>
      <c r="CN736" s="1469"/>
      <c r="CO736" s="3"/>
      <c r="CP736" s="1457">
        <f t="shared" si="17"/>
        <v>0</v>
      </c>
      <c r="CQ736" s="1458"/>
      <c r="CR736" s="1458"/>
      <c r="CS736" s="1458"/>
      <c r="CT736" s="1459"/>
      <c r="CU736" s="1442">
        <f t="shared" si="18"/>
        <v>0</v>
      </c>
      <c r="CV736" s="1442"/>
      <c r="CW736" s="1442"/>
      <c r="CX736" s="1442"/>
      <c r="CY736" s="1442"/>
      <c r="CZ736" s="1442">
        <f t="shared" si="19"/>
        <v>0</v>
      </c>
      <c r="DA736" s="1442"/>
      <c r="DB736" s="1442"/>
      <c r="DC736" s="1442"/>
      <c r="DD736" s="1442"/>
      <c r="DE736" s="1442">
        <f t="shared" si="20"/>
        <v>0</v>
      </c>
      <c r="DF736" s="1442"/>
      <c r="DG736" s="1442"/>
      <c r="DH736" s="1442"/>
      <c r="DI736" s="1442"/>
      <c r="DJ736" s="1442">
        <f t="shared" si="21"/>
        <v>0</v>
      </c>
      <c r="DK736" s="1442"/>
      <c r="DL736" s="1442"/>
      <c r="DM736" s="1442"/>
      <c r="DN736" s="1442"/>
      <c r="DO736" s="1442">
        <f t="shared" si="22"/>
        <v>0</v>
      </c>
      <c r="DP736" s="1442"/>
      <c r="DQ736" s="1442"/>
      <c r="DR736" s="1442"/>
      <c r="DS736" s="1442"/>
      <c r="DT736" s="6"/>
      <c r="DU736" s="1443">
        <f t="shared" si="23"/>
        <v>0</v>
      </c>
      <c r="DV736" s="1443"/>
      <c r="DW736" s="1443"/>
      <c r="DX736" s="1443"/>
      <c r="DY736" s="1443"/>
      <c r="DZ736" s="1443">
        <f t="shared" si="24"/>
        <v>0</v>
      </c>
      <c r="EA736" s="1443"/>
      <c r="EB736" s="1443"/>
      <c r="EC736" s="1443"/>
      <c r="ED736" s="1443"/>
      <c r="EE736" s="1443">
        <f t="shared" si="25"/>
        <v>0</v>
      </c>
      <c r="EF736" s="1443"/>
      <c r="EG736" s="1443"/>
      <c r="EH736" s="1443"/>
      <c r="EI736" s="1443"/>
      <c r="EJ736" s="1443">
        <f t="shared" si="26"/>
        <v>0</v>
      </c>
      <c r="EK736" s="1443"/>
      <c r="EL736" s="1443"/>
      <c r="EM736" s="1443"/>
      <c r="EN736" s="1443"/>
      <c r="EO736" s="1443">
        <f t="shared" si="27"/>
        <v>0</v>
      </c>
      <c r="EP736" s="1443"/>
      <c r="EQ736" s="1443"/>
      <c r="ER736" s="1443"/>
      <c r="ES736" s="1443"/>
      <c r="ET736" s="1443">
        <f t="shared" si="28"/>
        <v>0</v>
      </c>
      <c r="EU736" s="1443"/>
      <c r="EV736" s="1443"/>
      <c r="EW736" s="1443"/>
      <c r="EX736" s="1443"/>
      <c r="EZ736" s="1462" t="str">
        <f t="shared" si="29"/>
        <v/>
      </c>
      <c r="FA736" s="1464"/>
      <c r="FB736" s="1464"/>
      <c r="FC736" s="1464"/>
      <c r="FD736" s="1463"/>
      <c r="FE736" s="1462" t="str">
        <f t="shared" si="30"/>
        <v/>
      </c>
      <c r="FF736" s="1464"/>
      <c r="FG736" s="1464"/>
      <c r="FH736" s="1464"/>
      <c r="FI736" s="1463"/>
      <c r="FJ736" s="1462" t="str">
        <f t="shared" si="31"/>
        <v/>
      </c>
      <c r="FK736" s="1464"/>
      <c r="FL736" s="1464"/>
      <c r="FM736" s="1464"/>
      <c r="FN736" s="1463"/>
      <c r="FO736" s="1462" t="str">
        <f t="shared" si="32"/>
        <v/>
      </c>
      <c r="FP736" s="1464"/>
      <c r="FQ736" s="1464"/>
      <c r="FR736" s="1464"/>
      <c r="FS736" s="1463"/>
      <c r="FT736" s="1462" t="str">
        <f t="shared" si="33"/>
        <v/>
      </c>
      <c r="FU736" s="1464"/>
      <c r="FV736" s="1464"/>
      <c r="FW736" s="1464"/>
      <c r="FX736" s="1463"/>
      <c r="FY736" s="1462" t="str">
        <f t="shared" si="34"/>
        <v/>
      </c>
      <c r="FZ736" s="1464"/>
      <c r="GA736" s="1464"/>
      <c r="GB736" s="1464"/>
      <c r="GC736" s="1463"/>
    </row>
    <row r="737" spans="1:185" ht="13"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2">
        <f t="shared" si="36"/>
        <v>0</v>
      </c>
      <c r="CH737" s="1463"/>
      <c r="CI737" s="1468">
        <f t="shared" si="37"/>
        <v>0</v>
      </c>
      <c r="CJ737" s="1469"/>
      <c r="CK737" s="1462">
        <f t="shared" si="15"/>
        <v>0</v>
      </c>
      <c r="CL737" s="1463"/>
      <c r="CM737" s="1468">
        <f t="shared" si="16"/>
        <v>0</v>
      </c>
      <c r="CN737" s="1469"/>
      <c r="CO737" s="3"/>
      <c r="CP737" s="1457">
        <f t="shared" si="17"/>
        <v>0</v>
      </c>
      <c r="CQ737" s="1458"/>
      <c r="CR737" s="1458"/>
      <c r="CS737" s="1458"/>
      <c r="CT737" s="1459"/>
      <c r="CU737" s="1442">
        <f t="shared" si="18"/>
        <v>0</v>
      </c>
      <c r="CV737" s="1442"/>
      <c r="CW737" s="1442"/>
      <c r="CX737" s="1442"/>
      <c r="CY737" s="1442"/>
      <c r="CZ737" s="1442">
        <f t="shared" si="19"/>
        <v>0</v>
      </c>
      <c r="DA737" s="1442"/>
      <c r="DB737" s="1442"/>
      <c r="DC737" s="1442"/>
      <c r="DD737" s="1442"/>
      <c r="DE737" s="1442">
        <f t="shared" si="20"/>
        <v>0</v>
      </c>
      <c r="DF737" s="1442"/>
      <c r="DG737" s="1442"/>
      <c r="DH737" s="1442"/>
      <c r="DI737" s="1442"/>
      <c r="DJ737" s="1442">
        <f t="shared" si="21"/>
        <v>0</v>
      </c>
      <c r="DK737" s="1442"/>
      <c r="DL737" s="1442"/>
      <c r="DM737" s="1442"/>
      <c r="DN737" s="1442"/>
      <c r="DO737" s="1442">
        <f t="shared" si="22"/>
        <v>0</v>
      </c>
      <c r="DP737" s="1442"/>
      <c r="DQ737" s="1442"/>
      <c r="DR737" s="1442"/>
      <c r="DS737" s="1442"/>
      <c r="DT737" s="6"/>
      <c r="DU737" s="1443">
        <f t="shared" si="23"/>
        <v>0</v>
      </c>
      <c r="DV737" s="1443"/>
      <c r="DW737" s="1443"/>
      <c r="DX737" s="1443"/>
      <c r="DY737" s="1443"/>
      <c r="DZ737" s="1443">
        <f t="shared" si="24"/>
        <v>0</v>
      </c>
      <c r="EA737" s="1443"/>
      <c r="EB737" s="1443"/>
      <c r="EC737" s="1443"/>
      <c r="ED737" s="1443"/>
      <c r="EE737" s="1443">
        <f t="shared" si="25"/>
        <v>0</v>
      </c>
      <c r="EF737" s="1443"/>
      <c r="EG737" s="1443"/>
      <c r="EH737" s="1443"/>
      <c r="EI737" s="1443"/>
      <c r="EJ737" s="1443">
        <f t="shared" si="26"/>
        <v>0</v>
      </c>
      <c r="EK737" s="1443"/>
      <c r="EL737" s="1443"/>
      <c r="EM737" s="1443"/>
      <c r="EN737" s="1443"/>
      <c r="EO737" s="1443">
        <f t="shared" si="27"/>
        <v>0</v>
      </c>
      <c r="EP737" s="1443"/>
      <c r="EQ737" s="1443"/>
      <c r="ER737" s="1443"/>
      <c r="ES737" s="1443"/>
      <c r="ET737" s="1443">
        <f t="shared" si="28"/>
        <v>0</v>
      </c>
      <c r="EU737" s="1443"/>
      <c r="EV737" s="1443"/>
      <c r="EW737" s="1443"/>
      <c r="EX737" s="1443"/>
      <c r="EZ737" s="1462" t="str">
        <f t="shared" si="29"/>
        <v/>
      </c>
      <c r="FA737" s="1464"/>
      <c r="FB737" s="1464"/>
      <c r="FC737" s="1464"/>
      <c r="FD737" s="1463"/>
      <c r="FE737" s="1462" t="str">
        <f t="shared" si="30"/>
        <v/>
      </c>
      <c r="FF737" s="1464"/>
      <c r="FG737" s="1464"/>
      <c r="FH737" s="1464"/>
      <c r="FI737" s="1463"/>
      <c r="FJ737" s="1462" t="str">
        <f t="shared" si="31"/>
        <v/>
      </c>
      <c r="FK737" s="1464"/>
      <c r="FL737" s="1464"/>
      <c r="FM737" s="1464"/>
      <c r="FN737" s="1463"/>
      <c r="FO737" s="1462" t="str">
        <f t="shared" si="32"/>
        <v/>
      </c>
      <c r="FP737" s="1464"/>
      <c r="FQ737" s="1464"/>
      <c r="FR737" s="1464"/>
      <c r="FS737" s="1463"/>
      <c r="FT737" s="1462" t="str">
        <f t="shared" si="33"/>
        <v/>
      </c>
      <c r="FU737" s="1464"/>
      <c r="FV737" s="1464"/>
      <c r="FW737" s="1464"/>
      <c r="FX737" s="1463"/>
      <c r="FY737" s="1462" t="str">
        <f t="shared" si="34"/>
        <v/>
      </c>
      <c r="FZ737" s="1464"/>
      <c r="GA737" s="1464"/>
      <c r="GB737" s="1464"/>
      <c r="GC737" s="1463"/>
    </row>
    <row r="738" spans="1:185" ht="13"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2">
        <f t="shared" si="36"/>
        <v>0</v>
      </c>
      <c r="CH738" s="1463"/>
      <c r="CI738" s="1468">
        <f t="shared" si="37"/>
        <v>0</v>
      </c>
      <c r="CJ738" s="1469"/>
      <c r="CK738" s="1462">
        <f t="shared" si="15"/>
        <v>0</v>
      </c>
      <c r="CL738" s="1463"/>
      <c r="CM738" s="1468">
        <f t="shared" si="16"/>
        <v>0</v>
      </c>
      <c r="CN738" s="1469"/>
      <c r="CO738" s="3"/>
      <c r="CP738" s="1457">
        <f t="shared" si="17"/>
        <v>0</v>
      </c>
      <c r="CQ738" s="1458"/>
      <c r="CR738" s="1458"/>
      <c r="CS738" s="1458"/>
      <c r="CT738" s="1459"/>
      <c r="CU738" s="1442">
        <f t="shared" si="18"/>
        <v>0</v>
      </c>
      <c r="CV738" s="1442"/>
      <c r="CW738" s="1442"/>
      <c r="CX738" s="1442"/>
      <c r="CY738" s="1442"/>
      <c r="CZ738" s="1442">
        <f t="shared" si="19"/>
        <v>0</v>
      </c>
      <c r="DA738" s="1442"/>
      <c r="DB738" s="1442"/>
      <c r="DC738" s="1442"/>
      <c r="DD738" s="1442"/>
      <c r="DE738" s="1442">
        <f t="shared" si="20"/>
        <v>0</v>
      </c>
      <c r="DF738" s="1442"/>
      <c r="DG738" s="1442"/>
      <c r="DH738" s="1442"/>
      <c r="DI738" s="1442"/>
      <c r="DJ738" s="1442">
        <f t="shared" si="21"/>
        <v>0</v>
      </c>
      <c r="DK738" s="1442"/>
      <c r="DL738" s="1442"/>
      <c r="DM738" s="1442"/>
      <c r="DN738" s="1442"/>
      <c r="DO738" s="1442">
        <f t="shared" si="22"/>
        <v>0</v>
      </c>
      <c r="DP738" s="1442"/>
      <c r="DQ738" s="1442"/>
      <c r="DR738" s="1442"/>
      <c r="DS738" s="1442"/>
      <c r="DT738" s="6"/>
      <c r="DU738" s="1443">
        <f t="shared" si="23"/>
        <v>0</v>
      </c>
      <c r="DV738" s="1443"/>
      <c r="DW738" s="1443"/>
      <c r="DX738" s="1443"/>
      <c r="DY738" s="1443"/>
      <c r="DZ738" s="1443">
        <f t="shared" si="24"/>
        <v>0</v>
      </c>
      <c r="EA738" s="1443"/>
      <c r="EB738" s="1443"/>
      <c r="EC738" s="1443"/>
      <c r="ED738" s="1443"/>
      <c r="EE738" s="1443">
        <f t="shared" si="25"/>
        <v>0</v>
      </c>
      <c r="EF738" s="1443"/>
      <c r="EG738" s="1443"/>
      <c r="EH738" s="1443"/>
      <c r="EI738" s="1443"/>
      <c r="EJ738" s="1443">
        <f t="shared" si="26"/>
        <v>0</v>
      </c>
      <c r="EK738" s="1443"/>
      <c r="EL738" s="1443"/>
      <c r="EM738" s="1443"/>
      <c r="EN738" s="1443"/>
      <c r="EO738" s="1443">
        <f t="shared" si="27"/>
        <v>0</v>
      </c>
      <c r="EP738" s="1443"/>
      <c r="EQ738" s="1443"/>
      <c r="ER738" s="1443"/>
      <c r="ES738" s="1443"/>
      <c r="ET738" s="1443">
        <f t="shared" si="28"/>
        <v>0</v>
      </c>
      <c r="EU738" s="1443"/>
      <c r="EV738" s="1443"/>
      <c r="EW738" s="1443"/>
      <c r="EX738" s="1443"/>
      <c r="EZ738" s="1462" t="str">
        <f t="shared" si="29"/>
        <v/>
      </c>
      <c r="FA738" s="1464"/>
      <c r="FB738" s="1464"/>
      <c r="FC738" s="1464"/>
      <c r="FD738" s="1463"/>
      <c r="FE738" s="1462" t="str">
        <f t="shared" si="30"/>
        <v/>
      </c>
      <c r="FF738" s="1464"/>
      <c r="FG738" s="1464"/>
      <c r="FH738" s="1464"/>
      <c r="FI738" s="1463"/>
      <c r="FJ738" s="1462" t="str">
        <f t="shared" si="31"/>
        <v/>
      </c>
      <c r="FK738" s="1464"/>
      <c r="FL738" s="1464"/>
      <c r="FM738" s="1464"/>
      <c r="FN738" s="1463"/>
      <c r="FO738" s="1462" t="str">
        <f t="shared" si="32"/>
        <v/>
      </c>
      <c r="FP738" s="1464"/>
      <c r="FQ738" s="1464"/>
      <c r="FR738" s="1464"/>
      <c r="FS738" s="1463"/>
      <c r="FT738" s="1462" t="str">
        <f t="shared" si="33"/>
        <v/>
      </c>
      <c r="FU738" s="1464"/>
      <c r="FV738" s="1464"/>
      <c r="FW738" s="1464"/>
      <c r="FX738" s="1463"/>
      <c r="FY738" s="1462" t="str">
        <f t="shared" si="34"/>
        <v/>
      </c>
      <c r="FZ738" s="1464"/>
      <c r="GA738" s="1464"/>
      <c r="GB738" s="1464"/>
      <c r="GC738" s="1463"/>
    </row>
    <row r="739" spans="1:185" ht="13"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2">
        <f t="shared" si="36"/>
        <v>0</v>
      </c>
      <c r="CH739" s="1463"/>
      <c r="CI739" s="1468">
        <f t="shared" si="37"/>
        <v>0</v>
      </c>
      <c r="CJ739" s="1469"/>
      <c r="CK739" s="1462">
        <f t="shared" si="15"/>
        <v>0</v>
      </c>
      <c r="CL739" s="1463"/>
      <c r="CM739" s="1468">
        <f t="shared" si="16"/>
        <v>0</v>
      </c>
      <c r="CN739" s="1469"/>
      <c r="CO739" s="3"/>
      <c r="CP739" s="1457">
        <f t="shared" si="17"/>
        <v>0</v>
      </c>
      <c r="CQ739" s="1458"/>
      <c r="CR739" s="1458"/>
      <c r="CS739" s="1458"/>
      <c r="CT739" s="1459"/>
      <c r="CU739" s="1442">
        <f t="shared" si="18"/>
        <v>0</v>
      </c>
      <c r="CV739" s="1442"/>
      <c r="CW739" s="1442"/>
      <c r="CX739" s="1442"/>
      <c r="CY739" s="1442"/>
      <c r="CZ739" s="1442">
        <f t="shared" si="19"/>
        <v>0</v>
      </c>
      <c r="DA739" s="1442"/>
      <c r="DB739" s="1442"/>
      <c r="DC739" s="1442"/>
      <c r="DD739" s="1442"/>
      <c r="DE739" s="1442">
        <f t="shared" si="20"/>
        <v>0</v>
      </c>
      <c r="DF739" s="1442"/>
      <c r="DG739" s="1442"/>
      <c r="DH739" s="1442"/>
      <c r="DI739" s="1442"/>
      <c r="DJ739" s="1442">
        <f t="shared" si="21"/>
        <v>0</v>
      </c>
      <c r="DK739" s="1442"/>
      <c r="DL739" s="1442"/>
      <c r="DM739" s="1442"/>
      <c r="DN739" s="1442"/>
      <c r="DO739" s="1442">
        <f t="shared" si="22"/>
        <v>0</v>
      </c>
      <c r="DP739" s="1442"/>
      <c r="DQ739" s="1442"/>
      <c r="DR739" s="1442"/>
      <c r="DS739" s="1442"/>
      <c r="DT739" s="6"/>
      <c r="DU739" s="1443">
        <f t="shared" si="23"/>
        <v>0</v>
      </c>
      <c r="DV739" s="1443"/>
      <c r="DW739" s="1443"/>
      <c r="DX739" s="1443"/>
      <c r="DY739" s="1443"/>
      <c r="DZ739" s="1443">
        <f t="shared" si="24"/>
        <v>0</v>
      </c>
      <c r="EA739" s="1443"/>
      <c r="EB739" s="1443"/>
      <c r="EC739" s="1443"/>
      <c r="ED739" s="1443"/>
      <c r="EE739" s="1443">
        <f t="shared" si="25"/>
        <v>0</v>
      </c>
      <c r="EF739" s="1443"/>
      <c r="EG739" s="1443"/>
      <c r="EH739" s="1443"/>
      <c r="EI739" s="1443"/>
      <c r="EJ739" s="1443">
        <f t="shared" si="26"/>
        <v>0</v>
      </c>
      <c r="EK739" s="1443"/>
      <c r="EL739" s="1443"/>
      <c r="EM739" s="1443"/>
      <c r="EN739" s="1443"/>
      <c r="EO739" s="1443">
        <f t="shared" si="27"/>
        <v>0</v>
      </c>
      <c r="EP739" s="1443"/>
      <c r="EQ739" s="1443"/>
      <c r="ER739" s="1443"/>
      <c r="ES739" s="1443"/>
      <c r="ET739" s="1443">
        <f t="shared" si="28"/>
        <v>0</v>
      </c>
      <c r="EU739" s="1443"/>
      <c r="EV739" s="1443"/>
      <c r="EW739" s="1443"/>
      <c r="EX739" s="1443"/>
      <c r="EZ739" s="1462" t="str">
        <f t="shared" si="29"/>
        <v/>
      </c>
      <c r="FA739" s="1464"/>
      <c r="FB739" s="1464"/>
      <c r="FC739" s="1464"/>
      <c r="FD739" s="1463"/>
      <c r="FE739" s="1462" t="str">
        <f t="shared" si="30"/>
        <v/>
      </c>
      <c r="FF739" s="1464"/>
      <c r="FG739" s="1464"/>
      <c r="FH739" s="1464"/>
      <c r="FI739" s="1463"/>
      <c r="FJ739" s="1462" t="str">
        <f t="shared" si="31"/>
        <v/>
      </c>
      <c r="FK739" s="1464"/>
      <c r="FL739" s="1464"/>
      <c r="FM739" s="1464"/>
      <c r="FN739" s="1463"/>
      <c r="FO739" s="1462" t="str">
        <f t="shared" si="32"/>
        <v/>
      </c>
      <c r="FP739" s="1464"/>
      <c r="FQ739" s="1464"/>
      <c r="FR739" s="1464"/>
      <c r="FS739" s="1463"/>
      <c r="FT739" s="1462" t="str">
        <f t="shared" si="33"/>
        <v/>
      </c>
      <c r="FU739" s="1464"/>
      <c r="FV739" s="1464"/>
      <c r="FW739" s="1464"/>
      <c r="FX739" s="1463"/>
      <c r="FY739" s="1462" t="str">
        <f t="shared" si="34"/>
        <v/>
      </c>
      <c r="FZ739" s="1464"/>
      <c r="GA739" s="1464"/>
      <c r="GB739" s="1464"/>
      <c r="GC739" s="1463"/>
    </row>
    <row r="740" spans="1:185" ht="13"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2">
        <f t="shared" si="36"/>
        <v>0</v>
      </c>
      <c r="CH740" s="1463"/>
      <c r="CI740" s="1468">
        <f t="shared" si="37"/>
        <v>0</v>
      </c>
      <c r="CJ740" s="1469"/>
      <c r="CK740" s="1462">
        <f t="shared" si="15"/>
        <v>0</v>
      </c>
      <c r="CL740" s="1463"/>
      <c r="CM740" s="1468">
        <f t="shared" si="16"/>
        <v>0</v>
      </c>
      <c r="CN740" s="1469"/>
      <c r="CO740" s="3"/>
      <c r="CP740" s="1457">
        <f t="shared" si="17"/>
        <v>0</v>
      </c>
      <c r="CQ740" s="1458"/>
      <c r="CR740" s="1458"/>
      <c r="CS740" s="1458"/>
      <c r="CT740" s="1459"/>
      <c r="CU740" s="1442">
        <f t="shared" si="18"/>
        <v>0</v>
      </c>
      <c r="CV740" s="1442"/>
      <c r="CW740" s="1442"/>
      <c r="CX740" s="1442"/>
      <c r="CY740" s="1442"/>
      <c r="CZ740" s="1442">
        <f t="shared" si="19"/>
        <v>0</v>
      </c>
      <c r="DA740" s="1442"/>
      <c r="DB740" s="1442"/>
      <c r="DC740" s="1442"/>
      <c r="DD740" s="1442"/>
      <c r="DE740" s="1442">
        <f t="shared" si="20"/>
        <v>0</v>
      </c>
      <c r="DF740" s="1442"/>
      <c r="DG740" s="1442"/>
      <c r="DH740" s="1442"/>
      <c r="DI740" s="1442"/>
      <c r="DJ740" s="1442">
        <f t="shared" si="21"/>
        <v>0</v>
      </c>
      <c r="DK740" s="1442"/>
      <c r="DL740" s="1442"/>
      <c r="DM740" s="1442"/>
      <c r="DN740" s="1442"/>
      <c r="DO740" s="1442">
        <f t="shared" si="22"/>
        <v>0</v>
      </c>
      <c r="DP740" s="1442"/>
      <c r="DQ740" s="1442"/>
      <c r="DR740" s="1442"/>
      <c r="DS740" s="1442"/>
      <c r="DT740" s="6"/>
      <c r="DU740" s="1443">
        <f t="shared" si="23"/>
        <v>0</v>
      </c>
      <c r="DV740" s="1443"/>
      <c r="DW740" s="1443"/>
      <c r="DX740" s="1443"/>
      <c r="DY740" s="1443"/>
      <c r="DZ740" s="1443">
        <f t="shared" si="24"/>
        <v>0</v>
      </c>
      <c r="EA740" s="1443"/>
      <c r="EB740" s="1443"/>
      <c r="EC740" s="1443"/>
      <c r="ED740" s="1443"/>
      <c r="EE740" s="1443">
        <f t="shared" si="25"/>
        <v>0</v>
      </c>
      <c r="EF740" s="1443"/>
      <c r="EG740" s="1443"/>
      <c r="EH740" s="1443"/>
      <c r="EI740" s="1443"/>
      <c r="EJ740" s="1443">
        <f t="shared" si="26"/>
        <v>0</v>
      </c>
      <c r="EK740" s="1443"/>
      <c r="EL740" s="1443"/>
      <c r="EM740" s="1443"/>
      <c r="EN740" s="1443"/>
      <c r="EO740" s="1443">
        <f t="shared" si="27"/>
        <v>0</v>
      </c>
      <c r="EP740" s="1443"/>
      <c r="EQ740" s="1443"/>
      <c r="ER740" s="1443"/>
      <c r="ES740" s="1443"/>
      <c r="ET740" s="1443">
        <f t="shared" si="28"/>
        <v>0</v>
      </c>
      <c r="EU740" s="1443"/>
      <c r="EV740" s="1443"/>
      <c r="EW740" s="1443"/>
      <c r="EX740" s="1443"/>
      <c r="EZ740" s="1462" t="str">
        <f t="shared" si="29"/>
        <v/>
      </c>
      <c r="FA740" s="1464"/>
      <c r="FB740" s="1464"/>
      <c r="FC740" s="1464"/>
      <c r="FD740" s="1463"/>
      <c r="FE740" s="1462" t="str">
        <f t="shared" si="30"/>
        <v/>
      </c>
      <c r="FF740" s="1464"/>
      <c r="FG740" s="1464"/>
      <c r="FH740" s="1464"/>
      <c r="FI740" s="1463"/>
      <c r="FJ740" s="1462" t="str">
        <f t="shared" si="31"/>
        <v/>
      </c>
      <c r="FK740" s="1464"/>
      <c r="FL740" s="1464"/>
      <c r="FM740" s="1464"/>
      <c r="FN740" s="1463"/>
      <c r="FO740" s="1462" t="str">
        <f t="shared" si="32"/>
        <v/>
      </c>
      <c r="FP740" s="1464"/>
      <c r="FQ740" s="1464"/>
      <c r="FR740" s="1464"/>
      <c r="FS740" s="1463"/>
      <c r="FT740" s="1462" t="str">
        <f t="shared" si="33"/>
        <v/>
      </c>
      <c r="FU740" s="1464"/>
      <c r="FV740" s="1464"/>
      <c r="FW740" s="1464"/>
      <c r="FX740" s="1463"/>
      <c r="FY740" s="1462" t="str">
        <f t="shared" si="34"/>
        <v/>
      </c>
      <c r="FZ740" s="1464"/>
      <c r="GA740" s="1464"/>
      <c r="GB740" s="1464"/>
      <c r="GC740" s="1463"/>
    </row>
    <row r="741" spans="1:185" ht="13"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2">
        <f t="shared" si="36"/>
        <v>0</v>
      </c>
      <c r="CH741" s="1463"/>
      <c r="CI741" s="1468">
        <f t="shared" si="37"/>
        <v>0</v>
      </c>
      <c r="CJ741" s="1469"/>
      <c r="CK741" s="1462">
        <f t="shared" si="15"/>
        <v>0</v>
      </c>
      <c r="CL741" s="1463"/>
      <c r="CM741" s="1468">
        <f t="shared" si="16"/>
        <v>0</v>
      </c>
      <c r="CN741" s="1469"/>
      <c r="CO741" s="3"/>
      <c r="CP741" s="1457">
        <f t="shared" si="17"/>
        <v>0</v>
      </c>
      <c r="CQ741" s="1458"/>
      <c r="CR741" s="1458"/>
      <c r="CS741" s="1458"/>
      <c r="CT741" s="1459"/>
      <c r="CU741" s="1442">
        <f t="shared" si="18"/>
        <v>0</v>
      </c>
      <c r="CV741" s="1442"/>
      <c r="CW741" s="1442"/>
      <c r="CX741" s="1442"/>
      <c r="CY741" s="1442"/>
      <c r="CZ741" s="1442">
        <f t="shared" si="19"/>
        <v>0</v>
      </c>
      <c r="DA741" s="1442"/>
      <c r="DB741" s="1442"/>
      <c r="DC741" s="1442"/>
      <c r="DD741" s="1442"/>
      <c r="DE741" s="1442">
        <f t="shared" si="20"/>
        <v>0</v>
      </c>
      <c r="DF741" s="1442"/>
      <c r="DG741" s="1442"/>
      <c r="DH741" s="1442"/>
      <c r="DI741" s="1442"/>
      <c r="DJ741" s="1442">
        <f t="shared" si="21"/>
        <v>0</v>
      </c>
      <c r="DK741" s="1442"/>
      <c r="DL741" s="1442"/>
      <c r="DM741" s="1442"/>
      <c r="DN741" s="1442"/>
      <c r="DO741" s="1442">
        <f t="shared" si="22"/>
        <v>0</v>
      </c>
      <c r="DP741" s="1442"/>
      <c r="DQ741" s="1442"/>
      <c r="DR741" s="1442"/>
      <c r="DS741" s="1442"/>
      <c r="DT741" s="6"/>
      <c r="DU741" s="1443">
        <f t="shared" si="23"/>
        <v>0</v>
      </c>
      <c r="DV741" s="1443"/>
      <c r="DW741" s="1443"/>
      <c r="DX741" s="1443"/>
      <c r="DY741" s="1443"/>
      <c r="DZ741" s="1443">
        <f t="shared" si="24"/>
        <v>0</v>
      </c>
      <c r="EA741" s="1443"/>
      <c r="EB741" s="1443"/>
      <c r="EC741" s="1443"/>
      <c r="ED741" s="1443"/>
      <c r="EE741" s="1443">
        <f t="shared" si="25"/>
        <v>0</v>
      </c>
      <c r="EF741" s="1443"/>
      <c r="EG741" s="1443"/>
      <c r="EH741" s="1443"/>
      <c r="EI741" s="1443"/>
      <c r="EJ741" s="1443">
        <f t="shared" si="26"/>
        <v>0</v>
      </c>
      <c r="EK741" s="1443"/>
      <c r="EL741" s="1443"/>
      <c r="EM741" s="1443"/>
      <c r="EN741" s="1443"/>
      <c r="EO741" s="1443">
        <f t="shared" si="27"/>
        <v>0</v>
      </c>
      <c r="EP741" s="1443"/>
      <c r="EQ741" s="1443"/>
      <c r="ER741" s="1443"/>
      <c r="ES741" s="1443"/>
      <c r="ET741" s="1443">
        <f t="shared" si="28"/>
        <v>0</v>
      </c>
      <c r="EU741" s="1443"/>
      <c r="EV741" s="1443"/>
      <c r="EW741" s="1443"/>
      <c r="EX741" s="1443"/>
      <c r="EZ741" s="1462" t="str">
        <f t="shared" si="29"/>
        <v/>
      </c>
      <c r="FA741" s="1464"/>
      <c r="FB741" s="1464"/>
      <c r="FC741" s="1464"/>
      <c r="FD741" s="1463"/>
      <c r="FE741" s="1462" t="str">
        <f t="shared" si="30"/>
        <v/>
      </c>
      <c r="FF741" s="1464"/>
      <c r="FG741" s="1464"/>
      <c r="FH741" s="1464"/>
      <c r="FI741" s="1463"/>
      <c r="FJ741" s="1462" t="str">
        <f t="shared" si="31"/>
        <v/>
      </c>
      <c r="FK741" s="1464"/>
      <c r="FL741" s="1464"/>
      <c r="FM741" s="1464"/>
      <c r="FN741" s="1463"/>
      <c r="FO741" s="1462" t="str">
        <f t="shared" si="32"/>
        <v/>
      </c>
      <c r="FP741" s="1464"/>
      <c r="FQ741" s="1464"/>
      <c r="FR741" s="1464"/>
      <c r="FS741" s="1463"/>
      <c r="FT741" s="1462" t="str">
        <f t="shared" si="33"/>
        <v/>
      </c>
      <c r="FU741" s="1464"/>
      <c r="FV741" s="1464"/>
      <c r="FW741" s="1464"/>
      <c r="FX741" s="1463"/>
      <c r="FY741" s="1462" t="str">
        <f t="shared" si="34"/>
        <v/>
      </c>
      <c r="FZ741" s="1464"/>
      <c r="GA741" s="1464"/>
      <c r="GB741" s="1464"/>
      <c r="GC741" s="1463"/>
    </row>
    <row r="742" spans="1:185" ht="13"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8">O742+T742</f>
        <v>0</v>
      </c>
      <c r="Y742" s="1352"/>
      <c r="Z742" s="1352"/>
      <c r="AA742" s="1352"/>
      <c r="AB742" s="1353"/>
      <c r="AC742" s="1358"/>
      <c r="AD742" s="1359"/>
      <c r="AE742" s="1359"/>
      <c r="AF742" s="1359"/>
      <c r="AG742" s="1360"/>
      <c r="AH742" s="1354" t="str">
        <f t="shared" si="35"/>
        <v/>
      </c>
      <c r="AI742" s="1355"/>
      <c r="AJ742" s="1356"/>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2">
        <f t="shared" si="36"/>
        <v>0</v>
      </c>
      <c r="CH742" s="1463"/>
      <c r="CI742" s="1468">
        <f t="shared" si="37"/>
        <v>0</v>
      </c>
      <c r="CJ742" s="1469"/>
      <c r="CK742" s="1462">
        <f t="shared" si="15"/>
        <v>0</v>
      </c>
      <c r="CL742" s="1463"/>
      <c r="CM742" s="1468">
        <f t="shared" si="16"/>
        <v>0</v>
      </c>
      <c r="CN742" s="1469"/>
      <c r="CO742" s="3"/>
      <c r="CP742" s="1457">
        <f t="shared" si="17"/>
        <v>0</v>
      </c>
      <c r="CQ742" s="1458"/>
      <c r="CR742" s="1458"/>
      <c r="CS742" s="1458"/>
      <c r="CT742" s="1459"/>
      <c r="CU742" s="1442">
        <f t="shared" si="18"/>
        <v>0</v>
      </c>
      <c r="CV742" s="1442"/>
      <c r="CW742" s="1442"/>
      <c r="CX742" s="1442"/>
      <c r="CY742" s="1442"/>
      <c r="CZ742" s="1442">
        <f t="shared" si="19"/>
        <v>0</v>
      </c>
      <c r="DA742" s="1442"/>
      <c r="DB742" s="1442"/>
      <c r="DC742" s="1442"/>
      <c r="DD742" s="1442"/>
      <c r="DE742" s="1442">
        <f t="shared" si="20"/>
        <v>0</v>
      </c>
      <c r="DF742" s="1442"/>
      <c r="DG742" s="1442"/>
      <c r="DH742" s="1442"/>
      <c r="DI742" s="1442"/>
      <c r="DJ742" s="1442">
        <f t="shared" si="21"/>
        <v>0</v>
      </c>
      <c r="DK742" s="1442"/>
      <c r="DL742" s="1442"/>
      <c r="DM742" s="1442"/>
      <c r="DN742" s="1442"/>
      <c r="DO742" s="1442">
        <f t="shared" si="22"/>
        <v>0</v>
      </c>
      <c r="DP742" s="1442"/>
      <c r="DQ742" s="1442"/>
      <c r="DR742" s="1442"/>
      <c r="DS742" s="1442"/>
      <c r="DT742" s="6"/>
      <c r="DU742" s="1443">
        <f t="shared" si="23"/>
        <v>0</v>
      </c>
      <c r="DV742" s="1443"/>
      <c r="DW742" s="1443"/>
      <c r="DX742" s="1443"/>
      <c r="DY742" s="1443"/>
      <c r="DZ742" s="1443">
        <f t="shared" si="24"/>
        <v>0</v>
      </c>
      <c r="EA742" s="1443"/>
      <c r="EB742" s="1443"/>
      <c r="EC742" s="1443"/>
      <c r="ED742" s="1443"/>
      <c r="EE742" s="1443">
        <f t="shared" si="25"/>
        <v>0</v>
      </c>
      <c r="EF742" s="1443"/>
      <c r="EG742" s="1443"/>
      <c r="EH742" s="1443"/>
      <c r="EI742" s="1443"/>
      <c r="EJ742" s="1443">
        <f t="shared" si="26"/>
        <v>0</v>
      </c>
      <c r="EK742" s="1443"/>
      <c r="EL742" s="1443"/>
      <c r="EM742" s="1443"/>
      <c r="EN742" s="1443"/>
      <c r="EO742" s="1443">
        <f t="shared" si="27"/>
        <v>0</v>
      </c>
      <c r="EP742" s="1443"/>
      <c r="EQ742" s="1443"/>
      <c r="ER742" s="1443"/>
      <c r="ES742" s="1443"/>
      <c r="ET742" s="1443">
        <f t="shared" si="28"/>
        <v>0</v>
      </c>
      <c r="EU742" s="1443"/>
      <c r="EV742" s="1443"/>
      <c r="EW742" s="1443"/>
      <c r="EX742" s="1443"/>
      <c r="EZ742" s="1462" t="str">
        <f t="shared" si="29"/>
        <v/>
      </c>
      <c r="FA742" s="1464"/>
      <c r="FB742" s="1464"/>
      <c r="FC742" s="1464"/>
      <c r="FD742" s="1463"/>
      <c r="FE742" s="1462" t="str">
        <f t="shared" si="30"/>
        <v/>
      </c>
      <c r="FF742" s="1464"/>
      <c r="FG742" s="1464"/>
      <c r="FH742" s="1464"/>
      <c r="FI742" s="1463"/>
      <c r="FJ742" s="1462" t="str">
        <f t="shared" si="31"/>
        <v/>
      </c>
      <c r="FK742" s="1464"/>
      <c r="FL742" s="1464"/>
      <c r="FM742" s="1464"/>
      <c r="FN742" s="1463"/>
      <c r="FO742" s="1462" t="str">
        <f t="shared" si="32"/>
        <v/>
      </c>
      <c r="FP742" s="1464"/>
      <c r="FQ742" s="1464"/>
      <c r="FR742" s="1464"/>
      <c r="FS742" s="1463"/>
      <c r="FT742" s="1462" t="str">
        <f t="shared" si="33"/>
        <v/>
      </c>
      <c r="FU742" s="1464"/>
      <c r="FV742" s="1464"/>
      <c r="FW742" s="1464"/>
      <c r="FX742" s="1463"/>
      <c r="FY742" s="1462" t="str">
        <f t="shared" si="34"/>
        <v/>
      </c>
      <c r="FZ742" s="1464"/>
      <c r="GA742" s="1464"/>
      <c r="GB742" s="1464"/>
      <c r="GC742" s="1463"/>
    </row>
    <row r="743" spans="1:185" s="3" customFormat="1" ht="13"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8"/>
        <v>0</v>
      </c>
      <c r="Y743" s="1352"/>
      <c r="Z743" s="1352"/>
      <c r="AA743" s="1352"/>
      <c r="AB743" s="1353"/>
      <c r="AC743" s="1358"/>
      <c r="AD743" s="1359"/>
      <c r="AE743" s="1359"/>
      <c r="AF743" s="1359"/>
      <c r="AG743" s="1360"/>
      <c r="AH743" s="1354" t="str">
        <f t="shared" si="35"/>
        <v/>
      </c>
      <c r="AI743" s="1355"/>
      <c r="AJ743" s="1356"/>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2">
        <f t="shared" si="36"/>
        <v>0</v>
      </c>
      <c r="CH743" s="1463"/>
      <c r="CI743" s="1468">
        <f t="shared" si="37"/>
        <v>0</v>
      </c>
      <c r="CJ743" s="1469"/>
      <c r="CK743" s="1462">
        <f t="shared" si="15"/>
        <v>0</v>
      </c>
      <c r="CL743" s="1463"/>
      <c r="CM743" s="1468">
        <f t="shared" si="16"/>
        <v>0</v>
      </c>
      <c r="CN743" s="1469"/>
      <c r="CP743" s="1457">
        <f t="shared" si="17"/>
        <v>0</v>
      </c>
      <c r="CQ743" s="1458"/>
      <c r="CR743" s="1458"/>
      <c r="CS743" s="1458"/>
      <c r="CT743" s="1459"/>
      <c r="CU743" s="1442">
        <f t="shared" si="18"/>
        <v>0</v>
      </c>
      <c r="CV743" s="1442"/>
      <c r="CW743" s="1442"/>
      <c r="CX743" s="1442"/>
      <c r="CY743" s="1442"/>
      <c r="CZ743" s="1442">
        <f t="shared" si="19"/>
        <v>0</v>
      </c>
      <c r="DA743" s="1442"/>
      <c r="DB743" s="1442"/>
      <c r="DC743" s="1442"/>
      <c r="DD743" s="1442"/>
      <c r="DE743" s="1442">
        <f t="shared" si="20"/>
        <v>0</v>
      </c>
      <c r="DF743" s="1442"/>
      <c r="DG743" s="1442"/>
      <c r="DH743" s="1442"/>
      <c r="DI743" s="1442"/>
      <c r="DJ743" s="1442">
        <f t="shared" si="21"/>
        <v>0</v>
      </c>
      <c r="DK743" s="1442"/>
      <c r="DL743" s="1442"/>
      <c r="DM743" s="1442"/>
      <c r="DN743" s="1442"/>
      <c r="DO743" s="1442">
        <f t="shared" si="22"/>
        <v>0</v>
      </c>
      <c r="DP743" s="1442"/>
      <c r="DQ743" s="1442"/>
      <c r="DR743" s="1442"/>
      <c r="DS743" s="1442"/>
      <c r="DT743" s="6"/>
      <c r="DU743" s="1443">
        <f t="shared" si="23"/>
        <v>0</v>
      </c>
      <c r="DV743" s="1443"/>
      <c r="DW743" s="1443"/>
      <c r="DX743" s="1443"/>
      <c r="DY743" s="1443"/>
      <c r="DZ743" s="1443">
        <f t="shared" si="24"/>
        <v>0</v>
      </c>
      <c r="EA743" s="1443"/>
      <c r="EB743" s="1443"/>
      <c r="EC743" s="1443"/>
      <c r="ED743" s="1443"/>
      <c r="EE743" s="1443">
        <f t="shared" si="25"/>
        <v>0</v>
      </c>
      <c r="EF743" s="1443"/>
      <c r="EG743" s="1443"/>
      <c r="EH743" s="1443"/>
      <c r="EI743" s="1443"/>
      <c r="EJ743" s="1443">
        <f t="shared" si="26"/>
        <v>0</v>
      </c>
      <c r="EK743" s="1443"/>
      <c r="EL743" s="1443"/>
      <c r="EM743" s="1443"/>
      <c r="EN743" s="1443"/>
      <c r="EO743" s="1443">
        <f t="shared" si="27"/>
        <v>0</v>
      </c>
      <c r="EP743" s="1443"/>
      <c r="EQ743" s="1443"/>
      <c r="ER743" s="1443"/>
      <c r="ES743" s="1443"/>
      <c r="ET743" s="1443">
        <f t="shared" si="28"/>
        <v>0</v>
      </c>
      <c r="EU743" s="1443"/>
      <c r="EV743" s="1443"/>
      <c r="EW743" s="1443"/>
      <c r="EX743" s="1443"/>
      <c r="EY743"/>
      <c r="EZ743" s="1462" t="str">
        <f t="shared" si="29"/>
        <v/>
      </c>
      <c r="FA743" s="1464"/>
      <c r="FB743" s="1464"/>
      <c r="FC743" s="1464"/>
      <c r="FD743" s="1463"/>
      <c r="FE743" s="1462" t="str">
        <f t="shared" si="30"/>
        <v/>
      </c>
      <c r="FF743" s="1464"/>
      <c r="FG743" s="1464"/>
      <c r="FH743" s="1464"/>
      <c r="FI743" s="1463"/>
      <c r="FJ743" s="1462" t="str">
        <f t="shared" si="31"/>
        <v/>
      </c>
      <c r="FK743" s="1464"/>
      <c r="FL743" s="1464"/>
      <c r="FM743" s="1464"/>
      <c r="FN743" s="1463"/>
      <c r="FO743" s="1462" t="str">
        <f t="shared" si="32"/>
        <v/>
      </c>
      <c r="FP743" s="1464"/>
      <c r="FQ743" s="1464"/>
      <c r="FR743" s="1464"/>
      <c r="FS743" s="1463"/>
      <c r="FT743" s="1462" t="str">
        <f t="shared" si="33"/>
        <v/>
      </c>
      <c r="FU743" s="1464"/>
      <c r="FV743" s="1464"/>
      <c r="FW743" s="1464"/>
      <c r="FX743" s="1463"/>
      <c r="FY743" s="1462" t="str">
        <f t="shared" si="34"/>
        <v/>
      </c>
      <c r="FZ743" s="1464"/>
      <c r="GA743" s="1464"/>
      <c r="GB743" s="1464"/>
      <c r="GC743" s="1463"/>
    </row>
    <row r="744" spans="1:185" ht="13"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8"/>
        <v>0</v>
      </c>
      <c r="Y744" s="1352"/>
      <c r="Z744" s="1352"/>
      <c r="AA744" s="1352"/>
      <c r="AB744" s="1353"/>
      <c r="AC744" s="1358"/>
      <c r="AD744" s="1359"/>
      <c r="AE744" s="1359"/>
      <c r="AF744" s="1359"/>
      <c r="AG744" s="1360"/>
      <c r="AH744" s="1354" t="str">
        <f t="shared" si="35"/>
        <v/>
      </c>
      <c r="AI744" s="1355"/>
      <c r="AJ744" s="1356"/>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2">
        <f t="shared" si="36"/>
        <v>0</v>
      </c>
      <c r="CH744" s="1463"/>
      <c r="CI744" s="1468">
        <f t="shared" si="37"/>
        <v>0</v>
      </c>
      <c r="CJ744" s="1469"/>
      <c r="CK744" s="1462">
        <f t="shared" si="15"/>
        <v>0</v>
      </c>
      <c r="CL744" s="1463"/>
      <c r="CM744" s="1468">
        <f t="shared" si="16"/>
        <v>0</v>
      </c>
      <c r="CN744" s="1469"/>
      <c r="CO744" s="3"/>
      <c r="CP744" s="1457">
        <f t="shared" si="17"/>
        <v>0</v>
      </c>
      <c r="CQ744" s="1458"/>
      <c r="CR744" s="1458"/>
      <c r="CS744" s="1458"/>
      <c r="CT744" s="1459"/>
      <c r="CU744" s="1442">
        <f t="shared" si="18"/>
        <v>0</v>
      </c>
      <c r="CV744" s="1442"/>
      <c r="CW744" s="1442"/>
      <c r="CX744" s="1442"/>
      <c r="CY744" s="1442"/>
      <c r="CZ744" s="1442">
        <f t="shared" si="19"/>
        <v>0</v>
      </c>
      <c r="DA744" s="1442"/>
      <c r="DB744" s="1442"/>
      <c r="DC744" s="1442"/>
      <c r="DD744" s="1442"/>
      <c r="DE744" s="1442">
        <f t="shared" si="20"/>
        <v>0</v>
      </c>
      <c r="DF744" s="1442"/>
      <c r="DG744" s="1442"/>
      <c r="DH744" s="1442"/>
      <c r="DI744" s="1442"/>
      <c r="DJ744" s="1442">
        <f t="shared" si="21"/>
        <v>0</v>
      </c>
      <c r="DK744" s="1442"/>
      <c r="DL744" s="1442"/>
      <c r="DM744" s="1442"/>
      <c r="DN744" s="1442"/>
      <c r="DO744" s="1442">
        <f t="shared" si="22"/>
        <v>0</v>
      </c>
      <c r="DP744" s="1442"/>
      <c r="DQ744" s="1442"/>
      <c r="DR744" s="1442"/>
      <c r="DS744" s="1442"/>
      <c r="DT744" s="6"/>
      <c r="DU744" s="1443">
        <f t="shared" si="23"/>
        <v>0</v>
      </c>
      <c r="DV744" s="1443"/>
      <c r="DW744" s="1443"/>
      <c r="DX744" s="1443"/>
      <c r="DY744" s="1443"/>
      <c r="DZ744" s="1443">
        <f t="shared" si="24"/>
        <v>0</v>
      </c>
      <c r="EA744" s="1443"/>
      <c r="EB744" s="1443"/>
      <c r="EC744" s="1443"/>
      <c r="ED744" s="1443"/>
      <c r="EE744" s="1443">
        <f t="shared" si="25"/>
        <v>0</v>
      </c>
      <c r="EF744" s="1443"/>
      <c r="EG744" s="1443"/>
      <c r="EH744" s="1443"/>
      <c r="EI744" s="1443"/>
      <c r="EJ744" s="1443">
        <f t="shared" si="26"/>
        <v>0</v>
      </c>
      <c r="EK744" s="1443"/>
      <c r="EL744" s="1443"/>
      <c r="EM744" s="1443"/>
      <c r="EN744" s="1443"/>
      <c r="EO744" s="1443">
        <f t="shared" si="27"/>
        <v>0</v>
      </c>
      <c r="EP744" s="1443"/>
      <c r="EQ744" s="1443"/>
      <c r="ER744" s="1443"/>
      <c r="ES744" s="1443"/>
      <c r="ET744" s="1443">
        <f t="shared" si="28"/>
        <v>0</v>
      </c>
      <c r="EU744" s="1443"/>
      <c r="EV744" s="1443"/>
      <c r="EW744" s="1443"/>
      <c r="EX744" s="1443"/>
      <c r="EZ744" s="1462" t="str">
        <f t="shared" si="29"/>
        <v/>
      </c>
      <c r="FA744" s="1464"/>
      <c r="FB744" s="1464"/>
      <c r="FC744" s="1464"/>
      <c r="FD744" s="1463"/>
      <c r="FE744" s="1462" t="str">
        <f t="shared" si="30"/>
        <v/>
      </c>
      <c r="FF744" s="1464"/>
      <c r="FG744" s="1464"/>
      <c r="FH744" s="1464"/>
      <c r="FI744" s="1463"/>
      <c r="FJ744" s="1462" t="str">
        <f t="shared" si="31"/>
        <v/>
      </c>
      <c r="FK744" s="1464"/>
      <c r="FL744" s="1464"/>
      <c r="FM744" s="1464"/>
      <c r="FN744" s="1463"/>
      <c r="FO744" s="1462" t="str">
        <f t="shared" si="32"/>
        <v/>
      </c>
      <c r="FP744" s="1464"/>
      <c r="FQ744" s="1464"/>
      <c r="FR744" s="1464"/>
      <c r="FS744" s="1463"/>
      <c r="FT744" s="1462" t="str">
        <f t="shared" si="33"/>
        <v/>
      </c>
      <c r="FU744" s="1464"/>
      <c r="FV744" s="1464"/>
      <c r="FW744" s="1464"/>
      <c r="FX744" s="1463"/>
      <c r="FY744" s="1462" t="str">
        <f t="shared" si="34"/>
        <v/>
      </c>
      <c r="FZ744" s="1464"/>
      <c r="GA744" s="1464"/>
      <c r="GB744" s="1464"/>
      <c r="GC744" s="1463"/>
    </row>
    <row r="745" spans="1:185" ht="13"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8"/>
        <v>0</v>
      </c>
      <c r="Y745" s="1352"/>
      <c r="Z745" s="1352"/>
      <c r="AA745" s="1352"/>
      <c r="AB745" s="1353"/>
      <c r="AC745" s="1358"/>
      <c r="AD745" s="1359"/>
      <c r="AE745" s="1359"/>
      <c r="AF745" s="1359"/>
      <c r="AG745" s="1360"/>
      <c r="AH745" s="1354" t="str">
        <f t="shared" si="35"/>
        <v/>
      </c>
      <c r="AI745" s="1355"/>
      <c r="AJ745" s="1356"/>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2">
        <f t="shared" si="36"/>
        <v>0</v>
      </c>
      <c r="CH745" s="1463"/>
      <c r="CI745" s="1468">
        <f t="shared" si="37"/>
        <v>0</v>
      </c>
      <c r="CJ745" s="1469"/>
      <c r="CK745" s="1462">
        <f t="shared" si="15"/>
        <v>0</v>
      </c>
      <c r="CL745" s="1463"/>
      <c r="CM745" s="1468">
        <f t="shared" si="16"/>
        <v>0</v>
      </c>
      <c r="CN745" s="1469"/>
      <c r="CO745" s="3"/>
      <c r="CP745" s="1457">
        <f t="shared" si="17"/>
        <v>0</v>
      </c>
      <c r="CQ745" s="1458"/>
      <c r="CR745" s="1458"/>
      <c r="CS745" s="1458"/>
      <c r="CT745" s="1459"/>
      <c r="CU745" s="1442">
        <f t="shared" si="18"/>
        <v>0</v>
      </c>
      <c r="CV745" s="1442"/>
      <c r="CW745" s="1442"/>
      <c r="CX745" s="1442"/>
      <c r="CY745" s="1442"/>
      <c r="CZ745" s="1442">
        <f t="shared" si="19"/>
        <v>0</v>
      </c>
      <c r="DA745" s="1442"/>
      <c r="DB745" s="1442"/>
      <c r="DC745" s="1442"/>
      <c r="DD745" s="1442"/>
      <c r="DE745" s="1442">
        <f t="shared" si="20"/>
        <v>0</v>
      </c>
      <c r="DF745" s="1442"/>
      <c r="DG745" s="1442"/>
      <c r="DH745" s="1442"/>
      <c r="DI745" s="1442"/>
      <c r="DJ745" s="1442">
        <f t="shared" si="21"/>
        <v>0</v>
      </c>
      <c r="DK745" s="1442"/>
      <c r="DL745" s="1442"/>
      <c r="DM745" s="1442"/>
      <c r="DN745" s="1442"/>
      <c r="DO745" s="1442">
        <f t="shared" si="22"/>
        <v>0</v>
      </c>
      <c r="DP745" s="1442"/>
      <c r="DQ745" s="1442"/>
      <c r="DR745" s="1442"/>
      <c r="DS745" s="1442"/>
      <c r="DT745" s="6"/>
      <c r="DU745" s="1443">
        <f t="shared" si="23"/>
        <v>0</v>
      </c>
      <c r="DV745" s="1443"/>
      <c r="DW745" s="1443"/>
      <c r="DX745" s="1443"/>
      <c r="DY745" s="1443"/>
      <c r="DZ745" s="1443">
        <f t="shared" si="24"/>
        <v>0</v>
      </c>
      <c r="EA745" s="1443"/>
      <c r="EB745" s="1443"/>
      <c r="EC745" s="1443"/>
      <c r="ED745" s="1443"/>
      <c r="EE745" s="1443">
        <f t="shared" si="25"/>
        <v>0</v>
      </c>
      <c r="EF745" s="1443"/>
      <c r="EG745" s="1443"/>
      <c r="EH745" s="1443"/>
      <c r="EI745" s="1443"/>
      <c r="EJ745" s="1443">
        <f t="shared" si="26"/>
        <v>0</v>
      </c>
      <c r="EK745" s="1443"/>
      <c r="EL745" s="1443"/>
      <c r="EM745" s="1443"/>
      <c r="EN745" s="1443"/>
      <c r="EO745" s="1443">
        <f t="shared" si="27"/>
        <v>0</v>
      </c>
      <c r="EP745" s="1443"/>
      <c r="EQ745" s="1443"/>
      <c r="ER745" s="1443"/>
      <c r="ES745" s="1443"/>
      <c r="ET745" s="1443">
        <f t="shared" si="28"/>
        <v>0</v>
      </c>
      <c r="EU745" s="1443"/>
      <c r="EV745" s="1443"/>
      <c r="EW745" s="1443"/>
      <c r="EX745" s="1443"/>
      <c r="EZ745" s="1462" t="str">
        <f t="shared" si="29"/>
        <v/>
      </c>
      <c r="FA745" s="1464"/>
      <c r="FB745" s="1464"/>
      <c r="FC745" s="1464"/>
      <c r="FD745" s="1463"/>
      <c r="FE745" s="1462" t="str">
        <f t="shared" si="30"/>
        <v/>
      </c>
      <c r="FF745" s="1464"/>
      <c r="FG745" s="1464"/>
      <c r="FH745" s="1464"/>
      <c r="FI745" s="1463"/>
      <c r="FJ745" s="1462" t="str">
        <f t="shared" si="31"/>
        <v/>
      </c>
      <c r="FK745" s="1464"/>
      <c r="FL745" s="1464"/>
      <c r="FM745" s="1464"/>
      <c r="FN745" s="1463"/>
      <c r="FO745" s="1462" t="str">
        <f t="shared" si="32"/>
        <v/>
      </c>
      <c r="FP745" s="1464"/>
      <c r="FQ745" s="1464"/>
      <c r="FR745" s="1464"/>
      <c r="FS745" s="1463"/>
      <c r="FT745" s="1462" t="str">
        <f t="shared" si="33"/>
        <v/>
      </c>
      <c r="FU745" s="1464"/>
      <c r="FV745" s="1464"/>
      <c r="FW745" s="1464"/>
      <c r="FX745" s="1463"/>
      <c r="FY745" s="1462" t="str">
        <f t="shared" si="34"/>
        <v/>
      </c>
      <c r="FZ745" s="1464"/>
      <c r="GA745" s="1464"/>
      <c r="GB745" s="1464"/>
      <c r="GC745" s="1463"/>
    </row>
    <row r="746" spans="1:185" ht="13"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8"/>
        <v>0</v>
      </c>
      <c r="Y746" s="1352"/>
      <c r="Z746" s="1352"/>
      <c r="AA746" s="1352"/>
      <c r="AB746" s="1353"/>
      <c r="AC746" s="1358"/>
      <c r="AD746" s="1359"/>
      <c r="AE746" s="1359"/>
      <c r="AF746" s="1359"/>
      <c r="AG746" s="1360"/>
      <c r="AH746" s="1354" t="str">
        <f t="shared" si="35"/>
        <v/>
      </c>
      <c r="AI746" s="1355"/>
      <c r="AJ746" s="1356"/>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2">
        <f t="shared" si="36"/>
        <v>0</v>
      </c>
      <c r="CH746" s="1463"/>
      <c r="CI746" s="1468">
        <f t="shared" si="37"/>
        <v>0</v>
      </c>
      <c r="CJ746" s="1469"/>
      <c r="CK746" s="1462">
        <f t="shared" si="15"/>
        <v>0</v>
      </c>
      <c r="CL746" s="1463"/>
      <c r="CM746" s="1468">
        <f t="shared" si="16"/>
        <v>0</v>
      </c>
      <c r="CN746" s="1469"/>
      <c r="CO746" s="3"/>
      <c r="CP746" s="1457">
        <f t="shared" si="17"/>
        <v>0</v>
      </c>
      <c r="CQ746" s="1458"/>
      <c r="CR746" s="1458"/>
      <c r="CS746" s="1458"/>
      <c r="CT746" s="1459"/>
      <c r="CU746" s="1442">
        <f t="shared" si="18"/>
        <v>0</v>
      </c>
      <c r="CV746" s="1442"/>
      <c r="CW746" s="1442"/>
      <c r="CX746" s="1442"/>
      <c r="CY746" s="1442"/>
      <c r="CZ746" s="1442">
        <f t="shared" si="19"/>
        <v>0</v>
      </c>
      <c r="DA746" s="1442"/>
      <c r="DB746" s="1442"/>
      <c r="DC746" s="1442"/>
      <c r="DD746" s="1442"/>
      <c r="DE746" s="1442">
        <f t="shared" si="20"/>
        <v>0</v>
      </c>
      <c r="DF746" s="1442"/>
      <c r="DG746" s="1442"/>
      <c r="DH746" s="1442"/>
      <c r="DI746" s="1442"/>
      <c r="DJ746" s="1442">
        <f t="shared" si="21"/>
        <v>0</v>
      </c>
      <c r="DK746" s="1442"/>
      <c r="DL746" s="1442"/>
      <c r="DM746" s="1442"/>
      <c r="DN746" s="1442"/>
      <c r="DO746" s="1442">
        <f t="shared" si="22"/>
        <v>0</v>
      </c>
      <c r="DP746" s="1442"/>
      <c r="DQ746" s="1442"/>
      <c r="DR746" s="1442"/>
      <c r="DS746" s="1442"/>
      <c r="DT746" s="6"/>
      <c r="DU746" s="1443">
        <f t="shared" si="23"/>
        <v>0</v>
      </c>
      <c r="DV746" s="1443"/>
      <c r="DW746" s="1443"/>
      <c r="DX746" s="1443"/>
      <c r="DY746" s="1443"/>
      <c r="DZ746" s="1443">
        <f t="shared" si="24"/>
        <v>0</v>
      </c>
      <c r="EA746" s="1443"/>
      <c r="EB746" s="1443"/>
      <c r="EC746" s="1443"/>
      <c r="ED746" s="1443"/>
      <c r="EE746" s="1443">
        <f t="shared" si="25"/>
        <v>0</v>
      </c>
      <c r="EF746" s="1443"/>
      <c r="EG746" s="1443"/>
      <c r="EH746" s="1443"/>
      <c r="EI746" s="1443"/>
      <c r="EJ746" s="1443">
        <f t="shared" si="26"/>
        <v>0</v>
      </c>
      <c r="EK746" s="1443"/>
      <c r="EL746" s="1443"/>
      <c r="EM746" s="1443"/>
      <c r="EN746" s="1443"/>
      <c r="EO746" s="1443">
        <f t="shared" si="27"/>
        <v>0</v>
      </c>
      <c r="EP746" s="1443"/>
      <c r="EQ746" s="1443"/>
      <c r="ER746" s="1443"/>
      <c r="ES746" s="1443"/>
      <c r="ET746" s="1443">
        <f t="shared" si="28"/>
        <v>0</v>
      </c>
      <c r="EU746" s="1443"/>
      <c r="EV746" s="1443"/>
      <c r="EW746" s="1443"/>
      <c r="EX746" s="1443"/>
      <c r="EZ746" s="1462" t="str">
        <f t="shared" si="29"/>
        <v/>
      </c>
      <c r="FA746" s="1464"/>
      <c r="FB746" s="1464"/>
      <c r="FC746" s="1464"/>
      <c r="FD746" s="1463"/>
      <c r="FE746" s="1462" t="str">
        <f t="shared" si="30"/>
        <v/>
      </c>
      <c r="FF746" s="1464"/>
      <c r="FG746" s="1464"/>
      <c r="FH746" s="1464"/>
      <c r="FI746" s="1463"/>
      <c r="FJ746" s="1462" t="str">
        <f t="shared" si="31"/>
        <v/>
      </c>
      <c r="FK746" s="1464"/>
      <c r="FL746" s="1464"/>
      <c r="FM746" s="1464"/>
      <c r="FN746" s="1463"/>
      <c r="FO746" s="1462" t="str">
        <f t="shared" si="32"/>
        <v/>
      </c>
      <c r="FP746" s="1464"/>
      <c r="FQ746" s="1464"/>
      <c r="FR746" s="1464"/>
      <c r="FS746" s="1463"/>
      <c r="FT746" s="1462" t="str">
        <f t="shared" si="33"/>
        <v/>
      </c>
      <c r="FU746" s="1464"/>
      <c r="FV746" s="1464"/>
      <c r="FW746" s="1464"/>
      <c r="FX746" s="1463"/>
      <c r="FY746" s="1462" t="str">
        <f t="shared" si="34"/>
        <v/>
      </c>
      <c r="FZ746" s="1464"/>
      <c r="GA746" s="1464"/>
      <c r="GB746" s="1464"/>
      <c r="GC746" s="1463"/>
    </row>
    <row r="747" spans="1:185" ht="13"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8"/>
        <v>0</v>
      </c>
      <c r="Y747" s="1352"/>
      <c r="Z747" s="1352"/>
      <c r="AA747" s="1352"/>
      <c r="AB747" s="1353"/>
      <c r="AC747" s="1358"/>
      <c r="AD747" s="1359"/>
      <c r="AE747" s="1359"/>
      <c r="AF747" s="1359"/>
      <c r="AG747" s="1360"/>
      <c r="AH747" s="1354" t="str">
        <f t="shared" si="35"/>
        <v/>
      </c>
      <c r="AI747" s="1355"/>
      <c r="AJ747" s="1356"/>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2">
        <f t="shared" si="36"/>
        <v>0</v>
      </c>
      <c r="CH747" s="1463"/>
      <c r="CI747" s="1468">
        <f t="shared" si="37"/>
        <v>0</v>
      </c>
      <c r="CJ747" s="1469"/>
      <c r="CK747" s="1462">
        <f t="shared" si="15"/>
        <v>0</v>
      </c>
      <c r="CL747" s="1463"/>
      <c r="CM747" s="1468">
        <f t="shared" si="16"/>
        <v>0</v>
      </c>
      <c r="CN747" s="1469"/>
      <c r="CO747" s="3"/>
      <c r="CP747" s="1457">
        <f t="shared" si="17"/>
        <v>0</v>
      </c>
      <c r="CQ747" s="1458"/>
      <c r="CR747" s="1458"/>
      <c r="CS747" s="1458"/>
      <c r="CT747" s="1459"/>
      <c r="CU747" s="1442">
        <f t="shared" si="18"/>
        <v>0</v>
      </c>
      <c r="CV747" s="1442"/>
      <c r="CW747" s="1442"/>
      <c r="CX747" s="1442"/>
      <c r="CY747" s="1442"/>
      <c r="CZ747" s="1442">
        <f t="shared" si="19"/>
        <v>0</v>
      </c>
      <c r="DA747" s="1442"/>
      <c r="DB747" s="1442"/>
      <c r="DC747" s="1442"/>
      <c r="DD747" s="1442"/>
      <c r="DE747" s="1442">
        <f t="shared" si="20"/>
        <v>0</v>
      </c>
      <c r="DF747" s="1442"/>
      <c r="DG747" s="1442"/>
      <c r="DH747" s="1442"/>
      <c r="DI747" s="1442"/>
      <c r="DJ747" s="1442">
        <f t="shared" si="21"/>
        <v>0</v>
      </c>
      <c r="DK747" s="1442"/>
      <c r="DL747" s="1442"/>
      <c r="DM747" s="1442"/>
      <c r="DN747" s="1442"/>
      <c r="DO747" s="1442">
        <f t="shared" si="22"/>
        <v>0</v>
      </c>
      <c r="DP747" s="1442"/>
      <c r="DQ747" s="1442"/>
      <c r="DR747" s="1442"/>
      <c r="DS747" s="1442"/>
      <c r="DT747" s="6"/>
      <c r="DU747" s="1443">
        <f t="shared" si="23"/>
        <v>0</v>
      </c>
      <c r="DV747" s="1443"/>
      <c r="DW747" s="1443"/>
      <c r="DX747" s="1443"/>
      <c r="DY747" s="1443"/>
      <c r="DZ747" s="1443">
        <f t="shared" si="24"/>
        <v>0</v>
      </c>
      <c r="EA747" s="1443"/>
      <c r="EB747" s="1443"/>
      <c r="EC747" s="1443"/>
      <c r="ED747" s="1443"/>
      <c r="EE747" s="1443">
        <f t="shared" si="25"/>
        <v>0</v>
      </c>
      <c r="EF747" s="1443"/>
      <c r="EG747" s="1443"/>
      <c r="EH747" s="1443"/>
      <c r="EI747" s="1443"/>
      <c r="EJ747" s="1443">
        <f t="shared" si="26"/>
        <v>0</v>
      </c>
      <c r="EK747" s="1443"/>
      <c r="EL747" s="1443"/>
      <c r="EM747" s="1443"/>
      <c r="EN747" s="1443"/>
      <c r="EO747" s="1443">
        <f t="shared" si="27"/>
        <v>0</v>
      </c>
      <c r="EP747" s="1443"/>
      <c r="EQ747" s="1443"/>
      <c r="ER747" s="1443"/>
      <c r="ES747" s="1443"/>
      <c r="ET747" s="1443">
        <f t="shared" si="28"/>
        <v>0</v>
      </c>
      <c r="EU747" s="1443"/>
      <c r="EV747" s="1443"/>
      <c r="EW747" s="1443"/>
      <c r="EX747" s="1443"/>
      <c r="EZ747" s="1462" t="str">
        <f t="shared" si="29"/>
        <v/>
      </c>
      <c r="FA747" s="1464"/>
      <c r="FB747" s="1464"/>
      <c r="FC747" s="1464"/>
      <c r="FD747" s="1463"/>
      <c r="FE747" s="1462" t="str">
        <f t="shared" si="30"/>
        <v/>
      </c>
      <c r="FF747" s="1464"/>
      <c r="FG747" s="1464"/>
      <c r="FH747" s="1464"/>
      <c r="FI747" s="1463"/>
      <c r="FJ747" s="1462" t="str">
        <f t="shared" si="31"/>
        <v/>
      </c>
      <c r="FK747" s="1464"/>
      <c r="FL747" s="1464"/>
      <c r="FM747" s="1464"/>
      <c r="FN747" s="1463"/>
      <c r="FO747" s="1462" t="str">
        <f t="shared" si="32"/>
        <v/>
      </c>
      <c r="FP747" s="1464"/>
      <c r="FQ747" s="1464"/>
      <c r="FR747" s="1464"/>
      <c r="FS747" s="1463"/>
      <c r="FT747" s="1462" t="str">
        <f t="shared" si="33"/>
        <v/>
      </c>
      <c r="FU747" s="1464"/>
      <c r="FV747" s="1464"/>
      <c r="FW747" s="1464"/>
      <c r="FX747" s="1463"/>
      <c r="FY747" s="1462" t="str">
        <f t="shared" si="34"/>
        <v/>
      </c>
      <c r="FZ747" s="1464"/>
      <c r="GA747" s="1464"/>
      <c r="GB747" s="1464"/>
      <c r="GC747" s="1463"/>
    </row>
    <row r="748" spans="1:185" s="3" customFormat="1" ht="13"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8"/>
        <v>0</v>
      </c>
      <c r="Y748" s="1352"/>
      <c r="Z748" s="1352"/>
      <c r="AA748" s="1352"/>
      <c r="AB748" s="1353"/>
      <c r="AC748" s="1358"/>
      <c r="AD748" s="1359"/>
      <c r="AE748" s="1359"/>
      <c r="AF748" s="1359"/>
      <c r="AG748" s="1360"/>
      <c r="AH748" s="1354" t="str">
        <f t="shared" si="35"/>
        <v/>
      </c>
      <c r="AI748" s="1355"/>
      <c r="AJ748" s="1356"/>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2">
        <f t="shared" si="36"/>
        <v>0</v>
      </c>
      <c r="CH748" s="1463"/>
      <c r="CI748" s="1468">
        <f t="shared" si="37"/>
        <v>0</v>
      </c>
      <c r="CJ748" s="1469"/>
      <c r="CK748" s="1462">
        <f t="shared" si="15"/>
        <v>0</v>
      </c>
      <c r="CL748" s="1463"/>
      <c r="CM748" s="1468">
        <f t="shared" si="16"/>
        <v>0</v>
      </c>
      <c r="CN748" s="1469"/>
      <c r="CP748" s="1457">
        <f t="shared" si="17"/>
        <v>0</v>
      </c>
      <c r="CQ748" s="1458"/>
      <c r="CR748" s="1458"/>
      <c r="CS748" s="1458"/>
      <c r="CT748" s="1459"/>
      <c r="CU748" s="1442">
        <f t="shared" si="18"/>
        <v>0</v>
      </c>
      <c r="CV748" s="1442"/>
      <c r="CW748" s="1442"/>
      <c r="CX748" s="1442"/>
      <c r="CY748" s="1442"/>
      <c r="CZ748" s="1442">
        <f t="shared" si="19"/>
        <v>0</v>
      </c>
      <c r="DA748" s="1442"/>
      <c r="DB748" s="1442"/>
      <c r="DC748" s="1442"/>
      <c r="DD748" s="1442"/>
      <c r="DE748" s="1442">
        <f t="shared" si="20"/>
        <v>0</v>
      </c>
      <c r="DF748" s="1442"/>
      <c r="DG748" s="1442"/>
      <c r="DH748" s="1442"/>
      <c r="DI748" s="1442"/>
      <c r="DJ748" s="1442">
        <f t="shared" si="21"/>
        <v>0</v>
      </c>
      <c r="DK748" s="1442"/>
      <c r="DL748" s="1442"/>
      <c r="DM748" s="1442"/>
      <c r="DN748" s="1442"/>
      <c r="DO748" s="1442">
        <f t="shared" si="22"/>
        <v>0</v>
      </c>
      <c r="DP748" s="1442"/>
      <c r="DQ748" s="1442"/>
      <c r="DR748" s="1442"/>
      <c r="DS748" s="1442"/>
      <c r="DT748" s="6"/>
      <c r="DU748" s="1443">
        <f t="shared" si="23"/>
        <v>0</v>
      </c>
      <c r="DV748" s="1443"/>
      <c r="DW748" s="1443"/>
      <c r="DX748" s="1443"/>
      <c r="DY748" s="1443"/>
      <c r="DZ748" s="1443">
        <f t="shared" si="24"/>
        <v>0</v>
      </c>
      <c r="EA748" s="1443"/>
      <c r="EB748" s="1443"/>
      <c r="EC748" s="1443"/>
      <c r="ED748" s="1443"/>
      <c r="EE748" s="1443">
        <f t="shared" si="25"/>
        <v>0</v>
      </c>
      <c r="EF748" s="1443"/>
      <c r="EG748" s="1443"/>
      <c r="EH748" s="1443"/>
      <c r="EI748" s="1443"/>
      <c r="EJ748" s="1443">
        <f t="shared" si="26"/>
        <v>0</v>
      </c>
      <c r="EK748" s="1443"/>
      <c r="EL748" s="1443"/>
      <c r="EM748" s="1443"/>
      <c r="EN748" s="1443"/>
      <c r="EO748" s="1443">
        <f t="shared" si="27"/>
        <v>0</v>
      </c>
      <c r="EP748" s="1443"/>
      <c r="EQ748" s="1443"/>
      <c r="ER748" s="1443"/>
      <c r="ES748" s="1443"/>
      <c r="ET748" s="1443">
        <f t="shared" si="28"/>
        <v>0</v>
      </c>
      <c r="EU748" s="1443"/>
      <c r="EV748" s="1443"/>
      <c r="EW748" s="1443"/>
      <c r="EX748" s="1443"/>
      <c r="EY748"/>
      <c r="EZ748" s="1462" t="str">
        <f t="shared" si="29"/>
        <v/>
      </c>
      <c r="FA748" s="1464"/>
      <c r="FB748" s="1464"/>
      <c r="FC748" s="1464"/>
      <c r="FD748" s="1463"/>
      <c r="FE748" s="1462" t="str">
        <f t="shared" si="30"/>
        <v/>
      </c>
      <c r="FF748" s="1464"/>
      <c r="FG748" s="1464"/>
      <c r="FH748" s="1464"/>
      <c r="FI748" s="1463"/>
      <c r="FJ748" s="1462" t="str">
        <f t="shared" si="31"/>
        <v/>
      </c>
      <c r="FK748" s="1464"/>
      <c r="FL748" s="1464"/>
      <c r="FM748" s="1464"/>
      <c r="FN748" s="1463"/>
      <c r="FO748" s="1462" t="str">
        <f t="shared" si="32"/>
        <v/>
      </c>
      <c r="FP748" s="1464"/>
      <c r="FQ748" s="1464"/>
      <c r="FR748" s="1464"/>
      <c r="FS748" s="1463"/>
      <c r="FT748" s="1462" t="str">
        <f t="shared" si="33"/>
        <v/>
      </c>
      <c r="FU748" s="1464"/>
      <c r="FV748" s="1464"/>
      <c r="FW748" s="1464"/>
      <c r="FX748" s="1463"/>
      <c r="FY748" s="1462" t="str">
        <f t="shared" si="34"/>
        <v/>
      </c>
      <c r="FZ748" s="1464"/>
      <c r="GA748" s="1464"/>
      <c r="GB748" s="1464"/>
      <c r="GC748" s="1463"/>
    </row>
    <row r="749" spans="1:185" s="3" customFormat="1" ht="13"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8"/>
        <v>0</v>
      </c>
      <c r="Y749" s="1352"/>
      <c r="Z749" s="1352"/>
      <c r="AA749" s="1352"/>
      <c r="AB749" s="1353"/>
      <c r="AC749" s="1358"/>
      <c r="AD749" s="1359"/>
      <c r="AE749" s="1359"/>
      <c r="AF749" s="1359"/>
      <c r="AG749" s="1360"/>
      <c r="AH749" s="1354" t="str">
        <f t="shared" si="35"/>
        <v/>
      </c>
      <c r="AI749" s="1355"/>
      <c r="AJ749" s="1356"/>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2">
        <f t="shared" si="36"/>
        <v>0</v>
      </c>
      <c r="CH749" s="1463"/>
      <c r="CI749" s="1468">
        <f t="shared" si="37"/>
        <v>0</v>
      </c>
      <c r="CJ749" s="1469"/>
      <c r="CK749" s="1462">
        <f t="shared" si="15"/>
        <v>0</v>
      </c>
      <c r="CL749" s="1463"/>
      <c r="CM749" s="1468">
        <f t="shared" si="16"/>
        <v>0</v>
      </c>
      <c r="CN749" s="1469"/>
      <c r="CP749" s="1457">
        <f t="shared" si="17"/>
        <v>0</v>
      </c>
      <c r="CQ749" s="1458"/>
      <c r="CR749" s="1458"/>
      <c r="CS749" s="1458"/>
      <c r="CT749" s="1459"/>
      <c r="CU749" s="1442">
        <f t="shared" si="18"/>
        <v>0</v>
      </c>
      <c r="CV749" s="1442"/>
      <c r="CW749" s="1442"/>
      <c r="CX749" s="1442"/>
      <c r="CY749" s="1442"/>
      <c r="CZ749" s="1442">
        <f t="shared" si="19"/>
        <v>0</v>
      </c>
      <c r="DA749" s="1442"/>
      <c r="DB749" s="1442"/>
      <c r="DC749" s="1442"/>
      <c r="DD749" s="1442"/>
      <c r="DE749" s="1442">
        <f t="shared" si="20"/>
        <v>0</v>
      </c>
      <c r="DF749" s="1442"/>
      <c r="DG749" s="1442"/>
      <c r="DH749" s="1442"/>
      <c r="DI749" s="1442"/>
      <c r="DJ749" s="1442">
        <f t="shared" si="21"/>
        <v>0</v>
      </c>
      <c r="DK749" s="1442"/>
      <c r="DL749" s="1442"/>
      <c r="DM749" s="1442"/>
      <c r="DN749" s="1442"/>
      <c r="DO749" s="1442">
        <f t="shared" si="22"/>
        <v>0</v>
      </c>
      <c r="DP749" s="1442"/>
      <c r="DQ749" s="1442"/>
      <c r="DR749" s="1442"/>
      <c r="DS749" s="1442"/>
      <c r="DT749" s="6"/>
      <c r="DU749" s="1443">
        <f t="shared" si="23"/>
        <v>0</v>
      </c>
      <c r="DV749" s="1443"/>
      <c r="DW749" s="1443"/>
      <c r="DX749" s="1443"/>
      <c r="DY749" s="1443"/>
      <c r="DZ749" s="1443">
        <f t="shared" si="24"/>
        <v>0</v>
      </c>
      <c r="EA749" s="1443"/>
      <c r="EB749" s="1443"/>
      <c r="EC749" s="1443"/>
      <c r="ED749" s="1443"/>
      <c r="EE749" s="1443">
        <f t="shared" si="25"/>
        <v>0</v>
      </c>
      <c r="EF749" s="1443"/>
      <c r="EG749" s="1443"/>
      <c r="EH749" s="1443"/>
      <c r="EI749" s="1443"/>
      <c r="EJ749" s="1443">
        <f t="shared" si="26"/>
        <v>0</v>
      </c>
      <c r="EK749" s="1443"/>
      <c r="EL749" s="1443"/>
      <c r="EM749" s="1443"/>
      <c r="EN749" s="1443"/>
      <c r="EO749" s="1443">
        <f t="shared" si="27"/>
        <v>0</v>
      </c>
      <c r="EP749" s="1443"/>
      <c r="EQ749" s="1443"/>
      <c r="ER749" s="1443"/>
      <c r="ES749" s="1443"/>
      <c r="ET749" s="1443">
        <f t="shared" si="28"/>
        <v>0</v>
      </c>
      <c r="EU749" s="1443"/>
      <c r="EV749" s="1443"/>
      <c r="EW749" s="1443"/>
      <c r="EX749" s="1443"/>
      <c r="EY749"/>
      <c r="EZ749" s="1462" t="str">
        <f t="shared" si="29"/>
        <v/>
      </c>
      <c r="FA749" s="1464"/>
      <c r="FB749" s="1464"/>
      <c r="FC749" s="1464"/>
      <c r="FD749" s="1463"/>
      <c r="FE749" s="1462" t="str">
        <f t="shared" si="30"/>
        <v/>
      </c>
      <c r="FF749" s="1464"/>
      <c r="FG749" s="1464"/>
      <c r="FH749" s="1464"/>
      <c r="FI749" s="1463"/>
      <c r="FJ749" s="1462" t="str">
        <f t="shared" si="31"/>
        <v/>
      </c>
      <c r="FK749" s="1464"/>
      <c r="FL749" s="1464"/>
      <c r="FM749" s="1464"/>
      <c r="FN749" s="1463"/>
      <c r="FO749" s="1462" t="str">
        <f t="shared" si="32"/>
        <v/>
      </c>
      <c r="FP749" s="1464"/>
      <c r="FQ749" s="1464"/>
      <c r="FR749" s="1464"/>
      <c r="FS749" s="1463"/>
      <c r="FT749" s="1462" t="str">
        <f t="shared" si="33"/>
        <v/>
      </c>
      <c r="FU749" s="1464"/>
      <c r="FV749" s="1464"/>
      <c r="FW749" s="1464"/>
      <c r="FX749" s="1463"/>
      <c r="FY749" s="1462" t="str">
        <f t="shared" si="34"/>
        <v/>
      </c>
      <c r="FZ749" s="1464"/>
      <c r="GA749" s="1464"/>
      <c r="GB749" s="1464"/>
      <c r="GC749" s="1463"/>
    </row>
    <row r="750" spans="1:185" s="3" customFormat="1" ht="13"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8"/>
        <v>0</v>
      </c>
      <c r="Y750" s="1352"/>
      <c r="Z750" s="1352"/>
      <c r="AA750" s="1352"/>
      <c r="AB750" s="1353"/>
      <c r="AC750" s="1358"/>
      <c r="AD750" s="1359"/>
      <c r="AE750" s="1359"/>
      <c r="AF750" s="1359"/>
      <c r="AG750" s="1360"/>
      <c r="AH750" s="1354" t="str">
        <f t="shared" si="35"/>
        <v/>
      </c>
      <c r="AI750" s="1355"/>
      <c r="AJ750" s="1356"/>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2">
        <f t="shared" si="36"/>
        <v>0</v>
      </c>
      <c r="CH750" s="1463"/>
      <c r="CI750" s="1468">
        <f t="shared" si="37"/>
        <v>0</v>
      </c>
      <c r="CJ750" s="1469"/>
      <c r="CK750" s="1462">
        <f t="shared" si="15"/>
        <v>0</v>
      </c>
      <c r="CL750" s="1463"/>
      <c r="CM750" s="1468">
        <f t="shared" si="16"/>
        <v>0</v>
      </c>
      <c r="CN750" s="1469"/>
      <c r="CP750" s="1457">
        <f t="shared" si="17"/>
        <v>0</v>
      </c>
      <c r="CQ750" s="1458"/>
      <c r="CR750" s="1458"/>
      <c r="CS750" s="1458"/>
      <c r="CT750" s="1459"/>
      <c r="CU750" s="1442">
        <f t="shared" si="18"/>
        <v>0</v>
      </c>
      <c r="CV750" s="1442"/>
      <c r="CW750" s="1442"/>
      <c r="CX750" s="1442"/>
      <c r="CY750" s="1442"/>
      <c r="CZ750" s="1442">
        <f t="shared" si="19"/>
        <v>0</v>
      </c>
      <c r="DA750" s="1442"/>
      <c r="DB750" s="1442"/>
      <c r="DC750" s="1442"/>
      <c r="DD750" s="1442"/>
      <c r="DE750" s="1442">
        <f t="shared" si="20"/>
        <v>0</v>
      </c>
      <c r="DF750" s="1442"/>
      <c r="DG750" s="1442"/>
      <c r="DH750" s="1442"/>
      <c r="DI750" s="1442"/>
      <c r="DJ750" s="1442">
        <f t="shared" si="21"/>
        <v>0</v>
      </c>
      <c r="DK750" s="1442"/>
      <c r="DL750" s="1442"/>
      <c r="DM750" s="1442"/>
      <c r="DN750" s="1442"/>
      <c r="DO750" s="1442">
        <f t="shared" si="22"/>
        <v>0</v>
      </c>
      <c r="DP750" s="1442"/>
      <c r="DQ750" s="1442"/>
      <c r="DR750" s="1442"/>
      <c r="DS750" s="1442"/>
      <c r="DT750" s="6"/>
      <c r="DU750" s="1443">
        <f t="shared" si="23"/>
        <v>0</v>
      </c>
      <c r="DV750" s="1443"/>
      <c r="DW750" s="1443"/>
      <c r="DX750" s="1443"/>
      <c r="DY750" s="1443"/>
      <c r="DZ750" s="1443">
        <f t="shared" si="24"/>
        <v>0</v>
      </c>
      <c r="EA750" s="1443"/>
      <c r="EB750" s="1443"/>
      <c r="EC750" s="1443"/>
      <c r="ED750" s="1443"/>
      <c r="EE750" s="1443">
        <f t="shared" si="25"/>
        <v>0</v>
      </c>
      <c r="EF750" s="1443"/>
      <c r="EG750" s="1443"/>
      <c r="EH750" s="1443"/>
      <c r="EI750" s="1443"/>
      <c r="EJ750" s="1443">
        <f t="shared" si="26"/>
        <v>0</v>
      </c>
      <c r="EK750" s="1443"/>
      <c r="EL750" s="1443"/>
      <c r="EM750" s="1443"/>
      <c r="EN750" s="1443"/>
      <c r="EO750" s="1443">
        <f t="shared" si="27"/>
        <v>0</v>
      </c>
      <c r="EP750" s="1443"/>
      <c r="EQ750" s="1443"/>
      <c r="ER750" s="1443"/>
      <c r="ES750" s="1443"/>
      <c r="ET750" s="1443">
        <f t="shared" si="28"/>
        <v>0</v>
      </c>
      <c r="EU750" s="1443"/>
      <c r="EV750" s="1443"/>
      <c r="EW750" s="1443"/>
      <c r="EX750" s="1443"/>
      <c r="EY750"/>
      <c r="EZ750" s="1462" t="str">
        <f t="shared" si="29"/>
        <v/>
      </c>
      <c r="FA750" s="1464"/>
      <c r="FB750" s="1464"/>
      <c r="FC750" s="1464"/>
      <c r="FD750" s="1463"/>
      <c r="FE750" s="1462" t="str">
        <f t="shared" si="30"/>
        <v/>
      </c>
      <c r="FF750" s="1464"/>
      <c r="FG750" s="1464"/>
      <c r="FH750" s="1464"/>
      <c r="FI750" s="1463"/>
      <c r="FJ750" s="1462" t="str">
        <f t="shared" si="31"/>
        <v/>
      </c>
      <c r="FK750" s="1464"/>
      <c r="FL750" s="1464"/>
      <c r="FM750" s="1464"/>
      <c r="FN750" s="1463"/>
      <c r="FO750" s="1462" t="str">
        <f t="shared" si="32"/>
        <v/>
      </c>
      <c r="FP750" s="1464"/>
      <c r="FQ750" s="1464"/>
      <c r="FR750" s="1464"/>
      <c r="FS750" s="1463"/>
      <c r="FT750" s="1462" t="str">
        <f t="shared" si="33"/>
        <v/>
      </c>
      <c r="FU750" s="1464"/>
      <c r="FV750" s="1464"/>
      <c r="FW750" s="1464"/>
      <c r="FX750" s="1463"/>
      <c r="FY750" s="1462" t="str">
        <f t="shared" si="34"/>
        <v/>
      </c>
      <c r="FZ750" s="1464"/>
      <c r="GA750" s="1464"/>
      <c r="GB750" s="1464"/>
      <c r="GC750" s="1463"/>
    </row>
    <row r="751" spans="1:185" s="3" customFormat="1" ht="13"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8"/>
        <v>0</v>
      </c>
      <c r="Y751" s="1352"/>
      <c r="Z751" s="1352"/>
      <c r="AA751" s="1352"/>
      <c r="AB751" s="1353"/>
      <c r="AC751" s="1358"/>
      <c r="AD751" s="1359"/>
      <c r="AE751" s="1359"/>
      <c r="AF751" s="1359"/>
      <c r="AG751" s="1360"/>
      <c r="AH751" s="1354" t="str">
        <f t="shared" si="35"/>
        <v/>
      </c>
      <c r="AI751" s="1355"/>
      <c r="AJ751" s="1356"/>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2">
        <f t="shared" si="36"/>
        <v>0</v>
      </c>
      <c r="CH751" s="1463"/>
      <c r="CI751" s="1468">
        <f t="shared" si="37"/>
        <v>0</v>
      </c>
      <c r="CJ751" s="1469"/>
      <c r="CK751" s="1462">
        <f t="shared" si="15"/>
        <v>0</v>
      </c>
      <c r="CL751" s="1463"/>
      <c r="CM751" s="1468">
        <f t="shared" si="16"/>
        <v>0</v>
      </c>
      <c r="CN751" s="1469"/>
      <c r="CP751" s="1457">
        <f t="shared" si="17"/>
        <v>0</v>
      </c>
      <c r="CQ751" s="1458"/>
      <c r="CR751" s="1458"/>
      <c r="CS751" s="1458"/>
      <c r="CT751" s="1459"/>
      <c r="CU751" s="1442">
        <f t="shared" si="18"/>
        <v>0</v>
      </c>
      <c r="CV751" s="1442"/>
      <c r="CW751" s="1442"/>
      <c r="CX751" s="1442"/>
      <c r="CY751" s="1442"/>
      <c r="CZ751" s="1442">
        <f t="shared" si="19"/>
        <v>0</v>
      </c>
      <c r="DA751" s="1442"/>
      <c r="DB751" s="1442"/>
      <c r="DC751" s="1442"/>
      <c r="DD751" s="1442"/>
      <c r="DE751" s="1442">
        <f t="shared" si="20"/>
        <v>0</v>
      </c>
      <c r="DF751" s="1442"/>
      <c r="DG751" s="1442"/>
      <c r="DH751" s="1442"/>
      <c r="DI751" s="1442"/>
      <c r="DJ751" s="1442">
        <f t="shared" si="21"/>
        <v>0</v>
      </c>
      <c r="DK751" s="1442"/>
      <c r="DL751" s="1442"/>
      <c r="DM751" s="1442"/>
      <c r="DN751" s="1442"/>
      <c r="DO751" s="1442">
        <f t="shared" si="22"/>
        <v>0</v>
      </c>
      <c r="DP751" s="1442"/>
      <c r="DQ751" s="1442"/>
      <c r="DR751" s="1442"/>
      <c r="DS751" s="1442"/>
      <c r="DT751" s="6"/>
      <c r="DU751" s="1443">
        <f t="shared" si="23"/>
        <v>0</v>
      </c>
      <c r="DV751" s="1443"/>
      <c r="DW751" s="1443"/>
      <c r="DX751" s="1443"/>
      <c r="DY751" s="1443"/>
      <c r="DZ751" s="1443">
        <f t="shared" si="24"/>
        <v>0</v>
      </c>
      <c r="EA751" s="1443"/>
      <c r="EB751" s="1443"/>
      <c r="EC751" s="1443"/>
      <c r="ED751" s="1443"/>
      <c r="EE751" s="1443">
        <f t="shared" si="25"/>
        <v>0</v>
      </c>
      <c r="EF751" s="1443"/>
      <c r="EG751" s="1443"/>
      <c r="EH751" s="1443"/>
      <c r="EI751" s="1443"/>
      <c r="EJ751" s="1443">
        <f t="shared" si="26"/>
        <v>0</v>
      </c>
      <c r="EK751" s="1443"/>
      <c r="EL751" s="1443"/>
      <c r="EM751" s="1443"/>
      <c r="EN751" s="1443"/>
      <c r="EO751" s="1443">
        <f t="shared" si="27"/>
        <v>0</v>
      </c>
      <c r="EP751" s="1443"/>
      <c r="EQ751" s="1443"/>
      <c r="ER751" s="1443"/>
      <c r="ES751" s="1443"/>
      <c r="ET751" s="1443">
        <f t="shared" si="28"/>
        <v>0</v>
      </c>
      <c r="EU751" s="1443"/>
      <c r="EV751" s="1443"/>
      <c r="EW751" s="1443"/>
      <c r="EX751" s="1443"/>
      <c r="EY751"/>
      <c r="EZ751" s="1462" t="str">
        <f t="shared" si="29"/>
        <v/>
      </c>
      <c r="FA751" s="1464"/>
      <c r="FB751" s="1464"/>
      <c r="FC751" s="1464"/>
      <c r="FD751" s="1463"/>
      <c r="FE751" s="1462" t="str">
        <f t="shared" si="30"/>
        <v/>
      </c>
      <c r="FF751" s="1464"/>
      <c r="FG751" s="1464"/>
      <c r="FH751" s="1464"/>
      <c r="FI751" s="1463"/>
      <c r="FJ751" s="1462" t="str">
        <f t="shared" si="31"/>
        <v/>
      </c>
      <c r="FK751" s="1464"/>
      <c r="FL751" s="1464"/>
      <c r="FM751" s="1464"/>
      <c r="FN751" s="1463"/>
      <c r="FO751" s="1462" t="str">
        <f t="shared" si="32"/>
        <v/>
      </c>
      <c r="FP751" s="1464"/>
      <c r="FQ751" s="1464"/>
      <c r="FR751" s="1464"/>
      <c r="FS751" s="1463"/>
      <c r="FT751" s="1462" t="str">
        <f t="shared" si="33"/>
        <v/>
      </c>
      <c r="FU751" s="1464"/>
      <c r="FV751" s="1464"/>
      <c r="FW751" s="1464"/>
      <c r="FX751" s="1463"/>
      <c r="FY751" s="1462" t="str">
        <f t="shared" si="34"/>
        <v/>
      </c>
      <c r="FZ751" s="1464"/>
      <c r="GA751" s="1464"/>
      <c r="GB751" s="1464"/>
      <c r="GC751" s="1463"/>
    </row>
    <row r="752" spans="1:185" s="3" customFormat="1" ht="13"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2">
        <f t="shared" si="36"/>
        <v>0</v>
      </c>
      <c r="CH752" s="1463"/>
      <c r="CI752" s="1468">
        <f t="shared" si="37"/>
        <v>0</v>
      </c>
      <c r="CJ752" s="1469"/>
      <c r="CK752" s="1462">
        <f t="shared" si="15"/>
        <v>0</v>
      </c>
      <c r="CL752" s="1463"/>
      <c r="CM752" s="1468">
        <f t="shared" si="16"/>
        <v>0</v>
      </c>
      <c r="CN752" s="1469"/>
      <c r="CP752" s="1457">
        <f t="shared" si="17"/>
        <v>0</v>
      </c>
      <c r="CQ752" s="1458"/>
      <c r="CR752" s="1458"/>
      <c r="CS752" s="1458"/>
      <c r="CT752" s="1459"/>
      <c r="CU752" s="1442">
        <f t="shared" si="18"/>
        <v>0</v>
      </c>
      <c r="CV752" s="1442"/>
      <c r="CW752" s="1442"/>
      <c r="CX752" s="1442"/>
      <c r="CY752" s="1442"/>
      <c r="CZ752" s="1442">
        <f t="shared" si="19"/>
        <v>0</v>
      </c>
      <c r="DA752" s="1442"/>
      <c r="DB752" s="1442"/>
      <c r="DC752" s="1442"/>
      <c r="DD752" s="1442"/>
      <c r="DE752" s="1442">
        <f t="shared" si="20"/>
        <v>0</v>
      </c>
      <c r="DF752" s="1442"/>
      <c r="DG752" s="1442"/>
      <c r="DH752" s="1442"/>
      <c r="DI752" s="1442"/>
      <c r="DJ752" s="1442">
        <f t="shared" si="21"/>
        <v>0</v>
      </c>
      <c r="DK752" s="1442"/>
      <c r="DL752" s="1442"/>
      <c r="DM752" s="1442"/>
      <c r="DN752" s="1442"/>
      <c r="DO752" s="1442">
        <f t="shared" si="22"/>
        <v>0</v>
      </c>
      <c r="DP752" s="1442"/>
      <c r="DQ752" s="1442"/>
      <c r="DR752" s="1442"/>
      <c r="DS752" s="1442"/>
      <c r="DT752" s="6"/>
      <c r="DU752" s="1443">
        <f t="shared" si="23"/>
        <v>0</v>
      </c>
      <c r="DV752" s="1443"/>
      <c r="DW752" s="1443"/>
      <c r="DX752" s="1443"/>
      <c r="DY752" s="1443"/>
      <c r="DZ752" s="1443">
        <f t="shared" si="24"/>
        <v>0</v>
      </c>
      <c r="EA752" s="1443"/>
      <c r="EB752" s="1443"/>
      <c r="EC752" s="1443"/>
      <c r="ED752" s="1443"/>
      <c r="EE752" s="1443">
        <f t="shared" si="25"/>
        <v>0</v>
      </c>
      <c r="EF752" s="1443"/>
      <c r="EG752" s="1443"/>
      <c r="EH752" s="1443"/>
      <c r="EI752" s="1443"/>
      <c r="EJ752" s="1443">
        <f t="shared" si="26"/>
        <v>0</v>
      </c>
      <c r="EK752" s="1443"/>
      <c r="EL752" s="1443"/>
      <c r="EM752" s="1443"/>
      <c r="EN752" s="1443"/>
      <c r="EO752" s="1443">
        <f t="shared" si="27"/>
        <v>0</v>
      </c>
      <c r="EP752" s="1443"/>
      <c r="EQ752" s="1443"/>
      <c r="ER752" s="1443"/>
      <c r="ES752" s="1443"/>
      <c r="ET752" s="1443">
        <f t="shared" si="28"/>
        <v>0</v>
      </c>
      <c r="EU752" s="1443"/>
      <c r="EV752" s="1443"/>
      <c r="EW752" s="1443"/>
      <c r="EX752" s="1443"/>
      <c r="EY752"/>
      <c r="EZ752" s="1462" t="str">
        <f t="shared" si="29"/>
        <v/>
      </c>
      <c r="FA752" s="1464"/>
      <c r="FB752" s="1464"/>
      <c r="FC752" s="1464"/>
      <c r="FD752" s="1463"/>
      <c r="FE752" s="1462" t="str">
        <f t="shared" si="30"/>
        <v/>
      </c>
      <c r="FF752" s="1464"/>
      <c r="FG752" s="1464"/>
      <c r="FH752" s="1464"/>
      <c r="FI752" s="1463"/>
      <c r="FJ752" s="1462" t="str">
        <f t="shared" si="31"/>
        <v/>
      </c>
      <c r="FK752" s="1464"/>
      <c r="FL752" s="1464"/>
      <c r="FM752" s="1464"/>
      <c r="FN752" s="1463"/>
      <c r="FO752" s="1462" t="str">
        <f t="shared" si="32"/>
        <v/>
      </c>
      <c r="FP752" s="1464"/>
      <c r="FQ752" s="1464"/>
      <c r="FR752" s="1464"/>
      <c r="FS752" s="1463"/>
      <c r="FT752" s="1462" t="str">
        <f t="shared" si="33"/>
        <v/>
      </c>
      <c r="FU752" s="1464"/>
      <c r="FV752" s="1464"/>
      <c r="FW752" s="1464"/>
      <c r="FX752" s="1463"/>
      <c r="FY752" s="1462" t="str">
        <f t="shared" si="34"/>
        <v/>
      </c>
      <c r="FZ752" s="1464"/>
      <c r="GA752" s="1464"/>
      <c r="GB752" s="1464"/>
      <c r="GC752" s="1463"/>
    </row>
    <row r="753" spans="1:185" s="3" customFormat="1" ht="13" customHeight="1">
      <c r="A753"/>
      <c r="B753" s="1448" t="s">
        <v>125</v>
      </c>
      <c r="C753" s="1449"/>
      <c r="D753" s="1449"/>
      <c r="E753" s="1449"/>
      <c r="F753" s="1450"/>
      <c r="G753" s="1620">
        <f>SUM(G718:G752)</f>
        <v>257</v>
      </c>
      <c r="H753" s="1621"/>
      <c r="I753" s="1621"/>
      <c r="J753" s="1622"/>
      <c r="K753" s="903" t="s">
        <v>124</v>
      </c>
      <c r="L753" s="5"/>
      <c r="M753" s="5"/>
      <c r="N753" s="46"/>
      <c r="O753" s="1351">
        <f>SUMPRODUCT(G718:G752,O718:O752)</f>
        <v>605721</v>
      </c>
      <c r="P753" s="1352"/>
      <c r="Q753" s="1352"/>
      <c r="R753" s="1352"/>
      <c r="S753" s="1353"/>
      <c r="T753"/>
      <c r="U753"/>
      <c r="V753"/>
      <c r="W753"/>
      <c r="X753" s="905" t="s">
        <v>901</v>
      </c>
      <c r="Y753" s="904"/>
      <c r="Z753" s="904"/>
      <c r="AA753" s="904"/>
      <c r="AB753" s="906"/>
      <c r="AC753" s="1603">
        <f>BH753</f>
        <v>0.59883268482490259</v>
      </c>
      <c r="AD753" s="1604"/>
      <c r="AE753" s="1604"/>
      <c r="AF753" s="1604"/>
      <c r="AG753" s="1605"/>
      <c r="AH753" s="1603">
        <f>IFERROR(BU753,"")</f>
        <v>0.59891527312477744</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257</v>
      </c>
      <c r="BG753" s="301">
        <f>SUM(BG718:BG752)</f>
        <v>0.99999999999999989</v>
      </c>
      <c r="BH753" s="301">
        <f>SUM(BH718:BH752)</f>
        <v>0.59883268482490259</v>
      </c>
      <c r="BI753"/>
      <c r="BJ753"/>
      <c r="BK753"/>
      <c r="BL753"/>
      <c r="BO753"/>
      <c r="BP753"/>
      <c r="BQ753"/>
      <c r="BR753"/>
      <c r="BS753" s="860">
        <f>SUM(BS718:BS752)</f>
        <v>257</v>
      </c>
      <c r="BT753" s="301">
        <f>SUM(BT718:BT752)</f>
        <v>0.99999999999999989</v>
      </c>
      <c r="BU753" s="301">
        <f>SUM(BU718:BU752)</f>
        <v>0.59891527312477744</v>
      </c>
      <c r="CI753" s="1462">
        <f>SUM(CI718:CJ752)</f>
        <v>26</v>
      </c>
      <c r="CJ753" s="1463"/>
      <c r="CM753" s="1462">
        <f>SUM(CM718:CN752)</f>
        <v>26</v>
      </c>
      <c r="CN753" s="1463"/>
      <c r="CP753" s="1462">
        <f>SUM(CP718:CT752)</f>
        <v>0</v>
      </c>
      <c r="CQ753" s="1464"/>
      <c r="CR753" s="1464"/>
      <c r="CS753" s="1464"/>
      <c r="CT753" s="1463"/>
      <c r="CU753" s="1460">
        <f>SUM(CU718:CY752)</f>
        <v>90</v>
      </c>
      <c r="CV753" s="1460"/>
      <c r="CW753" s="1460"/>
      <c r="CX753" s="1460"/>
      <c r="CY753" s="1460"/>
      <c r="CZ753" s="1460">
        <f>SUM(CZ718:DD752)</f>
        <v>102</v>
      </c>
      <c r="DA753" s="1460"/>
      <c r="DB753" s="1460"/>
      <c r="DC753" s="1460"/>
      <c r="DD753" s="1460"/>
      <c r="DE753" s="1460">
        <f>SUM(DE718:DI752)</f>
        <v>65</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9</v>
      </c>
      <c r="EA753" s="1460"/>
      <c r="EB753" s="1460"/>
      <c r="EC753" s="1460"/>
      <c r="ED753" s="1460"/>
      <c r="EE753" s="1460">
        <f>SUM(EE718:EI752)</f>
        <v>10</v>
      </c>
      <c r="EF753" s="1460"/>
      <c r="EG753" s="1460"/>
      <c r="EH753" s="1460"/>
      <c r="EI753" s="1460"/>
      <c r="EJ753" s="1460">
        <f>SUM(EJ718:EN752)</f>
        <v>7</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7023</v>
      </c>
      <c r="FF753" s="1460"/>
      <c r="FG753" s="1460"/>
      <c r="FH753" s="1460"/>
      <c r="FI753" s="1460"/>
      <c r="FJ753" s="1460">
        <f>SUM(FJ718:FN752)</f>
        <v>8388</v>
      </c>
      <c r="FK753" s="1460"/>
      <c r="FL753" s="1460"/>
      <c r="FM753" s="1460"/>
      <c r="FN753" s="1460"/>
      <c r="FO753" s="1460">
        <f>SUM(FO718:FS752)</f>
        <v>9650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3"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257</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90</v>
      </c>
      <c r="CZ755" s="3"/>
      <c r="DA755" s="3"/>
      <c r="DB755" s="3"/>
      <c r="DC755" s="3"/>
      <c r="DD755" s="862">
        <f>CZ753*2</f>
        <v>204</v>
      </c>
      <c r="DE755" s="3"/>
      <c r="DF755" s="3"/>
      <c r="DG755" s="3"/>
      <c r="DH755" s="3"/>
      <c r="DI755" s="862">
        <f>DE753*3</f>
        <v>195</v>
      </c>
      <c r="DJ755" s="3"/>
      <c r="DK755" s="3"/>
      <c r="DL755" s="3"/>
      <c r="DM755" s="3"/>
      <c r="DN755" s="862">
        <f>DJ753*4</f>
        <v>0</v>
      </c>
      <c r="DO755" s="3"/>
      <c r="DP755" s="3"/>
      <c r="DQ755" s="3"/>
      <c r="DR755" s="3"/>
      <c r="DS755" s="862">
        <f>DO753*5</f>
        <v>0</v>
      </c>
      <c r="DU755" s="862">
        <f>CT755+CY755+DD755+DI755+DN755+DS755</f>
        <v>489</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0">
        <f>DU755</f>
        <v>489</v>
      </c>
      <c r="P756" s="1460"/>
      <c r="Q756" s="1460"/>
      <c r="R756" s="1460"/>
      <c r="S756" s="970"/>
      <c r="T756" s="970"/>
      <c r="U756" s="118" t="s">
        <v>1894</v>
      </c>
      <c r="V756" s="1033"/>
      <c r="W756" s="1033"/>
      <c r="X756" s="1033"/>
      <c r="Y756" s="1034"/>
      <c r="Z756" s="1034"/>
      <c r="AA756" s="1034"/>
      <c r="AB756" s="1034"/>
      <c r="AC756" s="1033"/>
      <c r="AD756" s="1033"/>
      <c r="AE756" s="1033"/>
      <c r="AF756" s="1033"/>
      <c r="AG756" s="1626"/>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1" t="s">
        <v>389</v>
      </c>
      <c r="K769" s="1362"/>
      <c r="L769" s="1362"/>
      <c r="M769" s="1362"/>
      <c r="N769" s="1363"/>
      <c r="O769" s="1618" t="s">
        <v>285</v>
      </c>
      <c r="P769" s="1618"/>
      <c r="Q769" s="1618"/>
      <c r="R769" s="1618"/>
      <c r="S769" s="1618"/>
      <c r="T769" s="1718" t="s">
        <v>1680</v>
      </c>
      <c r="U769" s="1719"/>
      <c r="V769" s="1719"/>
      <c r="W769" s="1720"/>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4"/>
      <c r="K770" s="1365"/>
      <c r="L770" s="1365"/>
      <c r="M770" s="1365"/>
      <c r="N770" s="1366"/>
      <c r="O770" s="1618"/>
      <c r="P770" s="1618"/>
      <c r="Q770" s="1618"/>
      <c r="R770" s="1618"/>
      <c r="S770" s="1618"/>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4"/>
      <c r="K771" s="1365"/>
      <c r="L771" s="1365"/>
      <c r="M771" s="1365"/>
      <c r="N771" s="1366"/>
      <c r="O771" s="1618"/>
      <c r="P771" s="1618"/>
      <c r="Q771" s="1618"/>
      <c r="R771" s="1618"/>
      <c r="S771" s="1618"/>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7"/>
      <c r="K772" s="1368"/>
      <c r="L772" s="1368"/>
      <c r="M772" s="1368"/>
      <c r="N772" s="1369"/>
      <c r="O772" s="1618"/>
      <c r="P772" s="1618"/>
      <c r="Q772" s="1618"/>
      <c r="R772" s="1618"/>
      <c r="S772" s="1618"/>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325</v>
      </c>
      <c r="K773" s="1337"/>
      <c r="L773" s="1337"/>
      <c r="M773" s="1337"/>
      <c r="N773" s="1338"/>
      <c r="O773" s="1612">
        <v>3</v>
      </c>
      <c r="P773" s="1612"/>
      <c r="Q773" s="1612"/>
      <c r="R773" s="1612"/>
      <c r="S773" s="1612"/>
      <c r="T773" s="1342">
        <v>876</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3</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3"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 customHeight="1">
      <c r="J777" s="1448" t="s">
        <v>125</v>
      </c>
      <c r="K777" s="1449"/>
      <c r="L777" s="1449"/>
      <c r="M777" s="1449"/>
      <c r="N777" s="1450"/>
      <c r="O777" s="1468">
        <f>SUM(O773:S776)</f>
        <v>3</v>
      </c>
      <c r="P777" s="1470"/>
      <c r="Q777" s="1470"/>
      <c r="R777" s="1470"/>
      <c r="S777" s="1469"/>
      <c r="X777" s="1448" t="s">
        <v>124</v>
      </c>
      <c r="Y777" s="1449"/>
      <c r="Z777" s="1449"/>
      <c r="AA777" s="1449"/>
      <c r="AB777" s="1450"/>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3</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3</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3</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3</v>
      </c>
      <c r="DV778" s="57" t="s">
        <v>1863</v>
      </c>
    </row>
    <row r="779" spans="1:126" ht="13"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1" t="s">
        <v>389</v>
      </c>
      <c r="K783" s="1362"/>
      <c r="L783" s="1362"/>
      <c r="M783" s="1362"/>
      <c r="N783" s="1363"/>
      <c r="O783" s="1618" t="s">
        <v>285</v>
      </c>
      <c r="P783" s="1618"/>
      <c r="Q783" s="1618"/>
      <c r="R783" s="1618"/>
      <c r="S783" s="1618"/>
      <c r="T783" s="1718" t="s">
        <v>1680</v>
      </c>
      <c r="U783" s="1719"/>
      <c r="V783" s="1719"/>
      <c r="W783" s="1720"/>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4"/>
      <c r="K784" s="1365"/>
      <c r="L784" s="1365"/>
      <c r="M784" s="1365"/>
      <c r="N784" s="1366"/>
      <c r="O784" s="1618"/>
      <c r="P784" s="1618"/>
      <c r="Q784" s="1618"/>
      <c r="R784" s="1618"/>
      <c r="S784" s="1618"/>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4"/>
      <c r="K785" s="1365"/>
      <c r="L785" s="1365"/>
      <c r="M785" s="1365"/>
      <c r="N785" s="1366"/>
      <c r="O785" s="1618"/>
      <c r="P785" s="1618"/>
      <c r="Q785" s="1618"/>
      <c r="R785" s="1618"/>
      <c r="S785" s="1618"/>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7"/>
      <c r="K786" s="1368"/>
      <c r="L786" s="1368"/>
      <c r="M786" s="1368"/>
      <c r="N786" s="1369"/>
      <c r="O786" s="1618"/>
      <c r="P786" s="1618"/>
      <c r="Q786" s="1618"/>
      <c r="R786" s="1618"/>
      <c r="S786" s="1618"/>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1">
        <f t="shared" ref="AC787:AC796" si="39">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0">IF(J787="SRO/Studio",O787,0)</f>
        <v>0</v>
      </c>
      <c r="CQ787" s="1458"/>
      <c r="CR787" s="1458"/>
      <c r="CS787" s="1458"/>
      <c r="CT787" s="1459"/>
      <c r="CU787" s="1457">
        <f t="shared" ref="CU787:CU796" si="41">IF(J787="1 Bedroom",O787,0)</f>
        <v>0</v>
      </c>
      <c r="CV787" s="1458"/>
      <c r="CW787" s="1458"/>
      <c r="CX787" s="1458"/>
      <c r="CY787" s="1459"/>
      <c r="CZ787" s="1457">
        <f t="shared" ref="CZ787:CZ796" si="42">IF(J787="2 Bedrooms",O787,0)</f>
        <v>0</v>
      </c>
      <c r="DA787" s="1458"/>
      <c r="DB787" s="1458"/>
      <c r="DC787" s="1458"/>
      <c r="DD787" s="1459"/>
      <c r="DE787" s="1457">
        <f t="shared" ref="DE787:DE796" si="43">IF(J787="3 Bedrooms",O787,0)</f>
        <v>0</v>
      </c>
      <c r="DF787" s="1458"/>
      <c r="DG787" s="1458"/>
      <c r="DH787" s="1458"/>
      <c r="DI787" s="1459"/>
      <c r="DJ787" s="1457">
        <f t="shared" ref="DJ787:DJ796" si="44">IF(J787="4 Bedrooms",O787,0)</f>
        <v>0</v>
      </c>
      <c r="DK787" s="1458"/>
      <c r="DL787" s="1458"/>
      <c r="DM787" s="1458"/>
      <c r="DN787" s="1459"/>
      <c r="DO787" s="1457">
        <f t="shared" ref="DO787:DO796" si="45">IF(J787="5 Bedrooms",O787,0)</f>
        <v>0</v>
      </c>
      <c r="DP787" s="1458"/>
      <c r="DQ787" s="1458"/>
      <c r="DR787" s="1458"/>
      <c r="DS787" s="1459"/>
      <c r="DT787" s="6"/>
      <c r="DU787" s="1457">
        <f t="shared" ref="DU787:DU796" si="46">IF(AND(CP787&gt;=1,AH787&gt;=0.1,AH787&lt;=1),O787,0)</f>
        <v>0</v>
      </c>
      <c r="DV787" s="1458"/>
      <c r="DW787" s="1458"/>
      <c r="DX787" s="1458"/>
      <c r="DY787" s="1459"/>
      <c r="DZ787" s="1457">
        <f t="shared" ref="DZ787:DZ796" si="47">IF(AND(CU787&gt;=1,AH787&gt;=0.1,AH787&lt;=1),O787,0)</f>
        <v>0</v>
      </c>
      <c r="EA787" s="1458"/>
      <c r="EB787" s="1458"/>
      <c r="EC787" s="1458"/>
      <c r="ED787" s="1459"/>
      <c r="EE787" s="1457">
        <f t="shared" ref="EE787:EE796" si="48">IF(AND(CZ787&gt;=1,AH787&gt;=0.1,AH787&lt;=1),O787,0)</f>
        <v>0</v>
      </c>
      <c r="EF787" s="1458"/>
      <c r="EG787" s="1458"/>
      <c r="EH787" s="1458"/>
      <c r="EI787" s="1459"/>
      <c r="EJ787" s="1457">
        <f t="shared" ref="EJ787:EJ796" si="49">IF(AND(DE787&gt;=1,AH787&gt;=0.1,AH787&lt;=1),O787,0)</f>
        <v>0</v>
      </c>
      <c r="EK787" s="1458"/>
      <c r="EL787" s="1458"/>
      <c r="EM787" s="1458"/>
      <c r="EN787" s="1459"/>
      <c r="EO787" s="1457">
        <f t="shared" ref="EO787:EO796" si="50">IF(AND(DJ787&gt;=1,AH787&gt;=0.1,AH787&lt;=1),O787,0)</f>
        <v>0</v>
      </c>
      <c r="EP787" s="1458"/>
      <c r="EQ787" s="1458"/>
      <c r="ER787" s="1458"/>
      <c r="ES787" s="1459"/>
      <c r="ET787" s="1457">
        <f t="shared" ref="ET787:ET796" si="51">IF(AND(DO787&gt;=1,AH787&gt;=0.1,AH787&lt;=1),O787,0)</f>
        <v>0</v>
      </c>
      <c r="EU787" s="1458"/>
      <c r="EV787" s="1458"/>
      <c r="EW787" s="1458"/>
      <c r="EX787" s="1459"/>
    </row>
    <row r="788" spans="1:154" s="14" customFormat="1" ht="13"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1">
        <f t="shared" si="39"/>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0"/>
        <v>0</v>
      </c>
      <c r="CQ788" s="1458"/>
      <c r="CR788" s="1458"/>
      <c r="CS788" s="1458"/>
      <c r="CT788" s="1459"/>
      <c r="CU788" s="1457">
        <f t="shared" si="41"/>
        <v>0</v>
      </c>
      <c r="CV788" s="1458"/>
      <c r="CW788" s="1458"/>
      <c r="CX788" s="1458"/>
      <c r="CY788" s="1459"/>
      <c r="CZ788" s="1457">
        <f t="shared" si="42"/>
        <v>0</v>
      </c>
      <c r="DA788" s="1458"/>
      <c r="DB788" s="1458"/>
      <c r="DC788" s="1458"/>
      <c r="DD788" s="1459"/>
      <c r="DE788" s="1457">
        <f t="shared" si="43"/>
        <v>0</v>
      </c>
      <c r="DF788" s="1458"/>
      <c r="DG788" s="1458"/>
      <c r="DH788" s="1458"/>
      <c r="DI788" s="1459"/>
      <c r="DJ788" s="1457">
        <f t="shared" si="44"/>
        <v>0</v>
      </c>
      <c r="DK788" s="1458"/>
      <c r="DL788" s="1458"/>
      <c r="DM788" s="1458"/>
      <c r="DN788" s="1459"/>
      <c r="DO788" s="1457">
        <f t="shared" si="45"/>
        <v>0</v>
      </c>
      <c r="DP788" s="1458"/>
      <c r="DQ788" s="1458"/>
      <c r="DR788" s="1458"/>
      <c r="DS788" s="1459"/>
      <c r="DT788" s="6"/>
      <c r="DU788" s="1457">
        <f t="shared" si="46"/>
        <v>0</v>
      </c>
      <c r="DV788" s="1458"/>
      <c r="DW788" s="1458"/>
      <c r="DX788" s="1458"/>
      <c r="DY788" s="1459"/>
      <c r="DZ788" s="1457">
        <f t="shared" si="47"/>
        <v>0</v>
      </c>
      <c r="EA788" s="1458"/>
      <c r="EB788" s="1458"/>
      <c r="EC788" s="1458"/>
      <c r="ED788" s="1459"/>
      <c r="EE788" s="1457">
        <f t="shared" si="48"/>
        <v>0</v>
      </c>
      <c r="EF788" s="1458"/>
      <c r="EG788" s="1458"/>
      <c r="EH788" s="1458"/>
      <c r="EI788" s="1459"/>
      <c r="EJ788" s="1457">
        <f t="shared" si="49"/>
        <v>0</v>
      </c>
      <c r="EK788" s="1458"/>
      <c r="EL788" s="1458"/>
      <c r="EM788" s="1458"/>
      <c r="EN788" s="1459"/>
      <c r="EO788" s="1457">
        <f t="shared" si="50"/>
        <v>0</v>
      </c>
      <c r="EP788" s="1458"/>
      <c r="EQ788" s="1458"/>
      <c r="ER788" s="1458"/>
      <c r="ES788" s="1459"/>
      <c r="ET788" s="1457">
        <f t="shared" si="51"/>
        <v>0</v>
      </c>
      <c r="EU788" s="1458"/>
      <c r="EV788" s="1458"/>
      <c r="EW788" s="1458"/>
      <c r="EX788" s="1459"/>
    </row>
    <row r="789" spans="1:154" s="14" customFormat="1" ht="13"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1">
        <f t="shared" si="39"/>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0"/>
        <v>0</v>
      </c>
      <c r="CQ789" s="1458"/>
      <c r="CR789" s="1458"/>
      <c r="CS789" s="1458"/>
      <c r="CT789" s="1459"/>
      <c r="CU789" s="1457">
        <f t="shared" si="41"/>
        <v>0</v>
      </c>
      <c r="CV789" s="1458"/>
      <c r="CW789" s="1458"/>
      <c r="CX789" s="1458"/>
      <c r="CY789" s="1459"/>
      <c r="CZ789" s="1457">
        <f t="shared" si="42"/>
        <v>0</v>
      </c>
      <c r="DA789" s="1458"/>
      <c r="DB789" s="1458"/>
      <c r="DC789" s="1458"/>
      <c r="DD789" s="1459"/>
      <c r="DE789" s="1457">
        <f t="shared" si="43"/>
        <v>0</v>
      </c>
      <c r="DF789" s="1458"/>
      <c r="DG789" s="1458"/>
      <c r="DH789" s="1458"/>
      <c r="DI789" s="1459"/>
      <c r="DJ789" s="1457">
        <f t="shared" si="44"/>
        <v>0</v>
      </c>
      <c r="DK789" s="1458"/>
      <c r="DL789" s="1458"/>
      <c r="DM789" s="1458"/>
      <c r="DN789" s="1459"/>
      <c r="DO789" s="1457">
        <f t="shared" si="45"/>
        <v>0</v>
      </c>
      <c r="DP789" s="1458"/>
      <c r="DQ789" s="1458"/>
      <c r="DR789" s="1458"/>
      <c r="DS789" s="1459"/>
      <c r="DT789" s="6"/>
      <c r="DU789" s="1457">
        <f t="shared" si="46"/>
        <v>0</v>
      </c>
      <c r="DV789" s="1458"/>
      <c r="DW789" s="1458"/>
      <c r="DX789" s="1458"/>
      <c r="DY789" s="1459"/>
      <c r="DZ789" s="1457">
        <f t="shared" si="47"/>
        <v>0</v>
      </c>
      <c r="EA789" s="1458"/>
      <c r="EB789" s="1458"/>
      <c r="EC789" s="1458"/>
      <c r="ED789" s="1459"/>
      <c r="EE789" s="1457">
        <f t="shared" si="48"/>
        <v>0</v>
      </c>
      <c r="EF789" s="1458"/>
      <c r="EG789" s="1458"/>
      <c r="EH789" s="1458"/>
      <c r="EI789" s="1459"/>
      <c r="EJ789" s="1457">
        <f t="shared" si="49"/>
        <v>0</v>
      </c>
      <c r="EK789" s="1458"/>
      <c r="EL789" s="1458"/>
      <c r="EM789" s="1458"/>
      <c r="EN789" s="1459"/>
      <c r="EO789" s="1457">
        <f t="shared" si="50"/>
        <v>0</v>
      </c>
      <c r="EP789" s="1458"/>
      <c r="EQ789" s="1458"/>
      <c r="ER789" s="1458"/>
      <c r="ES789" s="1459"/>
      <c r="ET789" s="1457">
        <f t="shared" si="51"/>
        <v>0</v>
      </c>
      <c r="EU789" s="1458"/>
      <c r="EV789" s="1458"/>
      <c r="EW789" s="1458"/>
      <c r="EX789" s="1459"/>
    </row>
    <row r="790" spans="1:154" s="14" customFormat="1" ht="13"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1">
        <f t="shared" si="39"/>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0"/>
        <v>0</v>
      </c>
      <c r="CQ790" s="1458"/>
      <c r="CR790" s="1458"/>
      <c r="CS790" s="1458"/>
      <c r="CT790" s="1459"/>
      <c r="CU790" s="1457">
        <f t="shared" si="41"/>
        <v>0</v>
      </c>
      <c r="CV790" s="1458"/>
      <c r="CW790" s="1458"/>
      <c r="CX790" s="1458"/>
      <c r="CY790" s="1459"/>
      <c r="CZ790" s="1457">
        <f t="shared" si="42"/>
        <v>0</v>
      </c>
      <c r="DA790" s="1458"/>
      <c r="DB790" s="1458"/>
      <c r="DC790" s="1458"/>
      <c r="DD790" s="1459"/>
      <c r="DE790" s="1457">
        <f t="shared" si="43"/>
        <v>0</v>
      </c>
      <c r="DF790" s="1458"/>
      <c r="DG790" s="1458"/>
      <c r="DH790" s="1458"/>
      <c r="DI790" s="1459"/>
      <c r="DJ790" s="1457">
        <f t="shared" si="44"/>
        <v>0</v>
      </c>
      <c r="DK790" s="1458"/>
      <c r="DL790" s="1458"/>
      <c r="DM790" s="1458"/>
      <c r="DN790" s="1459"/>
      <c r="DO790" s="1457">
        <f t="shared" si="45"/>
        <v>0</v>
      </c>
      <c r="DP790" s="1458"/>
      <c r="DQ790" s="1458"/>
      <c r="DR790" s="1458"/>
      <c r="DS790" s="1459"/>
      <c r="DT790" s="6"/>
      <c r="DU790" s="1457">
        <f t="shared" si="46"/>
        <v>0</v>
      </c>
      <c r="DV790" s="1458"/>
      <c r="DW790" s="1458"/>
      <c r="DX790" s="1458"/>
      <c r="DY790" s="1459"/>
      <c r="DZ790" s="1457">
        <f t="shared" si="47"/>
        <v>0</v>
      </c>
      <c r="EA790" s="1458"/>
      <c r="EB790" s="1458"/>
      <c r="EC790" s="1458"/>
      <c r="ED790" s="1459"/>
      <c r="EE790" s="1457">
        <f t="shared" si="48"/>
        <v>0</v>
      </c>
      <c r="EF790" s="1458"/>
      <c r="EG790" s="1458"/>
      <c r="EH790" s="1458"/>
      <c r="EI790" s="1459"/>
      <c r="EJ790" s="1457">
        <f t="shared" si="49"/>
        <v>0</v>
      </c>
      <c r="EK790" s="1458"/>
      <c r="EL790" s="1458"/>
      <c r="EM790" s="1458"/>
      <c r="EN790" s="1459"/>
      <c r="EO790" s="1457">
        <f t="shared" si="50"/>
        <v>0</v>
      </c>
      <c r="EP790" s="1458"/>
      <c r="EQ790" s="1458"/>
      <c r="ER790" s="1458"/>
      <c r="ES790" s="1459"/>
      <c r="ET790" s="1457">
        <f t="shared" si="51"/>
        <v>0</v>
      </c>
      <c r="EU790" s="1458"/>
      <c r="EV790" s="1458"/>
      <c r="EW790" s="1458"/>
      <c r="EX790" s="1459"/>
    </row>
    <row r="791" spans="1:154" s="14" customFormat="1" ht="13"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1">
        <f t="shared" si="39"/>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0"/>
        <v>0</v>
      </c>
      <c r="CQ791" s="1458"/>
      <c r="CR791" s="1458"/>
      <c r="CS791" s="1458"/>
      <c r="CT791" s="1459"/>
      <c r="CU791" s="1457">
        <f t="shared" si="41"/>
        <v>0</v>
      </c>
      <c r="CV791" s="1458"/>
      <c r="CW791" s="1458"/>
      <c r="CX791" s="1458"/>
      <c r="CY791" s="1459"/>
      <c r="CZ791" s="1457">
        <f t="shared" si="42"/>
        <v>0</v>
      </c>
      <c r="DA791" s="1458"/>
      <c r="DB791" s="1458"/>
      <c r="DC791" s="1458"/>
      <c r="DD791" s="1459"/>
      <c r="DE791" s="1457">
        <f t="shared" si="43"/>
        <v>0</v>
      </c>
      <c r="DF791" s="1458"/>
      <c r="DG791" s="1458"/>
      <c r="DH791" s="1458"/>
      <c r="DI791" s="1459"/>
      <c r="DJ791" s="1457">
        <f t="shared" si="44"/>
        <v>0</v>
      </c>
      <c r="DK791" s="1458"/>
      <c r="DL791" s="1458"/>
      <c r="DM791" s="1458"/>
      <c r="DN791" s="1459"/>
      <c r="DO791" s="1457">
        <f t="shared" si="45"/>
        <v>0</v>
      </c>
      <c r="DP791" s="1458"/>
      <c r="DQ791" s="1458"/>
      <c r="DR791" s="1458"/>
      <c r="DS791" s="1459"/>
      <c r="DT791" s="6"/>
      <c r="DU791" s="1457">
        <f t="shared" si="46"/>
        <v>0</v>
      </c>
      <c r="DV791" s="1458"/>
      <c r="DW791" s="1458"/>
      <c r="DX791" s="1458"/>
      <c r="DY791" s="1459"/>
      <c r="DZ791" s="1457">
        <f t="shared" si="47"/>
        <v>0</v>
      </c>
      <c r="EA791" s="1458"/>
      <c r="EB791" s="1458"/>
      <c r="EC791" s="1458"/>
      <c r="ED791" s="1459"/>
      <c r="EE791" s="1457">
        <f t="shared" si="48"/>
        <v>0</v>
      </c>
      <c r="EF791" s="1458"/>
      <c r="EG791" s="1458"/>
      <c r="EH791" s="1458"/>
      <c r="EI791" s="1459"/>
      <c r="EJ791" s="1457">
        <f t="shared" si="49"/>
        <v>0</v>
      </c>
      <c r="EK791" s="1458"/>
      <c r="EL791" s="1458"/>
      <c r="EM791" s="1458"/>
      <c r="EN791" s="1459"/>
      <c r="EO791" s="1457">
        <f t="shared" si="50"/>
        <v>0</v>
      </c>
      <c r="EP791" s="1458"/>
      <c r="EQ791" s="1458"/>
      <c r="ER791" s="1458"/>
      <c r="ES791" s="1459"/>
      <c r="ET791" s="1457">
        <f t="shared" si="51"/>
        <v>0</v>
      </c>
      <c r="EU791" s="1458"/>
      <c r="EV791" s="1458"/>
      <c r="EW791" s="1458"/>
      <c r="EX791" s="1459"/>
    </row>
    <row r="792" spans="1:154" s="14" customFormat="1" ht="13"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1">
        <f t="shared" si="39"/>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0"/>
        <v>0</v>
      </c>
      <c r="CQ792" s="1458"/>
      <c r="CR792" s="1458"/>
      <c r="CS792" s="1458"/>
      <c r="CT792" s="1459"/>
      <c r="CU792" s="1457">
        <f t="shared" si="41"/>
        <v>0</v>
      </c>
      <c r="CV792" s="1458"/>
      <c r="CW792" s="1458"/>
      <c r="CX792" s="1458"/>
      <c r="CY792" s="1459"/>
      <c r="CZ792" s="1457">
        <f t="shared" si="42"/>
        <v>0</v>
      </c>
      <c r="DA792" s="1458"/>
      <c r="DB792" s="1458"/>
      <c r="DC792" s="1458"/>
      <c r="DD792" s="1459"/>
      <c r="DE792" s="1457">
        <f t="shared" si="43"/>
        <v>0</v>
      </c>
      <c r="DF792" s="1458"/>
      <c r="DG792" s="1458"/>
      <c r="DH792" s="1458"/>
      <c r="DI792" s="1459"/>
      <c r="DJ792" s="1457">
        <f t="shared" si="44"/>
        <v>0</v>
      </c>
      <c r="DK792" s="1458"/>
      <c r="DL792" s="1458"/>
      <c r="DM792" s="1458"/>
      <c r="DN792" s="1459"/>
      <c r="DO792" s="1457">
        <f t="shared" si="45"/>
        <v>0</v>
      </c>
      <c r="DP792" s="1458"/>
      <c r="DQ792" s="1458"/>
      <c r="DR792" s="1458"/>
      <c r="DS792" s="1459"/>
      <c r="DT792" s="6"/>
      <c r="DU792" s="1457">
        <f t="shared" si="46"/>
        <v>0</v>
      </c>
      <c r="DV792" s="1458"/>
      <c r="DW792" s="1458"/>
      <c r="DX792" s="1458"/>
      <c r="DY792" s="1459"/>
      <c r="DZ792" s="1457">
        <f t="shared" si="47"/>
        <v>0</v>
      </c>
      <c r="EA792" s="1458"/>
      <c r="EB792" s="1458"/>
      <c r="EC792" s="1458"/>
      <c r="ED792" s="1459"/>
      <c r="EE792" s="1457">
        <f t="shared" si="48"/>
        <v>0</v>
      </c>
      <c r="EF792" s="1458"/>
      <c r="EG792" s="1458"/>
      <c r="EH792" s="1458"/>
      <c r="EI792" s="1459"/>
      <c r="EJ792" s="1457">
        <f t="shared" si="49"/>
        <v>0</v>
      </c>
      <c r="EK792" s="1458"/>
      <c r="EL792" s="1458"/>
      <c r="EM792" s="1458"/>
      <c r="EN792" s="1459"/>
      <c r="EO792" s="1457">
        <f t="shared" si="50"/>
        <v>0</v>
      </c>
      <c r="EP792" s="1458"/>
      <c r="EQ792" s="1458"/>
      <c r="ER792" s="1458"/>
      <c r="ES792" s="1459"/>
      <c r="ET792" s="1457">
        <f t="shared" si="51"/>
        <v>0</v>
      </c>
      <c r="EU792" s="1458"/>
      <c r="EV792" s="1458"/>
      <c r="EW792" s="1458"/>
      <c r="EX792" s="1459"/>
    </row>
    <row r="793" spans="1:154" s="14" customFormat="1" ht="13"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1">
        <f t="shared" si="39"/>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0"/>
        <v>0</v>
      </c>
      <c r="CQ793" s="1458"/>
      <c r="CR793" s="1458"/>
      <c r="CS793" s="1458"/>
      <c r="CT793" s="1459"/>
      <c r="CU793" s="1457">
        <f t="shared" si="41"/>
        <v>0</v>
      </c>
      <c r="CV793" s="1458"/>
      <c r="CW793" s="1458"/>
      <c r="CX793" s="1458"/>
      <c r="CY793" s="1459"/>
      <c r="CZ793" s="1457">
        <f t="shared" si="42"/>
        <v>0</v>
      </c>
      <c r="DA793" s="1458"/>
      <c r="DB793" s="1458"/>
      <c r="DC793" s="1458"/>
      <c r="DD793" s="1459"/>
      <c r="DE793" s="1457">
        <f t="shared" si="43"/>
        <v>0</v>
      </c>
      <c r="DF793" s="1458"/>
      <c r="DG793" s="1458"/>
      <c r="DH793" s="1458"/>
      <c r="DI793" s="1459"/>
      <c r="DJ793" s="1457">
        <f t="shared" si="44"/>
        <v>0</v>
      </c>
      <c r="DK793" s="1458"/>
      <c r="DL793" s="1458"/>
      <c r="DM793" s="1458"/>
      <c r="DN793" s="1459"/>
      <c r="DO793" s="1457">
        <f t="shared" si="45"/>
        <v>0</v>
      </c>
      <c r="DP793" s="1458"/>
      <c r="DQ793" s="1458"/>
      <c r="DR793" s="1458"/>
      <c r="DS793" s="1459"/>
      <c r="DT793" s="6"/>
      <c r="DU793" s="1457">
        <f t="shared" si="46"/>
        <v>0</v>
      </c>
      <c r="DV793" s="1458"/>
      <c r="DW793" s="1458"/>
      <c r="DX793" s="1458"/>
      <c r="DY793" s="1459"/>
      <c r="DZ793" s="1457">
        <f t="shared" si="47"/>
        <v>0</v>
      </c>
      <c r="EA793" s="1458"/>
      <c r="EB793" s="1458"/>
      <c r="EC793" s="1458"/>
      <c r="ED793" s="1459"/>
      <c r="EE793" s="1457">
        <f t="shared" si="48"/>
        <v>0</v>
      </c>
      <c r="EF793" s="1458"/>
      <c r="EG793" s="1458"/>
      <c r="EH793" s="1458"/>
      <c r="EI793" s="1459"/>
      <c r="EJ793" s="1457">
        <f t="shared" si="49"/>
        <v>0</v>
      </c>
      <c r="EK793" s="1458"/>
      <c r="EL793" s="1458"/>
      <c r="EM793" s="1458"/>
      <c r="EN793" s="1459"/>
      <c r="EO793" s="1457">
        <f t="shared" si="50"/>
        <v>0</v>
      </c>
      <c r="EP793" s="1458"/>
      <c r="EQ793" s="1458"/>
      <c r="ER793" s="1458"/>
      <c r="ES793" s="1459"/>
      <c r="ET793" s="1457">
        <f t="shared" si="51"/>
        <v>0</v>
      </c>
      <c r="EU793" s="1458"/>
      <c r="EV793" s="1458"/>
      <c r="EW793" s="1458"/>
      <c r="EX793" s="1459"/>
    </row>
    <row r="794" spans="1:154" s="14" customFormat="1" ht="13"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1">
        <f t="shared" si="39"/>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0"/>
        <v>0</v>
      </c>
      <c r="CQ794" s="1458"/>
      <c r="CR794" s="1458"/>
      <c r="CS794" s="1458"/>
      <c r="CT794" s="1459"/>
      <c r="CU794" s="1457">
        <f t="shared" si="41"/>
        <v>0</v>
      </c>
      <c r="CV794" s="1458"/>
      <c r="CW794" s="1458"/>
      <c r="CX794" s="1458"/>
      <c r="CY794" s="1459"/>
      <c r="CZ794" s="1457">
        <f t="shared" si="42"/>
        <v>0</v>
      </c>
      <c r="DA794" s="1458"/>
      <c r="DB794" s="1458"/>
      <c r="DC794" s="1458"/>
      <c r="DD794" s="1459"/>
      <c r="DE794" s="1457">
        <f t="shared" si="43"/>
        <v>0</v>
      </c>
      <c r="DF794" s="1458"/>
      <c r="DG794" s="1458"/>
      <c r="DH794" s="1458"/>
      <c r="DI794" s="1459"/>
      <c r="DJ794" s="1457">
        <f t="shared" si="44"/>
        <v>0</v>
      </c>
      <c r="DK794" s="1458"/>
      <c r="DL794" s="1458"/>
      <c r="DM794" s="1458"/>
      <c r="DN794" s="1459"/>
      <c r="DO794" s="1457">
        <f t="shared" si="45"/>
        <v>0</v>
      </c>
      <c r="DP794" s="1458"/>
      <c r="DQ794" s="1458"/>
      <c r="DR794" s="1458"/>
      <c r="DS794" s="1459"/>
      <c r="DT794" s="6"/>
      <c r="DU794" s="1457">
        <f t="shared" si="46"/>
        <v>0</v>
      </c>
      <c r="DV794" s="1458"/>
      <c r="DW794" s="1458"/>
      <c r="DX794" s="1458"/>
      <c r="DY794" s="1459"/>
      <c r="DZ794" s="1457">
        <f t="shared" si="47"/>
        <v>0</v>
      </c>
      <c r="EA794" s="1458"/>
      <c r="EB794" s="1458"/>
      <c r="EC794" s="1458"/>
      <c r="ED794" s="1459"/>
      <c r="EE794" s="1457">
        <f t="shared" si="48"/>
        <v>0</v>
      </c>
      <c r="EF794" s="1458"/>
      <c r="EG794" s="1458"/>
      <c r="EH794" s="1458"/>
      <c r="EI794" s="1459"/>
      <c r="EJ794" s="1457">
        <f t="shared" si="49"/>
        <v>0</v>
      </c>
      <c r="EK794" s="1458"/>
      <c r="EL794" s="1458"/>
      <c r="EM794" s="1458"/>
      <c r="EN794" s="1459"/>
      <c r="EO794" s="1457">
        <f t="shared" si="50"/>
        <v>0</v>
      </c>
      <c r="EP794" s="1458"/>
      <c r="EQ794" s="1458"/>
      <c r="ER794" s="1458"/>
      <c r="ES794" s="1459"/>
      <c r="ET794" s="1457">
        <f t="shared" si="51"/>
        <v>0</v>
      </c>
      <c r="EU794" s="1458"/>
      <c r="EV794" s="1458"/>
      <c r="EW794" s="1458"/>
      <c r="EX794" s="1459"/>
    </row>
    <row r="795" spans="1:154" s="14" customFormat="1" ht="13"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1">
        <f t="shared" si="39"/>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0"/>
        <v>0</v>
      </c>
      <c r="CQ795" s="1458"/>
      <c r="CR795" s="1458"/>
      <c r="CS795" s="1458"/>
      <c r="CT795" s="1459"/>
      <c r="CU795" s="1457">
        <f t="shared" si="41"/>
        <v>0</v>
      </c>
      <c r="CV795" s="1458"/>
      <c r="CW795" s="1458"/>
      <c r="CX795" s="1458"/>
      <c r="CY795" s="1459"/>
      <c r="CZ795" s="1457">
        <f t="shared" si="42"/>
        <v>0</v>
      </c>
      <c r="DA795" s="1458"/>
      <c r="DB795" s="1458"/>
      <c r="DC795" s="1458"/>
      <c r="DD795" s="1459"/>
      <c r="DE795" s="1457">
        <f t="shared" si="43"/>
        <v>0</v>
      </c>
      <c r="DF795" s="1458"/>
      <c r="DG795" s="1458"/>
      <c r="DH795" s="1458"/>
      <c r="DI795" s="1459"/>
      <c r="DJ795" s="1457">
        <f t="shared" si="44"/>
        <v>0</v>
      </c>
      <c r="DK795" s="1458"/>
      <c r="DL795" s="1458"/>
      <c r="DM795" s="1458"/>
      <c r="DN795" s="1459"/>
      <c r="DO795" s="1457">
        <f t="shared" si="45"/>
        <v>0</v>
      </c>
      <c r="DP795" s="1458"/>
      <c r="DQ795" s="1458"/>
      <c r="DR795" s="1458"/>
      <c r="DS795" s="1459"/>
      <c r="DT795" s="6"/>
      <c r="DU795" s="1457">
        <f t="shared" si="46"/>
        <v>0</v>
      </c>
      <c r="DV795" s="1458"/>
      <c r="DW795" s="1458"/>
      <c r="DX795" s="1458"/>
      <c r="DY795" s="1459"/>
      <c r="DZ795" s="1457">
        <f t="shared" si="47"/>
        <v>0</v>
      </c>
      <c r="EA795" s="1458"/>
      <c r="EB795" s="1458"/>
      <c r="EC795" s="1458"/>
      <c r="ED795" s="1459"/>
      <c r="EE795" s="1457">
        <f t="shared" si="48"/>
        <v>0</v>
      </c>
      <c r="EF795" s="1458"/>
      <c r="EG795" s="1458"/>
      <c r="EH795" s="1458"/>
      <c r="EI795" s="1459"/>
      <c r="EJ795" s="1457">
        <f t="shared" si="49"/>
        <v>0</v>
      </c>
      <c r="EK795" s="1458"/>
      <c r="EL795" s="1458"/>
      <c r="EM795" s="1458"/>
      <c r="EN795" s="1459"/>
      <c r="EO795" s="1457">
        <f t="shared" si="50"/>
        <v>0</v>
      </c>
      <c r="EP795" s="1458"/>
      <c r="EQ795" s="1458"/>
      <c r="ER795" s="1458"/>
      <c r="ES795" s="1459"/>
      <c r="ET795" s="1457">
        <f t="shared" si="51"/>
        <v>0</v>
      </c>
      <c r="EU795" s="1458"/>
      <c r="EV795" s="1458"/>
      <c r="EW795" s="1458"/>
      <c r="EX795" s="1459"/>
    </row>
    <row r="796" spans="1:154" s="4" customFormat="1" ht="13"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1">
        <f t="shared" si="39"/>
        <v>0</v>
      </c>
      <c r="AD796" s="1352"/>
      <c r="AE796" s="1352"/>
      <c r="AF796" s="1352"/>
      <c r="AG796" s="1353"/>
      <c r="AH796"/>
      <c r="AI796"/>
      <c r="AJ796"/>
      <c r="AK796"/>
      <c r="AL796"/>
      <c r="AM796"/>
      <c r="AN796"/>
      <c r="AO796"/>
      <c r="AP796"/>
      <c r="AQ796"/>
      <c r="AR796"/>
      <c r="AS796"/>
      <c r="AT796"/>
      <c r="AU796"/>
      <c r="AV796"/>
      <c r="AW796"/>
      <c r="AX796"/>
      <c r="AY796"/>
      <c r="AZ796" s="3"/>
      <c r="CP796" s="1457">
        <f t="shared" si="40"/>
        <v>0</v>
      </c>
      <c r="CQ796" s="1458"/>
      <c r="CR796" s="1458"/>
      <c r="CS796" s="1458"/>
      <c r="CT796" s="1459"/>
      <c r="CU796" s="1457">
        <f t="shared" si="41"/>
        <v>0</v>
      </c>
      <c r="CV796" s="1458"/>
      <c r="CW796" s="1458"/>
      <c r="CX796" s="1458"/>
      <c r="CY796" s="1459"/>
      <c r="CZ796" s="1457">
        <f t="shared" si="42"/>
        <v>0</v>
      </c>
      <c r="DA796" s="1458"/>
      <c r="DB796" s="1458"/>
      <c r="DC796" s="1458"/>
      <c r="DD796" s="1459"/>
      <c r="DE796" s="1457">
        <f t="shared" si="43"/>
        <v>0</v>
      </c>
      <c r="DF796" s="1458"/>
      <c r="DG796" s="1458"/>
      <c r="DH796" s="1458"/>
      <c r="DI796" s="1459"/>
      <c r="DJ796" s="1457">
        <f t="shared" si="44"/>
        <v>0</v>
      </c>
      <c r="DK796" s="1458"/>
      <c r="DL796" s="1458"/>
      <c r="DM796" s="1458"/>
      <c r="DN796" s="1459"/>
      <c r="DO796" s="1457">
        <f t="shared" si="45"/>
        <v>0</v>
      </c>
      <c r="DP796" s="1458"/>
      <c r="DQ796" s="1458"/>
      <c r="DR796" s="1458"/>
      <c r="DS796" s="1459"/>
      <c r="DT796" s="6"/>
      <c r="DU796" s="1457">
        <f t="shared" si="46"/>
        <v>0</v>
      </c>
      <c r="DV796" s="1458"/>
      <c r="DW796" s="1458"/>
      <c r="DX796" s="1458"/>
      <c r="DY796" s="1459"/>
      <c r="DZ796" s="1457">
        <f t="shared" si="47"/>
        <v>0</v>
      </c>
      <c r="EA796" s="1458"/>
      <c r="EB796" s="1458"/>
      <c r="EC796" s="1458"/>
      <c r="ED796" s="1459"/>
      <c r="EE796" s="1457">
        <f t="shared" si="48"/>
        <v>0</v>
      </c>
      <c r="EF796" s="1458"/>
      <c r="EG796" s="1458"/>
      <c r="EH796" s="1458"/>
      <c r="EI796" s="1459"/>
      <c r="EJ796" s="1457">
        <f t="shared" si="49"/>
        <v>0</v>
      </c>
      <c r="EK796" s="1458"/>
      <c r="EL796" s="1458"/>
      <c r="EM796" s="1458"/>
      <c r="EN796" s="1459"/>
      <c r="EO796" s="1457">
        <f t="shared" si="50"/>
        <v>0</v>
      </c>
      <c r="EP796" s="1458"/>
      <c r="EQ796" s="1458"/>
      <c r="ER796" s="1458"/>
      <c r="ES796" s="1459"/>
      <c r="ET796" s="1457">
        <f t="shared" si="51"/>
        <v>0</v>
      </c>
      <c r="EU796" s="1458"/>
      <c r="EV796" s="1458"/>
      <c r="EW796" s="1458"/>
      <c r="EX796" s="1459"/>
    </row>
    <row r="797" spans="1:154" s="4" customFormat="1" ht="13"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3">
        <f>SUM(DU797:EX797)</f>
        <v>0</v>
      </c>
      <c r="EU799" s="1854"/>
      <c r="EV799" s="1854"/>
      <c r="EW799" s="1854"/>
      <c r="EX799" s="185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605721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7268652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93</v>
      </c>
      <c r="CV802" s="1472"/>
      <c r="CW802" s="1472"/>
      <c r="CX802" s="1472"/>
      <c r="CY802" s="1473"/>
      <c r="CZ802" s="1471">
        <f>CZ753+CZ777+CZ797</f>
        <v>102</v>
      </c>
      <c r="DA802" s="1472"/>
      <c r="DB802" s="1472"/>
      <c r="DC802" s="1472"/>
      <c r="DD802" s="1473"/>
      <c r="DE802" s="1471">
        <f>DE753+DE777+DE797</f>
        <v>65</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489</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2" t="s">
        <v>2700</v>
      </c>
      <c r="Q816" s="1593"/>
      <c r="R816" s="1593"/>
      <c r="S816" s="1593"/>
      <c r="T816" s="1593"/>
      <c r="U816" s="1593"/>
      <c r="V816" s="1593"/>
      <c r="W816" s="1593"/>
      <c r="X816" s="1593"/>
      <c r="Y816" s="1594"/>
      <c r="Z816" s="1465">
        <v>39000</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39000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7307652</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7" t="s">
        <v>40</v>
      </c>
      <c r="D825" s="1357"/>
      <c r="E825" s="1357"/>
      <c r="F825" s="1357"/>
      <c r="G825" s="1357"/>
      <c r="H825" s="1357"/>
      <c r="I825" s="48"/>
      <c r="J825" s="48"/>
      <c r="K825" s="48"/>
      <c r="L825" s="49"/>
      <c r="M825" s="1641"/>
      <c r="N825" s="1641"/>
      <c r="O825" s="1641"/>
      <c r="P825" s="1641"/>
      <c r="Q825" s="1641">
        <v>18</v>
      </c>
      <c r="R825" s="1641"/>
      <c r="S825" s="1641"/>
      <c r="T825" s="1641"/>
      <c r="U825" s="1641">
        <v>22</v>
      </c>
      <c r="V825" s="1641"/>
      <c r="W825" s="1641"/>
      <c r="X825" s="1641"/>
      <c r="Y825" s="1641">
        <v>27</v>
      </c>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4" t="s">
        <v>42</v>
      </c>
      <c r="D827" s="1625"/>
      <c r="E827" s="1625"/>
      <c r="F827" s="1625"/>
      <c r="G827" s="1625"/>
      <c r="H827" s="1625"/>
      <c r="I827" s="60"/>
      <c r="J827" s="60"/>
      <c r="K827" s="60"/>
      <c r="L827" s="61"/>
      <c r="M827" s="1641"/>
      <c r="N827" s="1641"/>
      <c r="O827" s="1641"/>
      <c r="P827" s="1641"/>
      <c r="Q827" s="1641">
        <v>9</v>
      </c>
      <c r="R827" s="1641"/>
      <c r="S827" s="1641"/>
      <c r="T827" s="1641"/>
      <c r="U827" s="1641">
        <v>13</v>
      </c>
      <c r="V827" s="1641"/>
      <c r="W827" s="1641"/>
      <c r="X827" s="1641"/>
      <c r="Y827" s="1641">
        <v>17</v>
      </c>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4" t="s">
        <v>460</v>
      </c>
      <c r="D829" s="1625"/>
      <c r="E829" s="1625"/>
      <c r="F829" s="1625"/>
      <c r="G829" s="1625"/>
      <c r="H829" s="1625"/>
      <c r="I829" s="60"/>
      <c r="J829" s="60"/>
      <c r="K829" s="60"/>
      <c r="L829" s="61"/>
      <c r="M829" s="1641"/>
      <c r="N829" s="1641"/>
      <c r="O829" s="1641"/>
      <c r="P829" s="1641"/>
      <c r="Q829" s="1641">
        <v>32</v>
      </c>
      <c r="R829" s="1641"/>
      <c r="S829" s="1641"/>
      <c r="T829" s="1641"/>
      <c r="U829" s="1641">
        <v>45</v>
      </c>
      <c r="V829" s="1641"/>
      <c r="W829" s="1641"/>
      <c r="X829" s="1641"/>
      <c r="Y829" s="1641">
        <v>59</v>
      </c>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59</v>
      </c>
      <c r="R832" s="1635"/>
      <c r="S832" s="1635"/>
      <c r="T832" s="1635"/>
      <c r="U832" s="1635">
        <f>SUM(U825:X831)</f>
        <v>80</v>
      </c>
      <c r="V832" s="1635"/>
      <c r="W832" s="1635"/>
      <c r="X832" s="1635"/>
      <c r="Y832" s="1635">
        <f>SUM(Y825:AB831)</f>
        <v>103</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5" t="s">
        <v>2701</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20000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25000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2" t="s">
        <v>334</v>
      </c>
      <c r="N846" s="1593"/>
      <c r="O846" s="1593"/>
      <c r="P846" s="1593"/>
      <c r="Q846" s="1593"/>
      <c r="R846" s="1593"/>
      <c r="S846" s="1593"/>
      <c r="T846" s="1593"/>
      <c r="U846" s="1593"/>
      <c r="V846" s="1594"/>
      <c r="W846" s="1480"/>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4">
        <f>SUM(W842:AC846)</f>
        <v>45000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7"/>
      <c r="BH848" s="1627"/>
      <c r="BI848" s="1627"/>
      <c r="BJ848" s="1627"/>
      <c r="BK848" s="1627"/>
      <c r="BL848" s="1627"/>
    </row>
    <row r="849" spans="3:55" ht="13" customHeight="1">
      <c r="C849" s="2" t="s">
        <v>344</v>
      </c>
      <c r="J849" s="1448" t="s">
        <v>345</v>
      </c>
      <c r="K849" s="1449"/>
      <c r="L849" s="1449"/>
      <c r="M849" s="1449"/>
      <c r="N849" s="1449"/>
      <c r="O849" s="1449"/>
      <c r="P849" s="1449"/>
      <c r="Q849" s="1449"/>
      <c r="R849" s="1449"/>
      <c r="S849" s="1449"/>
      <c r="T849" s="1449"/>
      <c r="U849" s="1449"/>
      <c r="V849" s="1450"/>
      <c r="W849" s="1465">
        <v>225000</v>
      </c>
      <c r="X849" s="1466"/>
      <c r="Y849" s="1466"/>
      <c r="Z849" s="1466"/>
      <c r="AA849" s="1466"/>
      <c r="AB849" s="1466"/>
      <c r="AC849" s="1467"/>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3" customHeight="1">
      <c r="J852" s="45" t="s">
        <v>351</v>
      </c>
      <c r="K852" s="5"/>
      <c r="L852" s="5"/>
      <c r="M852" s="5"/>
      <c r="N852" s="5"/>
      <c r="O852" s="5"/>
      <c r="P852" s="5"/>
      <c r="Q852" s="5"/>
      <c r="R852" s="5"/>
      <c r="S852" s="5"/>
      <c r="T852" s="5"/>
      <c r="U852" s="5"/>
      <c r="V852" s="46"/>
      <c r="W852" s="1650">
        <v>75000</v>
      </c>
      <c r="X852" s="1650"/>
      <c r="Y852" s="1650"/>
      <c r="Z852" s="1650"/>
      <c r="AA852" s="1650"/>
      <c r="AB852" s="1650"/>
      <c r="AC852" s="1650"/>
      <c r="AZ852" s="30"/>
      <c r="BA852" s="30"/>
      <c r="BB852" s="14"/>
      <c r="BC852" s="14"/>
    </row>
    <row r="853" spans="3:55" ht="13" customHeight="1">
      <c r="J853" s="45" t="s">
        <v>460</v>
      </c>
      <c r="K853" s="5"/>
      <c r="L853" s="5"/>
      <c r="M853" s="5"/>
      <c r="N853" s="5"/>
      <c r="O853" s="5"/>
      <c r="P853" s="5"/>
      <c r="Q853" s="5"/>
      <c r="R853" s="5"/>
      <c r="S853" s="5"/>
      <c r="T853" s="5"/>
      <c r="U853" s="5"/>
      <c r="V853" s="46"/>
      <c r="W853" s="1650">
        <v>150000</v>
      </c>
      <c r="X853" s="1650"/>
      <c r="Y853" s="1650"/>
      <c r="Z853" s="1650"/>
      <c r="AA853" s="1650"/>
      <c r="AB853" s="1650"/>
      <c r="AC853" s="1650"/>
      <c r="AZ853" s="30"/>
      <c r="BA853" s="30"/>
      <c r="BB853" s="14"/>
      <c r="BC853" s="14"/>
    </row>
    <row r="854" spans="3:55" ht="13" customHeight="1">
      <c r="J854" s="62" t="s">
        <v>621</v>
      </c>
      <c r="K854" s="5"/>
      <c r="L854" s="5"/>
      <c r="M854" s="5"/>
      <c r="N854" s="5"/>
      <c r="O854" s="5"/>
      <c r="P854" s="5"/>
      <c r="Q854" s="5"/>
      <c r="R854" s="5"/>
      <c r="S854" s="5"/>
      <c r="T854" s="5"/>
      <c r="U854" s="5"/>
      <c r="V854" s="46"/>
      <c r="W854" s="1650">
        <v>125000</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272</v>
      </c>
      <c r="W855" s="1704">
        <f>SUM(W851:AC854)</f>
        <v>350000</v>
      </c>
      <c r="X855" s="1704"/>
      <c r="Y855" s="1704"/>
      <c r="Z855" s="1704"/>
      <c r="AA855" s="1704"/>
      <c r="AB855" s="1704"/>
      <c r="AC855" s="1704"/>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29">
        <v>100000</v>
      </c>
      <c r="X857" s="1630"/>
      <c r="Y857" s="1630"/>
      <c r="Z857" s="1630"/>
      <c r="AA857" s="1630"/>
      <c r="AB857" s="1630"/>
      <c r="AC857" s="1631"/>
      <c r="AD857" s="529"/>
      <c r="AZ857" s="34"/>
      <c r="BA857" s="34"/>
      <c r="BB857" s="34"/>
      <c r="BC857" s="34"/>
    </row>
    <row r="858" spans="3:55" ht="13" customHeight="1">
      <c r="C858" s="2" t="s">
        <v>347</v>
      </c>
      <c r="J858" s="121" t="s">
        <v>1656</v>
      </c>
      <c r="K858" s="5"/>
      <c r="L858" s="5"/>
      <c r="M858" s="5"/>
      <c r="N858" s="5"/>
      <c r="O858" s="5"/>
      <c r="P858" s="5"/>
      <c r="Q858" s="5"/>
      <c r="R858" s="5"/>
      <c r="S858" s="5"/>
      <c r="T858" s="1708"/>
      <c r="U858" s="1695"/>
      <c r="V858" s="1709"/>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29">
        <v>125000</v>
      </c>
      <c r="X859" s="1630"/>
      <c r="Y859" s="1630"/>
      <c r="Z859" s="1630"/>
      <c r="AA859" s="1630"/>
      <c r="AB859" s="1630"/>
      <c r="AC859" s="1631"/>
      <c r="AD859" s="534"/>
      <c r="AZ859" s="34"/>
      <c r="BA859" s="34"/>
      <c r="BB859" s="34"/>
      <c r="BC859" s="34"/>
    </row>
    <row r="860" spans="3:55" ht="13" customHeight="1">
      <c r="C860" s="2"/>
      <c r="J860" s="121" t="s">
        <v>1657</v>
      </c>
      <c r="K860" s="5"/>
      <c r="L860" s="5"/>
      <c r="M860" s="5"/>
      <c r="N860" s="5"/>
      <c r="O860" s="5"/>
      <c r="P860" s="5"/>
      <c r="Q860" s="5"/>
      <c r="R860" s="5"/>
      <c r="S860" s="5"/>
      <c r="T860" s="1708"/>
      <c r="U860" s="1695"/>
      <c r="V860" s="1709"/>
      <c r="W860" s="875"/>
      <c r="X860" s="876"/>
      <c r="Y860" s="876"/>
      <c r="Z860" s="876"/>
      <c r="AA860" s="876"/>
      <c r="AB860" s="876"/>
      <c r="AC860" s="877"/>
      <c r="AD860" s="534"/>
      <c r="AZ860" s="34"/>
      <c r="BA860" s="34"/>
      <c r="BB860" s="34"/>
      <c r="BC860" s="34"/>
    </row>
    <row r="861" spans="3:55" ht="13" customHeight="1">
      <c r="J861" s="45" t="s">
        <v>170</v>
      </c>
      <c r="K861" s="5"/>
      <c r="L861" s="5"/>
      <c r="M861" s="1592" t="s">
        <v>334</v>
      </c>
      <c r="N861" s="1593"/>
      <c r="O861" s="1593"/>
      <c r="P861" s="1593"/>
      <c r="Q861" s="1593"/>
      <c r="R861" s="1593"/>
      <c r="S861" s="1593"/>
      <c r="T861" s="1593"/>
      <c r="U861" s="1593"/>
      <c r="V861" s="1594"/>
      <c r="W861" s="1629"/>
      <c r="X861" s="1630"/>
      <c r="Y861" s="1630"/>
      <c r="Z861" s="1630"/>
      <c r="AA861" s="1630"/>
      <c r="AB861" s="1630"/>
      <c r="AC861" s="1631"/>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0">
        <f>SUM(W857:AC861)</f>
        <v>225000</v>
      </c>
      <c r="X862" s="1711"/>
      <c r="Y862" s="1711"/>
      <c r="Z862" s="1711"/>
      <c r="AA862" s="1711"/>
      <c r="AB862" s="1711"/>
      <c r="AC862" s="1712"/>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29">
        <v>75000</v>
      </c>
      <c r="X863" s="1630"/>
      <c r="Y863" s="1630"/>
      <c r="Z863" s="1630"/>
      <c r="AA863" s="1630"/>
      <c r="AB863" s="1630"/>
      <c r="AC863" s="1631"/>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0">
        <v>25000</v>
      </c>
      <c r="X865" s="1480"/>
      <c r="Y865" s="1480"/>
      <c r="Z865" s="1480"/>
      <c r="AA865" s="1480"/>
      <c r="AB865" s="1480"/>
      <c r="AC865" s="1480"/>
      <c r="AU865" s="14"/>
      <c r="AZ865" s="34"/>
      <c r="BA865" s="34"/>
      <c r="BB865" s="34"/>
      <c r="BC865" s="34"/>
    </row>
    <row r="866" spans="3:55" ht="13" customHeight="1">
      <c r="J866" s="45" t="s">
        <v>523</v>
      </c>
      <c r="K866" s="5"/>
      <c r="L866" s="5"/>
      <c r="M866" s="5"/>
      <c r="N866" s="5"/>
      <c r="O866" s="5"/>
      <c r="P866" s="5"/>
      <c r="Q866" s="5"/>
      <c r="R866" s="5"/>
      <c r="S866" s="5"/>
      <c r="T866" s="5"/>
      <c r="U866" s="5"/>
      <c r="V866" s="46"/>
      <c r="W866" s="1480">
        <v>100000</v>
      </c>
      <c r="X866" s="1480"/>
      <c r="Y866" s="1480"/>
      <c r="Z866" s="1480"/>
      <c r="AA866" s="1480"/>
      <c r="AB866" s="1480"/>
      <c r="AC866" s="1480"/>
      <c r="AU866" s="4"/>
      <c r="AZ866" s="34"/>
      <c r="BA866" s="34"/>
      <c r="BB866" s="34"/>
      <c r="BC866" s="34"/>
    </row>
    <row r="867" spans="3:55" ht="13" customHeight="1">
      <c r="J867" s="45" t="s">
        <v>522</v>
      </c>
      <c r="K867" s="5"/>
      <c r="L867" s="5"/>
      <c r="M867" s="5"/>
      <c r="N867" s="5"/>
      <c r="O867" s="5"/>
      <c r="P867" s="5"/>
      <c r="Q867" s="5"/>
      <c r="R867" s="5"/>
      <c r="S867" s="5"/>
      <c r="T867" s="5"/>
      <c r="U867" s="5"/>
      <c r="V867" s="46"/>
      <c r="W867" s="1480">
        <v>75000</v>
      </c>
      <c r="X867" s="1480"/>
      <c r="Y867" s="1480"/>
      <c r="Z867" s="1480"/>
      <c r="AA867" s="1480"/>
      <c r="AB867" s="1480"/>
      <c r="AC867" s="1480"/>
      <c r="AU867" s="4"/>
      <c r="AZ867" s="34"/>
      <c r="BA867" s="34"/>
      <c r="BB867" s="34"/>
      <c r="BC867" s="34"/>
    </row>
    <row r="868" spans="3:55" ht="13" customHeight="1">
      <c r="J868" s="45" t="s">
        <v>521</v>
      </c>
      <c r="K868" s="5"/>
      <c r="L868" s="5"/>
      <c r="M868" s="5"/>
      <c r="N868" s="5"/>
      <c r="O868" s="5"/>
      <c r="P868" s="5"/>
      <c r="Q868" s="5"/>
      <c r="R868" s="5"/>
      <c r="S868" s="5"/>
      <c r="T868" s="5"/>
      <c r="U868" s="5"/>
      <c r="V868" s="46"/>
      <c r="W868" s="1480">
        <v>50000</v>
      </c>
      <c r="X868" s="1480"/>
      <c r="Y868" s="1480"/>
      <c r="Z868" s="1480"/>
      <c r="AA868" s="1480"/>
      <c r="AB868" s="1480"/>
      <c r="AC868" s="1480"/>
      <c r="AU868" s="4"/>
      <c r="AZ868" s="34"/>
      <c r="BA868" s="34"/>
      <c r="BB868" s="34"/>
      <c r="BC868" s="34"/>
    </row>
    <row r="869" spans="3:55" ht="13" customHeight="1">
      <c r="J869" s="45" t="s">
        <v>520</v>
      </c>
      <c r="K869" s="5"/>
      <c r="L869" s="5"/>
      <c r="M869" s="5"/>
      <c r="N869" s="5"/>
      <c r="O869" s="5"/>
      <c r="P869" s="5"/>
      <c r="Q869" s="5"/>
      <c r="R869" s="5"/>
      <c r="S869" s="5"/>
      <c r="T869" s="5"/>
      <c r="U869" s="5"/>
      <c r="V869" s="46"/>
      <c r="W869" s="1480">
        <v>150000</v>
      </c>
      <c r="X869" s="1480"/>
      <c r="Y869" s="1480"/>
      <c r="Z869" s="1480"/>
      <c r="AA869" s="1480"/>
      <c r="AB869" s="1480"/>
      <c r="AC869" s="1480"/>
      <c r="AU869" s="4"/>
      <c r="AZ869" s="34"/>
      <c r="BA869" s="34"/>
      <c r="BB869" s="34"/>
      <c r="BC869" s="34"/>
    </row>
    <row r="870" spans="3:55" ht="13" customHeight="1">
      <c r="J870" s="45" t="s">
        <v>519</v>
      </c>
      <c r="K870" s="5"/>
      <c r="L870" s="5"/>
      <c r="M870" s="5"/>
      <c r="N870" s="5"/>
      <c r="O870" s="5"/>
      <c r="P870" s="5"/>
      <c r="Q870" s="5"/>
      <c r="R870" s="5"/>
      <c r="S870" s="5"/>
      <c r="T870" s="5"/>
      <c r="U870" s="5"/>
      <c r="V870" s="46"/>
      <c r="W870" s="1480">
        <v>157800</v>
      </c>
      <c r="X870" s="1480"/>
      <c r="Y870" s="1480"/>
      <c r="Z870" s="1480"/>
      <c r="AA870" s="1480"/>
      <c r="AB870" s="1480"/>
      <c r="AC870" s="1480"/>
      <c r="AU870" s="4"/>
      <c r="AZ870" s="34"/>
      <c r="BA870" s="34"/>
      <c r="BB870" s="34"/>
      <c r="BC870" s="34"/>
    </row>
    <row r="871" spans="3:55" ht="13"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2">
        <f>SUM(W865:AC871)</f>
        <v>557800</v>
      </c>
      <c r="X872" s="1702"/>
      <c r="Y872" s="1702"/>
      <c r="Z872" s="1702"/>
      <c r="AA872" s="1702"/>
      <c r="AB872" s="1702"/>
      <c r="AC872" s="17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2" t="s">
        <v>2702</v>
      </c>
      <c r="N874" s="1593"/>
      <c r="O874" s="1593"/>
      <c r="P874" s="1593"/>
      <c r="Q874" s="1593"/>
      <c r="R874" s="1593"/>
      <c r="S874" s="1593"/>
      <c r="T874" s="1593"/>
      <c r="U874" s="1593"/>
      <c r="V874" s="1594"/>
      <c r="W874" s="1465">
        <v>25000</v>
      </c>
      <c r="X874" s="1466"/>
      <c r="Y874" s="1466"/>
      <c r="Z874" s="1466"/>
      <c r="AA874" s="1466"/>
      <c r="AB874" s="1466"/>
      <c r="AC874" s="1467"/>
      <c r="AD874" s="534"/>
      <c r="AV874" s="14"/>
      <c r="AW874" s="14"/>
      <c r="AX874" s="14"/>
      <c r="AY874" s="14"/>
      <c r="AZ874" s="34"/>
      <c r="BA874" s="34"/>
      <c r="BB874" s="34"/>
      <c r="BC874" s="34"/>
    </row>
    <row r="875" spans="3:55" ht="13"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4"/>
      <c r="AV875" s="14"/>
      <c r="AW875" s="14"/>
      <c r="AX875" s="14"/>
      <c r="AY875" s="14"/>
      <c r="AZ875" s="34"/>
      <c r="BA875" s="34"/>
      <c r="BB875" s="34"/>
      <c r="BC875" s="34"/>
    </row>
    <row r="876" spans="3:55" ht="13"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4">
        <f>SUM(W874:AC878)</f>
        <v>25000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1502800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260</v>
      </c>
      <c r="AD884" s="1713"/>
      <c r="AE884" s="1713"/>
      <c r="AF884" s="1713"/>
      <c r="AG884" s="1713"/>
      <c r="AH884" s="1714"/>
      <c r="AL884" s="4"/>
      <c r="AM884" s="4"/>
      <c r="AN884" s="4"/>
      <c r="AO884" s="4"/>
      <c r="AP884" s="4"/>
      <c r="AQ884" s="4"/>
      <c r="AR884" s="4"/>
      <c r="AS884" s="4"/>
      <c r="AT884" s="4"/>
      <c r="AZ884" s="34"/>
      <c r="BA884" s="34"/>
      <c r="BB884" s="34"/>
      <c r="BC884" s="34"/>
    </row>
    <row r="885" spans="3:55" ht="13"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5780</v>
      </c>
      <c r="AD885" s="1702"/>
      <c r="AE885" s="1702"/>
      <c r="AF885" s="1702"/>
      <c r="AG885" s="1702"/>
      <c r="AH885" s="17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v>1154808</v>
      </c>
      <c r="AD886" s="1716"/>
      <c r="AE886" s="1716"/>
      <c r="AF886" s="1716"/>
      <c r="AG886" s="1716"/>
      <c r="AH886" s="171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25000</v>
      </c>
      <c r="AD888" s="1466"/>
      <c r="AE888" s="1466"/>
      <c r="AF888" s="1466"/>
      <c r="AG888" s="1466"/>
      <c r="AH888" s="146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65000</v>
      </c>
      <c r="AD889" s="1466"/>
      <c r="AE889" s="1466"/>
      <c r="AF889" s="1466"/>
      <c r="AG889" s="1466"/>
      <c r="AH889" s="146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3" hidden="1" customHeight="1">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3"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3"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8"/>
      <c r="BE899" s="1628"/>
      <c r="BF899" s="14"/>
    </row>
    <row r="900" spans="1:58" ht="13"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8"/>
      <c r="BE900" s="1628"/>
      <c r="BF900" s="14"/>
    </row>
    <row r="901" spans="1:58" ht="13"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7"/>
      <c r="BE901" s="162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f>AM554+AM555</f>
        <v>80300000</v>
      </c>
      <c r="AB918" s="1408"/>
      <c r="AC918" s="1408"/>
      <c r="AD918" s="1408"/>
      <c r="AE918" s="1408"/>
      <c r="AF918" s="140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f>AM556</f>
        <v>13693154</v>
      </c>
      <c r="AB919" s="1408"/>
      <c r="AC919" s="1408"/>
      <c r="AD919" s="1408"/>
      <c r="AE919" s="1408"/>
      <c r="AF919" s="140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c r="F926" s="1600" t="s">
        <v>2195</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3"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0" t="s">
        <v>2196</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0" t="s">
        <v>2197</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0" t="s">
        <v>2198</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0" t="s">
        <v>2199</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0" t="s">
        <v>2200</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3"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c r="F936" s="1638" t="s">
        <v>2204</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3" customHeight="1">
      <c r="F937" s="1638" t="s">
        <v>2205</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3" customHeight="1">
      <c r="F938" s="1600" t="s">
        <v>2201</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3" customHeight="1">
      <c r="F939" s="1600" t="s">
        <v>2202</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3" customHeight="1">
      <c r="F940" s="1600" t="s">
        <v>2203</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c r="F942" s="1638" t="s">
        <v>2206</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c r="F944" s="1638" t="s">
        <v>2207</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3"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c r="F946" s="1600" t="s">
        <v>2194</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3"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3"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3"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3"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 customHeight="1">
      <c r="F975" s="1547" t="s">
        <v>33</v>
      </c>
      <c r="G975" s="1357"/>
      <c r="H975" s="1357"/>
      <c r="I975" s="1357"/>
      <c r="J975" s="1357"/>
      <c r="K975" s="1357"/>
      <c r="L975" s="1357"/>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3" customHeight="1">
      <c r="A986" s="14"/>
      <c r="B986" s="73"/>
      <c r="C986" s="930"/>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93</v>
      </c>
      <c r="AC987" s="1390"/>
      <c r="AD987" s="1390"/>
      <c r="AE987" s="1390"/>
      <c r="AF987" s="1390"/>
      <c r="AG987" s="1390"/>
      <c r="AH987" s="1390"/>
      <c r="AI987" s="1391"/>
      <c r="AJ987" s="1487">
        <f>IF(ISERROR((R987*AB987)),0,(R987*AB987))</f>
        <v>57051780</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102</v>
      </c>
      <c r="AC988" s="1390"/>
      <c r="AD988" s="1390"/>
      <c r="AE988" s="1390"/>
      <c r="AF988" s="1390"/>
      <c r="AG988" s="1390"/>
      <c r="AH988" s="1390"/>
      <c r="AI988" s="1391"/>
      <c r="AJ988" s="1487">
        <f>IF(ISERROR((R988*AB988)),0,(R988*AB988))</f>
        <v>75480000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65</v>
      </c>
      <c r="AC989" s="1390"/>
      <c r="AD989" s="1390"/>
      <c r="AE989" s="1390"/>
      <c r="AF989" s="1390"/>
      <c r="AG989" s="1390"/>
      <c r="AH989" s="1390"/>
      <c r="AI989" s="1391"/>
      <c r="AJ989" s="1487">
        <f>IF(ISERROR((R989*AB989)),0,(R989*AB989))</f>
        <v>61568000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260</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194099780</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8"/>
      <c r="C995" s="257"/>
      <c r="D995" s="1538" t="s">
        <v>2239</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8"/>
      <c r="C1000" s="257"/>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257</v>
      </c>
      <c r="AZ1003" s="34"/>
      <c r="BB1003" s="34"/>
    </row>
    <row r="1004" spans="1:55" ht="13" customHeight="1">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0.1</v>
      </c>
      <c r="AZ1005" s="34"/>
      <c r="BB1005" s="34"/>
    </row>
    <row r="1006" spans="1:55" ht="13"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0.1</v>
      </c>
      <c r="AZ1006" s="34"/>
      <c r="BB1006" s="34"/>
    </row>
    <row r="1007" spans="1:55" ht="13" customHeight="1">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546</v>
      </c>
      <c r="AH1007" s="1502"/>
      <c r="AI1007" s="87"/>
      <c r="AJ1007" s="1392">
        <f>ROUND(IF(AG1007="yes",AJ992*0.1,0),0)</f>
        <v>19409978</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3" customHeight="1">
      <c r="A1016" s="14"/>
      <c r="B1016" s="79"/>
      <c r="C1016" s="80" t="s">
        <v>218</v>
      </c>
      <c r="D1016" s="1503" t="s">
        <v>2240</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546</v>
      </c>
      <c r="AH1025" s="1502"/>
      <c r="AI1025" s="87"/>
      <c r="AJ1025" s="1392">
        <f>ROUND(IF(AG1025="Yes",AF1027,0),0)</f>
        <v>9485591</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Enter Amount:</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v>9485591</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2">
        <f>ROUND(IF(AG1029="yes",(AJ992*0.1),0),0)</f>
        <v>19409978</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546</v>
      </c>
      <c r="AH1036" s="1582"/>
      <c r="AI1036" s="83"/>
      <c r="AJ1036" s="1392">
        <f>ROUND(IF(AND(AG1036="yes",AJ1032=0),(AJ992*0.1),0),0)</f>
        <v>19409978</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0.20233463035019456</v>
      </c>
      <c r="BB1039" s="3" t="s">
        <v>2497</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546</v>
      </c>
      <c r="AH1041" s="1502"/>
      <c r="AI1041" s="87"/>
      <c r="AJ1041" s="1392">
        <f>ROUND(IF(AG1041="yes",(AJ992*0.1),0),0)</f>
        <v>19409978</v>
      </c>
      <c r="AK1041" s="1393"/>
      <c r="AL1041" s="1393"/>
      <c r="AM1041" s="1393"/>
      <c r="AN1041" s="1393"/>
      <c r="AO1041" s="1393"/>
      <c r="AP1041" s="1393"/>
      <c r="AQ1041" s="1394"/>
      <c r="AR1041" s="68"/>
      <c r="AS1041" s="68"/>
      <c r="AT1041" s="68"/>
      <c r="AU1041" s="68"/>
      <c r="AV1041" s="68"/>
      <c r="AW1041" s="68"/>
      <c r="AX1041" s="68"/>
      <c r="AY1041" s="68"/>
      <c r="BA1041">
        <f>Q212</f>
        <v>0</v>
      </c>
      <c r="BB1041" s="3" t="s">
        <v>2495</v>
      </c>
    </row>
    <row r="1042" spans="1:56" ht="13"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2496</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19409978</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17878312.5</v>
      </c>
      <c r="BA1046" s="1184">
        <f>IF(BA1040,20%,15%)</f>
        <v>0.15</v>
      </c>
      <c r="BB1046" s="3" t="s">
        <v>2483</v>
      </c>
      <c r="BC1046" s="3" t="s">
        <v>2484</v>
      </c>
      <c r="BD1046" s="3"/>
    </row>
    <row r="1047" spans="1:56" ht="13" customHeight="1">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69">
        <f>AY1003</f>
        <v>257</v>
      </c>
      <c r="J1048" s="1570"/>
      <c r="K1048" s="7"/>
      <c r="L1048" s="133"/>
      <c r="M1048" s="133"/>
      <c r="N1048" s="133"/>
      <c r="O1048" s="133"/>
      <c r="P1048" s="133"/>
      <c r="Q1048" s="133"/>
      <c r="R1048" s="133"/>
      <c r="S1048" s="133"/>
      <c r="T1048" s="133"/>
      <c r="U1048" s="133"/>
      <c r="V1048" s="134" t="s">
        <v>974</v>
      </c>
      <c r="W1048" s="48"/>
      <c r="X1048" s="1567">
        <f>CI753</f>
        <v>26</v>
      </c>
      <c r="Y1048" s="1568"/>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2483</v>
      </c>
      <c r="BC1048" s="3" t="s">
        <v>2486</v>
      </c>
      <c r="BD1048" s="3"/>
    </row>
    <row r="1049" spans="1:56" ht="13" customHeight="1">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38819956</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69">
        <f>AY1003</f>
        <v>257</v>
      </c>
      <c r="J1052" s="1570"/>
      <c r="K1052" s="14"/>
      <c r="L1052" s="133"/>
      <c r="M1052" s="133"/>
      <c r="N1052" s="133"/>
      <c r="O1052" s="133"/>
      <c r="P1052" s="133"/>
      <c r="Q1052" s="133"/>
      <c r="R1052" s="133"/>
      <c r="S1052" s="133"/>
      <c r="T1052" s="133"/>
      <c r="U1052" s="133"/>
      <c r="V1052" s="134" t="s">
        <v>975</v>
      </c>
      <c r="X1052" s="1567">
        <f>CM753</f>
        <v>26</v>
      </c>
      <c r="Y1052" s="1568"/>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339455217</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8">
        <f>'Sources and Uses Budget'!S107+'Sources and Uses Budget'!T107</f>
        <v>137067061</v>
      </c>
      <c r="AB1056" s="1848"/>
      <c r="AC1056" s="1848"/>
      <c r="AD1056" s="1848"/>
      <c r="AE1056" s="1848"/>
      <c r="AF1056" s="1848"/>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17878312.5</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9">
        <f>IFERROR((AA1056-BA1059)/(AJ1053-AJ1045-AJ1049),"")</f>
        <v>0.43270913874411499</v>
      </c>
      <c r="AB1057" s="1850"/>
      <c r="AC1057" s="1850"/>
      <c r="AD1057" s="1850"/>
      <c r="AE1057" s="1850"/>
      <c r="AF1057" s="1851"/>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7">
        <f>'Sources and Uses Budget'!$S$104+'Sources and Uses Budget'!$T$104</f>
        <v>17878311</v>
      </c>
      <c r="BB1058" s="3" t="s">
        <v>2498</v>
      </c>
    </row>
    <row r="1059" spans="1:54" ht="13" customHeight="1">
      <c r="A1059" s="14"/>
      <c r="B1059" s="14"/>
      <c r="C1059" s="209"/>
      <c r="D1059" s="859"/>
      <c r="E1059" s="859"/>
      <c r="F1059" s="859"/>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8">
        <f>MAX($BA$1058-$BA$1055,0)</f>
        <v>15378311</v>
      </c>
      <c r="BB1059" s="3" t="s">
        <v>2499</v>
      </c>
    </row>
    <row r="1060" spans="1:54" ht="13" customHeight="1">
      <c r="A1060" s="88"/>
      <c r="B1060" s="1174"/>
      <c r="C1060" s="1174"/>
      <c r="D1060" s="1174"/>
      <c r="E1060" s="1174"/>
      <c r="F1060" s="1174"/>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4"/>
      <c r="AP1060" s="1174"/>
      <c r="AQ1060" s="68"/>
      <c r="AR1060" s="68"/>
      <c r="AS1060" s="68"/>
      <c r="AT1060" s="68"/>
      <c r="AU1060" s="68"/>
      <c r="AV1060" s="68"/>
      <c r="AW1060" s="68"/>
      <c r="AX1060" s="68"/>
      <c r="AY1060" s="68"/>
    </row>
    <row r="1061" spans="1:54" ht="13"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bxZ/WwmGUskr8RlH4nW0AxwhFrh/NGxXqnJX89Kl50TYE/n9eLTRj8jds3rzmT9xKBpSk8iN0RPqAh9y5h5ENw==" saltValue="HonbKCCezlkRtdzP9YbKI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5" workbookViewId="0">
      <selection activeCell="M111" sqref="M111"/>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56" t="s">
        <v>622</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374</v>
      </c>
      <c r="D2" s="138" t="s">
        <v>373</v>
      </c>
      <c r="E2" s="138" t="s">
        <v>24</v>
      </c>
      <c r="F2" s="139" t="str">
        <f>Application!B627&amp;Application!C627</f>
        <v>1)Berkadia/Fannie Mae MTEB</v>
      </c>
      <c r="G2" s="139" t="str">
        <f>Application!B628&amp;Application!C628</f>
        <v>2)Lease Up Income</v>
      </c>
      <c r="H2" s="139" t="str">
        <f>Application!B629&amp;Application!C629</f>
        <v>3)Ground Lease TI Contribution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74296800</v>
      </c>
      <c r="C30" s="147">
        <v>74296800</v>
      </c>
      <c r="D30" s="147"/>
      <c r="E30" s="147">
        <v>60577582</v>
      </c>
      <c r="F30" s="147">
        <f>C30-E30</f>
        <v>13719218</v>
      </c>
      <c r="G30" s="147"/>
      <c r="H30" s="147"/>
      <c r="I30" s="147"/>
      <c r="J30" s="147"/>
      <c r="K30" s="147"/>
      <c r="L30" s="147"/>
      <c r="M30" s="147"/>
      <c r="N30" s="147"/>
      <c r="O30" s="147"/>
      <c r="P30" s="147"/>
      <c r="Q30" s="147"/>
      <c r="R30" s="517">
        <f t="shared" si="7"/>
        <v>74296800</v>
      </c>
      <c r="S30" s="147">
        <f>R30</f>
        <v>74296800</v>
      </c>
      <c r="T30" s="147"/>
      <c r="U30" s="143"/>
    </row>
    <row r="31" spans="1:21" s="144" customFormat="1">
      <c r="A31" s="145" t="s">
        <v>601</v>
      </c>
      <c r="B31" s="146">
        <f t="shared" si="6"/>
        <v>5943744</v>
      </c>
      <c r="C31" s="147">
        <v>5943744</v>
      </c>
      <c r="D31" s="147"/>
      <c r="E31" s="147"/>
      <c r="F31" s="147">
        <f>C31</f>
        <v>5943744</v>
      </c>
      <c r="G31" s="147"/>
      <c r="H31" s="147"/>
      <c r="I31" s="147"/>
      <c r="J31" s="147"/>
      <c r="K31" s="147"/>
      <c r="L31" s="147"/>
      <c r="M31" s="147"/>
      <c r="N31" s="147"/>
      <c r="O31" s="147"/>
      <c r="P31" s="147"/>
      <c r="Q31" s="147"/>
      <c r="R31" s="517">
        <f t="shared" si="7"/>
        <v>5943744</v>
      </c>
      <c r="S31" s="147">
        <f>R31</f>
        <v>5943744</v>
      </c>
      <c r="T31" s="147"/>
      <c r="U31" s="143"/>
    </row>
    <row r="32" spans="1:21" s="144" customFormat="1">
      <c r="A32" s="145" t="s">
        <v>137</v>
      </c>
      <c r="B32" s="146">
        <f t="shared" si="6"/>
        <v>3209622</v>
      </c>
      <c r="C32" s="147">
        <v>3209622</v>
      </c>
      <c r="D32" s="147"/>
      <c r="E32" s="147"/>
      <c r="F32" s="147">
        <f>C32</f>
        <v>3209622</v>
      </c>
      <c r="G32" s="147"/>
      <c r="H32" s="147"/>
      <c r="I32" s="147"/>
      <c r="J32" s="147"/>
      <c r="K32" s="147"/>
      <c r="L32" s="147"/>
      <c r="M32" s="147"/>
      <c r="N32" s="147"/>
      <c r="O32" s="147"/>
      <c r="P32" s="147"/>
      <c r="Q32" s="147"/>
      <c r="R32" s="517">
        <f t="shared" si="7"/>
        <v>3209622</v>
      </c>
      <c r="S32" s="147">
        <f>R32</f>
        <v>3209622</v>
      </c>
      <c r="T32" s="147"/>
      <c r="U32" s="143"/>
    </row>
    <row r="33" spans="1:21" s="144" customFormat="1">
      <c r="A33" s="145" t="s">
        <v>138</v>
      </c>
      <c r="B33" s="146">
        <f t="shared" si="6"/>
        <v>1604811</v>
      </c>
      <c r="C33" s="147">
        <v>1604811</v>
      </c>
      <c r="D33" s="147"/>
      <c r="E33" s="147"/>
      <c r="F33" s="147">
        <f>C33</f>
        <v>1604811</v>
      </c>
      <c r="G33" s="147"/>
      <c r="H33" s="147"/>
      <c r="I33" s="147"/>
      <c r="J33" s="147"/>
      <c r="K33" s="147"/>
      <c r="L33" s="147"/>
      <c r="M33" s="147"/>
      <c r="N33" s="147"/>
      <c r="O33" s="147"/>
      <c r="P33" s="147"/>
      <c r="Q33" s="147"/>
      <c r="R33" s="517">
        <f t="shared" si="7"/>
        <v>1604811</v>
      </c>
      <c r="S33" s="147">
        <f>R33</f>
        <v>1604811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1339616</v>
      </c>
      <c r="C35" s="147">
        <v>1339616</v>
      </c>
      <c r="D35" s="147"/>
      <c r="E35" s="147"/>
      <c r="F35" s="147">
        <f>C35</f>
        <v>1339616</v>
      </c>
      <c r="G35" s="147"/>
      <c r="H35" s="147"/>
      <c r="I35" s="147"/>
      <c r="J35" s="147"/>
      <c r="K35" s="147"/>
      <c r="L35" s="147"/>
      <c r="M35" s="147"/>
      <c r="N35" s="147"/>
      <c r="O35" s="147"/>
      <c r="P35" s="147"/>
      <c r="Q35" s="147"/>
      <c r="R35" s="517">
        <f t="shared" si="7"/>
        <v>1339616</v>
      </c>
      <c r="S35" s="147">
        <f>R35</f>
        <v>1339616</v>
      </c>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86394593</v>
      </c>
      <c r="C38" s="146">
        <f>SUM(C29:C37)</f>
        <v>86394593</v>
      </c>
      <c r="D38" s="146">
        <f t="shared" ref="D38:Q38" si="8">SUM(D29:D37)</f>
        <v>0</v>
      </c>
      <c r="E38" s="146">
        <f t="shared" si="8"/>
        <v>60577582</v>
      </c>
      <c r="F38" s="146">
        <f t="shared" si="8"/>
        <v>25817011</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86394593</v>
      </c>
      <c r="S38" s="150">
        <f>SUM(S29:S37)</f>
        <v>86394593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2500000</v>
      </c>
      <c r="C40" s="147">
        <v>2500000</v>
      </c>
      <c r="D40" s="147"/>
      <c r="E40" s="147"/>
      <c r="F40" s="147">
        <f>C40</f>
        <v>2500000</v>
      </c>
      <c r="G40" s="147"/>
      <c r="H40" s="147"/>
      <c r="I40" s="147"/>
      <c r="J40" s="147"/>
      <c r="K40" s="147"/>
      <c r="L40" s="147"/>
      <c r="M40" s="147"/>
      <c r="N40" s="147"/>
      <c r="O40" s="147"/>
      <c r="P40" s="147"/>
      <c r="Q40" s="147"/>
      <c r="R40" s="517">
        <f>SUM(E40:Q40)</f>
        <v>2500000</v>
      </c>
      <c r="S40" s="147">
        <f>R40</f>
        <v>2500000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7">
        <f>SUM(E41:Q41)</f>
        <v>500000</v>
      </c>
      <c r="S41" s="147">
        <f>R41</f>
        <v>500000</v>
      </c>
      <c r="T41" s="147"/>
      <c r="U41" s="143"/>
    </row>
    <row r="42" spans="1:21" s="144" customFormat="1">
      <c r="A42" s="149" t="s">
        <v>147</v>
      </c>
      <c r="B42" s="146">
        <f>SUM(C42:D42)</f>
        <v>3000000</v>
      </c>
      <c r="C42" s="146">
        <f>SUM(C39:C41)</f>
        <v>3000000</v>
      </c>
      <c r="D42" s="146">
        <f>SUM(D39:D41)</f>
        <v>0</v>
      </c>
      <c r="E42" s="146">
        <f t="shared" ref="E42:T42" si="9">SUM(E40:E41)</f>
        <v>0</v>
      </c>
      <c r="F42" s="146">
        <f t="shared" si="9"/>
        <v>3000000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3000000</v>
      </c>
      <c r="S42" s="150">
        <f t="shared" si="9"/>
        <v>3000000</v>
      </c>
      <c r="T42" s="150">
        <f t="shared" si="9"/>
        <v>0</v>
      </c>
      <c r="U42" s="143"/>
    </row>
    <row r="43" spans="1:21" s="144" customFormat="1">
      <c r="A43" s="149" t="s">
        <v>148</v>
      </c>
      <c r="B43" s="146">
        <f>SUM(C43:D43)</f>
        <v>1500000</v>
      </c>
      <c r="C43" s="147">
        <v>1500000</v>
      </c>
      <c r="D43" s="147"/>
      <c r="E43" s="147"/>
      <c r="F43" s="147">
        <f>C43</f>
        <v>1500000</v>
      </c>
      <c r="G43" s="147"/>
      <c r="H43" s="147"/>
      <c r="I43" s="147"/>
      <c r="J43" s="147"/>
      <c r="K43" s="147"/>
      <c r="L43" s="147"/>
      <c r="M43" s="147"/>
      <c r="N43" s="147"/>
      <c r="O43" s="147"/>
      <c r="P43" s="147"/>
      <c r="Q43" s="147"/>
      <c r="R43" s="517">
        <f>SUM(E43:Q43)</f>
        <v>1500000</v>
      </c>
      <c r="S43" s="147">
        <f>R43</f>
        <v>1500000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10450363</v>
      </c>
      <c r="C45" s="147">
        <v>10450363</v>
      </c>
      <c r="D45" s="147"/>
      <c r="E45" s="147"/>
      <c r="F45" s="147">
        <f t="shared" ref="F45:F51" si="11">C45</f>
        <v>10450363</v>
      </c>
      <c r="G45" s="147"/>
      <c r="H45" s="147"/>
      <c r="I45" s="147"/>
      <c r="J45" s="147"/>
      <c r="K45" s="147"/>
      <c r="L45" s="147"/>
      <c r="M45" s="147"/>
      <c r="N45" s="147"/>
      <c r="O45" s="147"/>
      <c r="P45" s="147"/>
      <c r="Q45" s="147"/>
      <c r="R45" s="517">
        <f t="shared" ref="R45:R53" si="12">SUM(E45:Q45)</f>
        <v>10450363</v>
      </c>
      <c r="S45" s="147">
        <f>R45</f>
        <v>10450363</v>
      </c>
      <c r="T45" s="147"/>
      <c r="U45" s="143"/>
    </row>
    <row r="46" spans="1:21" s="144" customFormat="1">
      <c r="A46" s="145" t="s">
        <v>151</v>
      </c>
      <c r="B46" s="146">
        <f t="shared" si="10"/>
        <v>704949</v>
      </c>
      <c r="C46" s="147">
        <v>704949</v>
      </c>
      <c r="D46" s="147"/>
      <c r="E46" s="147"/>
      <c r="F46" s="147">
        <f t="shared" si="11"/>
        <v>704949</v>
      </c>
      <c r="G46" s="147"/>
      <c r="H46" s="147"/>
      <c r="I46" s="147"/>
      <c r="J46" s="147"/>
      <c r="K46" s="147"/>
      <c r="L46" s="147"/>
      <c r="M46" s="147"/>
      <c r="N46" s="147"/>
      <c r="O46" s="147"/>
      <c r="P46" s="147"/>
      <c r="Q46" s="147"/>
      <c r="R46" s="517">
        <f t="shared" si="12"/>
        <v>704949</v>
      </c>
      <c r="S46" s="147">
        <f>R46</f>
        <v>704949</v>
      </c>
      <c r="T46" s="147"/>
      <c r="U46" s="143"/>
    </row>
    <row r="47" spans="1:21" s="144" customFormat="1">
      <c r="A47" s="186" t="s">
        <v>152</v>
      </c>
      <c r="B47" s="146">
        <f t="shared" si="10"/>
        <v>25000</v>
      </c>
      <c r="C47" s="147">
        <v>25000</v>
      </c>
      <c r="D47" s="147"/>
      <c r="E47" s="147"/>
      <c r="F47" s="147">
        <f t="shared" si="11"/>
        <v>25000</v>
      </c>
      <c r="G47" s="147"/>
      <c r="H47" s="147"/>
      <c r="I47" s="147"/>
      <c r="J47" s="147"/>
      <c r="K47" s="147"/>
      <c r="L47" s="147"/>
      <c r="M47" s="147"/>
      <c r="N47" s="147"/>
      <c r="O47" s="147"/>
      <c r="P47" s="147"/>
      <c r="Q47" s="147"/>
      <c r="R47" s="517">
        <f t="shared" si="12"/>
        <v>25000</v>
      </c>
      <c r="S47" s="147">
        <f>R47</f>
        <v>25000</v>
      </c>
      <c r="T47" s="147"/>
      <c r="U47" s="143"/>
    </row>
    <row r="48" spans="1:21" s="144" customFormat="1">
      <c r="A48" s="145" t="s">
        <v>153</v>
      </c>
      <c r="B48" s="146">
        <f t="shared" si="10"/>
        <v>469966</v>
      </c>
      <c r="C48" s="147">
        <v>469966</v>
      </c>
      <c r="D48" s="147"/>
      <c r="E48" s="147"/>
      <c r="F48" s="147">
        <f t="shared" si="11"/>
        <v>469966</v>
      </c>
      <c r="G48" s="147"/>
      <c r="H48" s="147"/>
      <c r="I48" s="147"/>
      <c r="J48" s="147"/>
      <c r="K48" s="147"/>
      <c r="L48" s="147"/>
      <c r="M48" s="147"/>
      <c r="N48" s="147"/>
      <c r="O48" s="147"/>
      <c r="P48" s="147"/>
      <c r="Q48" s="147"/>
      <c r="R48" s="517">
        <f t="shared" si="12"/>
        <v>469966</v>
      </c>
      <c r="S48" s="147">
        <v>234983</v>
      </c>
      <c r="T48" s="147"/>
      <c r="U48" s="143"/>
    </row>
    <row r="49" spans="1:21" s="144" customFormat="1">
      <c r="A49" s="145" t="s">
        <v>57</v>
      </c>
      <c r="B49" s="146">
        <f t="shared" si="10"/>
        <v>576016</v>
      </c>
      <c r="C49" s="147">
        <v>576016</v>
      </c>
      <c r="D49" s="147"/>
      <c r="E49" s="147"/>
      <c r="F49" s="147">
        <f t="shared" si="11"/>
        <v>576016</v>
      </c>
      <c r="G49" s="147"/>
      <c r="H49" s="147"/>
      <c r="I49" s="147"/>
      <c r="J49" s="147"/>
      <c r="K49" s="147"/>
      <c r="L49" s="147"/>
      <c r="M49" s="147"/>
      <c r="N49" s="147"/>
      <c r="O49" s="147"/>
      <c r="P49" s="147"/>
      <c r="Q49" s="147"/>
      <c r="R49" s="517">
        <f t="shared" si="12"/>
        <v>576016</v>
      </c>
      <c r="S49" s="147">
        <f>R49</f>
        <v>576016</v>
      </c>
      <c r="T49" s="147"/>
      <c r="U49" s="143"/>
    </row>
    <row r="50" spans="1:21" s="144" customFormat="1">
      <c r="A50" s="145" t="s">
        <v>156</v>
      </c>
      <c r="B50" s="146">
        <f t="shared" si="10"/>
        <v>75000</v>
      </c>
      <c r="C50" s="147">
        <v>75000</v>
      </c>
      <c r="D50" s="147"/>
      <c r="E50" s="147"/>
      <c r="F50" s="147">
        <f t="shared" si="11"/>
        <v>75000</v>
      </c>
      <c r="G50" s="147"/>
      <c r="H50" s="147"/>
      <c r="I50" s="147"/>
      <c r="J50" s="147"/>
      <c r="K50" s="147"/>
      <c r="L50" s="147"/>
      <c r="M50" s="147"/>
      <c r="N50" s="147"/>
      <c r="O50" s="147"/>
      <c r="P50" s="147"/>
      <c r="Q50" s="147"/>
      <c r="R50" s="517">
        <f t="shared" si="12"/>
        <v>75000</v>
      </c>
      <c r="S50" s="147">
        <f>R50</f>
        <v>75000</v>
      </c>
      <c r="T50" s="147"/>
      <c r="U50" s="143"/>
    </row>
    <row r="51" spans="1:21" s="144" customFormat="1">
      <c r="A51" s="284" t="s">
        <v>154</v>
      </c>
      <c r="B51" s="146">
        <f t="shared" si="10"/>
        <v>350000</v>
      </c>
      <c r="C51" s="147">
        <v>350000</v>
      </c>
      <c r="D51" s="147"/>
      <c r="E51" s="147"/>
      <c r="F51" s="147">
        <f t="shared" si="11"/>
        <v>350000</v>
      </c>
      <c r="G51" s="147"/>
      <c r="H51" s="147"/>
      <c r="I51" s="147"/>
      <c r="J51" s="147"/>
      <c r="K51" s="147"/>
      <c r="L51" s="147"/>
      <c r="M51" s="147"/>
      <c r="N51" s="147"/>
      <c r="O51" s="147"/>
      <c r="P51" s="147"/>
      <c r="Q51" s="147"/>
      <c r="R51" s="517">
        <f t="shared" si="12"/>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2"/>
        <v>0</v>
      </c>
      <c r="S52" s="147"/>
      <c r="T52" s="147"/>
      <c r="U52" s="143"/>
    </row>
    <row r="53" spans="1:21" s="144" customFormat="1">
      <c r="A53" s="1151" t="s">
        <v>2722</v>
      </c>
      <c r="B53" s="146">
        <f t="shared" si="10"/>
        <v>410000</v>
      </c>
      <c r="C53" s="147">
        <f>50000+360000</f>
        <v>410000</v>
      </c>
      <c r="D53" s="147"/>
      <c r="E53" s="147"/>
      <c r="F53" s="147">
        <f>C53</f>
        <v>410000</v>
      </c>
      <c r="G53" s="147"/>
      <c r="H53" s="147"/>
      <c r="I53" s="147"/>
      <c r="J53" s="147"/>
      <c r="K53" s="147"/>
      <c r="L53" s="147"/>
      <c r="M53" s="147"/>
      <c r="N53" s="147"/>
      <c r="O53" s="147"/>
      <c r="P53" s="147"/>
      <c r="Q53" s="147"/>
      <c r="R53" s="517">
        <f t="shared" si="12"/>
        <v>410000</v>
      </c>
      <c r="S53" s="147">
        <f>210000+50000</f>
        <v>260000</v>
      </c>
      <c r="T53" s="147"/>
      <c r="U53" s="143"/>
    </row>
    <row r="54" spans="1:21" s="153" customFormat="1">
      <c r="A54" s="149" t="s">
        <v>157</v>
      </c>
      <c r="B54" s="150">
        <f>SUM(C54:D54)</f>
        <v>13061294</v>
      </c>
      <c r="C54" s="150">
        <f t="shared" ref="C54:T54" si="13">SUM(C45:C53)</f>
        <v>13061294</v>
      </c>
      <c r="D54" s="150">
        <f t="shared" si="13"/>
        <v>0</v>
      </c>
      <c r="E54" s="150">
        <f t="shared" si="13"/>
        <v>0</v>
      </c>
      <c r="F54" s="150">
        <f t="shared" si="13"/>
        <v>13061294</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3">
        <f t="shared" si="13"/>
        <v>13061294</v>
      </c>
      <c r="S54" s="150">
        <f t="shared" si="13"/>
        <v>12676311</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443590</v>
      </c>
      <c r="C56" s="147">
        <v>443590</v>
      </c>
      <c r="D56" s="147"/>
      <c r="E56" s="147"/>
      <c r="F56" s="147">
        <f>C56</f>
        <v>443590</v>
      </c>
      <c r="G56" s="147"/>
      <c r="H56" s="147"/>
      <c r="I56" s="147"/>
      <c r="J56" s="147"/>
      <c r="K56" s="147"/>
      <c r="L56" s="147"/>
      <c r="M56" s="147"/>
      <c r="N56" s="147"/>
      <c r="O56" s="147"/>
      <c r="P56" s="147"/>
      <c r="Q56" s="147"/>
      <c r="R56" s="517">
        <f t="shared" ref="R56:R61" si="15">SUM(E56:Q56)</f>
        <v>443590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25000</v>
      </c>
      <c r="C58" s="147">
        <v>25000</v>
      </c>
      <c r="D58" s="147"/>
      <c r="E58" s="147"/>
      <c r="F58" s="147">
        <f>C58</f>
        <v>25000</v>
      </c>
      <c r="G58" s="147"/>
      <c r="H58" s="147"/>
      <c r="I58" s="147"/>
      <c r="J58" s="147"/>
      <c r="K58" s="147"/>
      <c r="L58" s="147"/>
      <c r="M58" s="147"/>
      <c r="N58" s="147"/>
      <c r="O58" s="147"/>
      <c r="P58" s="147"/>
      <c r="Q58" s="147"/>
      <c r="R58" s="517">
        <f t="shared" si="15"/>
        <v>25000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c r="A61" s="1151" t="s">
        <v>34</v>
      </c>
      <c r="B61" s="146">
        <f t="shared" si="14"/>
        <v>0</v>
      </c>
      <c r="C61" s="147"/>
      <c r="D61" s="147"/>
      <c r="E61" s="147"/>
      <c r="F61" s="147"/>
      <c r="G61" s="147"/>
      <c r="H61" s="147"/>
      <c r="I61" s="147"/>
      <c r="J61" s="147"/>
      <c r="K61" s="147"/>
      <c r="L61" s="147"/>
      <c r="M61" s="147"/>
      <c r="N61" s="147"/>
      <c r="O61" s="147"/>
      <c r="P61" s="147"/>
      <c r="Q61" s="147"/>
      <c r="R61" s="517">
        <f t="shared" si="15"/>
        <v>0</v>
      </c>
      <c r="S61" s="148"/>
      <c r="T61" s="148"/>
      <c r="U61" s="143"/>
    </row>
    <row r="62" spans="1:21" s="144" customFormat="1" ht="13.75" customHeight="1">
      <c r="A62" s="149" t="s">
        <v>301</v>
      </c>
      <c r="B62" s="146">
        <f>SUM(C62:D62)</f>
        <v>468590</v>
      </c>
      <c r="C62" s="146">
        <f t="shared" ref="C62:R62" si="16">SUM(C56:C61)</f>
        <v>468590</v>
      </c>
      <c r="D62" s="146">
        <f t="shared" si="16"/>
        <v>0</v>
      </c>
      <c r="E62" s="146">
        <f t="shared" si="16"/>
        <v>0</v>
      </c>
      <c r="F62" s="146">
        <f t="shared" si="16"/>
        <v>468590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468590</v>
      </c>
      <c r="S62" s="148"/>
      <c r="T62" s="148"/>
      <c r="U62" s="143"/>
    </row>
    <row r="63" spans="1:21" s="144" customFormat="1">
      <c r="A63" s="154" t="s">
        <v>302</v>
      </c>
      <c r="B63" s="146">
        <f t="shared" ref="B63:R63" si="17">SUM(B8+B11+B13+B14+B15+B26+B27+B38+B42+B43+B54+B62)</f>
        <v>104424477</v>
      </c>
      <c r="C63" s="146">
        <f t="shared" si="17"/>
        <v>104424477</v>
      </c>
      <c r="D63" s="146">
        <f t="shared" si="17"/>
        <v>0</v>
      </c>
      <c r="E63" s="146">
        <f t="shared" si="17"/>
        <v>60577582</v>
      </c>
      <c r="F63" s="146">
        <f t="shared" si="17"/>
        <v>43846895</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3">
        <f t="shared" si="17"/>
        <v>104424477</v>
      </c>
      <c r="S63" s="146">
        <f>SUM(S10+S13+S14+S15+S26+S27+S38+S42+S43+S54)</f>
        <v>103570904</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f>C65</f>
        <v>90000</v>
      </c>
      <c r="G65" s="147"/>
      <c r="H65" s="147"/>
      <c r="I65" s="147"/>
      <c r="J65" s="147"/>
      <c r="K65" s="147"/>
      <c r="L65" s="147"/>
      <c r="M65" s="147"/>
      <c r="N65" s="147"/>
      <c r="O65" s="147"/>
      <c r="P65" s="147"/>
      <c r="Q65" s="147"/>
      <c r="R65" s="517">
        <f>SUM(E65:Q65)</f>
        <v>90000</v>
      </c>
      <c r="S65" s="147">
        <v>45000</v>
      </c>
      <c r="T65" s="147"/>
      <c r="U65" s="143"/>
    </row>
    <row r="66" spans="1:21" s="144" customFormat="1" ht="24" customHeight="1">
      <c r="A66" s="284" t="s">
        <v>1642</v>
      </c>
      <c r="B66" s="146">
        <f>SUM(C66+D66)</f>
        <v>200000</v>
      </c>
      <c r="C66" s="147">
        <v>200000</v>
      </c>
      <c r="D66" s="147"/>
      <c r="E66" s="147"/>
      <c r="F66" s="147">
        <f>C66</f>
        <v>200000</v>
      </c>
      <c r="G66" s="147"/>
      <c r="H66" s="147"/>
      <c r="I66" s="147"/>
      <c r="J66" s="147"/>
      <c r="K66" s="147"/>
      <c r="L66" s="147"/>
      <c r="M66" s="147"/>
      <c r="N66" s="147"/>
      <c r="O66" s="147"/>
      <c r="P66" s="147"/>
      <c r="Q66" s="147"/>
      <c r="R66" s="517">
        <f>SUM(E66:Q66)</f>
        <v>200000</v>
      </c>
      <c r="S66" s="147">
        <v>100000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2703</v>
      </c>
      <c r="B69" s="146">
        <f>SUM(C69+D69)</f>
        <v>125000</v>
      </c>
      <c r="C69" s="147">
        <v>125000</v>
      </c>
      <c r="D69" s="147"/>
      <c r="E69" s="147"/>
      <c r="F69" s="147">
        <f>C69</f>
        <v>125000</v>
      </c>
      <c r="G69" s="147"/>
      <c r="H69" s="147"/>
      <c r="I69" s="147"/>
      <c r="J69" s="147"/>
      <c r="K69" s="147"/>
      <c r="L69" s="147"/>
      <c r="M69" s="147"/>
      <c r="N69" s="147"/>
      <c r="O69" s="147"/>
      <c r="P69" s="147"/>
      <c r="Q69" s="147"/>
      <c r="R69" s="517">
        <f>SUM(E69:Q69)</f>
        <v>125000</v>
      </c>
      <c r="S69" s="147">
        <f>R69</f>
        <v>125000</v>
      </c>
      <c r="T69" s="147"/>
      <c r="U69" s="143"/>
    </row>
    <row r="70" spans="1:21" s="144" customFormat="1">
      <c r="A70" s="149" t="s">
        <v>1646</v>
      </c>
      <c r="B70" s="146">
        <f>SUM(C70:D70)</f>
        <v>415000</v>
      </c>
      <c r="C70" s="146">
        <f>SUM(C65:C69)</f>
        <v>415000</v>
      </c>
      <c r="D70" s="146">
        <f>SUM(D65:D69)</f>
        <v>0</v>
      </c>
      <c r="E70" s="146">
        <f t="shared" ref="E70:T70" si="18">SUM(E65:E69)</f>
        <v>0</v>
      </c>
      <c r="F70" s="146">
        <f t="shared" si="18"/>
        <v>415000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415000</v>
      </c>
      <c r="S70" s="150">
        <f t="shared" si="18"/>
        <v>270000</v>
      </c>
      <c r="T70" s="150">
        <f t="shared" si="18"/>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1154808</v>
      </c>
      <c r="C75" s="147">
        <v>1154808</v>
      </c>
      <c r="D75" s="147"/>
      <c r="E75" s="147"/>
      <c r="F75" s="147">
        <f>44359000-44261895</f>
        <v>97105</v>
      </c>
      <c r="G75" s="147">
        <f>C75-F75</f>
        <v>1057703</v>
      </c>
      <c r="H75" s="147"/>
      <c r="I75" s="147"/>
      <c r="J75" s="147"/>
      <c r="K75" s="147"/>
      <c r="L75" s="147"/>
      <c r="M75" s="147"/>
      <c r="N75" s="147"/>
      <c r="O75" s="147"/>
      <c r="P75" s="147"/>
      <c r="Q75" s="147"/>
      <c r="R75" s="517">
        <f>SUM(E75:Q75)</f>
        <v>1154808</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1154808</v>
      </c>
      <c r="C77" s="146">
        <f>SUM(C72:C76)</f>
        <v>1154808</v>
      </c>
      <c r="D77" s="146">
        <f>SUM(D72:D76)</f>
        <v>0</v>
      </c>
      <c r="E77" s="146">
        <f t="shared" ref="E77:Q77" si="19">SUM(E72:E76)</f>
        <v>0</v>
      </c>
      <c r="F77" s="146">
        <f t="shared" si="19"/>
        <v>97105</v>
      </c>
      <c r="G77" s="146">
        <f t="shared" si="19"/>
        <v>1057703</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3">
        <f>SUM(R72:R76)</f>
        <v>1154808</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4252749</v>
      </c>
      <c r="C79" s="147">
        <v>4252749</v>
      </c>
      <c r="D79" s="147"/>
      <c r="E79" s="147"/>
      <c r="F79" s="147"/>
      <c r="G79" s="147">
        <f>2434279-1057703</f>
        <v>1376576</v>
      </c>
      <c r="H79" s="147">
        <f>C79-G79</f>
        <v>2876173</v>
      </c>
      <c r="I79" s="147"/>
      <c r="J79" s="147"/>
      <c r="K79" s="147"/>
      <c r="L79" s="147"/>
      <c r="M79" s="147"/>
      <c r="N79" s="147"/>
      <c r="O79" s="147"/>
      <c r="P79" s="147"/>
      <c r="Q79" s="147"/>
      <c r="R79" s="517">
        <f>SUM(E79:Q79)</f>
        <v>4252749</v>
      </c>
      <c r="S79" s="147">
        <f>R79</f>
        <v>4252749</v>
      </c>
      <c r="T79" s="147"/>
      <c r="U79" s="143"/>
    </row>
    <row r="80" spans="1:21" s="144" customFormat="1">
      <c r="A80" s="284" t="s">
        <v>58</v>
      </c>
      <c r="B80" s="146">
        <f>SUM(C80:D80)</f>
        <v>575097</v>
      </c>
      <c r="C80" s="147">
        <v>575097</v>
      </c>
      <c r="D80" s="147"/>
      <c r="E80" s="147"/>
      <c r="F80" s="147"/>
      <c r="G80" s="147"/>
      <c r="H80" s="147"/>
      <c r="I80" s="147">
        <f>C80</f>
        <v>575097</v>
      </c>
      <c r="J80" s="147"/>
      <c r="K80" s="147"/>
      <c r="L80" s="147"/>
      <c r="M80" s="147"/>
      <c r="N80" s="147"/>
      <c r="O80" s="147"/>
      <c r="P80" s="147"/>
      <c r="Q80" s="147"/>
      <c r="R80" s="517">
        <f>SUM(E80:Q80)</f>
        <v>575097</v>
      </c>
      <c r="S80" s="147">
        <f>R80</f>
        <v>575097</v>
      </c>
      <c r="T80" s="147"/>
      <c r="U80" s="143"/>
    </row>
    <row r="81" spans="1:21" s="144" customFormat="1">
      <c r="A81" s="149" t="s">
        <v>1210</v>
      </c>
      <c r="B81" s="146">
        <f>SUM(C81:D81)</f>
        <v>4827846</v>
      </c>
      <c r="C81" s="510">
        <f>SUM(C79:C80)</f>
        <v>4827846</v>
      </c>
      <c r="D81" s="510">
        <f t="shared" ref="D81:T81" si="20">SUM(D79:D80)</f>
        <v>0</v>
      </c>
      <c r="E81" s="510">
        <f t="shared" si="20"/>
        <v>0</v>
      </c>
      <c r="F81" s="510">
        <f t="shared" si="20"/>
        <v>0</v>
      </c>
      <c r="G81" s="510">
        <f t="shared" si="20"/>
        <v>1376576</v>
      </c>
      <c r="H81" s="510">
        <f t="shared" si="20"/>
        <v>2876173</v>
      </c>
      <c r="I81" s="510">
        <f t="shared" si="20"/>
        <v>575097</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4827846</v>
      </c>
      <c r="S81" s="510">
        <f t="shared" si="20"/>
        <v>4827846</v>
      </c>
      <c r="T81" s="510">
        <f t="shared" si="20"/>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1">SUM(C83+D83)</f>
        <v>746349</v>
      </c>
      <c r="C83" s="147">
        <f>712749+11500+22100</f>
        <v>746349</v>
      </c>
      <c r="D83" s="147"/>
      <c r="E83" s="147"/>
      <c r="F83" s="147"/>
      <c r="G83" s="147"/>
      <c r="H83" s="147">
        <f>C83</f>
        <v>746349</v>
      </c>
      <c r="I83" s="147"/>
      <c r="J83" s="147"/>
      <c r="K83" s="147"/>
      <c r="L83" s="147"/>
      <c r="M83" s="147"/>
      <c r="N83" s="147"/>
      <c r="O83" s="147"/>
      <c r="P83" s="147"/>
      <c r="Q83" s="147"/>
      <c r="R83" s="517">
        <f t="shared" ref="R83:R95" si="22">SUM(E83:Q83)</f>
        <v>746349</v>
      </c>
      <c r="S83" s="148"/>
      <c r="T83" s="148"/>
      <c r="U83" s="143"/>
    </row>
    <row r="84" spans="1:21" s="144" customFormat="1">
      <c r="A84" s="145" t="s">
        <v>768</v>
      </c>
      <c r="B84" s="146">
        <f t="shared" si="21"/>
        <v>0</v>
      </c>
      <c r="C84" s="147"/>
      <c r="D84" s="147"/>
      <c r="E84" s="147"/>
      <c r="F84" s="147"/>
      <c r="G84" s="147"/>
      <c r="H84" s="147"/>
      <c r="I84" s="147"/>
      <c r="J84" s="147"/>
      <c r="K84" s="147"/>
      <c r="L84" s="147"/>
      <c r="M84" s="147"/>
      <c r="N84" s="147"/>
      <c r="O84" s="147"/>
      <c r="P84" s="147"/>
      <c r="Q84" s="147"/>
      <c r="R84" s="517">
        <f t="shared" si="22"/>
        <v>0</v>
      </c>
      <c r="S84" s="147"/>
      <c r="T84" s="147"/>
      <c r="U84" s="143"/>
    </row>
    <row r="85" spans="1:21" s="144" customFormat="1">
      <c r="A85" s="145" t="s">
        <v>769</v>
      </c>
      <c r="B85" s="146">
        <f t="shared" si="21"/>
        <v>9880000</v>
      </c>
      <c r="C85" s="147">
        <v>9880000</v>
      </c>
      <c r="D85" s="147"/>
      <c r="E85" s="147"/>
      <c r="F85" s="147"/>
      <c r="G85" s="147"/>
      <c r="H85" s="147">
        <f>C85</f>
        <v>9880000</v>
      </c>
      <c r="I85" s="147"/>
      <c r="J85" s="147"/>
      <c r="K85" s="147"/>
      <c r="L85" s="147"/>
      <c r="M85" s="147"/>
      <c r="N85" s="147"/>
      <c r="O85" s="147"/>
      <c r="P85" s="147"/>
      <c r="Q85" s="147"/>
      <c r="R85" s="517">
        <f t="shared" si="22"/>
        <v>9880000</v>
      </c>
      <c r="S85" s="147">
        <f>R85</f>
        <v>9880000</v>
      </c>
      <c r="T85" s="147"/>
      <c r="U85" s="143"/>
    </row>
    <row r="86" spans="1:21" s="144" customFormat="1">
      <c r="A86" s="145" t="s">
        <v>770</v>
      </c>
      <c r="B86" s="146">
        <f t="shared" si="21"/>
        <v>0</v>
      </c>
      <c r="C86" s="147"/>
      <c r="D86" s="147"/>
      <c r="E86" s="147"/>
      <c r="F86" s="147"/>
      <c r="G86" s="147"/>
      <c r="H86" s="147"/>
      <c r="I86" s="147"/>
      <c r="J86" s="147"/>
      <c r="K86" s="147"/>
      <c r="L86" s="147"/>
      <c r="M86" s="147"/>
      <c r="N86" s="147"/>
      <c r="O86" s="147"/>
      <c r="P86" s="147"/>
      <c r="Q86" s="147"/>
      <c r="R86" s="517">
        <f t="shared" si="22"/>
        <v>0</v>
      </c>
      <c r="S86" s="147"/>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772</v>
      </c>
      <c r="B88" s="146">
        <f t="shared" si="21"/>
        <v>125000</v>
      </c>
      <c r="C88" s="147">
        <v>125000</v>
      </c>
      <c r="D88" s="147"/>
      <c r="E88" s="147"/>
      <c r="F88" s="147"/>
      <c r="G88" s="147"/>
      <c r="H88" s="147">
        <f>C88</f>
        <v>125000</v>
      </c>
      <c r="I88" s="147"/>
      <c r="J88" s="147"/>
      <c r="K88" s="147"/>
      <c r="L88" s="147"/>
      <c r="M88" s="147"/>
      <c r="N88" s="147"/>
      <c r="O88" s="147"/>
      <c r="P88" s="147"/>
      <c r="Q88" s="147"/>
      <c r="R88" s="517">
        <f t="shared" si="22"/>
        <v>125000</v>
      </c>
      <c r="S88" s="148"/>
      <c r="T88" s="148"/>
      <c r="U88" s="143"/>
    </row>
    <row r="89" spans="1:21" s="144" customFormat="1">
      <c r="A89" s="145" t="s">
        <v>773</v>
      </c>
      <c r="B89" s="146">
        <f t="shared" si="21"/>
        <v>550000</v>
      </c>
      <c r="C89" s="147">
        <v>550000</v>
      </c>
      <c r="D89" s="147"/>
      <c r="E89" s="147"/>
      <c r="F89" s="147"/>
      <c r="G89" s="147"/>
      <c r="H89" s="147">
        <f>C89</f>
        <v>550000</v>
      </c>
      <c r="I89" s="147"/>
      <c r="J89" s="147"/>
      <c r="K89" s="147"/>
      <c r="L89" s="147"/>
      <c r="M89" s="147"/>
      <c r="N89" s="147"/>
      <c r="O89" s="147"/>
      <c r="P89" s="147"/>
      <c r="Q89" s="147"/>
      <c r="R89" s="517">
        <f t="shared" si="22"/>
        <v>550000</v>
      </c>
      <c r="S89" s="147">
        <f>R89</f>
        <v>550000</v>
      </c>
      <c r="T89" s="147"/>
      <c r="U89" s="143"/>
    </row>
    <row r="90" spans="1:21" s="144" customFormat="1">
      <c r="A90" s="145" t="s">
        <v>774</v>
      </c>
      <c r="B90" s="146">
        <f t="shared" si="21"/>
        <v>0</v>
      </c>
      <c r="C90" s="147"/>
      <c r="D90" s="147"/>
      <c r="E90" s="147"/>
      <c r="F90" s="147"/>
      <c r="G90" s="147"/>
      <c r="H90" s="147"/>
      <c r="I90" s="147"/>
      <c r="J90" s="147"/>
      <c r="K90" s="147"/>
      <c r="L90" s="147"/>
      <c r="M90" s="147"/>
      <c r="N90" s="147"/>
      <c r="O90" s="147"/>
      <c r="P90" s="147"/>
      <c r="Q90" s="147"/>
      <c r="R90" s="517">
        <f t="shared" si="22"/>
        <v>0</v>
      </c>
      <c r="S90" s="147"/>
      <c r="T90" s="147"/>
      <c r="U90" s="143"/>
    </row>
    <row r="91" spans="1:21" s="144" customFormat="1">
      <c r="A91" s="145" t="s">
        <v>372</v>
      </c>
      <c r="B91" s="146">
        <f t="shared" si="21"/>
        <v>50000</v>
      </c>
      <c r="C91" s="147">
        <v>50000</v>
      </c>
      <c r="D91" s="147"/>
      <c r="E91" s="147"/>
      <c r="F91" s="147"/>
      <c r="G91" s="147"/>
      <c r="H91" s="147">
        <f>C91</f>
        <v>50000</v>
      </c>
      <c r="I91" s="147"/>
      <c r="J91" s="147"/>
      <c r="K91" s="147"/>
      <c r="L91" s="147"/>
      <c r="M91" s="147"/>
      <c r="N91" s="147"/>
      <c r="O91" s="147"/>
      <c r="P91" s="147"/>
      <c r="Q91" s="147"/>
      <c r="R91" s="517">
        <f t="shared" si="22"/>
        <v>50000</v>
      </c>
      <c r="S91" s="147">
        <f>R91</f>
        <v>50000</v>
      </c>
      <c r="T91" s="147"/>
      <c r="U91" s="143"/>
    </row>
    <row r="92" spans="1:21" s="144" customFormat="1">
      <c r="A92" s="284" t="s">
        <v>1212</v>
      </c>
      <c r="B92" s="146">
        <f t="shared" si="21"/>
        <v>40000</v>
      </c>
      <c r="C92" s="147">
        <v>40000</v>
      </c>
      <c r="D92" s="147"/>
      <c r="E92" s="147"/>
      <c r="F92" s="147"/>
      <c r="G92" s="147"/>
      <c r="H92" s="147">
        <f>C92</f>
        <v>40000</v>
      </c>
      <c r="I92" s="147"/>
      <c r="J92" s="147"/>
      <c r="K92" s="147"/>
      <c r="L92" s="147"/>
      <c r="M92" s="147"/>
      <c r="N92" s="147"/>
      <c r="O92" s="147"/>
      <c r="P92" s="147"/>
      <c r="Q92" s="147"/>
      <c r="R92" s="517">
        <f t="shared" si="22"/>
        <v>40000</v>
      </c>
      <c r="S92" s="147">
        <f>R92</f>
        <v>40000</v>
      </c>
      <c r="T92" s="147"/>
      <c r="U92" s="143"/>
    </row>
    <row r="93" spans="1:21" s="144" customFormat="1">
      <c r="A93" s="1151" t="s">
        <v>34</v>
      </c>
      <c r="B93" s="146">
        <f t="shared" si="21"/>
        <v>0</v>
      </c>
      <c r="C93" s="147"/>
      <c r="D93" s="147"/>
      <c r="E93" s="147"/>
      <c r="F93" s="147"/>
      <c r="G93" s="147"/>
      <c r="H93" s="147"/>
      <c r="I93" s="147"/>
      <c r="J93" s="147"/>
      <c r="K93" s="147"/>
      <c r="L93" s="147"/>
      <c r="M93" s="147"/>
      <c r="N93" s="147"/>
      <c r="O93" s="147"/>
      <c r="P93" s="147"/>
      <c r="Q93" s="147"/>
      <c r="R93" s="517">
        <f t="shared" si="22"/>
        <v>0</v>
      </c>
      <c r="S93" s="147"/>
      <c r="T93" s="147"/>
      <c r="U93" s="143"/>
    </row>
    <row r="94" spans="1:21" s="144" customFormat="1">
      <c r="A94" s="1151" t="s">
        <v>34</v>
      </c>
      <c r="B94" s="146">
        <f t="shared" si="21"/>
        <v>0</v>
      </c>
      <c r="C94" s="147"/>
      <c r="D94" s="147"/>
      <c r="E94" s="147"/>
      <c r="F94" s="147"/>
      <c r="G94" s="147"/>
      <c r="H94" s="147"/>
      <c r="I94" s="147"/>
      <c r="J94" s="147"/>
      <c r="K94" s="147"/>
      <c r="L94" s="147"/>
      <c r="M94" s="147"/>
      <c r="N94" s="147"/>
      <c r="O94" s="147"/>
      <c r="P94" s="147"/>
      <c r="Q94" s="147"/>
      <c r="R94" s="517">
        <f t="shared" si="22"/>
        <v>0</v>
      </c>
      <c r="S94" s="147"/>
      <c r="T94" s="147"/>
      <c r="U94" s="143"/>
    </row>
    <row r="95" spans="1:21" s="144" customFormat="1">
      <c r="A95" s="1151" t="s">
        <v>34</v>
      </c>
      <c r="B95" s="146">
        <f t="shared" si="21"/>
        <v>0</v>
      </c>
      <c r="C95" s="147"/>
      <c r="D95" s="147"/>
      <c r="E95" s="147"/>
      <c r="F95" s="147"/>
      <c r="G95" s="147"/>
      <c r="H95" s="147"/>
      <c r="I95" s="147"/>
      <c r="J95" s="147"/>
      <c r="K95" s="147"/>
      <c r="L95" s="147"/>
      <c r="M95" s="147"/>
      <c r="N95" s="147"/>
      <c r="O95" s="147"/>
      <c r="P95" s="147"/>
      <c r="Q95" s="147"/>
      <c r="R95" s="517">
        <f t="shared" si="22"/>
        <v>0</v>
      </c>
      <c r="S95" s="147"/>
      <c r="T95" s="147"/>
      <c r="U95" s="143"/>
    </row>
    <row r="96" spans="1:21" s="144" customFormat="1">
      <c r="A96" s="149" t="s">
        <v>775</v>
      </c>
      <c r="B96" s="146">
        <f>SUM(C96:D96)</f>
        <v>11391349</v>
      </c>
      <c r="C96" s="146">
        <f t="shared" ref="C96:R96" si="23">SUM(C83:C95)</f>
        <v>11391349</v>
      </c>
      <c r="D96" s="146">
        <f t="shared" si="23"/>
        <v>0</v>
      </c>
      <c r="E96" s="146">
        <f t="shared" si="23"/>
        <v>0</v>
      </c>
      <c r="F96" s="146">
        <f t="shared" si="23"/>
        <v>0</v>
      </c>
      <c r="G96" s="146">
        <f t="shared" si="23"/>
        <v>0</v>
      </c>
      <c r="H96" s="146">
        <f t="shared" si="23"/>
        <v>11391349</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11391349</v>
      </c>
      <c r="S96" s="150">
        <f>SUM(S84:S87,S89:S95)</f>
        <v>10520000</v>
      </c>
      <c r="T96" s="146">
        <f>SUM(T84:T87,T89:T95)</f>
        <v>0</v>
      </c>
      <c r="U96" s="143"/>
    </row>
    <row r="97" spans="1:21" s="144" customFormat="1">
      <c r="A97" s="149" t="s">
        <v>776</v>
      </c>
      <c r="B97" s="146">
        <f>SUM(C97:D97)</f>
        <v>122213480</v>
      </c>
      <c r="C97" s="146">
        <f t="shared" ref="C97:R97" si="24">SUM(C63+C70+C77+C81+C96)</f>
        <v>122213480</v>
      </c>
      <c r="D97" s="146">
        <f t="shared" si="24"/>
        <v>0</v>
      </c>
      <c r="E97" s="146">
        <f t="shared" si="24"/>
        <v>60577582</v>
      </c>
      <c r="F97" s="146">
        <f t="shared" si="24"/>
        <v>44359000</v>
      </c>
      <c r="G97" s="146">
        <f t="shared" si="24"/>
        <v>2434279</v>
      </c>
      <c r="H97" s="146">
        <f t="shared" si="24"/>
        <v>14267522</v>
      </c>
      <c r="I97" s="146">
        <f t="shared" si="24"/>
        <v>575097</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122213480</v>
      </c>
      <c r="S97" s="146">
        <f>SUM(S63+S70+S81+S96)</f>
        <v>119188750</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17878311</v>
      </c>
      <c r="C99" s="980">
        <v>17878311</v>
      </c>
      <c r="D99" s="980"/>
      <c r="E99" s="980"/>
      <c r="F99" s="147"/>
      <c r="G99" s="147"/>
      <c r="H99" s="147">
        <f>17800000-14267522</f>
        <v>3532478</v>
      </c>
      <c r="I99" s="147">
        <f>14920930-575097</f>
        <v>14345833</v>
      </c>
      <c r="J99" s="147"/>
      <c r="K99" s="147"/>
      <c r="L99" s="147"/>
      <c r="M99" s="147"/>
      <c r="N99" s="147"/>
      <c r="O99" s="147"/>
      <c r="P99" s="147"/>
      <c r="Q99" s="147"/>
      <c r="R99" s="517">
        <f>SUM(E99:Q99)</f>
        <v>17878311</v>
      </c>
      <c r="S99" s="147">
        <f>R99</f>
        <v>17878311</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17878311</v>
      </c>
      <c r="C104" s="146">
        <f>SUM(C99:C103)</f>
        <v>17878311</v>
      </c>
      <c r="D104" s="146">
        <f t="shared" ref="D104:T104" si="25">SUM(D99:D103)</f>
        <v>0</v>
      </c>
      <c r="E104" s="146">
        <f t="shared" si="25"/>
        <v>0</v>
      </c>
      <c r="F104" s="146">
        <f t="shared" si="25"/>
        <v>0</v>
      </c>
      <c r="G104" s="146">
        <f t="shared" si="25"/>
        <v>0</v>
      </c>
      <c r="H104" s="146">
        <f t="shared" si="25"/>
        <v>3532478</v>
      </c>
      <c r="I104" s="146">
        <f t="shared" si="25"/>
        <v>14345833</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3">
        <f t="shared" si="25"/>
        <v>17878311</v>
      </c>
      <c r="S104" s="150">
        <f t="shared" si="25"/>
        <v>17878311</v>
      </c>
      <c r="T104" s="150">
        <f t="shared" si="25"/>
        <v>0</v>
      </c>
      <c r="U104" s="143"/>
    </row>
    <row r="105" spans="1:21" s="144" customFormat="1">
      <c r="A105" s="149" t="s">
        <v>781</v>
      </c>
      <c r="B105" s="150">
        <f>SUM(C105:D105)</f>
        <v>140091791</v>
      </c>
      <c r="C105" s="150">
        <f t="shared" ref="C105:R105" si="26">SUM(C97+C104)</f>
        <v>140091791</v>
      </c>
      <c r="D105" s="150">
        <f t="shared" si="26"/>
        <v>0</v>
      </c>
      <c r="E105" s="150">
        <f t="shared" si="26"/>
        <v>60577582</v>
      </c>
      <c r="F105" s="150">
        <f t="shared" si="26"/>
        <v>44359000</v>
      </c>
      <c r="G105" s="150">
        <f t="shared" si="26"/>
        <v>2434279</v>
      </c>
      <c r="H105" s="150">
        <f t="shared" si="26"/>
        <v>17800000</v>
      </c>
      <c r="I105" s="150">
        <f t="shared" si="26"/>
        <v>14920930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3">
        <f t="shared" si="26"/>
        <v>140091791</v>
      </c>
      <c r="S105" s="150">
        <f>S97+S104</f>
        <v>137067061</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137067061</v>
      </c>
      <c r="T107" s="150">
        <f>T105+T106</f>
        <v>0</v>
      </c>
    </row>
    <row r="108" spans="1:21" s="189" customFormat="1">
      <c r="A108" s="162" t="s">
        <v>880</v>
      </c>
      <c r="B108" s="157"/>
      <c r="C108" s="157"/>
      <c r="D108" s="157"/>
      <c r="E108" s="302">
        <f>Application!AO640</f>
        <v>60577582</v>
      </c>
      <c r="F108" s="302">
        <f>Application!AO627</f>
        <v>44359000</v>
      </c>
      <c r="G108" s="302">
        <f>Application!AO628</f>
        <v>2434279</v>
      </c>
      <c r="H108" s="302">
        <f>Application!AO629</f>
        <v>17800000</v>
      </c>
      <c r="I108" s="302">
        <f>Application!AO630</f>
        <v>14920930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2" t="s">
        <v>991</v>
      </c>
      <c r="E122" s="1862"/>
      <c r="F122" s="1862"/>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4" t="s">
        <v>1225</v>
      </c>
      <c r="E123" s="1784"/>
      <c r="F123" s="1784"/>
      <c r="G123" s="1784"/>
      <c r="H123" s="1784"/>
      <c r="I123" s="1784"/>
      <c r="J123" s="1784"/>
      <c r="K123" s="1784"/>
      <c r="L123" s="1784"/>
      <c r="M123" s="1784"/>
      <c r="N123" s="1784"/>
      <c r="O123" s="1784"/>
      <c r="P123" s="1784"/>
      <c r="Q123" s="1784"/>
      <c r="R123" s="1784"/>
      <c r="S123" s="1784"/>
      <c r="T123" s="325"/>
      <c r="U123" s="327"/>
    </row>
    <row r="124" spans="1:21" ht="12.5">
      <c r="A124" s="117" t="s">
        <v>993</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5">
      <c r="A125" s="117" t="s">
        <v>994</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59"/>
      <c r="E128" s="1859"/>
      <c r="F128" s="1859"/>
      <c r="G128" s="1859"/>
      <c r="H128" s="1859"/>
      <c r="I128" s="117"/>
      <c r="J128" s="1860"/>
      <c r="K128" s="1860"/>
      <c r="L128" s="117"/>
      <c r="M128" s="117"/>
      <c r="N128" s="117"/>
      <c r="O128" s="117"/>
      <c r="P128" s="117"/>
      <c r="Q128" s="117"/>
      <c r="R128" s="117"/>
      <c r="S128" s="117"/>
      <c r="T128" s="325"/>
      <c r="U128" s="327"/>
    </row>
    <row r="129" spans="1:21" ht="12.5">
      <c r="A129" s="117" t="s">
        <v>300</v>
      </c>
      <c r="B129" s="334"/>
      <c r="C129" s="117"/>
      <c r="D129" s="1861" t="s">
        <v>998</v>
      </c>
      <c r="E129" s="1861"/>
      <c r="F129" s="1861"/>
      <c r="G129" s="1861"/>
      <c r="H129" s="1861"/>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65" t="s">
        <v>1001</v>
      </c>
      <c r="E132" s="1865"/>
      <c r="F132" s="1865"/>
      <c r="G132" s="1865"/>
      <c r="H132" s="1865"/>
      <c r="I132" s="117"/>
      <c r="J132" s="1865" t="s">
        <v>1002</v>
      </c>
      <c r="K132" s="1865"/>
      <c r="L132" s="1865"/>
      <c r="M132" s="1865"/>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6"/>
      <c r="B138" s="1859"/>
      <c r="C138" s="1859"/>
      <c r="D138" s="329"/>
      <c r="E138" s="1860"/>
      <c r="F138" s="1860"/>
      <c r="G138" s="117"/>
      <c r="H138" s="117"/>
      <c r="I138" s="117"/>
      <c r="J138" s="117"/>
      <c r="K138" s="117"/>
      <c r="L138" s="117"/>
      <c r="M138" s="117"/>
      <c r="N138" s="117"/>
      <c r="O138" s="117"/>
      <c r="P138" s="117"/>
      <c r="Q138" s="117"/>
      <c r="R138" s="117"/>
      <c r="S138" s="117"/>
      <c r="T138" s="331"/>
      <c r="U138" s="332"/>
    </row>
    <row r="139" spans="1:21" ht="13">
      <c r="A139" s="1863" t="s">
        <v>1005</v>
      </c>
      <c r="B139" s="1863"/>
      <c r="C139" s="1863"/>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69" t="s">
        <v>1228</v>
      </c>
      <c r="B1" s="1870"/>
      <c r="C1" s="1870"/>
      <c r="D1" s="1870"/>
      <c r="E1" s="1870"/>
      <c r="F1" s="1870"/>
      <c r="G1" s="1870"/>
      <c r="H1" s="1870"/>
      <c r="I1" s="1870"/>
      <c r="J1" s="1871"/>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74296800</v>
      </c>
      <c r="C30" s="363"/>
      <c r="D30" s="363"/>
      <c r="E30" s="362">
        <f>'Sources and Uses Budget'!S30</f>
        <v>74296800</v>
      </c>
      <c r="F30" s="363"/>
      <c r="G30" s="363"/>
      <c r="H30" s="362">
        <f>'Sources and Uses Budget'!T30</f>
        <v>0</v>
      </c>
      <c r="I30" s="363"/>
      <c r="J30" s="363"/>
      <c r="K30" s="360"/>
    </row>
    <row r="31" spans="1:11" s="361" customFormat="1">
      <c r="A31" s="145" t="s">
        <v>601</v>
      </c>
      <c r="B31" s="362">
        <f>'Sources and Uses Budget'!C31</f>
        <v>5943744</v>
      </c>
      <c r="C31" s="363"/>
      <c r="D31" s="363"/>
      <c r="E31" s="362">
        <f>'Sources and Uses Budget'!S31</f>
        <v>5943744</v>
      </c>
      <c r="F31" s="363"/>
      <c r="G31" s="363"/>
      <c r="H31" s="362">
        <f>'Sources and Uses Budget'!T31</f>
        <v>0</v>
      </c>
      <c r="I31" s="363"/>
      <c r="J31" s="363"/>
      <c r="K31" s="360"/>
    </row>
    <row r="32" spans="1:11" s="361" customFormat="1">
      <c r="A32" s="145" t="s">
        <v>137</v>
      </c>
      <c r="B32" s="362">
        <f>'Sources and Uses Budget'!C32</f>
        <v>3209622</v>
      </c>
      <c r="C32" s="363"/>
      <c r="D32" s="363"/>
      <c r="E32" s="362">
        <f>'Sources and Uses Budget'!S32</f>
        <v>3209622</v>
      </c>
      <c r="F32" s="363"/>
      <c r="G32" s="363"/>
      <c r="H32" s="362">
        <f>'Sources and Uses Budget'!T32</f>
        <v>0</v>
      </c>
      <c r="I32" s="363"/>
      <c r="J32" s="363"/>
      <c r="K32" s="360"/>
    </row>
    <row r="33" spans="1:11" s="361" customFormat="1">
      <c r="A33" s="145" t="s">
        <v>138</v>
      </c>
      <c r="B33" s="362">
        <f>'Sources and Uses Budget'!C33</f>
        <v>1604811</v>
      </c>
      <c r="C33" s="363"/>
      <c r="D33" s="363"/>
      <c r="E33" s="362">
        <f>'Sources and Uses Budget'!S33</f>
        <v>1604811</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1339616</v>
      </c>
      <c r="C35" s="363"/>
      <c r="D35" s="363"/>
      <c r="E35" s="362">
        <f>'Sources and Uses Budget'!S35</f>
        <v>1339616</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86394593</v>
      </c>
      <c r="C38" s="362">
        <f>SUM(C29:C37)</f>
        <v>0</v>
      </c>
      <c r="D38" s="362">
        <f>SUM(D29:D37)</f>
        <v>0</v>
      </c>
      <c r="E38" s="362">
        <f>'Sources and Uses Budget'!S38</f>
        <v>86394593</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2500000</v>
      </c>
      <c r="C40" s="363"/>
      <c r="D40" s="363"/>
      <c r="E40" s="362">
        <f>'Sources and Uses Budget'!S40</f>
        <v>2500000</v>
      </c>
      <c r="F40" s="363"/>
      <c r="G40" s="363"/>
      <c r="H40" s="362">
        <f>'Sources and Uses Budget'!T40</f>
        <v>0</v>
      </c>
      <c r="I40" s="363"/>
      <c r="J40" s="363"/>
      <c r="K40" s="360"/>
    </row>
    <row r="41" spans="1:11" s="361" customFormat="1">
      <c r="A41" s="365" t="s">
        <v>146</v>
      </c>
      <c r="B41" s="362">
        <f>'Sources and Uses Budget'!C41</f>
        <v>500000</v>
      </c>
      <c r="C41" s="363"/>
      <c r="D41" s="363"/>
      <c r="E41" s="362">
        <f>'Sources and Uses Budget'!S41</f>
        <v>500000</v>
      </c>
      <c r="F41" s="363"/>
      <c r="G41" s="363"/>
      <c r="H41" s="362">
        <f>'Sources and Uses Budget'!T41</f>
        <v>0</v>
      </c>
      <c r="I41" s="363"/>
      <c r="J41" s="363"/>
      <c r="K41" s="360"/>
    </row>
    <row r="42" spans="1:11" s="361" customFormat="1">
      <c r="A42" s="366" t="s">
        <v>147</v>
      </c>
      <c r="B42" s="362">
        <f>'Sources and Uses Budget'!C42</f>
        <v>3000000</v>
      </c>
      <c r="C42" s="362">
        <f>SUM(C39:C41)</f>
        <v>0</v>
      </c>
      <c r="D42" s="362">
        <f>SUM(D39:D41)</f>
        <v>0</v>
      </c>
      <c r="E42" s="362">
        <f>'Sources and Uses Budget'!S42</f>
        <v>3000000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1500000</v>
      </c>
      <c r="C43" s="363"/>
      <c r="D43" s="363"/>
      <c r="E43" s="362">
        <f>'Sources and Uses Budget'!S43</f>
        <v>1500000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10450363</v>
      </c>
      <c r="C45" s="363"/>
      <c r="D45" s="363"/>
      <c r="E45" s="362">
        <f>'Sources and Uses Budget'!S45</f>
        <v>10450363</v>
      </c>
      <c r="F45" s="363"/>
      <c r="G45" s="363"/>
      <c r="H45" s="362">
        <f>'Sources and Uses Budget'!T45</f>
        <v>0</v>
      </c>
      <c r="I45" s="363"/>
      <c r="J45" s="363"/>
      <c r="K45" s="360"/>
    </row>
    <row r="46" spans="1:11" s="361" customFormat="1">
      <c r="A46" s="365" t="s">
        <v>151</v>
      </c>
      <c r="B46" s="362">
        <f>'Sources and Uses Budget'!C46</f>
        <v>704949</v>
      </c>
      <c r="C46" s="363"/>
      <c r="D46" s="363"/>
      <c r="E46" s="362">
        <f>'Sources and Uses Budget'!S46</f>
        <v>704949</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c r="A48" s="365" t="s">
        <v>153</v>
      </c>
      <c r="B48" s="362">
        <f>'Sources and Uses Budget'!C48</f>
        <v>469966</v>
      </c>
      <c r="C48" s="363"/>
      <c r="D48" s="363"/>
      <c r="E48" s="362">
        <f>'Sources and Uses Budget'!S48</f>
        <v>234983</v>
      </c>
      <c r="F48" s="363"/>
      <c r="G48" s="363"/>
      <c r="H48" s="362">
        <f>'Sources and Uses Budget'!T48</f>
        <v>0</v>
      </c>
      <c r="I48" s="363"/>
      <c r="J48" s="363"/>
      <c r="K48" s="360"/>
    </row>
    <row r="49" spans="1:11" s="361" customFormat="1">
      <c r="A49" s="284" t="s">
        <v>57</v>
      </c>
      <c r="B49" s="362">
        <f>'Sources and Uses Budget'!C49</f>
        <v>576016</v>
      </c>
      <c r="C49" s="363"/>
      <c r="D49" s="363"/>
      <c r="E49" s="362">
        <f>'Sources and Uses Budget'!S49</f>
        <v>576016</v>
      </c>
      <c r="F49" s="363"/>
      <c r="G49" s="363"/>
      <c r="H49" s="362">
        <f>'Sources and Uses Budget'!T49</f>
        <v>0</v>
      </c>
      <c r="I49" s="363"/>
      <c r="J49" s="363"/>
      <c r="K49" s="360"/>
    </row>
    <row r="50" spans="1:11" s="361" customFormat="1">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c r="A51" s="365" t="s">
        <v>154</v>
      </c>
      <c r="B51" s="362">
        <f>'Sources and Uses Budget'!C51</f>
        <v>350000</v>
      </c>
      <c r="C51" s="363"/>
      <c r="D51" s="363"/>
      <c r="E51" s="362">
        <f>'Sources and Uses Budget'!S51</f>
        <v>350000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Lender Inspections &amp; GL Expense</v>
      </c>
      <c r="B53" s="362">
        <f>'Sources and Uses Budget'!C53</f>
        <v>410000</v>
      </c>
      <c r="C53" s="363"/>
      <c r="D53" s="363"/>
      <c r="E53" s="362">
        <f>'Sources and Uses Budget'!S53</f>
        <v>260000</v>
      </c>
      <c r="F53" s="363"/>
      <c r="G53" s="363"/>
      <c r="H53" s="362">
        <f>'Sources and Uses Budget'!T53</f>
        <v>0</v>
      </c>
      <c r="I53" s="363"/>
      <c r="J53" s="363"/>
      <c r="K53" s="360"/>
    </row>
    <row r="54" spans="1:11" s="370" customFormat="1">
      <c r="A54" s="366" t="s">
        <v>157</v>
      </c>
      <c r="B54" s="362">
        <f>'Sources and Uses Budget'!C54</f>
        <v>13061294</v>
      </c>
      <c r="C54" s="368">
        <f>SUM(C45:C53)</f>
        <v>0</v>
      </c>
      <c r="D54" s="368">
        <f>SUM(D45:D53)</f>
        <v>0</v>
      </c>
      <c r="E54" s="362">
        <f>'Sources and Uses Budget'!S54</f>
        <v>12676311</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443590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468590</v>
      </c>
      <c r="C62" s="362">
        <f>SUM(C56:C61)</f>
        <v>0</v>
      </c>
      <c r="D62" s="362">
        <f>SUM(D56:D61)</f>
        <v>0</v>
      </c>
      <c r="E62" s="364"/>
      <c r="F62" s="364"/>
      <c r="G62" s="364"/>
      <c r="H62" s="364"/>
      <c r="I62" s="364"/>
      <c r="J62" s="364"/>
      <c r="K62" s="360"/>
    </row>
    <row r="63" spans="1:11" s="361" customFormat="1">
      <c r="A63" s="371" t="s">
        <v>302</v>
      </c>
      <c r="B63" s="362">
        <f>'Sources and Uses Budget'!C63</f>
        <v>104424477</v>
      </c>
      <c r="C63" s="362">
        <f>SUM(C8+C11+C13+C14+C15+C26+C27+C38+C42+C43+C54+C62)</f>
        <v>0</v>
      </c>
      <c r="D63" s="362">
        <f>SUM(D8+D11+D13+D14+D15+D26+D27+D38+D42+D43+D54+D62)</f>
        <v>0</v>
      </c>
      <c r="E63" s="362">
        <f>'Sources and Uses Budget'!S63</f>
        <v>103570904</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90000</v>
      </c>
      <c r="C65" s="363"/>
      <c r="D65" s="363"/>
      <c r="E65" s="362">
        <f>'Sources and Uses Budget'!S65</f>
        <v>45000</v>
      </c>
      <c r="F65" s="363"/>
      <c r="G65" s="363"/>
      <c r="H65" s="362">
        <f>'Sources and Uses Budget'!T65</f>
        <v>0</v>
      </c>
      <c r="I65" s="363"/>
      <c r="J65" s="363"/>
      <c r="K65" s="360"/>
    </row>
    <row r="66" spans="1:11" s="361" customFormat="1" ht="23">
      <c r="A66" s="284" t="s">
        <v>1642</v>
      </c>
      <c r="B66" s="362">
        <f>'Sources and Uses Budget'!C66</f>
        <v>200000</v>
      </c>
      <c r="C66" s="363"/>
      <c r="D66" s="363"/>
      <c r="E66" s="362">
        <f>'Sources and Uses Budget'!S66</f>
        <v>100000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Legale Fees borrower &amp; consultant</v>
      </c>
      <c r="B69" s="362">
        <f>'Sources and Uses Budget'!C69</f>
        <v>125000</v>
      </c>
      <c r="C69" s="363"/>
      <c r="D69" s="363"/>
      <c r="E69" s="362">
        <f>'Sources and Uses Budget'!S69</f>
        <v>125000</v>
      </c>
      <c r="F69" s="363"/>
      <c r="G69" s="363"/>
      <c r="H69" s="362">
        <f>'Sources and Uses Budget'!T69</f>
        <v>0</v>
      </c>
      <c r="I69" s="363"/>
      <c r="J69" s="363"/>
      <c r="K69" s="360"/>
    </row>
    <row r="70" spans="1:11" s="361" customFormat="1">
      <c r="A70" s="366" t="s">
        <v>602</v>
      </c>
      <c r="B70" s="362">
        <f>'Sources and Uses Budget'!C70</f>
        <v>415000</v>
      </c>
      <c r="C70" s="362">
        <f>SUM(C64:C69)</f>
        <v>0</v>
      </c>
      <c r="D70" s="362">
        <f>SUM(D64:D69)</f>
        <v>0</v>
      </c>
      <c r="E70" s="362">
        <f>'Sources and Uses Budget'!S70</f>
        <v>270000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1154808</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1154808</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4252749</v>
      </c>
      <c r="C79" s="363"/>
      <c r="D79" s="363"/>
      <c r="E79" s="362">
        <f>'Sources and Uses Budget'!S79</f>
        <v>4252749</v>
      </c>
      <c r="F79" s="363"/>
      <c r="G79" s="363"/>
      <c r="H79" s="362">
        <f>'Sources and Uses Budget'!T79</f>
        <v>0</v>
      </c>
      <c r="I79" s="363"/>
      <c r="J79" s="363"/>
      <c r="K79" s="360"/>
    </row>
    <row r="80" spans="1:11" s="361" customFormat="1">
      <c r="A80" s="365" t="s">
        <v>58</v>
      </c>
      <c r="B80" s="362">
        <f>'Sources and Uses Budget'!C80</f>
        <v>575097</v>
      </c>
      <c r="C80" s="363"/>
      <c r="D80" s="363"/>
      <c r="E80" s="362">
        <f>'Sources and Uses Budget'!S80</f>
        <v>575097</v>
      </c>
      <c r="F80" s="363"/>
      <c r="G80" s="363"/>
      <c r="H80" s="362">
        <f>'Sources and Uses Budget'!T80</f>
        <v>0</v>
      </c>
      <c r="I80" s="363"/>
      <c r="J80" s="363"/>
      <c r="K80" s="360"/>
    </row>
    <row r="81" spans="1:11" s="361" customFormat="1">
      <c r="A81" s="366" t="s">
        <v>1210</v>
      </c>
      <c r="B81" s="362">
        <f>'Sources and Uses Budget'!C81</f>
        <v>4827846</v>
      </c>
      <c r="C81" s="362">
        <f>SUM(C79:C80)</f>
        <v>0</v>
      </c>
      <c r="D81" s="362">
        <f>SUM(D79:D80)</f>
        <v>0</v>
      </c>
      <c r="E81" s="362">
        <f>'Sources and Uses Budget'!S81</f>
        <v>4827846</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746349</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9880000</v>
      </c>
      <c r="C85" s="363"/>
      <c r="D85" s="363"/>
      <c r="E85" s="362">
        <f>'Sources and Uses Budget'!S85</f>
        <v>9880000</v>
      </c>
      <c r="F85" s="363"/>
      <c r="G85" s="363"/>
      <c r="H85" s="362">
        <f>'Sources and Uses Budget'!T85</f>
        <v>0</v>
      </c>
      <c r="I85" s="363"/>
      <c r="J85" s="363"/>
      <c r="K85" s="360"/>
    </row>
    <row r="86" spans="1:11" s="361" customFormat="1">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125000</v>
      </c>
      <c r="C88" s="363"/>
      <c r="D88" s="363"/>
      <c r="E88" s="364"/>
      <c r="F88" s="364"/>
      <c r="G88" s="364"/>
      <c r="H88" s="364"/>
      <c r="I88" s="364"/>
      <c r="J88" s="364"/>
      <c r="K88" s="360"/>
    </row>
    <row r="89" spans="1:11" s="361" customFormat="1">
      <c r="A89" s="145" t="s">
        <v>773</v>
      </c>
      <c r="B89" s="362">
        <f>'Sources and Uses Budget'!C89</f>
        <v>550000</v>
      </c>
      <c r="C89" s="363"/>
      <c r="D89" s="363"/>
      <c r="E89" s="362">
        <f>'Sources and Uses Budget'!S89</f>
        <v>550000</v>
      </c>
      <c r="F89" s="363"/>
      <c r="G89" s="363"/>
      <c r="H89" s="362">
        <f>'Sources and Uses Budget'!T89</f>
        <v>0</v>
      </c>
      <c r="I89" s="363"/>
      <c r="J89" s="363"/>
      <c r="K89" s="360"/>
    </row>
    <row r="90" spans="1:11" s="361" customFormat="1">
      <c r="A90" s="145" t="s">
        <v>774</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50000</v>
      </c>
      <c r="C91" s="363"/>
      <c r="D91" s="363"/>
      <c r="E91" s="362">
        <f>'Sources and Uses Budget'!S91</f>
        <v>50000</v>
      </c>
      <c r="F91" s="363"/>
      <c r="G91" s="363"/>
      <c r="H91" s="362">
        <f>'Sources and Uses Budget'!T91</f>
        <v>0</v>
      </c>
      <c r="I91" s="363"/>
      <c r="J91" s="363"/>
      <c r="K91" s="360"/>
    </row>
    <row r="92" spans="1:11" s="361" customFormat="1">
      <c r="A92" s="509" t="s">
        <v>1212</v>
      </c>
      <c r="B92" s="362">
        <f>'Sources and Uses Budget'!C92</f>
        <v>40000</v>
      </c>
      <c r="C92" s="363"/>
      <c r="D92" s="363"/>
      <c r="E92" s="362">
        <f>'Sources and Uses Budget'!S92</f>
        <v>40000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11391349</v>
      </c>
      <c r="C96" s="362">
        <f>SUM(C83:C95)</f>
        <v>0</v>
      </c>
      <c r="D96" s="362">
        <f>SUM(D83:D95)</f>
        <v>0</v>
      </c>
      <c r="E96" s="362">
        <f>'Sources and Uses Budget'!S96</f>
        <v>10520000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122213480</v>
      </c>
      <c r="C97" s="362">
        <f>SUM(C63+C70+C77+C81+C96)</f>
        <v>0</v>
      </c>
      <c r="D97" s="362">
        <f>SUM(D63+D70+D77+D81+D96)</f>
        <v>0</v>
      </c>
      <c r="E97" s="362">
        <f>'Sources and Uses Budget'!S97</f>
        <v>119188750</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17878311</v>
      </c>
      <c r="C99" s="363"/>
      <c r="D99" s="363"/>
      <c r="E99" s="362">
        <f>'Sources and Uses Budget'!S99</f>
        <v>17878311</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17878311</v>
      </c>
      <c r="C104" s="362">
        <f>SUM(C99:C103)</f>
        <v>0</v>
      </c>
      <c r="D104" s="362">
        <f>SUM(D99:D103)</f>
        <v>0</v>
      </c>
      <c r="E104" s="362">
        <f>'Sources and Uses Budget'!S104</f>
        <v>17878311</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140091791</v>
      </c>
      <c r="C105" s="368">
        <f>SUM(C97+C104)</f>
        <v>0</v>
      </c>
      <c r="D105" s="368">
        <f>SUM(D97+D104)</f>
        <v>0</v>
      </c>
      <c r="E105" s="362">
        <f>'Sources and Uses Budget'!S105</f>
        <v>137067061</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137067061</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7"/>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8"/>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0" t="s">
        <v>2461</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2460</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2" t="str">
        <f>IF(Application!H18="","",Application!H18)</f>
        <v xml:space="preserve">Berryessa Family Apartments </v>
      </c>
      <c r="M4" s="2313"/>
      <c r="N4" s="2313"/>
      <c r="O4" s="2313"/>
      <c r="P4" s="2313"/>
      <c r="Q4" s="2313"/>
      <c r="R4" s="2313"/>
      <c r="S4" s="2313"/>
      <c r="T4" s="2313"/>
      <c r="U4" s="2313"/>
      <c r="V4" s="2313"/>
      <c r="W4" s="2313"/>
      <c r="X4" s="2313"/>
      <c r="Y4" s="2313"/>
      <c r="Z4" s="2313"/>
      <c r="AA4" s="2313"/>
      <c r="AB4" s="2313"/>
      <c r="AC4" s="2314"/>
      <c r="AD4" s="1192"/>
      <c r="AE4" s="1192"/>
      <c r="AF4" s="2308" t="s">
        <v>2459</v>
      </c>
      <c r="AG4" s="2308"/>
      <c r="AH4" s="2308"/>
      <c r="AI4" s="2308"/>
      <c r="AJ4" s="2308"/>
      <c r="AK4" s="2308"/>
      <c r="AL4" s="2308"/>
      <c r="AM4" s="2308"/>
      <c r="AN4" s="2308"/>
      <c r="AO4" s="2308"/>
      <c r="AP4" s="2309"/>
      <c r="AQ4" s="2310"/>
      <c r="AR4" s="2310"/>
      <c r="AS4" s="2310"/>
      <c r="AT4" s="2310"/>
      <c r="AU4" s="231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8" t="s">
        <v>2458</v>
      </c>
      <c r="AG5" s="2308"/>
      <c r="AH5" s="2308"/>
      <c r="AI5" s="2308"/>
      <c r="AJ5" s="2308"/>
      <c r="AK5" s="2308"/>
      <c r="AL5" s="2308"/>
      <c r="AM5" s="2308"/>
      <c r="AN5" s="2308"/>
      <c r="AO5" s="2308"/>
      <c r="AP5" s="2309"/>
      <c r="AQ5" s="2310"/>
      <c r="AR5" s="2310"/>
      <c r="AS5" s="2310"/>
      <c r="AT5" s="2310"/>
      <c r="AU5" s="2310"/>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2" t="str">
        <f>IF(Application!H16="","",Application!H16)</f>
        <v>Green Valley Corporation</v>
      </c>
      <c r="M6" s="2313"/>
      <c r="N6" s="2313"/>
      <c r="O6" s="2313"/>
      <c r="P6" s="2313"/>
      <c r="Q6" s="2313"/>
      <c r="R6" s="2313"/>
      <c r="S6" s="2313"/>
      <c r="T6" s="2313"/>
      <c r="U6" s="2313"/>
      <c r="V6" s="2313"/>
      <c r="W6" s="2313"/>
      <c r="X6" s="2313"/>
      <c r="Y6" s="2313"/>
      <c r="Z6" s="2313"/>
      <c r="AA6" s="2313"/>
      <c r="AB6" s="2313"/>
      <c r="AC6" s="2314"/>
      <c r="AD6" s="1192"/>
      <c r="AE6" s="1192"/>
      <c r="AF6" s="2315" t="s">
        <v>2456</v>
      </c>
      <c r="AG6" s="2315"/>
      <c r="AH6" s="2315"/>
      <c r="AI6" s="2315"/>
      <c r="AJ6" s="2315"/>
      <c r="AK6" s="2315"/>
      <c r="AL6" s="2315"/>
      <c r="AM6" s="2315"/>
      <c r="AN6" s="2315"/>
      <c r="AO6" s="2315"/>
      <c r="AP6" s="2316"/>
      <c r="AQ6" s="2316"/>
      <c r="AR6" s="2316"/>
      <c r="AS6" s="2316"/>
      <c r="AT6" s="2316"/>
      <c r="AU6" s="2316"/>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5" t="s">
        <v>2455</v>
      </c>
      <c r="AG7" s="2315"/>
      <c r="AH7" s="2315"/>
      <c r="AI7" s="2315"/>
      <c r="AJ7" s="2315"/>
      <c r="AK7" s="2315"/>
      <c r="AL7" s="2315"/>
      <c r="AM7" s="2315"/>
      <c r="AN7" s="2315"/>
      <c r="AO7" s="2315"/>
      <c r="AP7" s="2316"/>
      <c r="AQ7" s="2316"/>
      <c r="AR7" s="2316"/>
      <c r="AS7" s="2316"/>
      <c r="AT7" s="2316"/>
      <c r="AU7" s="2316"/>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7" t="str">
        <f>Application!T197</f>
        <v>No</v>
      </c>
      <c r="AC8" s="2318"/>
      <c r="AD8" s="2319"/>
      <c r="AE8" s="1192"/>
      <c r="AF8" s="2315" t="s">
        <v>2453</v>
      </c>
      <c r="AG8" s="2315"/>
      <c r="AH8" s="2315"/>
      <c r="AI8" s="2315"/>
      <c r="AJ8" s="2315"/>
      <c r="AK8" s="2315"/>
      <c r="AL8" s="2315"/>
      <c r="AM8" s="2315"/>
      <c r="AN8" s="2315"/>
      <c r="AO8" s="2315"/>
      <c r="AP8" s="2316" t="s">
        <v>2101</v>
      </c>
      <c r="AQ8" s="2316"/>
      <c r="AR8" s="2316"/>
      <c r="AS8" s="2316"/>
      <c r="AT8" s="2316"/>
      <c r="AU8" s="2316"/>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8" t="s">
        <v>2452</v>
      </c>
      <c r="AG9" s="2308"/>
      <c r="AH9" s="2308"/>
      <c r="AI9" s="2308"/>
      <c r="AJ9" s="2308"/>
      <c r="AK9" s="2308"/>
      <c r="AL9" s="2308"/>
      <c r="AM9" s="2308"/>
      <c r="AN9" s="2308"/>
      <c r="AO9" s="2308"/>
      <c r="AP9" s="2309"/>
      <c r="AQ9" s="2310"/>
      <c r="AR9" s="2310"/>
      <c r="AS9" s="2310"/>
      <c r="AT9" s="2310"/>
      <c r="AU9" s="2310"/>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1">
        <f>Application!AO627</f>
        <v>44359000</v>
      </c>
      <c r="O10" s="2311"/>
      <c r="P10" s="2311"/>
      <c r="Q10" s="2311"/>
      <c r="R10" s="2311"/>
      <c r="S10" s="2311"/>
      <c r="T10" s="2311"/>
      <c r="U10" s="1192"/>
      <c r="V10" s="1192"/>
      <c r="W10" s="1192"/>
      <c r="X10" s="1195"/>
      <c r="Y10" s="1195"/>
      <c r="Z10" s="1195"/>
      <c r="AA10" s="1195"/>
      <c r="AB10" s="1195"/>
      <c r="AC10" s="1195"/>
      <c r="AD10" s="1195"/>
      <c r="AE10" s="1195"/>
      <c r="AF10" s="2308" t="s">
        <v>2449</v>
      </c>
      <c r="AG10" s="2308"/>
      <c r="AH10" s="2308"/>
      <c r="AI10" s="2308"/>
      <c r="AJ10" s="2308"/>
      <c r="AK10" s="2308"/>
      <c r="AL10" s="2308"/>
      <c r="AM10" s="2308"/>
      <c r="AN10" s="2308"/>
      <c r="AO10" s="2308"/>
      <c r="AP10" s="2309"/>
      <c r="AQ10" s="2310"/>
      <c r="AR10" s="2310"/>
      <c r="AS10" s="2310"/>
      <c r="AT10" s="2310"/>
      <c r="AU10" s="2310"/>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1">
        <f>Application!AA933</f>
        <v>0</v>
      </c>
      <c r="O11" s="2311"/>
      <c r="P11" s="2311"/>
      <c r="Q11" s="2311"/>
      <c r="R11" s="2311"/>
      <c r="S11" s="2311"/>
      <c r="T11" s="2311"/>
      <c r="U11" s="1192"/>
      <c r="V11" s="1192"/>
      <c r="W11" s="1192"/>
      <c r="X11" s="1195"/>
      <c r="Y11" s="1195"/>
      <c r="Z11" s="1195"/>
      <c r="AA11" s="1195"/>
      <c r="AB11" s="1195"/>
      <c r="AC11" s="1195"/>
      <c r="AD11" s="1195"/>
      <c r="AE11" s="1195"/>
      <c r="AF11" s="2308" t="s">
        <v>2446</v>
      </c>
      <c r="AG11" s="2308"/>
      <c r="AH11" s="2308"/>
      <c r="AI11" s="2308"/>
      <c r="AJ11" s="2308"/>
      <c r="AK11" s="2308"/>
      <c r="AL11" s="2308"/>
      <c r="AM11" s="2308"/>
      <c r="AN11" s="2308"/>
      <c r="AO11" s="2308"/>
      <c r="AP11" s="2309"/>
      <c r="AQ11" s="2310"/>
      <c r="AR11" s="2310"/>
      <c r="AS11" s="2310"/>
      <c r="AT11" s="2310"/>
      <c r="AU11" s="2310"/>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299" t="s">
        <v>2444</v>
      </c>
      <c r="C13" s="2300"/>
      <c r="D13" s="2300"/>
      <c r="E13" s="2300"/>
      <c r="F13" s="2300"/>
      <c r="G13" s="2300"/>
      <c r="H13" s="2300"/>
      <c r="I13" s="2300"/>
      <c r="J13" s="2300"/>
      <c r="K13" s="2300"/>
      <c r="L13" s="2300"/>
      <c r="M13" s="2300"/>
      <c r="N13" s="2300"/>
      <c r="O13" s="2300"/>
      <c r="P13" s="2301"/>
      <c r="Q13" s="2302" t="s">
        <v>670</v>
      </c>
      <c r="R13" s="2303"/>
      <c r="S13" s="2303"/>
      <c r="T13" s="2304"/>
      <c r="U13" s="1195"/>
      <c r="V13" s="1192"/>
      <c r="W13" s="1192"/>
      <c r="X13" s="1192"/>
      <c r="Y13" s="1192"/>
      <c r="Z13" s="1192"/>
      <c r="AA13" s="2289" t="s">
        <v>2443</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7" t="s">
        <v>2441</v>
      </c>
      <c r="AB14" s="2307"/>
      <c r="AC14" s="2307"/>
      <c r="AD14" s="2307"/>
      <c r="AE14" s="2307"/>
      <c r="AF14" s="2307"/>
      <c r="AG14" s="2307"/>
      <c r="AH14" s="2307"/>
      <c r="AI14" s="2307"/>
      <c r="AJ14" s="2307"/>
      <c r="AK14" s="2307"/>
      <c r="AL14" s="2307"/>
      <c r="AM14" s="2307"/>
      <c r="AN14" s="2307"/>
      <c r="AO14" s="2290"/>
      <c r="AP14" s="2291"/>
      <c r="AQ14" s="2291"/>
      <c r="AR14" s="2291"/>
      <c r="AS14" s="2291"/>
      <c r="AT14" s="1195"/>
      <c r="AU14" s="1195"/>
      <c r="AV14" s="1195"/>
      <c r="AW14" s="1195"/>
      <c r="AX14" s="1195"/>
      <c r="AY14" s="1195"/>
      <c r="AZ14" s="1195"/>
      <c r="BA14" s="1195"/>
      <c r="BB14" s="1195"/>
      <c r="BC14" s="1195"/>
      <c r="BD14" s="1195"/>
      <c r="BE14" s="1196"/>
    </row>
    <row r="15" spans="1:65" ht="15" thickBot="1">
      <c r="A15" s="1192"/>
      <c r="B15" s="2284" t="s">
        <v>2440</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5"/>
      <c r="Y15" s="1192"/>
      <c r="Z15" s="1192"/>
      <c r="AA15" s="2289" t="s">
        <v>2439</v>
      </c>
      <c r="AB15" s="2289"/>
      <c r="AC15" s="2289"/>
      <c r="AD15" s="2289"/>
      <c r="AE15" s="2289"/>
      <c r="AF15" s="2289"/>
      <c r="AG15" s="2289"/>
      <c r="AH15" s="2289"/>
      <c r="AI15" s="2289"/>
      <c r="AJ15" s="2289"/>
      <c r="AK15" s="2289"/>
      <c r="AL15" s="2289"/>
      <c r="AM15" s="2289"/>
      <c r="AN15" s="2289"/>
      <c r="AO15" s="2290"/>
      <c r="AP15" s="2291"/>
      <c r="AQ15" s="2291"/>
      <c r="AR15" s="2291"/>
      <c r="AS15" s="229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4" t="s">
        <v>2438</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2"/>
      <c r="BA17" s="1192"/>
      <c r="BB17" s="1192"/>
      <c r="BC17" s="1192"/>
      <c r="BD17" s="1192"/>
      <c r="BE17" s="1196"/>
      <c r="BF17" s="1190"/>
    </row>
    <row r="18" spans="1:58" ht="15.75" customHeight="1">
      <c r="A18" s="1192"/>
      <c r="B18" s="2292" t="s">
        <v>2437</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2436</v>
      </c>
      <c r="AU18" s="2296"/>
      <c r="AV18" s="2296"/>
      <c r="AW18" s="2296"/>
      <c r="AX18" s="2296"/>
      <c r="AY18" s="2298"/>
      <c r="AZ18" s="1192"/>
      <c r="BA18" s="1192"/>
      <c r="BB18" s="1192"/>
      <c r="BC18" s="1192"/>
      <c r="BD18" s="1192"/>
      <c r="BE18" s="1196"/>
    </row>
    <row r="19" spans="1:58" ht="14.5">
      <c r="A19" s="1192"/>
      <c r="B19" s="2278">
        <v>0.3</v>
      </c>
      <c r="C19" s="2279"/>
      <c r="D19" s="2279"/>
      <c r="E19" s="2279"/>
      <c r="F19" s="2279"/>
      <c r="G19" s="2279"/>
      <c r="H19" s="2279"/>
      <c r="I19" s="2280"/>
      <c r="J19" s="2281">
        <f t="shared" ref="J19:J24" si="0">SUM(P19:AS19)</f>
        <v>26</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9</v>
      </c>
      <c r="W19" s="2282"/>
      <c r="X19" s="2282"/>
      <c r="Y19" s="2282"/>
      <c r="Z19" s="2282"/>
      <c r="AA19" s="2283"/>
      <c r="AB19" s="2281" cm="1">
        <f t="array" ref="AB19">SUMPRODUCT((Application!$B$714:$B$738 = 'CalHFA Addendum'!AB$18)*(Application!$AC$714:$AC$738 = 'CalHFA Addendum'!$B19),Application!$G$714:$G$738)</f>
        <v>10</v>
      </c>
      <c r="AC19" s="2282"/>
      <c r="AD19" s="2282"/>
      <c r="AE19" s="2282"/>
      <c r="AF19" s="2282"/>
      <c r="AG19" s="2283"/>
      <c r="AH19" s="2281" cm="1">
        <f t="array" ref="AH19">SUMPRODUCT((Application!$B$714:$B$738 = 'CalHFA Addendum'!AH$18)*(Application!$AC$714:$AC$738 = 'CalHFA Addendum'!$B19),Application!$G$714:$G$738)</f>
        <v>7</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0.1</v>
      </c>
      <c r="AU19" s="2267"/>
      <c r="AV19" s="2267"/>
      <c r="AW19" s="2267"/>
      <c r="AX19" s="2267"/>
      <c r="AY19" s="2268"/>
      <c r="AZ19" s="1197"/>
      <c r="BA19" s="1192"/>
      <c r="BB19" s="1192"/>
      <c r="BC19" s="1192"/>
      <c r="BD19" s="1192"/>
      <c r="BE19" s="1196"/>
    </row>
    <row r="20" spans="1:58" ht="15" customHeight="1">
      <c r="A20" s="1192"/>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2"/>
      <c r="BA20" s="1192"/>
      <c r="BB20" s="1192"/>
      <c r="BC20" s="1192"/>
      <c r="BD20" s="1192"/>
      <c r="BE20" s="1196"/>
    </row>
    <row r="21" spans="1:58" ht="14.5">
      <c r="A21" s="1192"/>
      <c r="B21" s="2278">
        <v>0.5</v>
      </c>
      <c r="C21" s="2279"/>
      <c r="D21" s="2279"/>
      <c r="E21" s="2279"/>
      <c r="F21" s="2279"/>
      <c r="G21" s="2279"/>
      <c r="H21" s="2279"/>
      <c r="I21" s="2280"/>
      <c r="J21" s="2281">
        <f t="shared" si="0"/>
        <v>26</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9</v>
      </c>
      <c r="W21" s="2282"/>
      <c r="X21" s="2282"/>
      <c r="Y21" s="2282"/>
      <c r="Z21" s="2282"/>
      <c r="AA21" s="2283"/>
      <c r="AB21" s="2281" cm="1">
        <f t="array" ref="AB21">SUMPRODUCT((Application!$B$714:$B$738 = 'CalHFA Addendum'!AB$18)*(Application!$AC$714:$AC$738 = 'CalHFA Addendum'!$B21),Application!$G$714:$G$738)</f>
        <v>10</v>
      </c>
      <c r="AC21" s="2282"/>
      <c r="AD21" s="2282"/>
      <c r="AE21" s="2282"/>
      <c r="AF21" s="2282"/>
      <c r="AG21" s="2283"/>
      <c r="AH21" s="2281" cm="1">
        <f t="array" ref="AH21">SUMPRODUCT((Application!$B$714:$B$738 = 'CalHFA Addendum'!AH$18)*(Application!$AC$714:$AC$738 = 'CalHFA Addendum'!$B21),Application!$G$714:$G$738)</f>
        <v>7</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0.1</v>
      </c>
      <c r="AU21" s="2267"/>
      <c r="AV21" s="2267"/>
      <c r="AW21" s="2267"/>
      <c r="AX21" s="2267"/>
      <c r="AY21" s="2268"/>
      <c r="AZ21" s="1192"/>
      <c r="BA21" s="1192"/>
      <c r="BB21" s="1192"/>
      <c r="BC21" s="1192"/>
      <c r="BD21" s="1192"/>
      <c r="BE21" s="1196"/>
    </row>
    <row r="22" spans="1:58" ht="14.5">
      <c r="A22" s="1192"/>
      <c r="B22" s="2278">
        <v>0.6</v>
      </c>
      <c r="C22" s="2279"/>
      <c r="D22" s="2279"/>
      <c r="E22" s="2279"/>
      <c r="F22" s="2279"/>
      <c r="G22" s="2279"/>
      <c r="H22" s="2279"/>
      <c r="I22" s="2280"/>
      <c r="J22" s="2281">
        <f t="shared" si="0"/>
        <v>104</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36</v>
      </c>
      <c r="W22" s="2282"/>
      <c r="X22" s="2282"/>
      <c r="Y22" s="2282"/>
      <c r="Z22" s="2282"/>
      <c r="AA22" s="2283"/>
      <c r="AB22" s="2281" cm="1">
        <f t="array" ref="AB22">SUMPRODUCT((Application!$B$714:$B$738 = 'CalHFA Addendum'!AB$18)*(Application!$AC$714:$AC$738 = 'CalHFA Addendum'!$B22),Application!$G$714:$G$738)</f>
        <v>42</v>
      </c>
      <c r="AC22" s="2282"/>
      <c r="AD22" s="2282"/>
      <c r="AE22" s="2282"/>
      <c r="AF22" s="2282"/>
      <c r="AG22" s="2283"/>
      <c r="AH22" s="2281" cm="1">
        <f t="array" ref="AH22">SUMPRODUCT((Application!$B$714:$B$738 = 'CalHFA Addendum'!AH$18)*(Application!$AC$714:$AC$738 = 'CalHFA Addendum'!$B22),Application!$G$714:$G$738)</f>
        <v>26</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0.4</v>
      </c>
      <c r="AU22" s="2267"/>
      <c r="AV22" s="2267"/>
      <c r="AW22" s="2267"/>
      <c r="AX22" s="2267"/>
      <c r="AY22" s="2268"/>
      <c r="AZ22" s="1192"/>
      <c r="BA22" s="1192"/>
      <c r="BB22" s="1192"/>
      <c r="BC22" s="1192"/>
      <c r="BD22" s="1192"/>
      <c r="BE22" s="1196"/>
    </row>
    <row r="23" spans="1:58" ht="14.5">
      <c r="A23" s="1192"/>
      <c r="B23" s="2278">
        <v>0.7</v>
      </c>
      <c r="C23" s="2279"/>
      <c r="D23" s="2279"/>
      <c r="E23" s="2279"/>
      <c r="F23" s="2279"/>
      <c r="G23" s="2279"/>
      <c r="H23" s="2279"/>
      <c r="I23" s="2280"/>
      <c r="J23" s="2281">
        <f t="shared" si="0"/>
        <v>101</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36</v>
      </c>
      <c r="W23" s="2282"/>
      <c r="X23" s="2282"/>
      <c r="Y23" s="2282"/>
      <c r="Z23" s="2282"/>
      <c r="AA23" s="2283"/>
      <c r="AB23" s="2281" cm="1">
        <f t="array" ref="AB23">SUMPRODUCT((Application!$B$714:$B$738 = 'CalHFA Addendum'!AB$18)*(Application!$AC$714:$AC$738 = 'CalHFA Addendum'!$B23),Application!$G$714:$G$738)</f>
        <v>40</v>
      </c>
      <c r="AC23" s="2282"/>
      <c r="AD23" s="2282"/>
      <c r="AE23" s="2282"/>
      <c r="AF23" s="2282"/>
      <c r="AG23" s="2283"/>
      <c r="AH23" s="2281" cm="1">
        <f t="array" ref="AH23">SUMPRODUCT((Application!$B$714:$B$738 = 'CalHFA Addendum'!AH$18)*(Application!$AC$714:$AC$738 = 'CalHFA Addendum'!$B23),Application!$G$714:$G$738)</f>
        <v>25</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0.38846153846153847</v>
      </c>
      <c r="AU23" s="2267"/>
      <c r="AV23" s="2267"/>
      <c r="AW23" s="2267"/>
      <c r="AX23" s="2267"/>
      <c r="AY23" s="2268"/>
      <c r="AZ23" s="1192"/>
      <c r="BA23" s="1192"/>
      <c r="BB23" s="1192"/>
      <c r="BC23" s="1192"/>
      <c r="BD23" s="1192"/>
      <c r="BE23" s="1196"/>
    </row>
    <row r="24" spans="1:58" ht="14.5">
      <c r="A24" s="1192"/>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2"/>
      <c r="BA24" s="1192"/>
      <c r="BB24" s="1192"/>
      <c r="BC24" s="1192"/>
      <c r="BD24" s="1192"/>
      <c r="BE24" s="1196"/>
    </row>
    <row r="25" spans="1:58" ht="14.5">
      <c r="A25" s="1192"/>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2"/>
      <c r="BA25" s="1192"/>
      <c r="BB25" s="1192"/>
      <c r="BC25" s="1192"/>
      <c r="BD25" s="1192"/>
      <c r="BE25" s="1196"/>
    </row>
    <row r="26" spans="1:58" ht="14.5">
      <c r="A26" s="1192"/>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2"/>
      <c r="BA26" s="1192"/>
      <c r="BB26" s="1192"/>
      <c r="BC26" s="1192"/>
      <c r="BD26" s="1192"/>
      <c r="BE26" s="1196"/>
    </row>
    <row r="27" spans="1:58" ht="14.5">
      <c r="A27" s="1192"/>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2"/>
      <c r="BA27" s="1192"/>
      <c r="BB27" s="1192"/>
      <c r="BC27" s="1192"/>
      <c r="BD27" s="1192"/>
      <c r="BE27" s="1196"/>
    </row>
    <row r="28" spans="1:58" ht="15" thickBot="1">
      <c r="A28" s="1192"/>
      <c r="B28" s="2269" t="s">
        <v>2435</v>
      </c>
      <c r="C28" s="2270"/>
      <c r="D28" s="2270"/>
      <c r="E28" s="2270"/>
      <c r="F28" s="2270"/>
      <c r="G28" s="2270"/>
      <c r="H28" s="2270"/>
      <c r="I28" s="2271"/>
      <c r="J28" s="2272">
        <f>SUM(P28:AS28)</f>
        <v>3</v>
      </c>
      <c r="K28" s="2273"/>
      <c r="L28" s="2273"/>
      <c r="M28" s="2273"/>
      <c r="N28" s="2273"/>
      <c r="O28" s="2274"/>
      <c r="P28" s="2272">
        <f>_xlfn.IFNA(VLOOKUP(P$18,Application!$J$773:$S$776,6,FALSE), 0)</f>
        <v>0</v>
      </c>
      <c r="Q28" s="2273"/>
      <c r="R28" s="2273"/>
      <c r="S28" s="2273"/>
      <c r="T28" s="2273"/>
      <c r="U28" s="2274"/>
      <c r="V28" s="2272">
        <f>_xlfn.IFNA(VLOOKUP(V$18,Application!$J$773:$S$776,6,FALSE), 0)</f>
        <v>3</v>
      </c>
      <c r="W28" s="2273"/>
      <c r="X28" s="2273"/>
      <c r="Y28" s="2273"/>
      <c r="Z28" s="2273"/>
      <c r="AA28" s="2274"/>
      <c r="AB28" s="2272">
        <f>_xlfn.IFNA(VLOOKUP(AB$18,Application!$J$773:$S$776,6,FALSE), 0)</f>
        <v>0</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1.1538461538461539E-2</v>
      </c>
      <c r="AU28" s="2276"/>
      <c r="AV28" s="2276"/>
      <c r="AW28" s="2276"/>
      <c r="AX28" s="2276"/>
      <c r="AY28" s="2277"/>
      <c r="AZ28" s="1192"/>
      <c r="BA28" s="1192"/>
      <c r="BB28" s="1192"/>
      <c r="BC28" s="1192"/>
      <c r="BD28" s="1192"/>
      <c r="BE28" s="1196"/>
    </row>
    <row r="29" spans="1:58" ht="15" thickBot="1">
      <c r="A29" s="1192"/>
      <c r="B29" s="2252" t="s">
        <v>1587</v>
      </c>
      <c r="C29" s="2225"/>
      <c r="D29" s="2225"/>
      <c r="E29" s="2225"/>
      <c r="F29" s="2225"/>
      <c r="G29" s="2225"/>
      <c r="H29" s="2225"/>
      <c r="I29" s="2226"/>
      <c r="J29" s="2224">
        <f>SUM(J19:O28)</f>
        <v>260</v>
      </c>
      <c r="K29" s="2225"/>
      <c r="L29" s="2225"/>
      <c r="M29" s="2225"/>
      <c r="N29" s="2225"/>
      <c r="O29" s="2226"/>
      <c r="P29" s="2224">
        <f>SUM(P19:U28)</f>
        <v>0</v>
      </c>
      <c r="Q29" s="2225"/>
      <c r="R29" s="2225"/>
      <c r="S29" s="2225"/>
      <c r="T29" s="2225"/>
      <c r="U29" s="2226"/>
      <c r="V29" s="2224">
        <f>SUM(V19:AA28)</f>
        <v>93</v>
      </c>
      <c r="W29" s="2225"/>
      <c r="X29" s="2225"/>
      <c r="Y29" s="2225"/>
      <c r="Z29" s="2225"/>
      <c r="AA29" s="2226"/>
      <c r="AB29" s="2224">
        <f>SUM(AB19:AG28)</f>
        <v>102</v>
      </c>
      <c r="AC29" s="2225"/>
      <c r="AD29" s="2225"/>
      <c r="AE29" s="2225"/>
      <c r="AF29" s="2225"/>
      <c r="AG29" s="2226"/>
      <c r="AH29" s="2224">
        <f>SUM(AH19:AM28)</f>
        <v>65</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0" t="s">
        <v>2434</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6"/>
    </row>
    <row r="32" spans="1:58" ht="15" thickBot="1">
      <c r="A32" s="1192"/>
      <c r="B32" s="2233" t="s">
        <v>2433</v>
      </c>
      <c r="C32" s="2234"/>
      <c r="D32" s="2234"/>
      <c r="E32" s="2234"/>
      <c r="F32" s="2234"/>
      <c r="G32" s="2234"/>
      <c r="H32" s="2234"/>
      <c r="I32" s="2234"/>
      <c r="J32" s="2237" t="s">
        <v>2432</v>
      </c>
      <c r="K32" s="2238"/>
      <c r="L32" s="2238"/>
      <c r="M32" s="2238"/>
      <c r="N32" s="2237" t="s">
        <v>2431</v>
      </c>
      <c r="O32" s="2238"/>
      <c r="P32" s="2238"/>
      <c r="Q32" s="2240"/>
      <c r="R32" s="2242" t="s">
        <v>2430</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6"/>
    </row>
    <row r="33" spans="1:58" ht="15" customHeight="1">
      <c r="A33" s="1192"/>
      <c r="B33" s="2235"/>
      <c r="C33" s="2236"/>
      <c r="D33" s="2236"/>
      <c r="E33" s="2236"/>
      <c r="F33" s="2236"/>
      <c r="G33" s="2236"/>
      <c r="H33" s="2236"/>
      <c r="I33" s="2236"/>
      <c r="J33" s="2239"/>
      <c r="K33" s="2239"/>
      <c r="L33" s="2239"/>
      <c r="M33" s="2239"/>
      <c r="N33" s="2239"/>
      <c r="O33" s="2239"/>
      <c r="P33" s="2239"/>
      <c r="Q33" s="2241"/>
      <c r="R33" s="2245" t="s">
        <v>2429</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6"/>
    </row>
    <row r="34" spans="1:58" ht="15.75" customHeight="1" thickBot="1">
      <c r="A34" s="1192"/>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6"/>
    </row>
    <row r="35" spans="1:58" ht="15.75" customHeight="1">
      <c r="A35" s="1192"/>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2428</v>
      </c>
      <c r="AT35" s="2254"/>
      <c r="AU35" s="2254"/>
      <c r="AV35" s="2254"/>
      <c r="AW35" s="2254"/>
      <c r="AX35" s="2262"/>
      <c r="AY35" s="2253" t="s">
        <v>2427</v>
      </c>
      <c r="AZ35" s="2254"/>
      <c r="BA35" s="2254"/>
      <c r="BB35" s="2254"/>
      <c r="BC35" s="2254"/>
      <c r="BD35" s="2255"/>
      <c r="BE35" s="1196"/>
    </row>
    <row r="36" spans="1:58" ht="15.75" customHeight="1">
      <c r="A36" s="1192"/>
      <c r="B36" s="2157" t="s">
        <v>2426</v>
      </c>
      <c r="C36" s="2158"/>
      <c r="D36" s="2158"/>
      <c r="E36" s="2158"/>
      <c r="F36" s="2158"/>
      <c r="G36" s="2158"/>
      <c r="H36" s="2158"/>
      <c r="I36" s="2158"/>
      <c r="J36" s="2222" t="s">
        <v>2425</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6"/>
    </row>
    <row r="37" spans="1:58" ht="15.75" customHeight="1">
      <c r="A37" s="1192"/>
      <c r="B37" s="2157" t="s">
        <v>2424</v>
      </c>
      <c r="C37" s="2158"/>
      <c r="D37" s="2158"/>
      <c r="E37" s="2158"/>
      <c r="F37" s="2158"/>
      <c r="G37" s="2158"/>
      <c r="H37" s="2158"/>
      <c r="I37" s="2158"/>
      <c r="J37" s="2222" t="s">
        <v>2423</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6"/>
    </row>
    <row r="38" spans="1:58" ht="15.75" customHeight="1">
      <c r="A38" s="1192"/>
      <c r="B38" s="2157" t="s">
        <v>2422</v>
      </c>
      <c r="C38" s="2158"/>
      <c r="D38" s="2158"/>
      <c r="E38" s="2158"/>
      <c r="F38" s="2158"/>
      <c r="G38" s="2158"/>
      <c r="H38" s="2158"/>
      <c r="I38" s="2158"/>
      <c r="J38" s="2222" t="s">
        <v>2421</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6"/>
    </row>
    <row r="39" spans="1:58" ht="15.75" customHeight="1">
      <c r="A39" s="1192"/>
      <c r="B39" s="2157" t="s">
        <v>2420</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6"/>
    </row>
    <row r="40" spans="1:58" ht="15.75" customHeight="1">
      <c r="A40" s="1192"/>
      <c r="B40" s="2157" t="s">
        <v>2420</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6"/>
    </row>
    <row r="41" spans="1:58" ht="15.75" customHeight="1">
      <c r="A41" s="1192"/>
      <c r="B41" s="2157" t="s">
        <v>2419</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6"/>
    </row>
    <row r="42" spans="1:58" ht="15.75" customHeight="1">
      <c r="A42" s="1192"/>
      <c r="B42" s="2157" t="s">
        <v>2419</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6"/>
    </row>
    <row r="43" spans="1:58" ht="15.75" customHeight="1">
      <c r="A43" s="1192"/>
      <c r="B43" s="2162" t="s">
        <v>2418</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6"/>
    </row>
    <row r="44" spans="1:58" ht="15.75" customHeight="1">
      <c r="A44" s="1192"/>
      <c r="B44" s="2162" t="s">
        <v>2417</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6"/>
    </row>
    <row r="45" spans="1:58" ht="15.75" customHeight="1">
      <c r="A45" s="1192"/>
      <c r="B45" s="2162" t="s">
        <v>2416</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6"/>
    </row>
    <row r="46" spans="1:58" ht="15.75" customHeight="1">
      <c r="A46" s="1192"/>
      <c r="B46" s="2162" t="s">
        <v>2340</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6"/>
    </row>
    <row r="47" spans="1:58" ht="15.75" customHeight="1" thickBot="1">
      <c r="A47" s="1192"/>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6" t="s">
        <v>2413</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2" t="s">
        <v>2406</v>
      </c>
      <c r="C51" s="2097"/>
      <c r="D51" s="2097"/>
      <c r="E51" s="2097"/>
      <c r="F51" s="2097"/>
      <c r="G51" s="2097"/>
      <c r="H51" s="2097"/>
      <c r="I51" s="2097"/>
      <c r="J51" s="2097" t="s">
        <v>2412</v>
      </c>
      <c r="K51" s="2097"/>
      <c r="L51" s="2097"/>
      <c r="M51" s="2097"/>
      <c r="N51" s="2097"/>
      <c r="O51" s="2097"/>
      <c r="P51" s="2097"/>
      <c r="Q51" s="2097"/>
      <c r="R51" s="2201" t="s">
        <v>2411</v>
      </c>
      <c r="S51" s="2201"/>
      <c r="T51" s="2201"/>
      <c r="U51" s="2201"/>
      <c r="V51" s="2201"/>
      <c r="W51" s="2201"/>
      <c r="X51" s="2201"/>
      <c r="Y51" s="2201"/>
      <c r="Z51" s="2201" t="s">
        <v>2410</v>
      </c>
      <c r="AA51" s="2201"/>
      <c r="AB51" s="2201"/>
      <c r="AC51" s="2201"/>
      <c r="AD51" s="2201"/>
      <c r="AE51" s="2201"/>
      <c r="AF51" s="2201"/>
      <c r="AG51" s="2201"/>
      <c r="AH51" s="2201" t="s">
        <v>2409</v>
      </c>
      <c r="AI51" s="2201"/>
      <c r="AJ51" s="2201"/>
      <c r="AK51" s="2201"/>
      <c r="AL51" s="2201"/>
      <c r="AM51" s="2201"/>
      <c r="AN51" s="2201"/>
      <c r="AO51" s="220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2" t="s">
        <v>2408</v>
      </c>
      <c r="C52" s="2163"/>
      <c r="D52" s="2163"/>
      <c r="E52" s="2163"/>
      <c r="F52" s="2163"/>
      <c r="G52" s="2163"/>
      <c r="H52" s="2163"/>
      <c r="I52" s="2163"/>
      <c r="J52" s="1983">
        <v>0</v>
      </c>
      <c r="K52" s="1983"/>
      <c r="L52" s="1983"/>
      <c r="M52" s="1983"/>
      <c r="N52" s="1983"/>
      <c r="O52" s="1983"/>
      <c r="P52" s="1983"/>
      <c r="Q52" s="1983"/>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2" t="s">
        <v>2407</v>
      </c>
      <c r="C53" s="2163"/>
      <c r="D53" s="2163"/>
      <c r="E53" s="2163"/>
      <c r="F53" s="2163"/>
      <c r="G53" s="2163"/>
      <c r="H53" s="2163"/>
      <c r="I53" s="2163"/>
      <c r="J53" s="1983">
        <v>0</v>
      </c>
      <c r="K53" s="1983"/>
      <c r="L53" s="1983"/>
      <c r="M53" s="1983"/>
      <c r="N53" s="1983"/>
      <c r="O53" s="1983"/>
      <c r="P53" s="1983"/>
      <c r="Q53" s="1983"/>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2"/>
      <c r="C54" s="2163"/>
      <c r="D54" s="2163"/>
      <c r="E54" s="2163"/>
      <c r="F54" s="2163"/>
      <c r="G54" s="2163"/>
      <c r="H54" s="2163"/>
      <c r="I54" s="2163"/>
      <c r="J54" s="1983"/>
      <c r="K54" s="1983"/>
      <c r="L54" s="1983"/>
      <c r="M54" s="1983"/>
      <c r="N54" s="1983"/>
      <c r="O54" s="1983"/>
      <c r="P54" s="1983"/>
      <c r="Q54" s="1983"/>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2"/>
      <c r="C55" s="2163"/>
      <c r="D55" s="2163"/>
      <c r="E55" s="2163"/>
      <c r="F55" s="2163"/>
      <c r="G55" s="2163"/>
      <c r="H55" s="2163"/>
      <c r="I55" s="2163"/>
      <c r="J55" s="1983"/>
      <c r="K55" s="1983"/>
      <c r="L55" s="1983"/>
      <c r="M55" s="1983"/>
      <c r="N55" s="1983"/>
      <c r="O55" s="1983"/>
      <c r="P55" s="1983"/>
      <c r="Q55" s="1983"/>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2"/>
      <c r="C56" s="2163"/>
      <c r="D56" s="2163"/>
      <c r="E56" s="2163"/>
      <c r="F56" s="2163"/>
      <c r="G56" s="2163"/>
      <c r="H56" s="2163"/>
      <c r="I56" s="2163"/>
      <c r="J56" s="1983"/>
      <c r="K56" s="1983"/>
      <c r="L56" s="1983"/>
      <c r="M56" s="1983"/>
      <c r="N56" s="1983"/>
      <c r="O56" s="1983"/>
      <c r="P56" s="1983"/>
      <c r="Q56" s="1983"/>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7" t="s">
        <v>1587</v>
      </c>
      <c r="C57" s="2128"/>
      <c r="D57" s="2128"/>
      <c r="E57" s="2128"/>
      <c r="F57" s="2128"/>
      <c r="G57" s="2128"/>
      <c r="H57" s="2128"/>
      <c r="I57" s="2128"/>
      <c r="J57" s="2128"/>
      <c r="K57" s="2128"/>
      <c r="L57" s="2128"/>
      <c r="M57" s="2128"/>
      <c r="N57" s="2128"/>
      <c r="O57" s="2128"/>
      <c r="P57" s="2128"/>
      <c r="Q57" s="2128"/>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0" t="s">
        <v>2406</v>
      </c>
      <c r="C59" s="2191"/>
      <c r="D59" s="2191"/>
      <c r="E59" s="2191"/>
      <c r="F59" s="2191"/>
      <c r="G59" s="2191"/>
      <c r="H59" s="2191"/>
      <c r="I59" s="2192"/>
      <c r="J59" s="2095" t="s">
        <v>2405</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2"/>
      <c r="AY59" s="1192"/>
      <c r="AZ59" s="1192"/>
      <c r="BA59" s="1192"/>
      <c r="BB59" s="1192"/>
      <c r="BC59" s="1192"/>
      <c r="BD59" s="1192"/>
      <c r="BE59" s="1196"/>
    </row>
    <row r="60" spans="1:58" ht="15.75" customHeight="1">
      <c r="A60" s="1192"/>
      <c r="B60" s="2182" t="str">
        <f>IF(B52="", "", B52)</f>
        <v>Services Company 1</v>
      </c>
      <c r="C60" s="2183"/>
      <c r="D60" s="2183"/>
      <c r="E60" s="2183"/>
      <c r="F60" s="2183"/>
      <c r="G60" s="2183"/>
      <c r="H60" s="2183"/>
      <c r="I60" s="2184"/>
      <c r="J60" s="2185"/>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2"/>
      <c r="AY60" s="1192"/>
      <c r="AZ60" s="1192"/>
      <c r="BA60" s="1192"/>
      <c r="BB60" s="1192"/>
      <c r="BC60" s="1192"/>
      <c r="BD60" s="1192"/>
      <c r="BE60" s="1196"/>
    </row>
    <row r="61" spans="1:58" ht="15.75" customHeight="1">
      <c r="A61" s="1192"/>
      <c r="B61" s="2182" t="str">
        <f>IF(B53="", "", B53)</f>
        <v>Services Company 2</v>
      </c>
      <c r="C61" s="2183"/>
      <c r="D61" s="2183"/>
      <c r="E61" s="2183"/>
      <c r="F61" s="2183"/>
      <c r="G61" s="2183"/>
      <c r="H61" s="2183"/>
      <c r="I61" s="2184"/>
      <c r="J61" s="2185"/>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2"/>
      <c r="AY61" s="1192"/>
      <c r="AZ61" s="1192"/>
      <c r="BA61" s="1192"/>
      <c r="BB61" s="1192"/>
      <c r="BC61" s="1192"/>
      <c r="BD61" s="1192"/>
      <c r="BE61" s="1196"/>
    </row>
    <row r="62" spans="1:58" ht="15.75" customHeight="1">
      <c r="A62" s="1192"/>
      <c r="B62" s="2182" t="str">
        <f>IF(B54="", "", B54)</f>
        <v/>
      </c>
      <c r="C62" s="2183"/>
      <c r="D62" s="2183"/>
      <c r="E62" s="2183"/>
      <c r="F62" s="2183"/>
      <c r="G62" s="2183"/>
      <c r="H62" s="2183"/>
      <c r="I62" s="2184"/>
      <c r="J62" s="2185"/>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2"/>
      <c r="AY62" s="1192"/>
      <c r="AZ62" s="1192"/>
      <c r="BA62" s="1192"/>
      <c r="BB62" s="1192"/>
      <c r="BC62" s="1192"/>
      <c r="BD62" s="1192"/>
      <c r="BE62" s="1196"/>
    </row>
    <row r="63" spans="1:58" ht="15.75" customHeight="1">
      <c r="A63" s="1192"/>
      <c r="B63" s="2182" t="str">
        <f>IF(B55="", "", B55)</f>
        <v/>
      </c>
      <c r="C63" s="2183"/>
      <c r="D63" s="2183"/>
      <c r="E63" s="2183"/>
      <c r="F63" s="2183"/>
      <c r="G63" s="2183"/>
      <c r="H63" s="2183"/>
      <c r="I63" s="2184"/>
      <c r="J63" s="2185"/>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2"/>
      <c r="AY63" s="1192"/>
      <c r="AZ63" s="1192"/>
      <c r="BA63" s="1192"/>
      <c r="BB63" s="1192"/>
      <c r="BC63" s="1192"/>
      <c r="BD63" s="1192"/>
      <c r="BE63" s="1196"/>
    </row>
    <row r="64" spans="1:58" ht="15.75" customHeight="1" thickBot="1">
      <c r="A64" s="1192"/>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4" t="s">
        <v>2403</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2"/>
      <c r="AC68" s="2020" t="s">
        <v>2402</v>
      </c>
      <c r="AD68" s="2021"/>
      <c r="AE68" s="2021"/>
      <c r="AF68" s="2021"/>
      <c r="AG68" s="2021"/>
      <c r="AH68" s="2021"/>
      <c r="AI68" s="2021"/>
      <c r="AJ68" s="2021"/>
      <c r="AK68" s="2021"/>
      <c r="AL68" s="2021"/>
      <c r="AM68" s="2021"/>
      <c r="AN68" s="2021"/>
      <c r="AO68" s="2021"/>
      <c r="AP68" s="2021"/>
      <c r="AQ68" s="2021"/>
      <c r="AR68" s="2021"/>
      <c r="AS68" s="2021"/>
      <c r="AT68" s="2021"/>
      <c r="AU68" s="2021"/>
      <c r="AV68" s="2174" t="s">
        <v>670</v>
      </c>
      <c r="AW68" s="2077"/>
      <c r="AX68" s="2077"/>
      <c r="AY68" s="2077"/>
      <c r="AZ68" s="2077"/>
      <c r="BA68" s="2077"/>
      <c r="BB68" s="2077"/>
      <c r="BC68" s="2078"/>
      <c r="BD68" s="1192"/>
      <c r="BE68" s="1196"/>
      <c r="BM68" s="1201" t="s">
        <v>2401</v>
      </c>
    </row>
    <row r="69" spans="1:94" ht="15.75" customHeight="1" thickTop="1" thickBot="1">
      <c r="A69" s="1192"/>
      <c r="B69" s="2175" t="s">
        <v>2400</v>
      </c>
      <c r="C69" s="2176"/>
      <c r="D69" s="2176"/>
      <c r="E69" s="2176"/>
      <c r="F69" s="2176"/>
      <c r="G69" s="2176"/>
      <c r="H69" s="2176"/>
      <c r="I69" s="2176"/>
      <c r="J69" s="2176"/>
      <c r="K69" s="2176"/>
      <c r="L69" s="2176"/>
      <c r="M69" s="2176"/>
      <c r="N69" s="2176"/>
      <c r="O69" s="2177" t="s">
        <v>2399</v>
      </c>
      <c r="P69" s="2178"/>
      <c r="Q69" s="2178"/>
      <c r="R69" s="2178"/>
      <c r="S69" s="2178"/>
      <c r="T69" s="2178"/>
      <c r="U69" s="2178"/>
      <c r="V69" s="2178"/>
      <c r="W69" s="2178"/>
      <c r="X69" s="2178"/>
      <c r="Y69" s="2178"/>
      <c r="Z69" s="2178"/>
      <c r="AA69" s="2179"/>
      <c r="AB69" s="1192"/>
      <c r="AC69" s="2180" t="s">
        <v>2398</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77"/>
      <c r="AX69" s="2077"/>
      <c r="AY69" s="2077"/>
      <c r="AZ69" s="2077"/>
      <c r="BA69" s="2077"/>
      <c r="BB69" s="2077"/>
      <c r="BC69" s="2078"/>
      <c r="BD69" s="1192"/>
      <c r="BE69" s="1196"/>
      <c r="BM69" s="1202" t="s">
        <v>546</v>
      </c>
    </row>
    <row r="70" spans="1:94" ht="15.75" customHeight="1">
      <c r="A70" s="1192"/>
      <c r="B70" s="2157" t="s">
        <v>2397</v>
      </c>
      <c r="C70" s="2158"/>
      <c r="D70" s="2158"/>
      <c r="E70" s="2158"/>
      <c r="F70" s="2158"/>
      <c r="G70" s="2158"/>
      <c r="H70" s="2158"/>
      <c r="I70" s="2158"/>
      <c r="J70" s="2158"/>
      <c r="K70" s="2158"/>
      <c r="L70" s="2158"/>
      <c r="M70" s="2158"/>
      <c r="N70" s="2158"/>
      <c r="O70" s="2028">
        <v>0</v>
      </c>
      <c r="P70" s="2028"/>
      <c r="Q70" s="2028"/>
      <c r="R70" s="2028"/>
      <c r="S70" s="2028"/>
      <c r="T70" s="2028"/>
      <c r="U70" s="2028"/>
      <c r="V70" s="2028"/>
      <c r="W70" s="2028"/>
      <c r="X70" s="2028"/>
      <c r="Y70" s="2028"/>
      <c r="Z70" s="2028"/>
      <c r="AA70" s="2159"/>
      <c r="AB70" s="1192"/>
      <c r="AC70" s="2066" t="s">
        <v>2396</v>
      </c>
      <c r="AD70" s="2022"/>
      <c r="AE70" s="2022"/>
      <c r="AF70" s="2168"/>
      <c r="AG70" s="2168"/>
      <c r="AH70" s="2168"/>
      <c r="AI70" s="2168"/>
      <c r="AJ70" s="2168"/>
      <c r="AK70" s="2168"/>
      <c r="AL70" s="2168"/>
      <c r="AM70" s="2168"/>
      <c r="AN70" s="2168"/>
      <c r="AO70" s="2168"/>
      <c r="AP70" s="2168"/>
      <c r="AQ70" s="2168"/>
      <c r="AR70" s="2168"/>
      <c r="AS70" s="2168"/>
      <c r="AT70" s="2168"/>
      <c r="AU70" s="2169"/>
      <c r="AV70" s="1192"/>
      <c r="AW70" s="1192"/>
      <c r="AX70" s="1192"/>
      <c r="AY70" s="1192"/>
      <c r="AZ70" s="1192"/>
      <c r="BA70" s="1192"/>
      <c r="BB70" s="1192"/>
      <c r="BC70" s="1192"/>
      <c r="BD70" s="1192"/>
      <c r="BE70" s="1196"/>
      <c r="BM70" s="1203" t="s">
        <v>670</v>
      </c>
    </row>
    <row r="71" spans="1:94" ht="15.75" customHeight="1" thickBot="1">
      <c r="A71" s="1192"/>
      <c r="B71" s="2157" t="s">
        <v>2395</v>
      </c>
      <c r="C71" s="2158"/>
      <c r="D71" s="2158"/>
      <c r="E71" s="2158"/>
      <c r="F71" s="2158"/>
      <c r="G71" s="2158"/>
      <c r="H71" s="2158"/>
      <c r="I71" s="2158"/>
      <c r="J71" s="2158"/>
      <c r="K71" s="2158"/>
      <c r="L71" s="2158"/>
      <c r="M71" s="2158"/>
      <c r="N71" s="2158"/>
      <c r="O71" s="2028">
        <v>0</v>
      </c>
      <c r="P71" s="2028"/>
      <c r="Q71" s="2028"/>
      <c r="R71" s="2028"/>
      <c r="S71" s="2028"/>
      <c r="T71" s="2028"/>
      <c r="U71" s="2028"/>
      <c r="V71" s="2028"/>
      <c r="W71" s="2028"/>
      <c r="X71" s="2028"/>
      <c r="Y71" s="2028"/>
      <c r="Z71" s="2028"/>
      <c r="AA71" s="2159"/>
      <c r="AB71" s="1192"/>
      <c r="AC71" s="2170" t="s">
        <v>2394</v>
      </c>
      <c r="AD71" s="2171"/>
      <c r="AE71" s="2171"/>
      <c r="AF71" s="2172"/>
      <c r="AG71" s="2172"/>
      <c r="AH71" s="2172"/>
      <c r="AI71" s="2172"/>
      <c r="AJ71" s="2172"/>
      <c r="AK71" s="2172"/>
      <c r="AL71" s="2172"/>
      <c r="AM71" s="2172"/>
      <c r="AN71" s="2172"/>
      <c r="AO71" s="2172"/>
      <c r="AP71" s="2172"/>
      <c r="AQ71" s="2172"/>
      <c r="AR71" s="2172"/>
      <c r="AS71" s="2172"/>
      <c r="AT71" s="2172"/>
      <c r="AU71" s="2173"/>
      <c r="AV71" s="1192"/>
      <c r="AW71" s="1192"/>
      <c r="AX71" s="1192"/>
      <c r="AY71" s="1192"/>
      <c r="AZ71" s="1192"/>
      <c r="BA71" s="1192"/>
      <c r="BB71" s="1192"/>
      <c r="BC71" s="1192"/>
      <c r="BD71" s="1192"/>
      <c r="BE71" s="1196"/>
      <c r="BM71" s="1189" t="s">
        <v>2393</v>
      </c>
    </row>
    <row r="72" spans="1:94" ht="15.75" customHeight="1">
      <c r="A72" s="1192"/>
      <c r="B72" s="2157" t="s">
        <v>2392</v>
      </c>
      <c r="C72" s="2158"/>
      <c r="D72" s="2158"/>
      <c r="E72" s="2158"/>
      <c r="F72" s="2158"/>
      <c r="G72" s="2158"/>
      <c r="H72" s="2158"/>
      <c r="I72" s="2158"/>
      <c r="J72" s="2158"/>
      <c r="K72" s="2158"/>
      <c r="L72" s="2158"/>
      <c r="M72" s="2158"/>
      <c r="N72" s="2158"/>
      <c r="O72" s="2028">
        <v>0</v>
      </c>
      <c r="P72" s="2028"/>
      <c r="Q72" s="2028"/>
      <c r="R72" s="2028"/>
      <c r="S72" s="2028"/>
      <c r="T72" s="2028"/>
      <c r="U72" s="2028"/>
      <c r="V72" s="2028"/>
      <c r="W72" s="2028"/>
      <c r="X72" s="2028"/>
      <c r="Y72" s="2028"/>
      <c r="Z72" s="2028"/>
      <c r="AA72" s="2159"/>
      <c r="AB72" s="1192"/>
      <c r="AC72" s="2160" t="s">
        <v>2391</v>
      </c>
      <c r="AD72" s="2161"/>
      <c r="AE72" s="2161"/>
      <c r="AF72" s="2161"/>
      <c r="AG72" s="2161"/>
      <c r="AH72" s="2161"/>
      <c r="AI72" s="2161"/>
      <c r="AJ72" s="2161"/>
      <c r="AK72" s="2161"/>
      <c r="AL72" s="2161"/>
      <c r="AM72" s="2161"/>
      <c r="AN72" s="2161"/>
      <c r="AO72" s="2161"/>
      <c r="AP72" s="2161"/>
      <c r="AQ72" s="2161"/>
      <c r="AR72" s="2161"/>
      <c r="AS72" s="2161"/>
      <c r="AT72" s="2161"/>
      <c r="AU72" s="2161"/>
      <c r="AV72" s="2022"/>
      <c r="AW72" s="2022"/>
      <c r="AX72" s="2022"/>
      <c r="AY72" s="2022"/>
      <c r="AZ72" s="2022"/>
      <c r="BA72" s="2022"/>
      <c r="BB72" s="2022"/>
      <c r="BC72" s="2023"/>
      <c r="BD72" s="1192"/>
      <c r="BE72" s="1196"/>
    </row>
    <row r="73" spans="1:94" ht="15.75" customHeight="1">
      <c r="A73" s="1192"/>
      <c r="B73" s="2162" t="s">
        <v>2390</v>
      </c>
      <c r="C73" s="2163"/>
      <c r="D73" s="2163"/>
      <c r="E73" s="2163"/>
      <c r="F73" s="2163"/>
      <c r="G73" s="2163"/>
      <c r="H73" s="2163"/>
      <c r="I73" s="2163"/>
      <c r="J73" s="2163"/>
      <c r="K73" s="2163"/>
      <c r="L73" s="2163"/>
      <c r="M73" s="2163"/>
      <c r="N73" s="2163"/>
      <c r="O73" s="2028">
        <v>0</v>
      </c>
      <c r="P73" s="2028"/>
      <c r="Q73" s="2028"/>
      <c r="R73" s="2028"/>
      <c r="S73" s="2028"/>
      <c r="T73" s="2028"/>
      <c r="U73" s="2028"/>
      <c r="V73" s="2028"/>
      <c r="W73" s="2028"/>
      <c r="X73" s="2028"/>
      <c r="Y73" s="2028"/>
      <c r="Z73" s="2028"/>
      <c r="AA73" s="2159"/>
      <c r="AB73" s="1192"/>
      <c r="AC73" s="2037" t="s">
        <v>2335</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2"/>
      <c r="BE73" s="1196"/>
      <c r="CK73" s="1190"/>
      <c r="CL73" s="1190"/>
      <c r="CM73" s="1190"/>
      <c r="CN73" s="1190"/>
      <c r="CO73" s="1190"/>
      <c r="CP73" s="1190"/>
    </row>
    <row r="74" spans="1:94" ht="15.75" customHeight="1">
      <c r="A74" s="1192"/>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9"/>
      <c r="AB74" s="1192"/>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2"/>
      <c r="BE74" s="1196"/>
      <c r="CK74" s="1190"/>
      <c r="CL74" s="1190"/>
      <c r="CM74" s="1190"/>
      <c r="CN74" s="1190"/>
      <c r="CO74" s="1190"/>
      <c r="CP74" s="1190"/>
    </row>
    <row r="75" spans="1:94" ht="15.75" customHeight="1" thickBot="1">
      <c r="A75" s="1192"/>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2"/>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2"/>
      <c r="G79" s="2143"/>
      <c r="H79" s="2143"/>
      <c r="I79" s="2143"/>
      <c r="J79" s="2143"/>
      <c r="K79" s="2143"/>
      <c r="L79" s="2143"/>
      <c r="M79" s="2143"/>
      <c r="N79" s="2143"/>
      <c r="O79" s="2143"/>
      <c r="P79" s="2143"/>
      <c r="Q79" s="2143"/>
      <c r="R79" s="2143"/>
      <c r="S79" s="2143"/>
      <c r="T79" s="214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5" t="s">
        <v>2388</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1" t="s">
        <v>2387</v>
      </c>
      <c r="C81" s="2152"/>
      <c r="D81" s="2152"/>
      <c r="E81" s="2152"/>
      <c r="F81" s="2152"/>
      <c r="G81" s="2152"/>
      <c r="H81" s="2152"/>
      <c r="I81" s="2152"/>
      <c r="J81" s="2152"/>
      <c r="K81" s="2152"/>
      <c r="L81" s="2152"/>
      <c r="M81" s="2152"/>
      <c r="N81" s="2152"/>
      <c r="O81" s="2152"/>
      <c r="P81" s="2152"/>
      <c r="Q81" s="2152"/>
      <c r="R81" s="2133" t="s">
        <v>2191</v>
      </c>
      <c r="S81" s="2134"/>
      <c r="T81" s="213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4" t="s">
        <v>2386</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2"/>
      <c r="AJ83" s="2118" t="s">
        <v>2385</v>
      </c>
      <c r="AK83" s="2119"/>
      <c r="AL83" s="2119"/>
      <c r="AM83" s="2119"/>
      <c r="AN83" s="2119"/>
      <c r="AO83" s="2119"/>
      <c r="AP83" s="2119"/>
      <c r="AQ83" s="2119"/>
      <c r="AR83" s="2119"/>
      <c r="AS83" s="2119"/>
      <c r="AT83" s="2119"/>
      <c r="AU83" s="2119"/>
      <c r="AV83" s="2119"/>
      <c r="AW83" s="2119"/>
      <c r="AX83" s="2119"/>
      <c r="AY83" s="2138" t="s">
        <v>546</v>
      </c>
      <c r="AZ83" s="2138"/>
      <c r="BA83" s="2138"/>
      <c r="BB83" s="2139"/>
      <c r="BC83" s="1192"/>
      <c r="BD83" s="1192"/>
      <c r="BE83" s="1196"/>
      <c r="CK83" s="1190"/>
      <c r="CL83" s="1190"/>
      <c r="CM83" s="1190"/>
      <c r="CN83" s="1190"/>
      <c r="CO83" s="1190"/>
      <c r="CP83" s="1190"/>
    </row>
    <row r="84" spans="1:94" ht="15.75" customHeight="1">
      <c r="A84" s="1192"/>
      <c r="B84" s="2132"/>
      <c r="C84" s="2097"/>
      <c r="D84" s="2097"/>
      <c r="E84" s="2097"/>
      <c r="F84" s="2097"/>
      <c r="G84" s="2097"/>
      <c r="H84" s="2097"/>
      <c r="I84" s="2097" t="s">
        <v>2375</v>
      </c>
      <c r="J84" s="2097"/>
      <c r="K84" s="2097"/>
      <c r="L84" s="2097"/>
      <c r="M84" s="2097"/>
      <c r="N84" s="2097"/>
      <c r="O84" s="2097" t="s">
        <v>2351</v>
      </c>
      <c r="P84" s="2097"/>
      <c r="Q84" s="2097"/>
      <c r="R84" s="2097"/>
      <c r="S84" s="2097"/>
      <c r="T84" s="2097"/>
      <c r="U84" s="2097"/>
      <c r="V84" s="2136" t="s">
        <v>2350</v>
      </c>
      <c r="W84" s="2136"/>
      <c r="X84" s="2136"/>
      <c r="Y84" s="2136"/>
      <c r="Z84" s="2136"/>
      <c r="AA84" s="2136"/>
      <c r="AB84" s="2067" t="s">
        <v>2374</v>
      </c>
      <c r="AC84" s="2067"/>
      <c r="AD84" s="2067"/>
      <c r="AE84" s="2067"/>
      <c r="AF84" s="2067"/>
      <c r="AG84" s="2067"/>
      <c r="AH84" s="2137"/>
      <c r="AI84" s="1192"/>
      <c r="AJ84" s="2121"/>
      <c r="AK84" s="2122"/>
      <c r="AL84" s="2122"/>
      <c r="AM84" s="2122"/>
      <c r="AN84" s="2122"/>
      <c r="AO84" s="2122"/>
      <c r="AP84" s="2122"/>
      <c r="AQ84" s="2122"/>
      <c r="AR84" s="2122"/>
      <c r="AS84" s="2122"/>
      <c r="AT84" s="2122"/>
      <c r="AU84" s="2122"/>
      <c r="AV84" s="2122"/>
      <c r="AW84" s="2122"/>
      <c r="AX84" s="2122"/>
      <c r="AY84" s="2140"/>
      <c r="AZ84" s="2140"/>
      <c r="BA84" s="2140"/>
      <c r="BB84" s="2141"/>
      <c r="BC84" s="1192"/>
      <c r="BD84" s="1192"/>
      <c r="BE84" s="1196"/>
      <c r="CK84" s="1190"/>
      <c r="CL84" s="1190"/>
      <c r="CM84" s="1190"/>
      <c r="CN84" s="1190"/>
      <c r="CO84" s="1190"/>
      <c r="CP84" s="1190"/>
    </row>
    <row r="85" spans="1:94" ht="15.75" customHeight="1">
      <c r="A85" s="1192"/>
      <c r="B85" s="2132"/>
      <c r="C85" s="2097"/>
      <c r="D85" s="2097"/>
      <c r="E85" s="2097"/>
      <c r="F85" s="2097"/>
      <c r="G85" s="2097"/>
      <c r="H85" s="2097"/>
      <c r="I85" s="2097"/>
      <c r="J85" s="2097"/>
      <c r="K85" s="2097"/>
      <c r="L85" s="2097"/>
      <c r="M85" s="2097"/>
      <c r="N85" s="2097"/>
      <c r="O85" s="2097"/>
      <c r="P85" s="2097"/>
      <c r="Q85" s="2097"/>
      <c r="R85" s="2097"/>
      <c r="S85" s="2097"/>
      <c r="T85" s="2097"/>
      <c r="U85" s="2097"/>
      <c r="V85" s="2136"/>
      <c r="W85" s="2136"/>
      <c r="X85" s="2136"/>
      <c r="Y85" s="2136"/>
      <c r="Z85" s="2136"/>
      <c r="AA85" s="2136"/>
      <c r="AB85" s="2067"/>
      <c r="AC85" s="2067"/>
      <c r="AD85" s="2067"/>
      <c r="AE85" s="2067"/>
      <c r="AF85" s="2067"/>
      <c r="AG85" s="2067"/>
      <c r="AH85" s="2137"/>
      <c r="AI85" s="1192"/>
      <c r="AJ85" s="2121"/>
      <c r="AK85" s="2122"/>
      <c r="AL85" s="2122"/>
      <c r="AM85" s="2122"/>
      <c r="AN85" s="2122"/>
      <c r="AO85" s="2122"/>
      <c r="AP85" s="2122"/>
      <c r="AQ85" s="2122"/>
      <c r="AR85" s="2122"/>
      <c r="AS85" s="2122"/>
      <c r="AT85" s="2122"/>
      <c r="AU85" s="2122"/>
      <c r="AV85" s="2122"/>
      <c r="AW85" s="2122"/>
      <c r="AX85" s="2122"/>
      <c r="AY85" s="2140"/>
      <c r="AZ85" s="2140"/>
      <c r="BA85" s="2140"/>
      <c r="BB85" s="2141"/>
      <c r="BC85" s="1192"/>
      <c r="BD85" s="1192"/>
      <c r="BE85" s="1196"/>
      <c r="CK85" s="1190"/>
      <c r="CL85" s="1190"/>
      <c r="CM85" s="1190"/>
      <c r="CN85" s="1190"/>
      <c r="CO85" s="1190"/>
      <c r="CP85" s="1190"/>
    </row>
    <row r="86" spans="1:94" ht="15.75" customHeight="1">
      <c r="A86" s="1192"/>
      <c r="B86" s="2132" t="s">
        <v>2373</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2"/>
      <c r="AJ86" s="2121"/>
      <c r="AK86" s="2122"/>
      <c r="AL86" s="2122"/>
      <c r="AM86" s="2122"/>
      <c r="AN86" s="2122"/>
      <c r="AO86" s="2122"/>
      <c r="AP86" s="2122"/>
      <c r="AQ86" s="2122"/>
      <c r="AR86" s="2122"/>
      <c r="AS86" s="2122"/>
      <c r="AT86" s="2122"/>
      <c r="AU86" s="2122"/>
      <c r="AV86" s="2122"/>
      <c r="AW86" s="2122"/>
      <c r="AX86" s="2122"/>
      <c r="AY86" s="2140"/>
      <c r="AZ86" s="2140"/>
      <c r="BA86" s="2140"/>
      <c r="BB86" s="2141"/>
      <c r="BC86" s="1192"/>
      <c r="BD86" s="1192"/>
      <c r="BE86" s="1196"/>
      <c r="CK86" s="1190"/>
      <c r="CL86" s="1190"/>
      <c r="CM86" s="1190"/>
      <c r="CN86" s="1190"/>
      <c r="CO86" s="1190"/>
      <c r="CP86" s="1190"/>
    </row>
    <row r="87" spans="1:94" ht="15.75" customHeight="1">
      <c r="A87" s="1192"/>
      <c r="B87" s="2132" t="s">
        <v>2372</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2"/>
      <c r="AJ87" s="2037" t="s">
        <v>2379</v>
      </c>
      <c r="AK87" s="2038"/>
      <c r="AL87" s="2038"/>
      <c r="AM87" s="2038"/>
      <c r="AN87" s="2038"/>
      <c r="AO87" s="2038"/>
      <c r="AP87" s="2038"/>
      <c r="AQ87" s="2038"/>
      <c r="AR87" s="2038"/>
      <c r="AS87" s="2038"/>
      <c r="AT87" s="2038"/>
      <c r="AU87" s="2038"/>
      <c r="AV87" s="2038"/>
      <c r="AW87" s="2038"/>
      <c r="AX87" s="2038"/>
      <c r="AY87" s="2038"/>
      <c r="AZ87" s="2038"/>
      <c r="BA87" s="2038"/>
      <c r="BB87" s="2039"/>
      <c r="BC87" s="1192"/>
      <c r="BD87" s="1192"/>
      <c r="BE87" s="1196"/>
      <c r="CK87" s="1190"/>
      <c r="CL87" s="1190"/>
      <c r="CM87" s="1190"/>
      <c r="CN87" s="1190"/>
      <c r="CO87" s="1190"/>
      <c r="CP87" s="1190"/>
    </row>
    <row r="88" spans="1:94" ht="15.75" customHeight="1" thickBot="1">
      <c r="A88" s="1192"/>
      <c r="B88" s="2127" t="s">
        <v>2371</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2"/>
      <c r="AJ88" s="2040"/>
      <c r="AK88" s="2041"/>
      <c r="AL88" s="2041"/>
      <c r="AM88" s="2041"/>
      <c r="AN88" s="2041"/>
      <c r="AO88" s="2041"/>
      <c r="AP88" s="2041"/>
      <c r="AQ88" s="2041"/>
      <c r="AR88" s="2041"/>
      <c r="AS88" s="2041"/>
      <c r="AT88" s="2041"/>
      <c r="AU88" s="2041"/>
      <c r="AV88" s="2041"/>
      <c r="AW88" s="2041"/>
      <c r="AX88" s="2041"/>
      <c r="AY88" s="2041"/>
      <c r="AZ88" s="2041"/>
      <c r="BA88" s="2041"/>
      <c r="BB88" s="2042"/>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2"/>
      <c r="G92" s="2143"/>
      <c r="H92" s="2143"/>
      <c r="I92" s="2143"/>
      <c r="J92" s="2143"/>
      <c r="K92" s="2143"/>
      <c r="L92" s="2143"/>
      <c r="M92" s="2143"/>
      <c r="N92" s="2143"/>
      <c r="O92" s="2143"/>
      <c r="P92" s="2143"/>
      <c r="Q92" s="2143"/>
      <c r="R92" s="2143"/>
      <c r="S92" s="2143"/>
      <c r="T92" s="214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5" t="s">
        <v>2383</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1" t="s">
        <v>2382</v>
      </c>
      <c r="C94" s="2152"/>
      <c r="D94" s="2152"/>
      <c r="E94" s="2152"/>
      <c r="F94" s="2152"/>
      <c r="G94" s="2152"/>
      <c r="H94" s="2152"/>
      <c r="I94" s="2152"/>
      <c r="J94" s="2152"/>
      <c r="K94" s="2152"/>
      <c r="L94" s="2152"/>
      <c r="M94" s="2152"/>
      <c r="N94" s="2152"/>
      <c r="O94" s="2152"/>
      <c r="P94" s="2152"/>
      <c r="Q94" s="2153"/>
      <c r="R94" s="2133" t="s">
        <v>2191</v>
      </c>
      <c r="S94" s="2134"/>
      <c r="T94" s="213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4" t="s">
        <v>2381</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2"/>
      <c r="AJ96" s="2118" t="s">
        <v>2380</v>
      </c>
      <c r="AK96" s="2119"/>
      <c r="AL96" s="2119"/>
      <c r="AM96" s="2119"/>
      <c r="AN96" s="2119"/>
      <c r="AO96" s="2119"/>
      <c r="AP96" s="2119"/>
      <c r="AQ96" s="2119"/>
      <c r="AR96" s="2119"/>
      <c r="AS96" s="2119"/>
      <c r="AT96" s="2119"/>
      <c r="AU96" s="2119"/>
      <c r="AV96" s="2119"/>
      <c r="AW96" s="2119"/>
      <c r="AX96" s="2119"/>
      <c r="AY96" s="2138" t="s">
        <v>546</v>
      </c>
      <c r="AZ96" s="2138"/>
      <c r="BA96" s="2138"/>
      <c r="BB96" s="2139"/>
      <c r="BC96" s="1192"/>
      <c r="BD96" s="1192"/>
      <c r="BE96" s="1196"/>
      <c r="BQ96" s="1189" t="str">
        <f>Application!M243&amp;IF(TRIM(Application!AA249)&lt;&gt;""," ("&amp;Application!AA249&amp;")","")</f>
        <v>Green Valley Corporation (Green Valle Corp. dba Swenson)</v>
      </c>
      <c r="BR96" s="1218">
        <f>Application!AH246</f>
        <v>8.9999999999999993E-3</v>
      </c>
      <c r="CM96" s="1190"/>
      <c r="CN96" s="1190"/>
      <c r="CO96" s="1190"/>
      <c r="CP96" s="1190"/>
    </row>
    <row r="97" spans="1:94" ht="15.75" customHeight="1">
      <c r="A97" s="1192"/>
      <c r="B97" s="2132"/>
      <c r="C97" s="2097"/>
      <c r="D97" s="2097"/>
      <c r="E97" s="2097"/>
      <c r="F97" s="2097"/>
      <c r="G97" s="2097"/>
      <c r="H97" s="2097"/>
      <c r="I97" s="2097" t="s">
        <v>2375</v>
      </c>
      <c r="J97" s="2097"/>
      <c r="K97" s="2097"/>
      <c r="L97" s="2097"/>
      <c r="M97" s="2097"/>
      <c r="N97" s="2097"/>
      <c r="O97" s="2097" t="s">
        <v>2351</v>
      </c>
      <c r="P97" s="2097"/>
      <c r="Q97" s="2097"/>
      <c r="R97" s="2097"/>
      <c r="S97" s="2097"/>
      <c r="T97" s="2097"/>
      <c r="U97" s="2097"/>
      <c r="V97" s="2136" t="s">
        <v>2350</v>
      </c>
      <c r="W97" s="2136"/>
      <c r="X97" s="2136"/>
      <c r="Y97" s="2136"/>
      <c r="Z97" s="2136"/>
      <c r="AA97" s="2136"/>
      <c r="AB97" s="2067" t="s">
        <v>2374</v>
      </c>
      <c r="AC97" s="2067"/>
      <c r="AD97" s="2067"/>
      <c r="AE97" s="2067"/>
      <c r="AF97" s="2067"/>
      <c r="AG97" s="2067"/>
      <c r="AH97" s="2137"/>
      <c r="AI97" s="1192"/>
      <c r="AJ97" s="2121"/>
      <c r="AK97" s="2122"/>
      <c r="AL97" s="2122"/>
      <c r="AM97" s="2122"/>
      <c r="AN97" s="2122"/>
      <c r="AO97" s="2122"/>
      <c r="AP97" s="2122"/>
      <c r="AQ97" s="2122"/>
      <c r="AR97" s="2122"/>
      <c r="AS97" s="2122"/>
      <c r="AT97" s="2122"/>
      <c r="AU97" s="2122"/>
      <c r="AV97" s="2122"/>
      <c r="AW97" s="2122"/>
      <c r="AX97" s="2122"/>
      <c r="AY97" s="2140"/>
      <c r="AZ97" s="2140"/>
      <c r="BA97" s="2140"/>
      <c r="BB97" s="2141"/>
      <c r="BC97" s="1192"/>
      <c r="BD97" s="1192"/>
      <c r="BE97" s="1196"/>
      <c r="BQ97" s="1189" t="str">
        <f>Application!M251&amp;IF(TRIM(Application!AA257)&lt;&gt;""," ("&amp;Application!AA257&amp;")","")</f>
        <v>PacH San Jose Holdings, LLC (Pacific Housing, Inc.)</v>
      </c>
      <c r="BR97" s="1218">
        <f>Application!AH254</f>
        <v>1E-3</v>
      </c>
      <c r="CM97" s="1190"/>
      <c r="CN97" s="1190"/>
      <c r="CO97" s="1190"/>
      <c r="CP97" s="1190"/>
    </row>
    <row r="98" spans="1:94" ht="15.75" customHeight="1">
      <c r="A98" s="1192"/>
      <c r="B98" s="2132"/>
      <c r="C98" s="2097"/>
      <c r="D98" s="2097"/>
      <c r="E98" s="2097"/>
      <c r="F98" s="2097"/>
      <c r="G98" s="2097"/>
      <c r="H98" s="2097"/>
      <c r="I98" s="2097"/>
      <c r="J98" s="2097"/>
      <c r="K98" s="2097"/>
      <c r="L98" s="2097"/>
      <c r="M98" s="2097"/>
      <c r="N98" s="2097"/>
      <c r="O98" s="2097"/>
      <c r="P98" s="2097"/>
      <c r="Q98" s="2097"/>
      <c r="R98" s="2097"/>
      <c r="S98" s="2097"/>
      <c r="T98" s="2097"/>
      <c r="U98" s="2097"/>
      <c r="V98" s="2136"/>
      <c r="W98" s="2136"/>
      <c r="X98" s="2136"/>
      <c r="Y98" s="2136"/>
      <c r="Z98" s="2136"/>
      <c r="AA98" s="2136"/>
      <c r="AB98" s="2067"/>
      <c r="AC98" s="2067"/>
      <c r="AD98" s="2067"/>
      <c r="AE98" s="2067"/>
      <c r="AF98" s="2067"/>
      <c r="AG98" s="2067"/>
      <c r="AH98" s="2137"/>
      <c r="AI98" s="1192"/>
      <c r="AJ98" s="2121"/>
      <c r="AK98" s="2122"/>
      <c r="AL98" s="2122"/>
      <c r="AM98" s="2122"/>
      <c r="AN98" s="2122"/>
      <c r="AO98" s="2122"/>
      <c r="AP98" s="2122"/>
      <c r="AQ98" s="2122"/>
      <c r="AR98" s="2122"/>
      <c r="AS98" s="2122"/>
      <c r="AT98" s="2122"/>
      <c r="AU98" s="2122"/>
      <c r="AV98" s="2122"/>
      <c r="AW98" s="2122"/>
      <c r="AX98" s="2122"/>
      <c r="AY98" s="2140"/>
      <c r="AZ98" s="2140"/>
      <c r="BA98" s="2140"/>
      <c r="BB98" s="2141"/>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2" t="s">
        <v>2373</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2"/>
      <c r="AJ99" s="2121"/>
      <c r="AK99" s="2122"/>
      <c r="AL99" s="2122"/>
      <c r="AM99" s="2122"/>
      <c r="AN99" s="2122"/>
      <c r="AO99" s="2122"/>
      <c r="AP99" s="2122"/>
      <c r="AQ99" s="2122"/>
      <c r="AR99" s="2122"/>
      <c r="AS99" s="2122"/>
      <c r="AT99" s="2122"/>
      <c r="AU99" s="2122"/>
      <c r="AV99" s="2122"/>
      <c r="AW99" s="2122"/>
      <c r="AX99" s="2122"/>
      <c r="AY99" s="2140"/>
      <c r="AZ99" s="2140"/>
      <c r="BA99" s="2140"/>
      <c r="BB99" s="2141"/>
      <c r="BC99" s="1192"/>
      <c r="BD99" s="1192"/>
      <c r="BE99" s="1196"/>
      <c r="CM99" s="1190"/>
      <c r="CN99" s="1190"/>
      <c r="CO99" s="1190"/>
      <c r="CP99" s="1190"/>
    </row>
    <row r="100" spans="1:94" ht="15.75" customHeight="1">
      <c r="A100" s="1192"/>
      <c r="B100" s="2132" t="s">
        <v>2372</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2"/>
      <c r="AJ100" s="2037" t="s">
        <v>2379</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2"/>
      <c r="BD100" s="1192"/>
      <c r="BE100" s="1196"/>
      <c r="CM100" s="1190"/>
      <c r="CN100" s="1190"/>
      <c r="CO100" s="1190"/>
      <c r="CP100" s="1190"/>
    </row>
    <row r="101" spans="1:94" ht="15.75" customHeight="1" thickBot="1">
      <c r="A101" s="1192"/>
      <c r="B101" s="2127" t="s">
        <v>2371</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2"/>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1"/>
      <c r="G104" s="2092"/>
      <c r="H104" s="2092"/>
      <c r="I104" s="2092"/>
      <c r="J104" s="2092"/>
      <c r="K104" s="2092"/>
      <c r="L104" s="2092"/>
      <c r="M104" s="2092"/>
      <c r="N104" s="2092"/>
      <c r="O104" s="2092"/>
      <c r="P104" s="2092"/>
      <c r="Q104" s="2092"/>
      <c r="R104" s="209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3" t="str">
        <f>IFERROR(INDEX(BR96:BR98,MATCH(F104,$BQ$96:$BQ$98,0))/SUM($BR$96:$BR$98),"")</f>
        <v/>
      </c>
      <c r="P105" s="2134"/>
      <c r="Q105" s="2134"/>
      <c r="R105" s="213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0" t="s">
        <v>2376</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2"/>
      <c r="C108" s="2097"/>
      <c r="D108" s="2097"/>
      <c r="E108" s="2097"/>
      <c r="F108" s="2097"/>
      <c r="G108" s="2097"/>
      <c r="H108" s="2097"/>
      <c r="I108" s="2097" t="s">
        <v>2375</v>
      </c>
      <c r="J108" s="2097"/>
      <c r="K108" s="2097"/>
      <c r="L108" s="2097"/>
      <c r="M108" s="2097"/>
      <c r="N108" s="2097"/>
      <c r="O108" s="2097" t="s">
        <v>2351</v>
      </c>
      <c r="P108" s="2097"/>
      <c r="Q108" s="2097"/>
      <c r="R108" s="2097"/>
      <c r="S108" s="2097"/>
      <c r="T108" s="2097"/>
      <c r="U108" s="2097"/>
      <c r="V108" s="2136" t="s">
        <v>2350</v>
      </c>
      <c r="W108" s="2136"/>
      <c r="X108" s="2136"/>
      <c r="Y108" s="2136"/>
      <c r="Z108" s="2136"/>
      <c r="AA108" s="2136"/>
      <c r="AB108" s="2067" t="s">
        <v>2374</v>
      </c>
      <c r="AC108" s="2067"/>
      <c r="AD108" s="2067"/>
      <c r="AE108" s="2067"/>
      <c r="AF108" s="2067"/>
      <c r="AG108" s="2067"/>
      <c r="AH108" s="213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2"/>
      <c r="C109" s="2097"/>
      <c r="D109" s="2097"/>
      <c r="E109" s="2097"/>
      <c r="F109" s="2097"/>
      <c r="G109" s="2097"/>
      <c r="H109" s="2097"/>
      <c r="I109" s="2097"/>
      <c r="J109" s="2097"/>
      <c r="K109" s="2097"/>
      <c r="L109" s="2097"/>
      <c r="M109" s="2097"/>
      <c r="N109" s="2097"/>
      <c r="O109" s="2097"/>
      <c r="P109" s="2097"/>
      <c r="Q109" s="2097"/>
      <c r="R109" s="2097"/>
      <c r="S109" s="2097"/>
      <c r="T109" s="2097"/>
      <c r="U109" s="2097"/>
      <c r="V109" s="2136"/>
      <c r="W109" s="2136"/>
      <c r="X109" s="2136"/>
      <c r="Y109" s="2136"/>
      <c r="Z109" s="2136"/>
      <c r="AA109" s="2136"/>
      <c r="AB109" s="2067"/>
      <c r="AC109" s="2067"/>
      <c r="AD109" s="2067"/>
      <c r="AE109" s="2067"/>
      <c r="AF109" s="2067"/>
      <c r="AG109" s="2067"/>
      <c r="AH109" s="213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2" t="s">
        <v>2373</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2" t="s">
        <v>2372</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7" t="s">
        <v>2371</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29"/>
      <c r="G115" s="2130"/>
      <c r="H115" s="2130"/>
      <c r="I115" s="2130"/>
      <c r="J115" s="2130"/>
      <c r="K115" s="2130"/>
      <c r="L115" s="2130"/>
      <c r="M115" s="2130"/>
      <c r="N115" s="2130"/>
      <c r="O115" s="2130"/>
      <c r="P115" s="2130"/>
      <c r="Q115" s="2130"/>
      <c r="R115" s="2131"/>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2" t="s">
        <v>2369</v>
      </c>
      <c r="C117" s="2103"/>
      <c r="D117" s="2103"/>
      <c r="E117" s="2103"/>
      <c r="F117" s="2103"/>
      <c r="G117" s="2103"/>
      <c r="H117" s="2103"/>
      <c r="I117" s="2103"/>
      <c r="J117" s="2103"/>
      <c r="K117" s="2103"/>
      <c r="L117" s="2103"/>
      <c r="M117" s="2103"/>
      <c r="N117" s="2103"/>
      <c r="O117" s="2103"/>
      <c r="P117" s="2103"/>
      <c r="Q117" s="2103"/>
      <c r="R117" s="2103"/>
      <c r="S117" s="2103"/>
      <c r="T117" s="2103"/>
      <c r="U117" s="2106" t="s">
        <v>546</v>
      </c>
      <c r="V117" s="2106"/>
      <c r="W117" s="2106"/>
      <c r="X117" s="210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0" t="s">
        <v>2369</v>
      </c>
      <c r="C121" s="2111"/>
      <c r="D121" s="2111"/>
      <c r="E121" s="2111"/>
      <c r="F121" s="2111"/>
      <c r="G121" s="2111"/>
      <c r="H121" s="2111"/>
      <c r="I121" s="2111"/>
      <c r="J121" s="2111"/>
      <c r="K121" s="2111"/>
      <c r="L121" s="2111"/>
      <c r="M121" s="2111"/>
      <c r="N121" s="2111"/>
      <c r="O121" s="2111"/>
      <c r="P121" s="2111"/>
      <c r="Q121" s="2111"/>
      <c r="R121" s="2111"/>
      <c r="S121" s="2111"/>
      <c r="T121" s="2111"/>
      <c r="U121" s="2114" t="s">
        <v>546</v>
      </c>
      <c r="V121" s="2114"/>
      <c r="W121" s="2114"/>
      <c r="X121" s="211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8" t="s">
        <v>2367</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6"/>
    </row>
    <row r="126" spans="1:57" ht="15.75" customHeight="1">
      <c r="A126" s="1192"/>
      <c r="B126" s="2124" t="s">
        <v>1577</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2"/>
      <c r="W126" s="1192"/>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6"/>
    </row>
    <row r="127" spans="1:57" ht="15.75" customHeight="1">
      <c r="A127" s="1192"/>
      <c r="B127" s="2034"/>
      <c r="C127" s="2035"/>
      <c r="D127" s="2035"/>
      <c r="E127" s="2035"/>
      <c r="F127" s="2035"/>
      <c r="G127" s="2035"/>
      <c r="H127" s="2035"/>
      <c r="I127" s="2097" t="s">
        <v>2366</v>
      </c>
      <c r="J127" s="2097"/>
      <c r="K127" s="2097"/>
      <c r="L127" s="2097"/>
      <c r="M127" s="2097"/>
      <c r="N127" s="2097"/>
      <c r="O127" s="2098" t="s">
        <v>2365</v>
      </c>
      <c r="P127" s="2098"/>
      <c r="Q127" s="2098"/>
      <c r="R127" s="2098"/>
      <c r="S127" s="2098"/>
      <c r="T127" s="2098"/>
      <c r="U127" s="2099"/>
      <c r="V127" s="1192"/>
      <c r="W127" s="1192"/>
      <c r="X127" s="2037" t="s">
        <v>2335</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6"/>
    </row>
    <row r="128" spans="1:57" ht="15.75" customHeight="1">
      <c r="A128" s="1192"/>
      <c r="B128" s="2068" t="s">
        <v>2349</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2"/>
      <c r="W128" s="1192"/>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6"/>
    </row>
    <row r="129" spans="1:57" ht="15.75" customHeight="1" thickBot="1">
      <c r="A129" s="1192"/>
      <c r="B129" s="2062" t="s">
        <v>2348</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2"/>
      <c r="W129" s="1192"/>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6"/>
    </row>
    <row r="133" spans="1:57" ht="15.75" customHeight="1">
      <c r="A133" s="1192"/>
      <c r="B133" s="2094" t="s">
        <v>2363</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2"/>
      <c r="W133" s="1192"/>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6"/>
    </row>
    <row r="134" spans="1:57" ht="15.75" customHeight="1">
      <c r="A134" s="1192"/>
      <c r="B134" s="2034"/>
      <c r="C134" s="2035"/>
      <c r="D134" s="2035"/>
      <c r="E134" s="2035"/>
      <c r="F134" s="2035"/>
      <c r="G134" s="2035"/>
      <c r="H134" s="2035"/>
      <c r="I134" s="2072" t="s">
        <v>2351</v>
      </c>
      <c r="J134" s="2072"/>
      <c r="K134" s="2072"/>
      <c r="L134" s="2072"/>
      <c r="M134" s="2072"/>
      <c r="N134" s="2072"/>
      <c r="O134" s="2072"/>
      <c r="P134" s="2072" t="s">
        <v>2350</v>
      </c>
      <c r="Q134" s="2072"/>
      <c r="R134" s="2072"/>
      <c r="S134" s="2072"/>
      <c r="T134" s="2072"/>
      <c r="U134" s="2073"/>
      <c r="V134" s="1192"/>
      <c r="W134" s="1192"/>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6"/>
    </row>
    <row r="135" spans="1:57" ht="15.75" customHeight="1">
      <c r="A135" s="1192"/>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2"/>
      <c r="W135" s="1192"/>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6"/>
    </row>
    <row r="136" spans="1:57" ht="15.75" customHeight="1">
      <c r="A136" s="1192"/>
      <c r="B136" s="2068" t="s">
        <v>2349</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2"/>
      <c r="W136" s="1192"/>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6"/>
    </row>
    <row r="137" spans="1:57" ht="15.75" customHeight="1" thickBot="1">
      <c r="A137" s="1192"/>
      <c r="B137" s="2062" t="s">
        <v>2348</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2"/>
      <c r="W137" s="1192"/>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9" t="s">
        <v>2362</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2"/>
      <c r="AZ139" s="1192"/>
      <c r="BA139" s="1192"/>
      <c r="BB139" s="1192"/>
      <c r="BC139" s="1192"/>
      <c r="BD139" s="1192"/>
      <c r="BE139" s="1196"/>
    </row>
    <row r="140" spans="1:57" ht="15.75" customHeight="1" thickBot="1">
      <c r="A140" s="1192"/>
      <c r="B140" s="2074" t="s">
        <v>2361</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2"/>
      <c r="AZ140" s="1192"/>
      <c r="BA140" s="1192"/>
      <c r="BB140" s="1192"/>
      <c r="BC140" s="1192"/>
      <c r="BD140" s="1192"/>
      <c r="BE140" s="1196"/>
    </row>
    <row r="141" spans="1:57" ht="15.75" customHeight="1">
      <c r="A141" s="1192"/>
      <c r="B141" s="2074" t="s">
        <v>2360</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2"/>
      <c r="AZ141" s="1192"/>
      <c r="BA141" s="1192"/>
      <c r="BB141" s="1192"/>
      <c r="BC141" s="1192"/>
      <c r="BD141" s="1192"/>
      <c r="BE141" s="1196"/>
    </row>
    <row r="142" spans="1:57" ht="15.75" customHeight="1">
      <c r="A142" s="1192"/>
      <c r="B142" s="2079" t="s">
        <v>2359</v>
      </c>
      <c r="C142" s="2080"/>
      <c r="D142" s="2080"/>
      <c r="E142" s="2080"/>
      <c r="F142" s="2080"/>
      <c r="G142" s="2080"/>
      <c r="H142" s="2080"/>
      <c r="I142" s="2080"/>
      <c r="J142" s="2080"/>
      <c r="K142" s="2080"/>
      <c r="L142" s="2080"/>
      <c r="M142" s="2080"/>
      <c r="N142" s="2080"/>
      <c r="O142" s="2080"/>
      <c r="P142" s="2080"/>
      <c r="Q142" s="2080"/>
      <c r="R142" s="2081" t="s">
        <v>2358</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2"/>
      <c r="AZ142" s="1192"/>
      <c r="BA142" s="1192"/>
      <c r="BB142" s="1192"/>
      <c r="BC142" s="1192" t="s">
        <v>250</v>
      </c>
      <c r="BD142" s="1192"/>
      <c r="BE142" s="1196"/>
    </row>
    <row r="143" spans="1:57" ht="15.75" customHeight="1">
      <c r="A143" s="1192"/>
      <c r="B143" s="2083" t="s">
        <v>2357</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2"/>
      <c r="AZ143" s="1192"/>
      <c r="BA143" s="1192"/>
      <c r="BB143" s="1192"/>
      <c r="BC143" s="1192"/>
      <c r="BD143" s="1192"/>
      <c r="BE143" s="1196"/>
    </row>
    <row r="144" spans="1:57" ht="15.75" customHeight="1">
      <c r="A144" s="1192"/>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2"/>
      <c r="AZ144" s="1192"/>
      <c r="BA144" s="1192"/>
      <c r="BB144" s="1192"/>
      <c r="BC144" s="1192"/>
      <c r="BD144" s="1192"/>
      <c r="BE144" s="1196"/>
    </row>
    <row r="145" spans="1:57" ht="15.75" customHeight="1">
      <c r="A145" s="1192"/>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2"/>
      <c r="AZ145" s="1192"/>
      <c r="BA145" s="1192"/>
      <c r="BB145" s="1192"/>
      <c r="BC145" s="1192"/>
      <c r="BD145" s="1192"/>
      <c r="BE145" s="1196"/>
    </row>
    <row r="146" spans="1:57" ht="15.75" customHeight="1">
      <c r="A146" s="1192"/>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2"/>
      <c r="AZ146" s="1192"/>
      <c r="BA146" s="1192"/>
      <c r="BB146" s="1192"/>
      <c r="BC146" s="1192"/>
      <c r="BD146" s="1192"/>
      <c r="BE146" s="1196"/>
    </row>
    <row r="147" spans="1:57" ht="15.75" customHeight="1">
      <c r="A147" s="1192"/>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2"/>
      <c r="AZ147" s="1192"/>
      <c r="BA147" s="1192"/>
      <c r="BB147" s="1192"/>
      <c r="BC147" s="1192"/>
      <c r="BD147" s="1192"/>
      <c r="BE147" s="1196"/>
    </row>
    <row r="148" spans="1:57" ht="15.75" customHeight="1">
      <c r="A148" s="1192"/>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2"/>
      <c r="AZ148" s="1192"/>
      <c r="BA148" s="1192"/>
      <c r="BB148" s="1192"/>
      <c r="BC148" s="1192"/>
      <c r="BD148" s="1192"/>
      <c r="BE148" s="1196"/>
    </row>
    <row r="149" spans="1:57" ht="15.75" customHeight="1">
      <c r="A149" s="1192"/>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2"/>
      <c r="AZ149" s="1192"/>
      <c r="BA149" s="1192"/>
      <c r="BB149" s="1192"/>
      <c r="BC149" s="1192"/>
      <c r="BD149" s="1192"/>
      <c r="BE149" s="1196"/>
    </row>
    <row r="150" spans="1:57" ht="15.75" customHeight="1">
      <c r="A150" s="1192"/>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2"/>
      <c r="AZ150" s="1192"/>
      <c r="BA150" s="1192"/>
      <c r="BB150" s="1192"/>
      <c r="BC150" s="1192"/>
      <c r="BD150" s="1192"/>
      <c r="BE150" s="1196"/>
    </row>
    <row r="151" spans="1:57" ht="15.75" customHeight="1">
      <c r="A151" s="1192"/>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2"/>
      <c r="AZ151" s="1192"/>
      <c r="BA151" s="1192"/>
      <c r="BB151" s="1192"/>
      <c r="BC151" s="1192"/>
      <c r="BD151" s="1192"/>
      <c r="BE151" s="1196"/>
    </row>
    <row r="152" spans="1:57" ht="15.75" customHeight="1" thickBot="1">
      <c r="A152" s="1192"/>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6" t="s">
        <v>2354</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2"/>
      <c r="W156" s="1194"/>
      <c r="X156" s="2066" t="s">
        <v>2353</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4"/>
      <c r="C157" s="2035"/>
      <c r="D157" s="2035"/>
      <c r="E157" s="2035"/>
      <c r="F157" s="2035"/>
      <c r="G157" s="2035"/>
      <c r="H157" s="2035"/>
      <c r="I157" s="2072" t="s">
        <v>2351</v>
      </c>
      <c r="J157" s="2072"/>
      <c r="K157" s="2072"/>
      <c r="L157" s="2072"/>
      <c r="M157" s="2072"/>
      <c r="N157" s="2072"/>
      <c r="O157" s="2072"/>
      <c r="P157" s="2072" t="s">
        <v>2352</v>
      </c>
      <c r="Q157" s="2072"/>
      <c r="R157" s="2072"/>
      <c r="S157" s="2072"/>
      <c r="T157" s="2072"/>
      <c r="U157" s="2073"/>
      <c r="V157" s="1192"/>
      <c r="W157" s="1192"/>
      <c r="X157" s="2034"/>
      <c r="Y157" s="2035"/>
      <c r="Z157" s="2035"/>
      <c r="AA157" s="2035"/>
      <c r="AB157" s="2035"/>
      <c r="AC157" s="2035"/>
      <c r="AD157" s="2035"/>
      <c r="AE157" s="2072" t="s">
        <v>2351</v>
      </c>
      <c r="AF157" s="2072"/>
      <c r="AG157" s="2072"/>
      <c r="AH157" s="2072"/>
      <c r="AI157" s="2072"/>
      <c r="AJ157" s="2072"/>
      <c r="AK157" s="2072"/>
      <c r="AL157" s="2072" t="s">
        <v>2350</v>
      </c>
      <c r="AM157" s="2072"/>
      <c r="AN157" s="2072"/>
      <c r="AO157" s="2072"/>
      <c r="AP157" s="2072"/>
      <c r="AQ157" s="2073"/>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2"/>
      <c r="W158" s="1192"/>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8" t="s">
        <v>2349</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2"/>
      <c r="W159" s="1192"/>
      <c r="X159" s="2062" t="s">
        <v>2349</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2" t="s">
        <v>2348</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6" t="s">
        <v>2347</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4" t="s">
        <v>2332</v>
      </c>
      <c r="D163" s="2035"/>
      <c r="E163" s="2035"/>
      <c r="F163" s="2035"/>
      <c r="G163" s="2035"/>
      <c r="H163" s="2035"/>
      <c r="I163" s="2035"/>
      <c r="J163" s="2035"/>
      <c r="K163" s="2035"/>
      <c r="L163" s="2035"/>
      <c r="M163" s="2035"/>
      <c r="N163" s="2035"/>
      <c r="O163" s="2035"/>
      <c r="P163" s="2035"/>
      <c r="Q163" s="2035" t="s">
        <v>2346</v>
      </c>
      <c r="R163" s="2035"/>
      <c r="S163" s="2035"/>
      <c r="T163" s="2067" t="s">
        <v>2345</v>
      </c>
      <c r="U163" s="2067"/>
      <c r="V163" s="2067"/>
      <c r="W163" s="2067"/>
      <c r="X163" s="2067"/>
      <c r="Y163" s="2067"/>
      <c r="Z163" s="2067"/>
      <c r="AA163" s="2067"/>
      <c r="AB163" s="2035" t="s">
        <v>2344</v>
      </c>
      <c r="AC163" s="2035"/>
      <c r="AD163" s="2035"/>
      <c r="AE163" s="2035"/>
      <c r="AF163" s="2035"/>
      <c r="AG163" s="2036"/>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9" t="s">
        <v>2343</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9" t="s">
        <v>2342</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9" t="s">
        <v>2341</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9" t="s">
        <v>2340</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9" t="s">
        <v>170</v>
      </c>
      <c r="D168" s="2050"/>
      <c r="E168" s="2050"/>
      <c r="F168" s="2051" t="s">
        <v>2321</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9" t="s">
        <v>170</v>
      </c>
      <c r="D169" s="2050"/>
      <c r="E169" s="2050"/>
      <c r="F169" s="2051" t="s">
        <v>2321</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5" t="s">
        <v>170</v>
      </c>
      <c r="D170" s="2056"/>
      <c r="E170" s="2056"/>
      <c r="F170" s="2057" t="s">
        <v>2321</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0" t="s">
        <v>2339</v>
      </c>
      <c r="D172" s="2021"/>
      <c r="E172" s="2021"/>
      <c r="F172" s="2021"/>
      <c r="G172" s="2021"/>
      <c r="H172" s="2021"/>
      <c r="I172" s="2021"/>
      <c r="J172" s="2021"/>
      <c r="K172" s="2021"/>
      <c r="L172" s="2021"/>
      <c r="M172" s="2021"/>
      <c r="N172" s="2030"/>
      <c r="O172" s="1192"/>
      <c r="P172" s="2031" t="s">
        <v>2338</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4" t="s">
        <v>2337</v>
      </c>
      <c r="D173" s="2035"/>
      <c r="E173" s="2035"/>
      <c r="F173" s="2035"/>
      <c r="G173" s="2035"/>
      <c r="H173" s="2035"/>
      <c r="I173" s="2035" t="s">
        <v>2336</v>
      </c>
      <c r="J173" s="2035"/>
      <c r="K173" s="2035"/>
      <c r="L173" s="2035"/>
      <c r="M173" s="2035"/>
      <c r="N173" s="2036"/>
      <c r="O173" s="1192"/>
      <c r="P173" s="2037" t="s">
        <v>2335</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2"/>
      <c r="D174" s="1983"/>
      <c r="E174" s="1983"/>
      <c r="F174" s="1983"/>
      <c r="G174" s="1983"/>
      <c r="H174" s="1983"/>
      <c r="I174" s="2043"/>
      <c r="J174" s="2043"/>
      <c r="K174" s="2043"/>
      <c r="L174" s="2043"/>
      <c r="M174" s="2043"/>
      <c r="N174" s="2044"/>
      <c r="O174" s="1192"/>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2"/>
      <c r="D175" s="1983"/>
      <c r="E175" s="1983"/>
      <c r="F175" s="1983"/>
      <c r="G175" s="1983"/>
      <c r="H175" s="1983"/>
      <c r="I175" s="2043"/>
      <c r="J175" s="2043"/>
      <c r="K175" s="2043"/>
      <c r="L175" s="2043"/>
      <c r="M175" s="2043"/>
      <c r="N175" s="2044"/>
      <c r="O175" s="1192"/>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2"/>
      <c r="D176" s="1983"/>
      <c r="E176" s="1983"/>
      <c r="F176" s="1983"/>
      <c r="G176" s="1983"/>
      <c r="H176" s="1983"/>
      <c r="I176" s="2043"/>
      <c r="J176" s="2043"/>
      <c r="K176" s="2043"/>
      <c r="L176" s="2043"/>
      <c r="M176" s="2043"/>
      <c r="N176" s="2044"/>
      <c r="O176" s="1192"/>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2"/>
      <c r="D177" s="1983"/>
      <c r="E177" s="1983"/>
      <c r="F177" s="1983"/>
      <c r="G177" s="1983"/>
      <c r="H177" s="1983"/>
      <c r="I177" s="2043"/>
      <c r="J177" s="2043"/>
      <c r="K177" s="2043"/>
      <c r="L177" s="2043"/>
      <c r="M177" s="2043"/>
      <c r="N177" s="2044"/>
      <c r="O177" s="1192"/>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2"/>
      <c r="D178" s="1983"/>
      <c r="E178" s="1983"/>
      <c r="F178" s="1983"/>
      <c r="G178" s="1983"/>
      <c r="H178" s="1983"/>
      <c r="I178" s="2043"/>
      <c r="J178" s="2043"/>
      <c r="K178" s="2043"/>
      <c r="L178" s="2043"/>
      <c r="M178" s="2043"/>
      <c r="N178" s="2044"/>
      <c r="O178" s="1192"/>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2"/>
      <c r="D179" s="1983"/>
      <c r="E179" s="1983"/>
      <c r="F179" s="1983"/>
      <c r="G179" s="1983"/>
      <c r="H179" s="1983"/>
      <c r="I179" s="2043"/>
      <c r="J179" s="2043"/>
      <c r="K179" s="2043"/>
      <c r="L179" s="2043"/>
      <c r="M179" s="2043"/>
      <c r="N179" s="2044"/>
      <c r="O179" s="1192"/>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5"/>
      <c r="D180" s="2046"/>
      <c r="E180" s="2046"/>
      <c r="F180" s="2046"/>
      <c r="G180" s="2046"/>
      <c r="H180" s="2046"/>
      <c r="I180" s="2047"/>
      <c r="J180" s="2047"/>
      <c r="K180" s="2047"/>
      <c r="L180" s="2047"/>
      <c r="M180" s="2047"/>
      <c r="N180" s="2048"/>
      <c r="O180" s="1192"/>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1" t="s">
        <v>2334</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2"/>
      <c r="AG182" s="1192"/>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2"/>
      <c r="B183" s="1192"/>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2"/>
      <c r="AG183" s="1192"/>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2"/>
      <c r="B184" s="1192"/>
      <c r="C184" s="2020" t="s">
        <v>2332</v>
      </c>
      <c r="D184" s="2021"/>
      <c r="E184" s="2021"/>
      <c r="F184" s="2021"/>
      <c r="G184" s="2021"/>
      <c r="H184" s="2021"/>
      <c r="I184" s="2021"/>
      <c r="J184" s="2021"/>
      <c r="K184" s="2021"/>
      <c r="L184" s="2021"/>
      <c r="M184" s="2021"/>
      <c r="N184" s="2021" t="s">
        <v>2333</v>
      </c>
      <c r="O184" s="2021"/>
      <c r="P184" s="2021"/>
      <c r="Q184" s="2021"/>
      <c r="R184" s="2021"/>
      <c r="S184" s="2021"/>
      <c r="T184" s="2021"/>
      <c r="U184" s="2022" t="s">
        <v>2332</v>
      </c>
      <c r="V184" s="2022"/>
      <c r="W184" s="2022"/>
      <c r="X184" s="2022"/>
      <c r="Y184" s="2022"/>
      <c r="Z184" s="2022"/>
      <c r="AA184" s="2022"/>
      <c r="AB184" s="2022"/>
      <c r="AC184" s="2022"/>
      <c r="AD184" s="2022"/>
      <c r="AE184" s="2023"/>
      <c r="AF184" s="1192"/>
      <c r="AG184" s="1192"/>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2"/>
      <c r="B185" s="1192"/>
      <c r="C185" s="1999" t="s">
        <v>2331</v>
      </c>
      <c r="D185" s="2000"/>
      <c r="E185" s="2000"/>
      <c r="F185" s="2000"/>
      <c r="G185" s="2000"/>
      <c r="H185" s="2000"/>
      <c r="I185" s="2000"/>
      <c r="J185" s="2000"/>
      <c r="K185" s="2000"/>
      <c r="L185" s="2000"/>
      <c r="M185" s="2000"/>
      <c r="N185" s="2010">
        <f>'Sources and Uses Budget'!B105</f>
        <v>140091791</v>
      </c>
      <c r="O185" s="2010"/>
      <c r="P185" s="2010"/>
      <c r="Q185" s="2010"/>
      <c r="R185" s="2010"/>
      <c r="S185" s="2010"/>
      <c r="T185" s="2010"/>
      <c r="U185" s="2024"/>
      <c r="V185" s="2024"/>
      <c r="W185" s="2024"/>
      <c r="X185" s="2024"/>
      <c r="Y185" s="2024"/>
      <c r="Z185" s="2024"/>
      <c r="AA185" s="2024"/>
      <c r="AB185" s="2024"/>
      <c r="AC185" s="2024"/>
      <c r="AD185" s="2024"/>
      <c r="AE185" s="2025"/>
      <c r="AF185" s="1192"/>
      <c r="AG185" s="1192"/>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2"/>
      <c r="B186" s="1192"/>
      <c r="C186" s="1999" t="s">
        <v>2330</v>
      </c>
      <c r="D186" s="2000"/>
      <c r="E186" s="2000"/>
      <c r="F186" s="2000"/>
      <c r="G186" s="2000"/>
      <c r="H186" s="2000"/>
      <c r="I186" s="2000"/>
      <c r="J186" s="2000"/>
      <c r="K186" s="2000"/>
      <c r="L186" s="2000"/>
      <c r="M186" s="2000"/>
      <c r="N186" s="2010">
        <f>N185/J29</f>
        <v>538814.58076923073</v>
      </c>
      <c r="O186" s="2010"/>
      <c r="P186" s="2010"/>
      <c r="Q186" s="2010"/>
      <c r="R186" s="2010"/>
      <c r="S186" s="2010"/>
      <c r="T186" s="2010"/>
      <c r="U186" s="1232"/>
      <c r="V186" s="1232"/>
      <c r="W186" s="1232"/>
      <c r="X186" s="1232"/>
      <c r="Y186" s="1232"/>
      <c r="Z186" s="1232"/>
      <c r="AA186" s="1232"/>
      <c r="AB186" s="1232"/>
      <c r="AC186" s="1232"/>
      <c r="AD186" s="1232"/>
      <c r="AE186" s="1233"/>
      <c r="AF186" s="1192"/>
      <c r="AG186" s="1192"/>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2"/>
      <c r="B187" s="1192"/>
      <c r="C187" s="2026" t="s">
        <v>2329</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2"/>
      <c r="AG187" s="1192"/>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2"/>
      <c r="B188" s="1192"/>
      <c r="C188" s="1999" t="s">
        <v>2328</v>
      </c>
      <c r="D188" s="2000"/>
      <c r="E188" s="2000"/>
      <c r="F188" s="2000"/>
      <c r="G188" s="2000"/>
      <c r="H188" s="2000"/>
      <c r="I188" s="2000"/>
      <c r="J188" s="2000"/>
      <c r="K188" s="2000"/>
      <c r="L188" s="2000"/>
      <c r="M188" s="2000"/>
      <c r="N188" s="2029">
        <f>SUM('Sources and Uses Budget'!B85:B86)</f>
        <v>9880000</v>
      </c>
      <c r="O188" s="2029"/>
      <c r="P188" s="2029"/>
      <c r="Q188" s="2029"/>
      <c r="R188" s="2029"/>
      <c r="S188" s="2029"/>
      <c r="T188" s="2029"/>
      <c r="U188" s="1986"/>
      <c r="V188" s="1986"/>
      <c r="W188" s="1986"/>
      <c r="X188" s="1986"/>
      <c r="Y188" s="1986"/>
      <c r="Z188" s="1986"/>
      <c r="AA188" s="1986"/>
      <c r="AB188" s="1986"/>
      <c r="AC188" s="1986"/>
      <c r="AD188" s="1986"/>
      <c r="AE188" s="1987"/>
      <c r="AF188" s="1192"/>
      <c r="AG188" s="1192"/>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2"/>
      <c r="B189" s="1192"/>
      <c r="C189" s="1999" t="s">
        <v>2327</v>
      </c>
      <c r="D189" s="2000"/>
      <c r="E189" s="2000"/>
      <c r="F189" s="2000"/>
      <c r="G189" s="2000"/>
      <c r="H189" s="2000"/>
      <c r="I189" s="2000"/>
      <c r="J189" s="2000"/>
      <c r="K189" s="2000"/>
      <c r="L189" s="2000"/>
      <c r="M189" s="2000"/>
      <c r="N189" s="2029">
        <f>'Sources and Uses Budget'!B8</f>
        <v>0</v>
      </c>
      <c r="O189" s="2029"/>
      <c r="P189" s="2029"/>
      <c r="Q189" s="2029"/>
      <c r="R189" s="2029"/>
      <c r="S189" s="2029"/>
      <c r="T189" s="2029"/>
      <c r="U189" s="1986"/>
      <c r="V189" s="1986"/>
      <c r="W189" s="1986"/>
      <c r="X189" s="1986"/>
      <c r="Y189" s="1986"/>
      <c r="Z189" s="1986"/>
      <c r="AA189" s="1986"/>
      <c r="AB189" s="1986"/>
      <c r="AC189" s="1986"/>
      <c r="AD189" s="1986"/>
      <c r="AE189" s="1987"/>
      <c r="AF189" s="1192"/>
      <c r="AG189" s="1192"/>
      <c r="AH189" s="1996" t="s">
        <v>2325</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2"/>
      <c r="B190" s="1192"/>
      <c r="C190" s="1999" t="s">
        <v>2326</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2"/>
      <c r="AG190" s="1192"/>
      <c r="AH190" s="2001" t="s">
        <v>2325</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2"/>
      <c r="B191" s="1192"/>
      <c r="C191" s="1999" t="s">
        <v>2324</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2"/>
      <c r="AG191" s="1192"/>
      <c r="AH191" s="2017" t="s">
        <v>2323</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2"/>
      <c r="B192" s="1192"/>
      <c r="C192" s="1991" t="s">
        <v>300</v>
      </c>
      <c r="D192" s="1992"/>
      <c r="E192" s="1984" t="s">
        <v>2321</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2"/>
      <c r="AG192" s="1192"/>
      <c r="AH192" s="1993" t="s">
        <v>2322</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2"/>
      <c r="B193" s="1192"/>
      <c r="C193" s="1982" t="s">
        <v>300</v>
      </c>
      <c r="D193" s="1983"/>
      <c r="E193" s="1984" t="s">
        <v>2321</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8"/>
      <c r="BD193" s="1989"/>
      <c r="BE193" s="1990"/>
    </row>
    <row r="194" spans="1:57" ht="15.75" customHeight="1" thickBot="1">
      <c r="A194" s="1192"/>
      <c r="B194" s="1192"/>
      <c r="C194" s="1970" t="s">
        <v>300</v>
      </c>
      <c r="D194" s="1971"/>
      <c r="E194" s="1972" t="s">
        <v>2321</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2"/>
      <c r="AG194" s="1192"/>
      <c r="AH194" s="1979" t="s">
        <v>2320</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3"/>
      <c r="BD194" s="1173"/>
      <c r="BE194" s="1236"/>
    </row>
    <row r="195" spans="1:57" ht="15.75" customHeight="1">
      <c r="A195" s="1192"/>
      <c r="B195" s="1192"/>
      <c r="C195" s="1953" t="s">
        <v>2319</v>
      </c>
      <c r="D195" s="1954"/>
      <c r="E195" s="1954"/>
      <c r="F195" s="1954"/>
      <c r="G195" s="1954"/>
      <c r="H195" s="1954"/>
      <c r="I195" s="1954"/>
      <c r="J195" s="1954"/>
      <c r="K195" s="1954"/>
      <c r="L195" s="1954"/>
      <c r="M195" s="1954"/>
      <c r="N195" s="1955">
        <f>SUM(N187:T194)</f>
        <v>9880000</v>
      </c>
      <c r="O195" s="1955"/>
      <c r="P195" s="1955"/>
      <c r="Q195" s="1955"/>
      <c r="R195" s="1955"/>
      <c r="S195" s="1955"/>
      <c r="T195" s="1956"/>
      <c r="U195" s="1192"/>
      <c r="V195" s="1192"/>
      <c r="W195" s="1192"/>
      <c r="X195" s="1192"/>
      <c r="Y195" s="1192"/>
      <c r="Z195" s="1192"/>
      <c r="AA195" s="1192"/>
      <c r="AB195" s="1192"/>
      <c r="AC195" s="1192"/>
      <c r="AD195" s="1192"/>
      <c r="AE195" s="1192"/>
      <c r="AF195" s="1192"/>
      <c r="AG195" s="1192"/>
      <c r="AH195" s="1957" t="s">
        <v>2318</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2"/>
      <c r="B196" s="1192"/>
      <c r="C196" s="1963" t="s">
        <v>2317</v>
      </c>
      <c r="D196" s="1964"/>
      <c r="E196" s="1964"/>
      <c r="F196" s="1964"/>
      <c r="G196" s="1964"/>
      <c r="H196" s="1964"/>
      <c r="I196" s="1964"/>
      <c r="J196" s="1964"/>
      <c r="K196" s="1964"/>
      <c r="L196" s="1964"/>
      <c r="M196" s="1964"/>
      <c r="N196" s="1965">
        <f>(N185-N195)/J29</f>
        <v>500814.58076923079</v>
      </c>
      <c r="O196" s="1966"/>
      <c r="P196" s="1966"/>
      <c r="Q196" s="1966"/>
      <c r="R196" s="1966"/>
      <c r="S196" s="1966"/>
      <c r="T196" s="1967"/>
      <c r="U196" s="1197"/>
      <c r="V196" s="1192"/>
      <c r="W196" s="1192"/>
      <c r="X196" s="1192"/>
      <c r="Y196" s="1192"/>
      <c r="Z196" s="1192"/>
      <c r="AA196" s="1192"/>
      <c r="AB196" s="1192"/>
      <c r="AC196" s="1192"/>
      <c r="AD196" s="1192"/>
      <c r="AE196" s="1192"/>
      <c r="AF196" s="1192"/>
      <c r="AG196" s="1192"/>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8" t="s">
        <v>2316</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1" t="s">
        <v>2315</v>
      </c>
      <c r="D200" s="1951"/>
      <c r="E200" s="1951"/>
      <c r="F200" s="1951"/>
      <c r="G200" s="1951"/>
      <c r="H200" s="1951"/>
      <c r="I200" s="1951"/>
      <c r="J200" s="1951"/>
      <c r="K200" s="1951"/>
      <c r="L200" s="1951"/>
      <c r="M200" s="1951"/>
      <c r="N200" s="1951"/>
      <c r="O200" s="1952" t="s">
        <v>2314</v>
      </c>
      <c r="P200" s="1952"/>
      <c r="Q200" s="1952"/>
      <c r="R200" s="1952"/>
      <c r="S200" s="1952"/>
      <c r="T200" s="1952"/>
      <c r="U200" s="1952"/>
      <c r="V200" s="1952"/>
      <c r="W200" s="1952"/>
      <c r="X200" s="1952" t="s">
        <v>2313</v>
      </c>
      <c r="Y200" s="1952"/>
      <c r="Z200" s="1952"/>
      <c r="AA200" s="1952"/>
      <c r="AB200" s="1952"/>
      <c r="AC200" s="1952"/>
      <c r="AD200" s="1952"/>
      <c r="AE200" s="1952"/>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3" t="s">
        <v>2312</v>
      </c>
      <c r="D201" s="1943"/>
      <c r="E201" s="1943"/>
      <c r="F201" s="1943"/>
      <c r="G201" s="1943"/>
      <c r="H201" s="1943"/>
      <c r="I201" s="1943"/>
      <c r="J201" s="1943"/>
      <c r="K201" s="1943"/>
      <c r="L201" s="1943"/>
      <c r="M201" s="1943"/>
      <c r="N201" s="1943"/>
      <c r="O201" s="1944" t="s">
        <v>2311</v>
      </c>
      <c r="P201" s="1944"/>
      <c r="Q201" s="1944"/>
      <c r="R201" s="1944"/>
      <c r="S201" s="1944"/>
      <c r="T201" s="1944"/>
      <c r="U201" s="1944"/>
      <c r="V201" s="1944"/>
      <c r="W201" s="1944"/>
      <c r="X201" s="1945">
        <v>0.03</v>
      </c>
      <c r="Y201" s="1945"/>
      <c r="Z201" s="1945"/>
      <c r="AA201" s="1945"/>
      <c r="AB201" s="1945"/>
      <c r="AC201" s="1945"/>
      <c r="AD201" s="1945"/>
      <c r="AE201" s="1945"/>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3" t="s">
        <v>855</v>
      </c>
      <c r="D202" s="1943"/>
      <c r="E202" s="1943"/>
      <c r="F202" s="1943"/>
      <c r="G202" s="1943"/>
      <c r="H202" s="1943"/>
      <c r="I202" s="1943"/>
      <c r="J202" s="1943"/>
      <c r="K202" s="1943"/>
      <c r="L202" s="1943"/>
      <c r="M202" s="1943"/>
      <c r="N202" s="1943"/>
      <c r="O202" s="1944" t="s">
        <v>2311</v>
      </c>
      <c r="P202" s="1944"/>
      <c r="Q202" s="1944"/>
      <c r="R202" s="1944"/>
      <c r="S202" s="1944"/>
      <c r="T202" s="1944"/>
      <c r="U202" s="1944"/>
      <c r="V202" s="1944"/>
      <c r="W202" s="1944"/>
      <c r="X202" s="1945">
        <v>0.03</v>
      </c>
      <c r="Y202" s="1945"/>
      <c r="Z202" s="1945"/>
      <c r="AA202" s="1945"/>
      <c r="AB202" s="1945"/>
      <c r="AC202" s="1945"/>
      <c r="AD202" s="1945"/>
      <c r="AE202" s="1945"/>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3" t="s">
        <v>2310</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2309</v>
      </c>
      <c r="Y203" s="1947"/>
      <c r="Z203" s="1947"/>
      <c r="AA203" s="1947"/>
      <c r="AB203" s="1947"/>
      <c r="AC203" s="1947"/>
      <c r="AD203" s="1947"/>
      <c r="AE203" s="1947"/>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7" t="s">
        <v>2308</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8" t="s">
        <v>2307</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1" t="s">
        <v>2306</v>
      </c>
      <c r="D207" s="1922"/>
      <c r="E207" s="1922"/>
      <c r="F207" s="1923"/>
      <c r="G207" s="1927" t="s">
        <v>2305</v>
      </c>
      <c r="H207" s="1922"/>
      <c r="I207" s="1922"/>
      <c r="J207" s="1922"/>
      <c r="K207" s="1922"/>
      <c r="L207" s="1922"/>
      <c r="M207" s="1922"/>
      <c r="N207" s="1922"/>
      <c r="O207" s="1923"/>
      <c r="P207" s="1929" t="s">
        <v>2304</v>
      </c>
      <c r="Q207" s="1930"/>
      <c r="R207" s="1930"/>
      <c r="S207" s="1930"/>
      <c r="T207" s="1931"/>
      <c r="U207" s="1935" t="s">
        <v>2303</v>
      </c>
      <c r="V207" s="1936"/>
      <c r="W207" s="1936"/>
      <c r="X207" s="1937"/>
      <c r="Y207" s="1935" t="s">
        <v>2302</v>
      </c>
      <c r="Z207" s="1936"/>
      <c r="AA207" s="1936"/>
      <c r="AB207" s="1937"/>
      <c r="AC207" s="1935" t="s">
        <v>2301</v>
      </c>
      <c r="AD207" s="1936"/>
      <c r="AE207" s="1936"/>
      <c r="AF207" s="1937"/>
      <c r="AG207" s="1927" t="s">
        <v>2300</v>
      </c>
      <c r="AH207" s="1922"/>
      <c r="AI207" s="1922"/>
      <c r="AJ207" s="1922"/>
      <c r="AK207" s="194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0">
        <v>1</v>
      </c>
      <c r="D209" s="1911"/>
      <c r="E209" s="1911"/>
      <c r="F209" s="1911"/>
      <c r="G209" s="1912" t="s">
        <v>1886</v>
      </c>
      <c r="H209" s="1912"/>
      <c r="I209" s="1912"/>
      <c r="J209" s="1912"/>
      <c r="K209" s="1912"/>
      <c r="L209" s="1912"/>
      <c r="M209" s="1912"/>
      <c r="N209" s="1912"/>
      <c r="O209" s="1912"/>
      <c r="P209" s="1913"/>
      <c r="Q209" s="1916"/>
      <c r="R209" s="1916"/>
      <c r="S209" s="1916"/>
      <c r="T209" s="1916"/>
      <c r="U209" s="1914" t="s">
        <v>1886</v>
      </c>
      <c r="V209" s="1914"/>
      <c r="W209" s="1914"/>
      <c r="X209" s="1914"/>
      <c r="Y209" s="1914" t="s">
        <v>1886</v>
      </c>
      <c r="Z209" s="1914"/>
      <c r="AA209" s="1914"/>
      <c r="AB209" s="1914"/>
      <c r="AC209" s="1915" t="s">
        <v>1886</v>
      </c>
      <c r="AD209" s="1915"/>
      <c r="AE209" s="1915"/>
      <c r="AF209" s="1915"/>
      <c r="AG209" s="1899"/>
      <c r="AH209" s="1900"/>
      <c r="AI209" s="1900"/>
      <c r="AJ209" s="1900"/>
      <c r="AK209" s="1901"/>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0">
        <v>2</v>
      </c>
      <c r="D210" s="1911"/>
      <c r="E210" s="1911"/>
      <c r="F210" s="1911"/>
      <c r="G210" s="1912" t="s">
        <v>1886</v>
      </c>
      <c r="H210" s="1912"/>
      <c r="I210" s="1912"/>
      <c r="J210" s="1912"/>
      <c r="K210" s="1912"/>
      <c r="L210" s="1912"/>
      <c r="M210" s="1912"/>
      <c r="N210" s="1912"/>
      <c r="O210" s="1912"/>
      <c r="P210" s="1913"/>
      <c r="Q210" s="1913"/>
      <c r="R210" s="1913"/>
      <c r="S210" s="1913"/>
      <c r="T210" s="1913"/>
      <c r="U210" s="1914" t="s">
        <v>1886</v>
      </c>
      <c r="V210" s="1914"/>
      <c r="W210" s="1914"/>
      <c r="X210" s="1914"/>
      <c r="Y210" s="1914" t="s">
        <v>1886</v>
      </c>
      <c r="Z210" s="1914"/>
      <c r="AA210" s="1914"/>
      <c r="AB210" s="1914"/>
      <c r="AC210" s="1915" t="s">
        <v>1886</v>
      </c>
      <c r="AD210" s="1915"/>
      <c r="AE210" s="1915"/>
      <c r="AF210" s="1915"/>
      <c r="AG210" s="1899"/>
      <c r="AH210" s="1900"/>
      <c r="AI210" s="1900"/>
      <c r="AJ210" s="1900"/>
      <c r="AK210" s="1901"/>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0">
        <v>3</v>
      </c>
      <c r="D211" s="1911"/>
      <c r="E211" s="1911"/>
      <c r="F211" s="1911"/>
      <c r="G211" s="1912" t="s">
        <v>1886</v>
      </c>
      <c r="H211" s="1912"/>
      <c r="I211" s="1912"/>
      <c r="J211" s="1912"/>
      <c r="K211" s="1912"/>
      <c r="L211" s="1912"/>
      <c r="M211" s="1912"/>
      <c r="N211" s="1912"/>
      <c r="O211" s="1912"/>
      <c r="P211" s="1913"/>
      <c r="Q211" s="1913"/>
      <c r="R211" s="1913"/>
      <c r="S211" s="1913"/>
      <c r="T211" s="1913"/>
      <c r="U211" s="1914" t="s">
        <v>1886</v>
      </c>
      <c r="V211" s="1914"/>
      <c r="W211" s="1914"/>
      <c r="X211" s="1914"/>
      <c r="Y211" s="1914" t="s">
        <v>1886</v>
      </c>
      <c r="Z211" s="1914"/>
      <c r="AA211" s="1914"/>
      <c r="AB211" s="1914"/>
      <c r="AC211" s="1915" t="s">
        <v>1886</v>
      </c>
      <c r="AD211" s="1915"/>
      <c r="AE211" s="1915"/>
      <c r="AF211" s="1915"/>
      <c r="AG211" s="1899"/>
      <c r="AH211" s="1900"/>
      <c r="AI211" s="1900"/>
      <c r="AJ211" s="1900"/>
      <c r="AK211" s="1901"/>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0">
        <v>4</v>
      </c>
      <c r="D212" s="1911"/>
      <c r="E212" s="1911"/>
      <c r="F212" s="1911"/>
      <c r="G212" s="1912" t="s">
        <v>1886</v>
      </c>
      <c r="H212" s="1912"/>
      <c r="I212" s="1912"/>
      <c r="J212" s="1912"/>
      <c r="K212" s="1912"/>
      <c r="L212" s="1912"/>
      <c r="M212" s="1912"/>
      <c r="N212" s="1912"/>
      <c r="O212" s="1912"/>
      <c r="P212" s="1913"/>
      <c r="Q212" s="1913"/>
      <c r="R212" s="1913"/>
      <c r="S212" s="1913"/>
      <c r="T212" s="1913"/>
      <c r="U212" s="1914" t="s">
        <v>1886</v>
      </c>
      <c r="V212" s="1914"/>
      <c r="W212" s="1914"/>
      <c r="X212" s="1914"/>
      <c r="Y212" s="1914" t="s">
        <v>1886</v>
      </c>
      <c r="Z212" s="1914"/>
      <c r="AA212" s="1914"/>
      <c r="AB212" s="1914"/>
      <c r="AC212" s="1915" t="s">
        <v>1886</v>
      </c>
      <c r="AD212" s="1915"/>
      <c r="AE212" s="1915"/>
      <c r="AF212" s="1915"/>
      <c r="AG212" s="1899"/>
      <c r="AH212" s="1900"/>
      <c r="AI212" s="1900"/>
      <c r="AJ212" s="1900"/>
      <c r="AK212" s="1901"/>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0">
        <v>5</v>
      </c>
      <c r="D213" s="1911"/>
      <c r="E213" s="1911"/>
      <c r="F213" s="1911"/>
      <c r="G213" s="1912" t="s">
        <v>1886</v>
      </c>
      <c r="H213" s="1912"/>
      <c r="I213" s="1912"/>
      <c r="J213" s="1912"/>
      <c r="K213" s="1912"/>
      <c r="L213" s="1912"/>
      <c r="M213" s="1912"/>
      <c r="N213" s="1912"/>
      <c r="O213" s="1912"/>
      <c r="P213" s="1913"/>
      <c r="Q213" s="1913"/>
      <c r="R213" s="1913"/>
      <c r="S213" s="1913"/>
      <c r="T213" s="1913"/>
      <c r="U213" s="1914" t="s">
        <v>1886</v>
      </c>
      <c r="V213" s="1914"/>
      <c r="W213" s="1914"/>
      <c r="X213" s="1914"/>
      <c r="Y213" s="1914" t="s">
        <v>1886</v>
      </c>
      <c r="Z213" s="1914"/>
      <c r="AA213" s="1914"/>
      <c r="AB213" s="1914"/>
      <c r="AC213" s="1915" t="s">
        <v>1886</v>
      </c>
      <c r="AD213" s="1915"/>
      <c r="AE213" s="1915"/>
      <c r="AF213" s="1915"/>
      <c r="AG213" s="1899"/>
      <c r="AH213" s="1900"/>
      <c r="AI213" s="1900"/>
      <c r="AJ213" s="1900"/>
      <c r="AK213" s="1901"/>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0">
        <v>6</v>
      </c>
      <c r="D214" s="1911"/>
      <c r="E214" s="1911"/>
      <c r="F214" s="1911"/>
      <c r="G214" s="1912" t="s">
        <v>1886</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1886</v>
      </c>
      <c r="AD214" s="1915"/>
      <c r="AE214" s="1915"/>
      <c r="AF214" s="1915"/>
      <c r="AG214" s="1899"/>
      <c r="AH214" s="1900"/>
      <c r="AI214" s="1900"/>
      <c r="AJ214" s="1900"/>
      <c r="AK214" s="1901"/>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1886</v>
      </c>
      <c r="AD215" s="1915"/>
      <c r="AE215" s="1915"/>
      <c r="AF215" s="1915"/>
      <c r="AG215" s="1899"/>
      <c r="AH215" s="1900"/>
      <c r="AI215" s="1900"/>
      <c r="AJ215" s="1900"/>
      <c r="AK215" s="1901"/>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2" t="s">
        <v>2299</v>
      </c>
      <c r="D216" s="1903"/>
      <c r="E216" s="1903"/>
      <c r="F216" s="1903"/>
      <c r="G216" s="1903"/>
      <c r="H216" s="1903"/>
      <c r="I216" s="1903"/>
      <c r="J216" s="1903"/>
      <c r="K216" s="1903"/>
      <c r="L216" s="1903"/>
      <c r="M216" s="1903"/>
      <c r="N216" s="1903"/>
      <c r="O216" s="1903"/>
      <c r="P216" s="1904"/>
      <c r="Q216" s="1904"/>
      <c r="R216" s="1904"/>
      <c r="S216" s="1904"/>
      <c r="T216" s="1904"/>
      <c r="U216" s="1905">
        <v>0</v>
      </c>
      <c r="V216" s="1905"/>
      <c r="W216" s="1905"/>
      <c r="X216" s="1905"/>
      <c r="Y216" s="1905">
        <v>0</v>
      </c>
      <c r="Z216" s="1905"/>
      <c r="AA216" s="1905"/>
      <c r="AB216" s="1905"/>
      <c r="AC216" s="1906">
        <v>0</v>
      </c>
      <c r="AD216" s="1906"/>
      <c r="AE216" s="1906"/>
      <c r="AF216" s="1906"/>
      <c r="AG216" s="1907"/>
      <c r="AH216" s="1908"/>
      <c r="AI216" s="1908"/>
      <c r="AJ216" s="1908"/>
      <c r="AK216" s="190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6" t="s">
        <v>2297</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6"/>
    </row>
    <row r="222" spans="1:57" ht="15.75" customHeight="1">
      <c r="A222" s="1192"/>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6"/>
    </row>
    <row r="223" spans="1:57" ht="15.75" customHeight="1">
      <c r="A223" s="1192"/>
      <c r="B223" s="1892" t="s">
        <v>2296</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6"/>
    </row>
    <row r="224" spans="1:57" ht="15.75" customHeight="1">
      <c r="A224" s="1192"/>
      <c r="B224" s="1892" t="s">
        <v>2295</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5" t="s">
        <v>2294</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8" t="s">
        <v>2292</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1" t="s">
        <v>2291</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2"/>
      <c r="BB232" s="1192"/>
      <c r="BC232" s="1192"/>
      <c r="BD232" s="1196"/>
      <c r="BE232" s="1196"/>
    </row>
    <row r="233" spans="1:57" ht="15.75" customHeight="1">
      <c r="A233" s="1192"/>
      <c r="B233" s="1191"/>
      <c r="C233" s="1192"/>
      <c r="D233" s="1192"/>
      <c r="E233" s="1192"/>
      <c r="F233" s="1192"/>
      <c r="G233" s="1192"/>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2"/>
      <c r="BB233" s="1192"/>
      <c r="BC233" s="1192"/>
      <c r="BD233" s="1196"/>
      <c r="BE233" s="1196"/>
    </row>
    <row r="234" spans="1:57" ht="15.75" customHeight="1">
      <c r="A234" s="1192"/>
      <c r="B234" s="1191"/>
      <c r="C234" s="1192"/>
      <c r="D234" s="1192"/>
      <c r="E234" s="1192"/>
      <c r="F234" s="1192"/>
      <c r="G234" s="1192"/>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2"/>
      <c r="BB234" s="1192"/>
      <c r="BC234" s="1192"/>
      <c r="BD234" s="1196"/>
      <c r="BE234" s="1196"/>
    </row>
    <row r="235" spans="1:57" ht="15.75" customHeight="1">
      <c r="A235" s="1192"/>
      <c r="B235" s="1191"/>
      <c r="C235" s="1192"/>
      <c r="D235" s="1192"/>
      <c r="E235" s="1192"/>
      <c r="F235" s="1192"/>
      <c r="G235" s="1192"/>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2" t="s">
        <v>2290</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2" t="s">
        <v>2289</v>
      </c>
      <c r="I239" s="1872"/>
      <c r="J239" s="1872"/>
      <c r="K239" s="1872"/>
      <c r="L239" s="1243"/>
      <c r="M239" s="1243"/>
      <c r="N239" s="1243"/>
      <c r="O239" s="1243"/>
      <c r="P239" s="1243"/>
      <c r="Q239" s="1243"/>
      <c r="R239" s="1243"/>
      <c r="S239" s="1883"/>
      <c r="T239" s="1884"/>
      <c r="U239" s="1884"/>
      <c r="V239" s="1884"/>
      <c r="W239" s="1884"/>
      <c r="X239" s="1884"/>
      <c r="Y239" s="1884"/>
      <c r="Z239" s="1884"/>
      <c r="AA239" s="1884"/>
      <c r="AB239" s="1884"/>
      <c r="AC239" s="1884"/>
      <c r="AD239" s="1884"/>
      <c r="AE239" s="1884"/>
      <c r="AF239" s="1884"/>
      <c r="AG239" s="1884"/>
      <c r="AH239" s="1884"/>
      <c r="AI239" s="1884"/>
      <c r="AJ239" s="188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2" t="s">
        <v>2288</v>
      </c>
      <c r="I241" s="1872"/>
      <c r="J241" s="1872"/>
      <c r="K241" s="1245"/>
      <c r="L241" s="1243"/>
      <c r="M241" s="1243"/>
      <c r="N241" s="1243"/>
      <c r="O241" s="1243"/>
      <c r="P241" s="1243"/>
      <c r="Q241" s="1243"/>
      <c r="R241" s="1243"/>
      <c r="S241" s="1873"/>
      <c r="T241" s="1874"/>
      <c r="U241" s="1874"/>
      <c r="V241" s="1874"/>
      <c r="W241" s="1874"/>
      <c r="X241" s="1874"/>
      <c r="Y241" s="1874"/>
      <c r="Z241" s="1874"/>
      <c r="AA241" s="1874"/>
      <c r="AB241" s="1874"/>
      <c r="AC241" s="1874"/>
      <c r="AD241" s="1874"/>
      <c r="AE241" s="1874"/>
      <c r="AF241" s="1874"/>
      <c r="AG241" s="1874"/>
      <c r="AH241" s="1874"/>
      <c r="AI241" s="1874"/>
      <c r="AJ241" s="187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2" t="s">
        <v>442</v>
      </c>
      <c r="I243" s="1872"/>
      <c r="J243" s="1245"/>
      <c r="K243" s="1245"/>
      <c r="L243" s="1243"/>
      <c r="M243" s="1243"/>
      <c r="N243" s="1243"/>
      <c r="O243" s="1243"/>
      <c r="P243" s="1243"/>
      <c r="Q243" s="1243"/>
      <c r="R243" s="1243"/>
      <c r="S243" s="1873"/>
      <c r="T243" s="1874"/>
      <c r="U243" s="1874"/>
      <c r="V243" s="1874"/>
      <c r="W243" s="1874"/>
      <c r="X243" s="1874"/>
      <c r="Y243" s="1874"/>
      <c r="Z243" s="1874"/>
      <c r="AA243" s="1874"/>
      <c r="AB243" s="1874"/>
      <c r="AC243" s="1874"/>
      <c r="AD243" s="1874"/>
      <c r="AE243" s="1874"/>
      <c r="AF243" s="1874"/>
      <c r="AG243" s="1874"/>
      <c r="AH243" s="1874"/>
      <c r="AI243" s="1874"/>
      <c r="AJ243" s="187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6" t="s">
        <v>2287</v>
      </c>
      <c r="I245" s="1876"/>
      <c r="J245" s="1876"/>
      <c r="K245" s="1876"/>
      <c r="L245" s="1876"/>
      <c r="M245" s="1876"/>
      <c r="N245" s="1876"/>
      <c r="O245" s="1876"/>
      <c r="P245" s="1243"/>
      <c r="Q245" s="1243"/>
      <c r="R245" s="1243"/>
      <c r="S245" s="1873"/>
      <c r="T245" s="1874"/>
      <c r="U245" s="1874"/>
      <c r="V245" s="1874"/>
      <c r="W245" s="1874"/>
      <c r="X245" s="1874"/>
      <c r="Y245" s="1874"/>
      <c r="Z245" s="1874"/>
      <c r="AA245" s="1874"/>
      <c r="AB245" s="1874"/>
      <c r="AC245" s="1874"/>
      <c r="AD245" s="1874"/>
      <c r="AE245" s="1874"/>
      <c r="AF245" s="1874"/>
      <c r="AG245" s="1874"/>
      <c r="AH245" s="1874"/>
      <c r="AI245" s="1874"/>
      <c r="AJ245" s="187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7" t="s">
        <v>2286</v>
      </c>
      <c r="I247" s="1877"/>
      <c r="J247" s="1243"/>
      <c r="K247" s="1243"/>
      <c r="L247" s="1243"/>
      <c r="M247" s="1243"/>
      <c r="N247" s="1243"/>
      <c r="O247" s="1243"/>
      <c r="P247" s="1243"/>
      <c r="Q247" s="1243"/>
      <c r="R247" s="1243"/>
      <c r="S247" s="1878"/>
      <c r="T247" s="1879"/>
      <c r="U247" s="1879"/>
      <c r="V247" s="1879"/>
      <c r="W247" s="1879"/>
      <c r="X247" s="1879"/>
      <c r="Y247" s="1879"/>
      <c r="Z247" s="1879"/>
      <c r="AA247" s="1879"/>
      <c r="AB247" s="1879"/>
      <c r="AC247" s="1879"/>
      <c r="AD247" s="1879"/>
      <c r="AE247" s="1879"/>
      <c r="AF247" s="1879"/>
      <c r="AG247" s="1879"/>
      <c r="AH247" s="1879"/>
      <c r="AI247" s="1879"/>
      <c r="AJ247" s="188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 customHeight="1">
      <c r="B8" s="408"/>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8"/>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9"/>
      <c r="C10" s="410"/>
      <c r="D10" s="410"/>
      <c r="E10" s="410"/>
      <c r="F10" s="410"/>
      <c r="G10" s="410"/>
      <c r="H10" s="410"/>
      <c r="I10" s="410"/>
      <c r="J10" s="410"/>
      <c r="K10" s="410"/>
      <c r="L10" s="410"/>
      <c r="M10" s="410"/>
      <c r="N10" s="410"/>
      <c r="O10" s="410"/>
      <c r="P10" s="410"/>
      <c r="Q10" s="410"/>
      <c r="R10" s="410"/>
      <c r="S10" s="410"/>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137067061</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498</v>
      </c>
      <c r="C12" s="1307"/>
      <c r="D12" s="1307"/>
      <c r="E12" s="1307"/>
      <c r="F12" s="1307"/>
      <c r="G12" s="1307"/>
      <c r="H12" s="1307"/>
      <c r="I12" s="1307"/>
      <c r="J12" s="1307"/>
      <c r="K12" s="1307"/>
      <c r="L12" s="1307"/>
      <c r="M12" s="1307"/>
      <c r="N12" s="1307"/>
      <c r="O12" s="1307"/>
      <c r="P12" s="1307"/>
      <c r="Q12" s="1307"/>
      <c r="R12" s="1307"/>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6"/>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6"/>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6"/>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6"/>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6"/>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52"/>
      <c r="C18" s="1563" t="s">
        <v>961</v>
      </c>
      <c r="D18" s="1563"/>
      <c r="E18" s="1563"/>
      <c r="F18" s="1563"/>
      <c r="G18" s="1563"/>
      <c r="H18" s="1563"/>
      <c r="I18" s="1563"/>
      <c r="J18" s="1563"/>
      <c r="K18" s="1563"/>
      <c r="L18" s="1563"/>
      <c r="M18" s="1563"/>
      <c r="N18" s="1563"/>
      <c r="O18" s="1563"/>
      <c r="P18" s="1563"/>
      <c r="Q18" s="1563"/>
      <c r="R18" s="1563"/>
      <c r="S18" s="156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52"/>
      <c r="C19" s="1563" t="s">
        <v>961</v>
      </c>
      <c r="D19" s="1563"/>
      <c r="E19" s="1563"/>
      <c r="F19" s="1563"/>
      <c r="G19" s="1563"/>
      <c r="H19" s="1563"/>
      <c r="I19" s="1563"/>
      <c r="J19" s="1563"/>
      <c r="K19" s="1563"/>
      <c r="L19" s="1563"/>
      <c r="M19" s="1563"/>
      <c r="N19" s="1563"/>
      <c r="O19" s="1563"/>
      <c r="P19" s="1563"/>
      <c r="Q19" s="1563"/>
      <c r="R19" s="1563"/>
      <c r="S19" s="156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137067061</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339455217</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178187179.30000001</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 customHeight="1">
      <c r="A27" s="411"/>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3" customHeight="1">
      <c r="A28" s="405"/>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178187179.30000001</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178187179.30000001</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3" t="s">
        <v>1155</v>
      </c>
      <c r="Z35" s="2353"/>
      <c r="AA35" s="2353"/>
      <c r="AB35" s="2353"/>
      <c r="AC35" s="2353"/>
      <c r="AD35" s="2354" t="s">
        <v>369</v>
      </c>
      <c r="AE35" s="2354"/>
      <c r="AF35" s="2354"/>
      <c r="AG35" s="2354"/>
      <c r="AH35" s="2354"/>
    </row>
    <row r="36" spans="1:76" ht="13" customHeight="1">
      <c r="B36" s="408"/>
      <c r="X36" s="413"/>
      <c r="Y36" s="2353"/>
      <c r="Z36" s="2353"/>
      <c r="AA36" s="2353"/>
      <c r="AB36" s="2353"/>
      <c r="AC36" s="2353"/>
      <c r="AD36" s="2354"/>
      <c r="AE36" s="2354"/>
      <c r="AF36" s="2354"/>
      <c r="AG36" s="2354"/>
      <c r="AH36" s="2354"/>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3"/>
      <c r="Z37" s="2353"/>
      <c r="AA37" s="2353"/>
      <c r="AB37" s="2353"/>
      <c r="AC37" s="2353"/>
      <c r="AD37" s="2354"/>
      <c r="AE37" s="2354"/>
      <c r="AF37" s="2354"/>
      <c r="AG37" s="2354"/>
      <c r="AH37" s="2354"/>
    </row>
    <row r="38" spans="1:76" ht="13" customHeight="1">
      <c r="A38" s="405"/>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178187179.30000001</v>
      </c>
      <c r="Z38" s="2333"/>
      <c r="AA38" s="2333"/>
      <c r="AB38" s="2333"/>
      <c r="AC38" s="2333"/>
      <c r="AD38" s="2333">
        <f>IF(T24&gt;=(T23+Y23+AD23+AI23),AD28+AI28,0)</f>
        <v>0</v>
      </c>
      <c r="AE38" s="2333"/>
      <c r="AF38" s="2333"/>
      <c r="AG38" s="2333"/>
      <c r="AH38" s="2333"/>
    </row>
    <row r="39" spans="1:76" ht="13"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5"/>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7127487</v>
      </c>
      <c r="Z40" s="2333"/>
      <c r="AA40" s="2333"/>
      <c r="AB40" s="2333"/>
      <c r="AC40" s="2333"/>
      <c r="AD40" s="2352">
        <f>ROUND(AD38*AD39,0)</f>
        <v>0</v>
      </c>
      <c r="AE40" s="2333"/>
      <c r="AF40" s="2333"/>
      <c r="AG40" s="2333"/>
      <c r="AH40" s="2333"/>
    </row>
    <row r="41" spans="1:76" ht="13"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7127487</v>
      </c>
      <c r="Z41" s="2351"/>
      <c r="AA41" s="2351"/>
      <c r="AB41" s="2351"/>
      <c r="AC41" s="2351"/>
      <c r="AD41" s="2351"/>
      <c r="AE41" s="2351"/>
      <c r="AF41" s="2351"/>
      <c r="AG41" s="2351"/>
      <c r="AH41" s="2352"/>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5" customFormat="1" ht="13" customHeight="1" thickTop="1"/>
    <row r="46" spans="1:76" ht="13" customHeight="1">
      <c r="A46" s="405" t="s">
        <v>587</v>
      </c>
      <c r="C46" s="405" t="s">
        <v>282</v>
      </c>
    </row>
    <row r="47" spans="1:76" ht="13" customHeight="1">
      <c r="D47" s="405" t="s">
        <v>283</v>
      </c>
      <c r="AB47" s="2347">
        <f>'Sources and Uses Budget'!B105-MAX(IF('Sources and Uses Budget'!B15="",0,'Sources and Uses Budget'!B15),IF(Application!AG394="",0,Application!AG394))</f>
        <v>140091791</v>
      </c>
      <c r="AC47" s="2348"/>
      <c r="AD47" s="2348"/>
      <c r="AE47" s="2348"/>
      <c r="AF47" s="2349"/>
    </row>
    <row r="48" spans="1:76" ht="13" customHeight="1">
      <c r="D48" s="405" t="s">
        <v>21</v>
      </c>
      <c r="AB48" s="2347">
        <f>Application!AO639-MAX(IF('Sources and Uses Budget'!B15="",0,'Sources and Uses Budget'!B15),IF(Application!AG394="",0,Application!AG394))</f>
        <v>79514209</v>
      </c>
      <c r="AC48" s="2348"/>
      <c r="AD48" s="2348"/>
      <c r="AE48" s="2348"/>
      <c r="AF48" s="2349"/>
    </row>
    <row r="49" spans="1:76" ht="13" customHeight="1">
      <c r="D49" s="405" t="s">
        <v>91</v>
      </c>
      <c r="AB49" s="2347">
        <f>AB47-AB48</f>
        <v>60577582</v>
      </c>
      <c r="AC49" s="2348"/>
      <c r="AD49" s="2348"/>
      <c r="AE49" s="2348"/>
      <c r="AF49" s="2349"/>
    </row>
    <row r="50" spans="1:76" ht="13" customHeight="1">
      <c r="D50" s="405" t="s">
        <v>682</v>
      </c>
      <c r="AA50" s="416"/>
      <c r="AB50" s="2335">
        <v>0.85000100000000001</v>
      </c>
      <c r="AC50" s="2336"/>
      <c r="AD50" s="2336"/>
      <c r="AE50" s="2336"/>
      <c r="AF50" s="2337"/>
    </row>
    <row r="51" spans="1:76" s="418" customFormat="1" ht="13" customHeight="1">
      <c r="A51" s="403"/>
      <c r="B51" s="403"/>
      <c r="C51" s="403"/>
      <c r="D51" s="403"/>
      <c r="E51" s="2346" t="s">
        <v>1851</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47">
        <f>ROUND(IF(ISERROR((AB49/AB50)),0,(AB49/AB50)),0)</f>
        <v>71267660</v>
      </c>
      <c r="AC54" s="2348"/>
      <c r="AD54" s="2348"/>
      <c r="AE54" s="2348"/>
      <c r="AF54" s="2349"/>
    </row>
    <row r="55" spans="1:76" ht="13" customHeight="1">
      <c r="D55" s="405" t="s">
        <v>333</v>
      </c>
      <c r="AB55" s="2347">
        <f>(AB54/10)</f>
        <v>7126766</v>
      </c>
      <c r="AC55" s="2348"/>
      <c r="AD55" s="2348"/>
      <c r="AE55" s="2348"/>
      <c r="AF55" s="2349"/>
    </row>
    <row r="56" spans="1:76" ht="13" customHeight="1">
      <c r="D56" s="405" t="s">
        <v>757</v>
      </c>
      <c r="AB56" s="2347">
        <f>ROUND((IF((Y41&lt;AB55),Y41,AB55)),0)</f>
        <v>7126766</v>
      </c>
      <c r="AC56" s="2348"/>
      <c r="AD56" s="2348"/>
      <c r="AE56" s="2348"/>
      <c r="AF56" s="2349"/>
    </row>
    <row r="57" spans="1:76" ht="13" customHeight="1">
      <c r="D57" s="405" t="s">
        <v>756</v>
      </c>
      <c r="AB57" s="2347">
        <f>ROUND((10*AB56*AB50),0)</f>
        <v>60577582</v>
      </c>
      <c r="AC57" s="2348"/>
      <c r="AD57" s="2348"/>
      <c r="AE57" s="2348"/>
      <c r="AF57" s="2349"/>
    </row>
    <row r="58" spans="1:76" ht="13" customHeight="1">
      <c r="D58" s="405"/>
      <c r="AB58" s="424"/>
      <c r="AC58" s="424"/>
      <c r="AD58" s="424"/>
      <c r="AE58" s="424"/>
      <c r="AF58" s="424"/>
    </row>
    <row r="59" spans="1:76" ht="13" customHeight="1">
      <c r="D59" s="405" t="s">
        <v>755</v>
      </c>
      <c r="AB59" s="2331">
        <f>AB49-AB57</f>
        <v>0</v>
      </c>
      <c r="AC59" s="2331"/>
      <c r="AD59" s="2331"/>
      <c r="AE59" s="2331"/>
      <c r="AF59" s="2331"/>
    </row>
    <row r="60" spans="1:76" ht="13" customHeight="1">
      <c r="D60" s="405"/>
      <c r="AB60" s="424"/>
      <c r="AC60" s="424"/>
      <c r="AD60" s="424"/>
      <c r="AE60" s="424"/>
      <c r="AF60" s="424"/>
    </row>
    <row r="61" spans="1:76" s="205"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5" customFormat="1" ht="13" customHeight="1" thickTop="1"/>
    <row r="63" spans="1:76" ht="13" customHeight="1">
      <c r="A63" s="405" t="s">
        <v>590</v>
      </c>
      <c r="C63" s="206" t="s">
        <v>1249</v>
      </c>
      <c r="Y63" s="2342" t="s">
        <v>985</v>
      </c>
      <c r="Z63" s="2342"/>
      <c r="AA63" s="2342"/>
      <c r="AB63" s="2342"/>
      <c r="AC63" s="2342"/>
      <c r="AD63" s="2342" t="s">
        <v>369</v>
      </c>
      <c r="AE63" s="2342"/>
      <c r="AF63" s="2342"/>
      <c r="AG63" s="2342"/>
      <c r="AH63" s="2342"/>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3">
        <f>IF(Application!$Z$205="(select)",0,((T23*T27)+Y28))</f>
        <v>0</v>
      </c>
      <c r="Z64" s="2344"/>
      <c r="AA64" s="2344"/>
      <c r="AB64" s="2344"/>
      <c r="AC64" s="2345"/>
      <c r="AD64" s="2343">
        <f>IF(AND(OR(Application!D211="At-Risk",Application!D211="At-Risk and Special Needs"),Application!M358="yes"),AD28+AI28,0)</f>
        <v>0</v>
      </c>
      <c r="AE64" s="2344"/>
      <c r="AF64" s="2344"/>
      <c r="AG64" s="2344"/>
      <c r="AH64" s="2345"/>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2" cm="1">
        <f t="array" ref="Y67">_xlfn.IFS(OR(Application!Z205="State Farmworker Credit",Application!Z205="$500M (Farmworker Housing)"),0.75,Application!Z205="15% set-aside",0.13,Application!Z205="15% set-aside with qualifying low value rehab",0.95,Application!Z205="$500M",0.3,TRUE,0)</f>
        <v>0</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3" customHeight="1">
      <c r="C68" s="405"/>
      <c r="D68" s="206" t="s">
        <v>2229</v>
      </c>
      <c r="Y68" s="2333">
        <f>ROUND(Y64*Y67,0)</f>
        <v>0</v>
      </c>
      <c r="Z68" s="2334"/>
      <c r="AA68" s="2334"/>
      <c r="AB68" s="2334"/>
      <c r="AC68" s="2334"/>
      <c r="AD68" s="2333">
        <f>ROUND(AD64*AD67,0)</f>
        <v>0</v>
      </c>
      <c r="AE68" s="2334"/>
      <c r="AF68" s="2334"/>
      <c r="AG68" s="2334"/>
      <c r="AH68" s="2334"/>
    </row>
    <row r="69" spans="1:36" ht="13" customHeight="1">
      <c r="C69" s="405"/>
      <c r="D69" s="206" t="s">
        <v>2230</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35"/>
      <c r="AC72" s="2336"/>
      <c r="AD72" s="2336"/>
      <c r="AE72" s="2336"/>
      <c r="AF72" s="2337"/>
    </row>
    <row r="73" spans="1:36" ht="13" customHeight="1">
      <c r="A73" s="405"/>
      <c r="C73" s="405"/>
      <c r="D73" s="405"/>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9"/>
      <c r="AC73" s="439"/>
    </row>
    <row r="74" spans="1:36" ht="13" customHeight="1">
      <c r="A74" s="405"/>
      <c r="C74" s="405"/>
      <c r="D74" s="405"/>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9"/>
      <c r="AC74" s="439"/>
    </row>
    <row r="75" spans="1:36" ht="13" customHeight="1">
      <c r="A75" s="405"/>
      <c r="C75" s="405"/>
      <c r="D75" s="405"/>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26">
        <f>ROUND(IF(ISERROR((AB59/AB72)),0,(AB59/AB72)),0)</f>
        <v>0</v>
      </c>
      <c r="AC77" s="2326"/>
      <c r="AD77" s="2326"/>
      <c r="AE77" s="2326"/>
      <c r="AF77" s="2326"/>
    </row>
    <row r="78" spans="1:36" ht="13" customHeight="1">
      <c r="C78" s="405"/>
      <c r="D78" s="206" t="s">
        <v>1254</v>
      </c>
      <c r="AB78" s="2327">
        <f>ROUNDUP(MIN(Y69,AB77),0)</f>
        <v>0</v>
      </c>
      <c r="AC78" s="2328"/>
      <c r="AD78" s="2328"/>
      <c r="AE78" s="2328"/>
      <c r="AF78" s="2329"/>
    </row>
    <row r="79" spans="1:36" ht="13" customHeight="1">
      <c r="C79" s="405"/>
      <c r="D79" s="206" t="s">
        <v>1255</v>
      </c>
      <c r="AB79" s="2330">
        <f>AB78*AB72</f>
        <v>0</v>
      </c>
      <c r="AC79" s="2330"/>
      <c r="AD79" s="2330"/>
      <c r="AE79" s="2330"/>
      <c r="AF79" s="2330"/>
    </row>
    <row r="80" spans="1:36" ht="13" customHeight="1">
      <c r="C80" s="405"/>
      <c r="D80" s="405"/>
      <c r="AB80" s="426"/>
      <c r="AC80" s="426"/>
      <c r="AD80" s="426"/>
      <c r="AE80" s="426"/>
      <c r="AF80" s="426"/>
    </row>
    <row r="81" spans="1:78" ht="13" customHeight="1">
      <c r="D81" s="405" t="s">
        <v>755</v>
      </c>
      <c r="AB81" s="2331">
        <f>AB49-(AB57+AB79)</f>
        <v>0</v>
      </c>
      <c r="AC81" s="2331"/>
      <c r="AD81" s="2331"/>
      <c r="AE81" s="2331"/>
      <c r="AF81" s="2331"/>
    </row>
    <row r="82" spans="1:78" ht="13" customHeight="1">
      <c r="F82" s="523"/>
      <c r="J82" s="523" t="str">
        <f>IF(AB81&gt;0,"FUNDING GAP MUST NOT EXCEED ZERO","")</f>
        <v/>
      </c>
    </row>
    <row r="83" spans="1:78" ht="13" customHeight="1">
      <c r="D83" s="524"/>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customHeight="1">
      <c r="A86" s="405"/>
      <c r="C86" s="206"/>
    </row>
    <row r="87" spans="1:78" ht="13" customHeight="1">
      <c r="D87" s="206"/>
      <c r="AB87" s="2382"/>
      <c r="AC87" s="2382"/>
      <c r="AD87" s="2382"/>
      <c r="AE87" s="2382"/>
      <c r="AF87" s="2382"/>
    </row>
    <row r="88" spans="1:78" ht="13" customHeight="1" thickBot="1">
      <c r="D88" s="206"/>
      <c r="AB88" s="2381"/>
      <c r="AC88" s="2381"/>
      <c r="AD88" s="2381"/>
      <c r="AE88" s="2381"/>
      <c r="AF88" s="238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R1" zoomScale="64" zoomScaleNormal="64"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7"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5" t="s">
        <v>1306</v>
      </c>
      <c r="AF7" s="2405"/>
      <c r="AG7" s="2405"/>
      <c r="AH7" s="2405"/>
      <c r="AI7" s="2405"/>
      <c r="AJ7" s="2405"/>
      <c r="AK7" s="2405"/>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5" t="s">
        <v>592</v>
      </c>
      <c r="C13" s="2395"/>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6"/>
      <c r="AH13" s="2426"/>
      <c r="AI13" s="2426"/>
      <c r="AJ13" s="242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5" t="s">
        <v>592</v>
      </c>
      <c r="C16" s="2395"/>
      <c r="D16" s="548"/>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1"/>
      <c r="AL16" s="541"/>
      <c r="AM16" s="541"/>
      <c r="AN16" s="536"/>
      <c r="AO16" s="551">
        <f>IF($B25="yes",20,0)</f>
        <v>0</v>
      </c>
      <c r="AP16" s="14"/>
    </row>
    <row r="17" spans="1:42" s="537" customFormat="1" ht="12.75" customHeight="1">
      <c r="A17" s="541"/>
      <c r="B17" s="541"/>
      <c r="C17" s="541"/>
      <c r="D17" s="552"/>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1"/>
      <c r="AL17" s="541"/>
      <c r="AM17" s="541"/>
      <c r="AN17" s="536"/>
      <c r="AO17" s="551">
        <f>IF($B28="yes",20,0)</f>
        <v>0</v>
      </c>
    </row>
    <row r="18" spans="1:42" s="537" customFormat="1" ht="12.75" customHeight="1">
      <c r="A18" s="541"/>
      <c r="B18" s="541"/>
      <c r="C18" s="541"/>
      <c r="D18" s="552"/>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5" t="s">
        <v>592</v>
      </c>
      <c r="C22" s="2395"/>
      <c r="D22" s="548"/>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1"/>
      <c r="AL22" s="541"/>
      <c r="AM22" s="541"/>
      <c r="AN22" s="536"/>
      <c r="AO22" s="551">
        <f>IF($B40="yes",14,0)</f>
        <v>0</v>
      </c>
    </row>
    <row r="23" spans="1:42" s="537" customFormat="1" ht="12.75" customHeight="1">
      <c r="A23" s="541"/>
      <c r="B23" s="541"/>
      <c r="C23" s="541"/>
      <c r="D23" s="551"/>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5" t="s">
        <v>592</v>
      </c>
      <c r="C25" s="2395"/>
      <c r="D25" s="548"/>
      <c r="E25" s="2396" t="s">
        <v>2036</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1"/>
      <c r="AL25" s="541"/>
      <c r="AM25" s="541"/>
      <c r="AN25" s="536"/>
      <c r="AO25" s="551">
        <f>IF($B45="yes",6,0)</f>
        <v>0</v>
      </c>
    </row>
    <row r="26" spans="1:42" s="537" customFormat="1" ht="12.75" customHeight="1">
      <c r="A26" s="541"/>
      <c r="B26" s="541"/>
      <c r="C26" s="541"/>
      <c r="D26" s="551"/>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5" t="s">
        <v>592</v>
      </c>
      <c r="C28" s="2395"/>
      <c r="D28" s="548"/>
      <c r="E28" s="2419" t="s">
        <v>2253</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5" t="s">
        <v>592</v>
      </c>
      <c r="C33" s="2395"/>
      <c r="D33" s="548"/>
      <c r="E33" s="2431" t="s">
        <v>2255</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1"/>
      <c r="AL33" s="541"/>
      <c r="AM33" s="541"/>
      <c r="AN33" s="536"/>
      <c r="AO33" s="551"/>
    </row>
    <row r="34" spans="1:41" s="537" customFormat="1" ht="12.75" customHeight="1">
      <c r="A34" s="541"/>
      <c r="B34" s="541"/>
      <c r="C34" s="541"/>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5" t="s">
        <v>592</v>
      </c>
      <c r="C36" s="2395"/>
      <c r="D36" s="548"/>
      <c r="E36" s="2396" t="s">
        <v>2256</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1"/>
      <c r="AL36" s="541"/>
      <c r="AM36" s="541"/>
      <c r="AN36" s="536"/>
    </row>
    <row r="37" spans="1:41" s="537" customFormat="1" ht="12.75" customHeight="1">
      <c r="A37" s="541"/>
      <c r="B37" s="541"/>
      <c r="C37" s="541"/>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1"/>
      <c r="AL37" s="541"/>
      <c r="AM37" s="541"/>
      <c r="AN37" s="536"/>
    </row>
    <row r="38" spans="1:41" s="537" customFormat="1" ht="12.75" customHeight="1">
      <c r="A38" s="541"/>
      <c r="B38" s="541"/>
      <c r="C38" s="541"/>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5" t="s">
        <v>592</v>
      </c>
      <c r="C40" s="2395"/>
      <c r="D40" s="548"/>
      <c r="E40" s="2396" t="s">
        <v>2254</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1"/>
      <c r="AL40" s="541"/>
      <c r="AM40" s="541"/>
      <c r="AN40" s="536"/>
    </row>
    <row r="41" spans="1:41" s="537" customFormat="1" ht="12.75" customHeight="1">
      <c r="A41" s="541"/>
      <c r="B41" s="541"/>
      <c r="C41" s="541"/>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5" t="s">
        <v>592</v>
      </c>
      <c r="C45" s="2395"/>
      <c r="D45" s="1144"/>
      <c r="E45" s="2396" t="s">
        <v>2011</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4"/>
      <c r="AL45" s="541"/>
      <c r="AM45" s="541"/>
      <c r="AN45" s="536"/>
    </row>
    <row r="46" spans="1:41" s="537" customFormat="1" ht="12.75" customHeight="1">
      <c r="A46" s="541"/>
      <c r="B46" s="541"/>
      <c r="C46" s="541"/>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1"/>
      <c r="AL46" s="541"/>
      <c r="AM46" s="541"/>
      <c r="AN46" s="536"/>
    </row>
    <row r="47" spans="1:41" s="537" customFormat="1" ht="12.75" customHeight="1">
      <c r="A47" s="541"/>
      <c r="D47" s="548"/>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5" t="s">
        <v>592</v>
      </c>
      <c r="C52" s="2395"/>
      <c r="D52" s="541"/>
      <c r="E52" s="2396" t="s">
        <v>2016</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1"/>
      <c r="AL52" s="541"/>
      <c r="AM52" s="541"/>
      <c r="AN52" s="536"/>
      <c r="AO52" s="560"/>
    </row>
    <row r="53" spans="1:50" s="537" customFormat="1" ht="12.75" customHeight="1">
      <c r="A53" s="541"/>
      <c r="D53" s="548"/>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1"/>
      <c r="AL53" s="541"/>
      <c r="AM53" s="541"/>
      <c r="AN53" s="536"/>
      <c r="AO53" s="560"/>
    </row>
    <row r="54" spans="1:50" s="537" customFormat="1" ht="12.75" customHeight="1">
      <c r="A54" s="541"/>
      <c r="D54" s="541"/>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5" t="s">
        <v>592</v>
      </c>
      <c r="C56" s="2395"/>
      <c r="D56" s="541"/>
      <c r="E56" s="2416" t="s">
        <v>2017</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5" t="s">
        <v>592</v>
      </c>
      <c r="C58" s="2395"/>
      <c r="D58" s="541"/>
      <c r="E58" s="2396" t="s">
        <v>2018</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1"/>
      <c r="AL58" s="541"/>
      <c r="AM58" s="541"/>
      <c r="AN58" s="536"/>
    </row>
    <row r="59" spans="1:50" s="537" customFormat="1" ht="12.75" customHeight="1">
      <c r="A59" s="541"/>
      <c r="B59" s="548"/>
      <c r="C59" s="548"/>
      <c r="D59" s="548"/>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28">
        <f>AO39</f>
        <v>0</v>
      </c>
      <c r="AL62" s="2429"/>
      <c r="AM62" s="243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5" t="s">
        <v>1315</v>
      </c>
      <c r="AF65" s="2405"/>
      <c r="AG65" s="2405"/>
      <c r="AH65" s="2405"/>
      <c r="AI65" s="2405"/>
      <c r="AJ65" s="2405"/>
      <c r="AK65" s="2405"/>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5" t="s">
        <v>592</v>
      </c>
      <c r="C68" s="2395"/>
      <c r="D68" s="548" t="s">
        <v>1316</v>
      </c>
      <c r="E68" s="2406" t="s">
        <v>2019</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4"/>
      <c r="AL68" s="541"/>
      <c r="AM68" s="541"/>
      <c r="AN68" s="536"/>
      <c r="AO68" s="551">
        <f>IF($B68="yes",10,0)</f>
        <v>0</v>
      </c>
    </row>
    <row r="69" spans="1:42" s="537" customFormat="1" ht="12.75" customHeight="1">
      <c r="A69" s="539"/>
      <c r="B69" s="541"/>
      <c r="C69" s="541"/>
      <c r="D69" s="552"/>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4"/>
      <c r="AL69" s="541"/>
      <c r="AM69" s="541"/>
      <c r="AN69" s="536"/>
      <c r="AO69" s="551">
        <f>IF($B74="yes",10,0)</f>
        <v>10</v>
      </c>
    </row>
    <row r="70" spans="1:42" s="537" customFormat="1" ht="12.75" customHeight="1">
      <c r="A70" s="539"/>
      <c r="B70" s="541"/>
      <c r="C70" s="541"/>
      <c r="D70" s="552"/>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4"/>
      <c r="AL70" s="541"/>
      <c r="AM70" s="541"/>
      <c r="AN70" s="536"/>
      <c r="AO70" s="551">
        <f>IF($B81="yes",10,0)</f>
        <v>0</v>
      </c>
    </row>
    <row r="71" spans="1:42" s="537" customFormat="1" ht="12.75" customHeight="1">
      <c r="A71" s="539"/>
      <c r="B71" s="541"/>
      <c r="C71" s="541"/>
      <c r="D71" s="552"/>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4"/>
      <c r="AL71" s="541"/>
      <c r="AM71" s="541"/>
      <c r="AN71" s="536"/>
      <c r="AO71" s="537">
        <f>IF(SUM(AO68:AO70)&gt;10,10,(SUM(AO68:AO70)))</f>
        <v>10</v>
      </c>
      <c r="AP71" s="575" t="s">
        <v>1317</v>
      </c>
    </row>
    <row r="72" spans="1:42" s="537" customFormat="1" ht="12.75" customHeight="1">
      <c r="A72" s="539"/>
      <c r="B72" s="541"/>
      <c r="C72" s="541"/>
      <c r="D72" s="552"/>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5" t="s">
        <v>546</v>
      </c>
      <c r="C74" s="2395"/>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5" t="s">
        <v>546</v>
      </c>
      <c r="F75" s="2395"/>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3" t="s">
        <v>592</v>
      </c>
      <c r="F76" s="2394"/>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3" t="s">
        <v>592</v>
      </c>
      <c r="F77" s="2394"/>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5" t="s">
        <v>592</v>
      </c>
      <c r="F79" s="2395"/>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5" t="s">
        <v>592</v>
      </c>
      <c r="C81" s="2395"/>
      <c r="D81" s="548"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4"/>
      <c r="AL81" s="541"/>
      <c r="AM81" s="541"/>
      <c r="AN81" s="536"/>
    </row>
    <row r="82" spans="1:43" s="537" customFormat="1" ht="12.75" customHeight="1">
      <c r="A82" s="539"/>
      <c r="B82" s="541"/>
      <c r="C82" s="541"/>
      <c r="D82" s="551"/>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28">
        <f>IF(AK62&gt;0,0,AO71)</f>
        <v>10</v>
      </c>
      <c r="AL84" s="2429"/>
      <c r="AM84" s="243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5" t="s">
        <v>1306</v>
      </c>
      <c r="AF87" s="2405"/>
      <c r="AG87" s="2405"/>
      <c r="AH87" s="2405"/>
      <c r="AI87" s="2405"/>
      <c r="AJ87" s="2405"/>
      <c r="AK87" s="2405"/>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5" t="s">
        <v>592</v>
      </c>
      <c r="C90" s="2395"/>
      <c r="D90" s="548"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4"/>
      <c r="AL90" s="541"/>
      <c r="AM90" s="541"/>
      <c r="AN90" s="536"/>
    </row>
    <row r="91" spans="1:43" s="537" customFormat="1" ht="12.75" customHeight="1">
      <c r="A91" s="539"/>
      <c r="B91" s="540"/>
      <c r="C91" s="540"/>
      <c r="D91" s="540"/>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89">
        <f>Application!AC753</f>
        <v>0.59883268482490259</v>
      </c>
      <c r="F93" s="2390"/>
      <c r="G93" s="2390"/>
      <c r="H93" s="2390"/>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1">
        <f>0.6-ROUNDUP(E93,2)</f>
        <v>0</v>
      </c>
      <c r="F94" s="2392"/>
      <c r="G94" s="2392"/>
      <c r="H94" s="2392"/>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2">
        <f>IF(E94*200&gt;20,20,E94*200)</f>
        <v>0</v>
      </c>
      <c r="F95" s="2423"/>
      <c r="G95" s="2423"/>
      <c r="H95" s="2423"/>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5" t="s">
        <v>546</v>
      </c>
      <c r="C98" s="2395"/>
      <c r="D98" s="548"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4"/>
      <c r="AL98" s="541"/>
      <c r="AM98" s="541"/>
      <c r="AN98" s="536"/>
    </row>
    <row r="99" spans="1:47" s="537" customFormat="1" ht="12.75" customHeight="1">
      <c r="A99" s="539"/>
      <c r="B99" s="540"/>
      <c r="C99" s="540"/>
      <c r="D99" s="540"/>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4"/>
      <c r="AL99" s="541"/>
      <c r="AM99" s="541"/>
      <c r="AN99" s="536"/>
    </row>
    <row r="100" spans="1:47" s="537" customFormat="1" ht="12.75" customHeight="1">
      <c r="A100" s="539"/>
      <c r="B100" s="540"/>
      <c r="C100" s="540"/>
      <c r="D100" s="540"/>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4"/>
      <c r="AL100" s="541"/>
      <c r="AM100" s="541"/>
      <c r="AN100" s="536"/>
    </row>
    <row r="101" spans="1:47" s="537" customFormat="1" ht="12.75" customHeight="1">
      <c r="A101" s="539"/>
      <c r="B101" s="540"/>
      <c r="C101" s="540"/>
      <c r="D101" s="540"/>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89">
        <f>Application!AC753</f>
        <v>0.59883268482490259</v>
      </c>
      <c r="F103" s="2390"/>
      <c r="G103" s="2390"/>
      <c r="H103" s="2390"/>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89">
        <f ca="1">SUMIF(Application!AC718:AG752,0.2,Application!G718:J752)/Application!G753+SUMIF(Application!AC718:AG752,0.25,Application!G718:J752)/Application!G753+SUMIF(Application!AC718:AG752,0.3,Application!G718:J752)/Application!G753</f>
        <v>0.10116731517509728</v>
      </c>
      <c r="F104" s="2390"/>
      <c r="G104" s="2390"/>
      <c r="H104" s="2390"/>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89">
        <f ca="1">SUMIF(Application!AC718:AG752,0.35,Application!G718:J752)/Application!G753+SUMIF(Application!AC718:AG752,0.4,Application!G718:J752)/Application!G753+SUMIF(Application!AC718:AG752,0.45,Application!G718:J752)/Application!G753+SUMIF(Application!AC718:AG752,0.5,Application!G718:J752)/Application!G753</f>
        <v>0.10116731517509728</v>
      </c>
      <c r="F105" s="2390"/>
      <c r="G105" s="2390"/>
      <c r="H105" s="2390"/>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7">
        <f ca="1">IF(AND(E103&lt;=0.6,OR(AND(E104&gt;=0.1,E105&gt;=0.1),AND(E104&gt;0.1,(E104+E105)&gt;=0.2))),20,0)</f>
        <v>20</v>
      </c>
      <c r="F106" s="2448"/>
      <c r="G106" s="2448"/>
      <c r="H106" s="2448"/>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28">
        <f ca="1">MAX(AP95,AP106)</f>
        <v>20</v>
      </c>
      <c r="AL109" s="2429"/>
      <c r="AM109" s="243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5" t="s">
        <v>1315</v>
      </c>
      <c r="AF112" s="2405"/>
      <c r="AG112" s="2405"/>
      <c r="AH112" s="2405"/>
      <c r="AI112" s="2405"/>
      <c r="AJ112" s="2405"/>
      <c r="AK112" s="2405"/>
      <c r="AL112" s="541"/>
      <c r="AM112" s="541"/>
      <c r="AN112" s="536"/>
      <c r="AO112" s="537" t="str">
        <f>Application!B718</f>
        <v>1 Bedroom</v>
      </c>
      <c r="AQ112" s="537">
        <f>Application!O718</f>
        <v>2361</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2015</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1669</v>
      </c>
    </row>
    <row r="115" spans="1:52" s="537" customFormat="1" ht="12.75" customHeight="1">
      <c r="A115" s="541"/>
      <c r="B115" s="2395" t="s">
        <v>546</v>
      </c>
      <c r="C115" s="2395"/>
      <c r="D115" s="548" t="s">
        <v>1316</v>
      </c>
      <c r="E115" s="2406" t="s">
        <v>1859</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1"/>
      <c r="AL115" s="541"/>
      <c r="AM115" s="541"/>
      <c r="AN115" s="536"/>
      <c r="AO115" s="537" t="str">
        <f>Application!B721</f>
        <v>1 Bedroom</v>
      </c>
      <c r="AQ115" s="537">
        <f>Application!O721</f>
        <v>978</v>
      </c>
      <c r="AU115" s="537" t="s">
        <v>1841</v>
      </c>
      <c r="AV115" s="596" t="s">
        <v>1842</v>
      </c>
      <c r="AW115" s="537" t="s">
        <v>1843</v>
      </c>
    </row>
    <row r="116" spans="1:52" s="537" customFormat="1" ht="12.75" customHeight="1">
      <c r="A116" s="541"/>
      <c r="B116" s="540"/>
      <c r="C116" s="540"/>
      <c r="D116" s="540"/>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1"/>
      <c r="AL116" s="541"/>
      <c r="AM116" s="541"/>
      <c r="AN116" s="536"/>
      <c r="AO116" s="537" t="str">
        <f>Application!B722</f>
        <v>2 Bedrooms</v>
      </c>
      <c r="AQ116" s="537">
        <f>Application!O722</f>
        <v>2823</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1"/>
      <c r="AL117" s="541"/>
      <c r="AM117" s="541"/>
      <c r="AN117" s="536"/>
      <c r="AO117" s="537" t="str">
        <f>Application!B723</f>
        <v>2 Bedrooms</v>
      </c>
      <c r="AQ117" s="537">
        <f>Application!O723</f>
        <v>2408</v>
      </c>
      <c r="AU117" s="857" t="str">
        <f>J124</f>
        <v>1-bedroom</v>
      </c>
      <c r="AV117" s="537">
        <f t="array" ref="AV117">SUM(IF(Application!B718:F752="1 Bedroom",Application!G718:J752))</f>
        <v>90</v>
      </c>
      <c r="AW117" s="1012">
        <f>AV117/AV122</f>
        <v>0.35019455252918286</v>
      </c>
    </row>
    <row r="118" spans="1:52" s="537" customFormat="1" ht="12.75" customHeight="1">
      <c r="A118" s="541"/>
      <c r="B118" s="540"/>
      <c r="C118" s="540"/>
      <c r="D118" s="540"/>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1"/>
      <c r="AL118" s="541"/>
      <c r="AM118" s="541"/>
      <c r="AN118" s="536"/>
      <c r="AO118" s="537" t="str">
        <f>Application!B724</f>
        <v>2 Bedrooms</v>
      </c>
      <c r="AQ118" s="537">
        <f>Application!O724</f>
        <v>1993</v>
      </c>
      <c r="AU118" s="857" t="str">
        <f>O124</f>
        <v>2-bedroom</v>
      </c>
      <c r="AV118" s="537">
        <f t="array" ref="AV118">SUM(IF(Application!B718:F752="2 Bedrooms",Application!G718:J752))</f>
        <v>102</v>
      </c>
      <c r="AW118" s="1012">
        <f>AV118/AV122</f>
        <v>0.39688715953307391</v>
      </c>
    </row>
    <row r="119" spans="1:52" s="537" customFormat="1" ht="12.75" customHeight="1">
      <c r="A119" s="541"/>
      <c r="B119" s="540"/>
      <c r="C119" s="540"/>
      <c r="D119" s="540"/>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1"/>
      <c r="AL119" s="541"/>
      <c r="AM119" s="541"/>
      <c r="AN119" s="536"/>
      <c r="AO119" s="537" t="str">
        <f>Application!B725</f>
        <v>2 Bedrooms</v>
      </c>
      <c r="AQ119" s="537">
        <f>Application!O725</f>
        <v>1164</v>
      </c>
      <c r="AU119" s="857" t="str">
        <f>T124</f>
        <v>3-bedroom</v>
      </c>
      <c r="AV119" s="537">
        <f t="array" ref="AV119">SUM(IF(Application!B718:F752="3 Bedrooms",Application!G718:J752))</f>
        <v>65</v>
      </c>
      <c r="AW119" s="1012">
        <f>AV119/AV122</f>
        <v>0.25291828793774318</v>
      </c>
    </row>
    <row r="120" spans="1:52" s="537" customFormat="1" ht="12.75" customHeight="1">
      <c r="A120" s="541"/>
      <c r="B120" s="540"/>
      <c r="C120" s="540"/>
      <c r="D120" s="540"/>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1"/>
      <c r="AL120" s="541"/>
      <c r="AM120" s="541"/>
      <c r="AN120" s="536"/>
      <c r="AO120" s="537" t="str">
        <f>Application!B726</f>
        <v>3 Bedrooms</v>
      </c>
      <c r="AQ120" s="537">
        <f>Application!O726</f>
        <v>3251</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1"/>
      <c r="AL121" s="541"/>
      <c r="AM121" s="541"/>
      <c r="AN121" s="536"/>
      <c r="AO121" s="537" t="str">
        <f>Application!B727</f>
        <v>3 Bedrooms</v>
      </c>
      <c r="AQ121" s="537">
        <f>Application!O727</f>
        <v>2772</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1"/>
      <c r="AL122" s="541"/>
      <c r="AM122" s="541"/>
      <c r="AN122" s="536"/>
      <c r="AO122" s="537" t="str">
        <f>Application!B728</f>
        <v>3 Bedrooms</v>
      </c>
      <c r="AQ122" s="537">
        <f>Application!O728</f>
        <v>2293</v>
      </c>
      <c r="AV122" s="537">
        <f>SUM(AV116:AV121)</f>
        <v>257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1334</v>
      </c>
    </row>
    <row r="124" spans="1:52" s="537" customFormat="1" ht="12.75" customHeight="1">
      <c r="A124" s="541"/>
      <c r="B124" s="540"/>
      <c r="C124" s="541"/>
      <c r="D124" s="541"/>
      <c r="E124" s="2389" t="s">
        <v>1589</v>
      </c>
      <c r="F124" s="2390"/>
      <c r="G124" s="2390"/>
      <c r="H124" s="2390"/>
      <c r="I124" s="578"/>
      <c r="J124" s="2390" t="s">
        <v>1632</v>
      </c>
      <c r="K124" s="2390"/>
      <c r="L124" s="2390"/>
      <c r="M124" s="2390"/>
      <c r="N124" s="578"/>
      <c r="O124" s="2390" t="s">
        <v>1633</v>
      </c>
      <c r="P124" s="2390"/>
      <c r="Q124" s="2390"/>
      <c r="R124" s="2390"/>
      <c r="S124" s="578"/>
      <c r="T124" s="2390" t="s">
        <v>1335</v>
      </c>
      <c r="U124" s="2390"/>
      <c r="V124" s="2390"/>
      <c r="W124" s="2390"/>
      <c r="X124" s="578"/>
      <c r="Y124" s="2390" t="s">
        <v>1634</v>
      </c>
      <c r="Z124" s="2390"/>
      <c r="AA124" s="2390"/>
      <c r="AB124" s="2390"/>
      <c r="AC124" s="578"/>
      <c r="AD124" s="2390" t="s">
        <v>1635</v>
      </c>
      <c r="AE124" s="2390"/>
      <c r="AF124" s="2390"/>
      <c r="AG124" s="239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49"/>
      <c r="F127" s="2450"/>
      <c r="G127" s="2450"/>
      <c r="H127" s="2450"/>
      <c r="I127" s="865"/>
      <c r="J127" s="2450">
        <v>2700</v>
      </c>
      <c r="K127" s="2450"/>
      <c r="L127" s="2450"/>
      <c r="M127" s="2450"/>
      <c r="N127" s="865"/>
      <c r="O127" s="2450">
        <v>3200</v>
      </c>
      <c r="P127" s="2450"/>
      <c r="Q127" s="2450"/>
      <c r="R127" s="2450"/>
      <c r="S127" s="865"/>
      <c r="T127" s="2450">
        <v>4000</v>
      </c>
      <c r="U127" s="2450"/>
      <c r="V127" s="2450"/>
      <c r="W127" s="2450"/>
      <c r="X127" s="865"/>
      <c r="Y127" s="2450"/>
      <c r="Z127" s="2450"/>
      <c r="AA127" s="2450"/>
      <c r="AB127" s="2450"/>
      <c r="AC127" s="865"/>
      <c r="AD127" s="2450"/>
      <c r="AE127" s="2450"/>
      <c r="AF127" s="2450"/>
      <c r="AG127" s="245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2">
        <f>Application!DX670</f>
        <v>0</v>
      </c>
      <c r="F130" s="2443"/>
      <c r="G130" s="2443"/>
      <c r="H130" s="2443"/>
      <c r="I130" s="865"/>
      <c r="J130" s="2443">
        <f>Application!EC670</f>
        <v>2015.1000000000001</v>
      </c>
      <c r="K130" s="2443"/>
      <c r="L130" s="2443"/>
      <c r="M130" s="2443"/>
      <c r="N130" s="865"/>
      <c r="O130" s="2443">
        <f>Application!EH670</f>
        <v>2408.0980392156862</v>
      </c>
      <c r="P130" s="2443"/>
      <c r="Q130" s="2443"/>
      <c r="R130" s="2443"/>
      <c r="S130" s="869"/>
      <c r="T130" s="2443">
        <f>Application!EM670</f>
        <v>2749.7846153846153</v>
      </c>
      <c r="U130" s="2443"/>
      <c r="V130" s="2443"/>
      <c r="W130" s="2443"/>
      <c r="X130" s="869"/>
      <c r="Y130" s="2443">
        <f>Application!ER670</f>
        <v>0</v>
      </c>
      <c r="Z130" s="2443"/>
      <c r="AA130" s="2443"/>
      <c r="AB130" s="2443"/>
      <c r="AC130" s="869"/>
      <c r="AD130" s="2443">
        <f>Application!EW670</f>
        <v>0</v>
      </c>
      <c r="AE130" s="2443"/>
      <c r="AF130" s="2443"/>
      <c r="AG130" s="244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1" t="e">
        <f>(E127-E130)/E127</f>
        <v>#DIV/0!</v>
      </c>
      <c r="F133" s="2392"/>
      <c r="G133" s="2392"/>
      <c r="H133" s="2642"/>
      <c r="I133" s="578"/>
      <c r="J133" s="2641">
        <f>(J127-J130)/J127</f>
        <v>0.2536666666666666</v>
      </c>
      <c r="K133" s="2392"/>
      <c r="L133" s="2392"/>
      <c r="M133" s="2642"/>
      <c r="N133" s="578"/>
      <c r="O133" s="2641">
        <f>(O127-O130)/O127</f>
        <v>0.24746936274509806</v>
      </c>
      <c r="P133" s="2392"/>
      <c r="Q133" s="2392"/>
      <c r="R133" s="2642"/>
      <c r="S133" s="578"/>
      <c r="T133" s="2641">
        <f>(T127-T130)/T127</f>
        <v>0.31255384615384618</v>
      </c>
      <c r="U133" s="2392"/>
      <c r="V133" s="2392"/>
      <c r="W133" s="2642"/>
      <c r="X133" s="578"/>
      <c r="Y133" s="2641" t="e">
        <f>(Y127-Y130)/Y127</f>
        <v>#DIV/0!</v>
      </c>
      <c r="Z133" s="2392"/>
      <c r="AA133" s="2392"/>
      <c r="AB133" s="2642"/>
      <c r="AC133" s="578"/>
      <c r="AD133" s="2641" t="e">
        <f>(AD127-AD130)/AD127</f>
        <v>#DIV/0!</v>
      </c>
      <c r="AE133" s="2392"/>
      <c r="AF133" s="2392"/>
      <c r="AG133" s="264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4" t="e">
        <f>IF(((E133-0.1)*AW116)&gt;0,((E133-0.1)*AW116),0)</f>
        <v>#DIV/0!</v>
      </c>
      <c r="F136" s="2445"/>
      <c r="G136" s="2445"/>
      <c r="H136" s="2446"/>
      <c r="I136" s="578"/>
      <c r="J136" s="2444">
        <f>IF(((J133-0.1)*AW117)&gt;0,((J133-0.1)*AW117),0)</f>
        <v>5.3813229571984408E-2</v>
      </c>
      <c r="K136" s="2445"/>
      <c r="L136" s="2445"/>
      <c r="M136" s="2446"/>
      <c r="N136" s="578"/>
      <c r="O136" s="2444">
        <f>IF(((O133-0.1)*AW118)&gt;0,((O133-0.1)*AW118),0)</f>
        <v>5.8528696498054478E-2</v>
      </c>
      <c r="P136" s="2445"/>
      <c r="Q136" s="2445"/>
      <c r="R136" s="2446"/>
      <c r="S136" s="578"/>
      <c r="T136" s="2444">
        <f>IF(((T133-0.1)*AW119)&gt;0,((T133-0.1)*AW119),0)</f>
        <v>5.3758754863813235E-2</v>
      </c>
      <c r="U136" s="2445"/>
      <c r="V136" s="2445"/>
      <c r="W136" s="2446"/>
      <c r="X136" s="578"/>
      <c r="Y136" s="2444" t="e">
        <f>IF(((Y133-0.1)*AW120)&gt;0,((Y133-0.1)*AW120),0)</f>
        <v>#DIV/0!</v>
      </c>
      <c r="Z136" s="2445"/>
      <c r="AA136" s="2445"/>
      <c r="AB136" s="2446"/>
      <c r="AC136" s="578"/>
      <c r="AD136" s="2444" t="e">
        <f>IF(((AD133-0.1)*AW121)&gt;0,((AD133-0.1)*AW121),0)</f>
        <v>#DIV/0!</v>
      </c>
      <c r="AE136" s="2445"/>
      <c r="AF136" s="2445"/>
      <c r="AG136" s="244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1">
        <f>ROUNDDOWN(SUMIF(E136:AG136,"&gt;0"),2)</f>
        <v>0.16</v>
      </c>
      <c r="F138" s="2392"/>
      <c r="G138" s="2392"/>
      <c r="H138" s="2642"/>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8">
        <f>IF((E138*100)&gt;10,10,E138*100)</f>
        <v>10</v>
      </c>
      <c r="F139" s="2429"/>
      <c r="G139" s="2429"/>
      <c r="H139" s="2430"/>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28">
        <f>E139</f>
        <v>10</v>
      </c>
      <c r="AL143" s="2429"/>
      <c r="AM143" s="243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5" t="s">
        <v>1315</v>
      </c>
      <c r="AF146" s="2405"/>
      <c r="AG146" s="2405"/>
      <c r="AH146" s="2405"/>
      <c r="AI146" s="2405"/>
      <c r="AJ146" s="2405"/>
      <c r="AK146" s="2405"/>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0" t="s">
        <v>1339</v>
      </c>
      <c r="AG148" s="2440"/>
      <c r="AH148" s="2440"/>
      <c r="AI148" s="2440"/>
      <c r="AJ148" s="2440"/>
      <c r="AK148" s="2440"/>
      <c r="AL148" s="2440"/>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1" t="s">
        <v>2704</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67" t="s">
        <v>1342</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68" t="s">
        <v>592</v>
      </c>
      <c r="AC155" s="246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8" t="s">
        <v>2480</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2"/>
      <c r="AM161" s="540"/>
      <c r="AN161" s="536"/>
      <c r="AO161" s="477"/>
      <c r="AP161" s="490"/>
    </row>
    <row r="162" spans="1:42" s="537"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2"/>
      <c r="AM162" s="540"/>
      <c r="AN162" s="536"/>
      <c r="AO162" s="477"/>
      <c r="AP162" s="490"/>
    </row>
    <row r="163" spans="1:42" s="537" customFormat="1" ht="12.75" customHeight="1">
      <c r="C163" s="2531" t="s">
        <v>2481</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2"/>
      <c r="AM163" s="540"/>
      <c r="AN163" s="536"/>
      <c r="AO163" s="477"/>
      <c r="AP163" s="490"/>
    </row>
    <row r="164" spans="1:42" s="537" customFormat="1" ht="12.75" customHeight="1">
      <c r="B164" s="1182"/>
      <c r="C164" s="2466" t="s">
        <v>2479</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2"/>
      <c r="AB164" s="1172"/>
      <c r="AC164" s="1172"/>
      <c r="AD164" s="1172"/>
      <c r="AE164" s="1172"/>
      <c r="AF164" s="1172"/>
      <c r="AG164" s="1172"/>
      <c r="AH164" s="1172"/>
      <c r="AJ164" s="2468" t="s">
        <v>592</v>
      </c>
      <c r="AK164" s="246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1">
        <f>IF($AB$155="N/A",VLOOKUP($B$153,$AO$151:$AP$154,2,FALSE),VLOOKUP($B$158,$AO$156:$AP$158,2,FALSE))</f>
        <v>7</v>
      </c>
      <c r="AK166" s="247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0" t="s">
        <v>1353</v>
      </c>
      <c r="AG168" s="2440"/>
      <c r="AH168" s="2440"/>
      <c r="AI168" s="2440"/>
      <c r="AJ168" s="2440"/>
      <c r="AK168" s="2440"/>
      <c r="AL168" s="2440"/>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8" t="s">
        <v>592</v>
      </c>
      <c r="AG172" s="2468"/>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69" t="str">
        <f>Application!AA335</f>
        <v>FPI Management</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0">
        <f>IF($AF$172="N/A",VLOOKUP($C$170,$AO$170:$AP$173,2,FALSE),VLOOKUP($C$174,$AO$177:$AP$179,2,FALSE))</f>
        <v>3</v>
      </c>
      <c r="AK180" s="247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28">
        <f>$AJ$166+$AJ$180</f>
        <v>10</v>
      </c>
      <c r="AL183" s="2429"/>
      <c r="AM183" s="243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5" t="s">
        <v>1315</v>
      </c>
      <c r="AF186" s="2405"/>
      <c r="AG186" s="2405"/>
      <c r="AH186" s="2405"/>
      <c r="AI186" s="2405"/>
      <c r="AJ186" s="2405"/>
      <c r="AK186" s="2405"/>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7"/>
      <c r="AE188" s="537"/>
      <c r="AF188" s="2440" t="s">
        <v>1364</v>
      </c>
      <c r="AG188" s="2440"/>
      <c r="AH188" s="2440"/>
      <c r="AI188" s="2440"/>
      <c r="AJ188" s="2440"/>
      <c r="AK188" s="2440"/>
      <c r="AL188" s="2440"/>
      <c r="AN188" s="598"/>
      <c r="AP188" s="551" t="s">
        <v>1044</v>
      </c>
      <c r="AQ188" s="551">
        <v>10</v>
      </c>
    </row>
    <row r="189" spans="1:73" s="551" customFormat="1" ht="12.75" customHeight="1">
      <c r="A189" s="537"/>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5">
        <f>IF(AK84&gt;0,VLOOKUP($B$188,AP185:AQ191,2,FALSE),0)</f>
        <v>10</v>
      </c>
      <c r="AL191" s="2476"/>
      <c r="AM191" s="2477"/>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5" t="s">
        <v>1373</v>
      </c>
      <c r="AF194" s="2405"/>
      <c r="AG194" s="2405"/>
      <c r="AH194" s="2405"/>
      <c r="AI194" s="2405"/>
      <c r="AJ194" s="2405"/>
      <c r="AK194" s="2405"/>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2" t="s">
        <v>2705</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7"/>
      <c r="AD199" s="2453">
        <v>11300000</v>
      </c>
      <c r="AE199" s="2453"/>
      <c r="AF199" s="2453"/>
      <c r="AG199" s="2453"/>
      <c r="AH199" s="2453"/>
      <c r="AI199" s="2453"/>
      <c r="AJ199" s="2453"/>
      <c r="AK199" s="611"/>
    </row>
    <row r="200" spans="1:40">
      <c r="A200" s="606"/>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7"/>
      <c r="AD200" s="2453"/>
      <c r="AE200" s="2453"/>
      <c r="AF200" s="2453"/>
      <c r="AG200" s="2453"/>
      <c r="AH200" s="2453"/>
      <c r="AI200" s="2453"/>
      <c r="AJ200" s="2453"/>
      <c r="AK200" s="611"/>
    </row>
    <row r="201" spans="1:40">
      <c r="A201" s="606"/>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7"/>
      <c r="AD201" s="2453"/>
      <c r="AE201" s="2453"/>
      <c r="AF201" s="2453"/>
      <c r="AG201" s="2453"/>
      <c r="AH201" s="2453"/>
      <c r="AI201" s="2453"/>
      <c r="AJ201" s="2453"/>
      <c r="AK201" s="611"/>
    </row>
    <row r="202" spans="1:40">
      <c r="A202" s="606"/>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7"/>
      <c r="AD202" s="2453"/>
      <c r="AE202" s="2453"/>
      <c r="AF202" s="2453"/>
      <c r="AG202" s="2453"/>
      <c r="AH202" s="2453"/>
      <c r="AI202" s="2453"/>
      <c r="AJ202" s="2453"/>
      <c r="AK202" s="611"/>
    </row>
    <row r="203" spans="1:40">
      <c r="A203" s="606"/>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7"/>
      <c r="AD203" s="2453"/>
      <c r="AE203" s="2453"/>
      <c r="AF203" s="2453"/>
      <c r="AG203" s="2453"/>
      <c r="AH203" s="2453"/>
      <c r="AI203" s="2453"/>
      <c r="AJ203" s="2453"/>
      <c r="AK203" s="611"/>
    </row>
    <row r="204" spans="1:40">
      <c r="A204" s="606"/>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7"/>
      <c r="AD204" s="2453"/>
      <c r="AE204" s="2453"/>
      <c r="AF204" s="2453"/>
      <c r="AG204" s="2453"/>
      <c r="AH204" s="2453"/>
      <c r="AI204" s="2453"/>
      <c r="AJ204" s="2453"/>
      <c r="AK204" s="611"/>
    </row>
    <row r="205" spans="1:40">
      <c r="A205" s="606"/>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7"/>
      <c r="AD205" s="2453"/>
      <c r="AE205" s="2453"/>
      <c r="AF205" s="2453"/>
      <c r="AG205" s="2453"/>
      <c r="AH205" s="2453"/>
      <c r="AI205" s="2453"/>
      <c r="AJ205" s="2453"/>
      <c r="AK205" s="611"/>
    </row>
    <row r="206" spans="1:40">
      <c r="A206" s="606"/>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7"/>
      <c r="AD206" s="2453"/>
      <c r="AE206" s="2453"/>
      <c r="AF206" s="2453"/>
      <c r="AG206" s="2453"/>
      <c r="AH206" s="2453"/>
      <c r="AI206" s="2453"/>
      <c r="AJ206" s="2453"/>
      <c r="AK206" s="611"/>
    </row>
    <row r="207" spans="1:40">
      <c r="A207" s="606"/>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7"/>
      <c r="AD207" s="2453"/>
      <c r="AE207" s="2453"/>
      <c r="AF207" s="2453"/>
      <c r="AG207" s="2453"/>
      <c r="AH207" s="2453"/>
      <c r="AI207" s="2453"/>
      <c r="AJ207" s="2453"/>
      <c r="AK207" s="611"/>
    </row>
    <row r="208" spans="1:40">
      <c r="A208" s="606"/>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7"/>
      <c r="AD208" s="2453"/>
      <c r="AE208" s="2453"/>
      <c r="AF208" s="2453"/>
      <c r="AG208" s="2453"/>
      <c r="AH208" s="2453"/>
      <c r="AI208" s="2453"/>
      <c r="AJ208" s="2453"/>
      <c r="AK208" s="611"/>
    </row>
    <row r="209" spans="1:37">
      <c r="A209" s="606"/>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7"/>
      <c r="AD209" s="2482">
        <f>AB260</f>
        <v>0</v>
      </c>
      <c r="AE209" s="2482"/>
      <c r="AF209" s="2482"/>
      <c r="AG209" s="2482"/>
      <c r="AH209" s="2482"/>
      <c r="AI209" s="2482"/>
      <c r="AJ209" s="2482"/>
      <c r="AK209" s="611"/>
    </row>
    <row r="210" spans="1:37">
      <c r="A210" s="606"/>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7"/>
      <c r="AD210" s="2483">
        <f>'Sources and Uses Budget'!B15</f>
        <v>0</v>
      </c>
      <c r="AE210" s="2483"/>
      <c r="AF210" s="2483"/>
      <c r="AG210" s="2483"/>
      <c r="AH210" s="2483"/>
      <c r="AI210" s="2483"/>
      <c r="AJ210" s="2483"/>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7">
        <f>SUM(AD199:AJ209)-AD210</f>
        <v>11300000</v>
      </c>
      <c r="AE211" s="2487"/>
      <c r="AF211" s="2487"/>
      <c r="AG211" s="2487"/>
      <c r="AH211" s="2487"/>
      <c r="AI211" s="2487"/>
      <c r="AJ211" s="248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6" t="s">
        <v>1608</v>
      </c>
      <c r="J222" s="2456"/>
      <c r="K222" s="2456"/>
      <c r="L222" s="537"/>
      <c r="M222" s="537"/>
      <c r="N222" s="537"/>
      <c r="O222" s="537"/>
      <c r="P222" s="537"/>
      <c r="Q222" s="537"/>
      <c r="R222" s="537"/>
      <c r="S222" s="537"/>
      <c r="T222" s="2644" t="s">
        <v>1602</v>
      </c>
      <c r="U222" s="2644"/>
      <c r="V222" s="2644"/>
      <c r="W222" s="2644"/>
      <c r="X222" s="2644"/>
      <c r="Y222" s="2644"/>
      <c r="Z222" s="850"/>
      <c r="AA222" s="490"/>
      <c r="AB222" s="2451" t="s">
        <v>1603</v>
      </c>
      <c r="AC222" s="2451"/>
      <c r="AD222" s="2451"/>
      <c r="AE222" s="2451"/>
      <c r="AF222" s="2451"/>
      <c r="AG222" s="2451"/>
      <c r="AH222" s="828"/>
      <c r="AI222" s="828"/>
      <c r="AJ222" s="828"/>
      <c r="AK222" s="611"/>
    </row>
    <row r="223" spans="1:37">
      <c r="A223" s="606"/>
      <c r="B223" s="2454" t="s">
        <v>1588</v>
      </c>
      <c r="C223" s="2454"/>
      <c r="D223" s="2454"/>
      <c r="E223" s="2454"/>
      <c r="F223" s="2454"/>
      <c r="G223" s="2454"/>
      <c r="I223" s="2455" t="s">
        <v>1609</v>
      </c>
      <c r="J223" s="2455"/>
      <c r="K223" s="2455"/>
      <c r="L223" s="1009"/>
      <c r="N223" s="2461" t="s">
        <v>1604</v>
      </c>
      <c r="O223" s="2461"/>
      <c r="P223" s="2461"/>
      <c r="Q223" s="2461"/>
      <c r="R223" s="2461"/>
      <c r="T223" s="2461" t="s">
        <v>1605</v>
      </c>
      <c r="U223" s="2461"/>
      <c r="V223" s="2461"/>
      <c r="W223" s="2461"/>
      <c r="X223" s="2461"/>
      <c r="Y223" s="2461"/>
      <c r="Z223" s="851"/>
      <c r="AA223" s="490"/>
      <c r="AB223" s="2598" t="s">
        <v>1606</v>
      </c>
      <c r="AC223" s="2598"/>
      <c r="AD223" s="2598"/>
      <c r="AE223" s="2598"/>
      <c r="AF223" s="2598"/>
      <c r="AG223" s="2598"/>
      <c r="AH223" s="828"/>
      <c r="AI223" s="828"/>
      <c r="AJ223" s="828"/>
      <c r="AK223" s="611"/>
    </row>
    <row r="224" spans="1:37">
      <c r="A224" s="606"/>
      <c r="B224" s="2458" t="s">
        <v>1185</v>
      </c>
      <c r="C224" s="2458"/>
      <c r="D224" s="2458"/>
      <c r="E224" s="2458"/>
      <c r="F224" s="2458"/>
      <c r="G224" s="2458"/>
      <c r="H224" s="853"/>
      <c r="I224" s="2457"/>
      <c r="J224" s="2457"/>
      <c r="K224" s="2457"/>
      <c r="L224" s="1009"/>
      <c r="N224" s="2462"/>
      <c r="O224" s="2462"/>
      <c r="P224" s="2462"/>
      <c r="Q224" s="2462"/>
      <c r="R224" s="2462"/>
      <c r="T224" s="2610"/>
      <c r="U224" s="2610"/>
      <c r="V224" s="2610"/>
      <c r="W224" s="2610"/>
      <c r="X224" s="2610"/>
      <c r="Y224" s="2610"/>
      <c r="Z224" s="852"/>
      <c r="AA224" s="852"/>
      <c r="AB224" s="2459">
        <f t="shared" ref="AB224:AB233" si="0">MAX(($T224-$N224)*$I224*12,0)</f>
        <v>0</v>
      </c>
      <c r="AC224" s="2459"/>
      <c r="AD224" s="2459"/>
      <c r="AE224" s="2459"/>
      <c r="AF224" s="2459"/>
      <c r="AG224" s="2459"/>
      <c r="AH224" s="828"/>
      <c r="AI224" s="828"/>
      <c r="AJ224" s="828"/>
      <c r="AK224" s="611"/>
    </row>
    <row r="225" spans="1:37">
      <c r="A225" s="606"/>
      <c r="B225" s="2458" t="s">
        <v>1185</v>
      </c>
      <c r="C225" s="2458"/>
      <c r="D225" s="2458"/>
      <c r="E225" s="2458"/>
      <c r="F225" s="2458"/>
      <c r="G225" s="2458"/>
      <c r="I225" s="2457"/>
      <c r="J225" s="2457"/>
      <c r="K225" s="2457"/>
      <c r="L225" s="1009"/>
      <c r="N225" s="2462"/>
      <c r="O225" s="2462"/>
      <c r="P225" s="2462"/>
      <c r="Q225" s="2462"/>
      <c r="R225" s="2462"/>
      <c r="T225" s="2610"/>
      <c r="U225" s="2610"/>
      <c r="V225" s="2610"/>
      <c r="W225" s="2610"/>
      <c r="X225" s="2610"/>
      <c r="Y225" s="2610"/>
      <c r="Z225" s="852"/>
      <c r="AA225" s="852"/>
      <c r="AB225" s="2459">
        <f t="shared" si="0"/>
        <v>0</v>
      </c>
      <c r="AC225" s="2459"/>
      <c r="AD225" s="2459"/>
      <c r="AE225" s="2459"/>
      <c r="AF225" s="2459"/>
      <c r="AG225" s="2459"/>
      <c r="AH225" s="828"/>
      <c r="AI225" s="828"/>
      <c r="AJ225" s="828"/>
      <c r="AK225" s="611"/>
    </row>
    <row r="226" spans="1:37">
      <c r="A226" s="606"/>
      <c r="B226" s="2458" t="s">
        <v>1185</v>
      </c>
      <c r="C226" s="2458"/>
      <c r="D226" s="2458"/>
      <c r="E226" s="2458"/>
      <c r="F226" s="2458"/>
      <c r="G226" s="2458"/>
      <c r="I226" s="2457"/>
      <c r="J226" s="2457"/>
      <c r="K226" s="2457"/>
      <c r="L226" s="1009"/>
      <c r="N226" s="2462"/>
      <c r="O226" s="2462"/>
      <c r="P226" s="2462"/>
      <c r="Q226" s="2462"/>
      <c r="R226" s="2462"/>
      <c r="T226" s="2610"/>
      <c r="U226" s="2610"/>
      <c r="V226" s="2610"/>
      <c r="W226" s="2610"/>
      <c r="X226" s="2610"/>
      <c r="Y226" s="2610"/>
      <c r="Z226" s="852"/>
      <c r="AA226" s="852"/>
      <c r="AB226" s="2459">
        <f t="shared" si="0"/>
        <v>0</v>
      </c>
      <c r="AC226" s="2459"/>
      <c r="AD226" s="2459"/>
      <c r="AE226" s="2459"/>
      <c r="AF226" s="2459"/>
      <c r="AG226" s="2459"/>
      <c r="AH226" s="828"/>
      <c r="AI226" s="828"/>
      <c r="AJ226" s="828"/>
      <c r="AK226" s="611"/>
    </row>
    <row r="227" spans="1:37">
      <c r="A227" s="606"/>
      <c r="B227" s="2458" t="s">
        <v>1185</v>
      </c>
      <c r="C227" s="2458"/>
      <c r="D227" s="2458"/>
      <c r="E227" s="2458"/>
      <c r="F227" s="2458"/>
      <c r="G227" s="2458"/>
      <c r="I227" s="2457"/>
      <c r="J227" s="2457"/>
      <c r="K227" s="2457"/>
      <c r="L227" s="1009"/>
      <c r="N227" s="2462"/>
      <c r="O227" s="2462"/>
      <c r="P227" s="2462"/>
      <c r="Q227" s="2462"/>
      <c r="R227" s="2462"/>
      <c r="T227" s="2610"/>
      <c r="U227" s="2610"/>
      <c r="V227" s="2610"/>
      <c r="W227" s="2610"/>
      <c r="X227" s="2610"/>
      <c r="Y227" s="2610"/>
      <c r="Z227" s="852"/>
      <c r="AA227" s="852"/>
      <c r="AB227" s="2459">
        <f t="shared" si="0"/>
        <v>0</v>
      </c>
      <c r="AC227" s="2459"/>
      <c r="AD227" s="2459"/>
      <c r="AE227" s="2459"/>
      <c r="AF227" s="2459"/>
      <c r="AG227" s="2459"/>
      <c r="AH227" s="828"/>
      <c r="AI227" s="828"/>
      <c r="AJ227" s="828"/>
      <c r="AK227" s="611"/>
    </row>
    <row r="228" spans="1:37">
      <c r="A228" s="606"/>
      <c r="B228" s="2458" t="s">
        <v>1185</v>
      </c>
      <c r="C228" s="2458"/>
      <c r="D228" s="2458"/>
      <c r="E228" s="2458"/>
      <c r="F228" s="2458"/>
      <c r="G228" s="2458"/>
      <c r="I228" s="2457"/>
      <c r="J228" s="2457"/>
      <c r="K228" s="2457"/>
      <c r="L228" s="1016"/>
      <c r="N228" s="2462"/>
      <c r="O228" s="2462"/>
      <c r="P228" s="2462"/>
      <c r="Q228" s="2462"/>
      <c r="R228" s="2462"/>
      <c r="T228" s="2610"/>
      <c r="U228" s="2610"/>
      <c r="V228" s="2610"/>
      <c r="W228" s="2610"/>
      <c r="X228" s="2610"/>
      <c r="Y228" s="2610"/>
      <c r="Z228" s="852"/>
      <c r="AA228" s="852"/>
      <c r="AB228" s="2459">
        <f t="shared" si="0"/>
        <v>0</v>
      </c>
      <c r="AC228" s="2459"/>
      <c r="AD228" s="2459"/>
      <c r="AE228" s="2459"/>
      <c r="AF228" s="2459"/>
      <c r="AG228" s="2459"/>
      <c r="AH228" s="828"/>
      <c r="AI228" s="828"/>
      <c r="AJ228" s="828"/>
      <c r="AK228" s="611"/>
    </row>
    <row r="229" spans="1:37">
      <c r="A229" s="606"/>
      <c r="B229" s="2458" t="s">
        <v>1185</v>
      </c>
      <c r="C229" s="2458"/>
      <c r="D229" s="2458"/>
      <c r="E229" s="2458"/>
      <c r="F229" s="2458"/>
      <c r="G229" s="2458"/>
      <c r="I229" s="2457"/>
      <c r="J229" s="2457"/>
      <c r="K229" s="2457"/>
      <c r="L229" s="1016"/>
      <c r="N229" s="2462"/>
      <c r="O229" s="2462"/>
      <c r="P229" s="2462"/>
      <c r="Q229" s="2462"/>
      <c r="R229" s="2462"/>
      <c r="T229" s="2610"/>
      <c r="U229" s="2610"/>
      <c r="V229" s="2610"/>
      <c r="W229" s="2610"/>
      <c r="X229" s="2610"/>
      <c r="Y229" s="2610"/>
      <c r="Z229" s="852"/>
      <c r="AA229" s="852"/>
      <c r="AB229" s="2459">
        <f t="shared" si="0"/>
        <v>0</v>
      </c>
      <c r="AC229" s="2459"/>
      <c r="AD229" s="2459"/>
      <c r="AE229" s="2459"/>
      <c r="AF229" s="2459"/>
      <c r="AG229" s="2459"/>
      <c r="AH229" s="828"/>
      <c r="AI229" s="828"/>
      <c r="AJ229" s="828"/>
      <c r="AK229" s="611"/>
    </row>
    <row r="230" spans="1:37">
      <c r="A230" s="606"/>
      <c r="B230" s="2458" t="s">
        <v>1185</v>
      </c>
      <c r="C230" s="2458"/>
      <c r="D230" s="2458"/>
      <c r="E230" s="2458"/>
      <c r="F230" s="2458"/>
      <c r="G230" s="2458"/>
      <c r="I230" s="2457"/>
      <c r="J230" s="2457"/>
      <c r="K230" s="2457"/>
      <c r="L230" s="1016"/>
      <c r="N230" s="2462"/>
      <c r="O230" s="2462"/>
      <c r="P230" s="2462"/>
      <c r="Q230" s="2462"/>
      <c r="R230" s="2462"/>
      <c r="T230" s="2610"/>
      <c r="U230" s="2610"/>
      <c r="V230" s="2610"/>
      <c r="W230" s="2610"/>
      <c r="X230" s="2610"/>
      <c r="Y230" s="2610"/>
      <c r="Z230" s="852"/>
      <c r="AA230" s="852"/>
      <c r="AB230" s="2459">
        <f t="shared" si="0"/>
        <v>0</v>
      </c>
      <c r="AC230" s="2459"/>
      <c r="AD230" s="2459"/>
      <c r="AE230" s="2459"/>
      <c r="AF230" s="2459"/>
      <c r="AG230" s="2459"/>
      <c r="AH230" s="828"/>
      <c r="AI230" s="828"/>
      <c r="AJ230" s="828"/>
      <c r="AK230" s="611"/>
    </row>
    <row r="231" spans="1:37">
      <c r="A231" s="606"/>
      <c r="B231" s="2458" t="s">
        <v>1185</v>
      </c>
      <c r="C231" s="2458"/>
      <c r="D231" s="2458"/>
      <c r="E231" s="2458"/>
      <c r="F231" s="2458"/>
      <c r="G231" s="2458"/>
      <c r="I231" s="2457"/>
      <c r="J231" s="2457"/>
      <c r="K231" s="2457"/>
      <c r="L231" s="1016"/>
      <c r="N231" s="2462"/>
      <c r="O231" s="2462"/>
      <c r="P231" s="2462"/>
      <c r="Q231" s="2462"/>
      <c r="R231" s="2462"/>
      <c r="T231" s="2610"/>
      <c r="U231" s="2610"/>
      <c r="V231" s="2610"/>
      <c r="W231" s="2610"/>
      <c r="X231" s="2610"/>
      <c r="Y231" s="2610"/>
      <c r="Z231" s="852"/>
      <c r="AA231" s="852"/>
      <c r="AB231" s="2459">
        <f t="shared" si="0"/>
        <v>0</v>
      </c>
      <c r="AC231" s="2459"/>
      <c r="AD231" s="2459"/>
      <c r="AE231" s="2459"/>
      <c r="AF231" s="2459"/>
      <c r="AG231" s="2459"/>
      <c r="AH231" s="828"/>
      <c r="AI231" s="828"/>
      <c r="AJ231" s="828"/>
      <c r="AK231" s="611"/>
    </row>
    <row r="232" spans="1:37">
      <c r="A232" s="606"/>
      <c r="B232" s="2458" t="s">
        <v>1185</v>
      </c>
      <c r="C232" s="2458"/>
      <c r="D232" s="2458"/>
      <c r="E232" s="2458"/>
      <c r="F232" s="2458"/>
      <c r="G232" s="2458"/>
      <c r="I232" s="2457"/>
      <c r="J232" s="2457"/>
      <c r="K232" s="2457"/>
      <c r="L232" s="1016"/>
      <c r="N232" s="2462"/>
      <c r="O232" s="2462"/>
      <c r="P232" s="2462"/>
      <c r="Q232" s="2462"/>
      <c r="R232" s="2462"/>
      <c r="T232" s="2610"/>
      <c r="U232" s="2610"/>
      <c r="V232" s="2610"/>
      <c r="W232" s="2610"/>
      <c r="X232" s="2610"/>
      <c r="Y232" s="2610"/>
      <c r="Z232" s="852"/>
      <c r="AA232" s="852"/>
      <c r="AB232" s="2459">
        <f t="shared" si="0"/>
        <v>0</v>
      </c>
      <c r="AC232" s="2459"/>
      <c r="AD232" s="2459"/>
      <c r="AE232" s="2459"/>
      <c r="AF232" s="2459"/>
      <c r="AG232" s="2459"/>
      <c r="AH232" s="828"/>
      <c r="AI232" s="828"/>
      <c r="AJ232" s="828"/>
      <c r="AK232" s="611"/>
    </row>
    <row r="233" spans="1:37">
      <c r="A233" s="606"/>
      <c r="B233" s="2458" t="s">
        <v>1185</v>
      </c>
      <c r="C233" s="2458"/>
      <c r="D233" s="2458"/>
      <c r="E233" s="2458"/>
      <c r="F233" s="2458"/>
      <c r="G233" s="2458"/>
      <c r="I233" s="2460"/>
      <c r="J233" s="2460"/>
      <c r="K233" s="2460"/>
      <c r="L233" s="1016"/>
      <c r="N233" s="2462"/>
      <c r="O233" s="2462"/>
      <c r="P233" s="2462"/>
      <c r="Q233" s="2462"/>
      <c r="R233" s="2462"/>
      <c r="T233" s="2610"/>
      <c r="U233" s="2610"/>
      <c r="V233" s="2610"/>
      <c r="W233" s="2610"/>
      <c r="X233" s="2610"/>
      <c r="Y233" s="2610"/>
      <c r="Z233" s="852"/>
      <c r="AA233" s="852"/>
      <c r="AB233" s="2608">
        <f t="shared" si="0"/>
        <v>0</v>
      </c>
      <c r="AC233" s="2608"/>
      <c r="AD233" s="2608"/>
      <c r="AE233" s="2608"/>
      <c r="AF233" s="2608"/>
      <c r="AG233" s="260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59">
        <f>SUM(AB224:AB233)</f>
        <v>0</v>
      </c>
      <c r="AC234" s="2459"/>
      <c r="AD234" s="2459"/>
      <c r="AE234" s="2459"/>
      <c r="AF234" s="2459"/>
      <c r="AG234" s="245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1"/>
      <c r="AC240" s="2611"/>
      <c r="AD240" s="2611"/>
      <c r="AE240" s="2611"/>
      <c r="AF240" s="2611"/>
      <c r="AG240" s="2611"/>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1"/>
      <c r="AC243" s="2611"/>
      <c r="AD243" s="2611"/>
      <c r="AE243" s="2611"/>
      <c r="AF243" s="2611"/>
      <c r="AG243" s="2611"/>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3"/>
      <c r="AC244" s="2643"/>
      <c r="AD244" s="2643"/>
      <c r="AE244" s="2643"/>
      <c r="AF244" s="2643"/>
      <c r="AG244" s="2643"/>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5">
        <f>IFERROR(AB243/AB244,0)</f>
        <v>0</v>
      </c>
      <c r="AC245" s="2625"/>
      <c r="AD245" s="2625"/>
      <c r="AE245" s="2625"/>
      <c r="AF245" s="2625"/>
      <c r="AG245" s="262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8">
        <f>MAX(AB240,AB245)</f>
        <v>0</v>
      </c>
      <c r="AC247" s="2608"/>
      <c r="AD247" s="2608"/>
      <c r="AE247" s="2608"/>
      <c r="AF247" s="2608"/>
      <c r="AG247" s="260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59">
        <f>AB234+AB247</f>
        <v>0</v>
      </c>
      <c r="AC250" s="2459"/>
      <c r="AD250" s="2459"/>
      <c r="AE250" s="2459"/>
      <c r="AF250" s="2459"/>
      <c r="AG250" s="2459"/>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1">
        <v>0.05</v>
      </c>
      <c r="AC251" s="2491"/>
      <c r="AD251" s="2491"/>
      <c r="AE251" s="2491"/>
      <c r="AF251" s="2491"/>
      <c r="AG251" s="2491"/>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2">
        <f>AB250-(AB250*AB251)</f>
        <v>0</v>
      </c>
      <c r="AC252" s="2492"/>
      <c r="AD252" s="2492"/>
      <c r="AE252" s="2492"/>
      <c r="AF252" s="2492"/>
      <c r="AG252" s="2492"/>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59">
        <f>AB252/AB258</f>
        <v>0</v>
      </c>
      <c r="AC254" s="2459"/>
      <c r="AD254" s="2459"/>
      <c r="AE254" s="2459"/>
      <c r="AF254" s="2459"/>
      <c r="AG254" s="245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1">
        <v>15</v>
      </c>
      <c r="AC256" s="2451"/>
      <c r="AD256" s="2451"/>
      <c r="AE256" s="2451"/>
      <c r="AF256" s="2451"/>
      <c r="AG256" s="2451"/>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3">
        <v>0.04</v>
      </c>
      <c r="AC257" s="2493"/>
      <c r="AD257" s="2493"/>
      <c r="AE257" s="2493"/>
      <c r="AF257" s="2493"/>
      <c r="AG257" s="2493"/>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4">
        <v>1.1499999999999999</v>
      </c>
      <c r="AC258" s="2464"/>
      <c r="AD258" s="2464"/>
      <c r="AE258" s="2464"/>
      <c r="AF258" s="2464"/>
      <c r="AG258" s="246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4">
        <f>PV(AB257/12,AB256*12,-AB254/12, ,0)</f>
        <v>0</v>
      </c>
      <c r="AC260" s="2485"/>
      <c r="AD260" s="2485"/>
      <c r="AE260" s="2485"/>
      <c r="AF260" s="2485"/>
      <c r="AG260" s="2486"/>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8">
        <f>IFERROR(('Sources and Uses Budget'!D105/'Sources and Uses Budget'!B105),0)</f>
        <v>0</v>
      </c>
      <c r="AC266" s="2489"/>
      <c r="AD266" s="2489"/>
      <c r="AE266" s="2489"/>
      <c r="AF266" s="2489"/>
      <c r="AG266" s="249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8">
        <f>AD211*(1-AB266)</f>
        <v>11300000</v>
      </c>
      <c r="AH268" s="2478"/>
      <c r="AI268" s="2478"/>
      <c r="AJ268" s="2478"/>
      <c r="AK268" s="2478"/>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8">
        <f>'Sources and Uses Budget'!C105</f>
        <v>140091791</v>
      </c>
      <c r="AH269" s="2478"/>
      <c r="AI269" s="2478"/>
      <c r="AJ269" s="2478"/>
      <c r="AK269" s="247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79">
        <f>ROUNDDOWN(IF(AND(C292="Yes",AK84=10),((AG268*2)/AG269),AG268/AG269),2)</f>
        <v>0.16</v>
      </c>
      <c r="AH270" s="2479"/>
      <c r="AI270" s="2479"/>
      <c r="AJ270" s="2479"/>
      <c r="AK270" s="2479"/>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0">
        <f>IFERROR(IF(AG270=0,0,IF((AG270*100)&gt;8,8,(AG270*100))),0)</f>
        <v>8</v>
      </c>
      <c r="AL273" s="2480"/>
      <c r="AM273" s="2481"/>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2" t="s">
        <v>546</v>
      </c>
      <c r="D278" s="2472"/>
      <c r="E278" s="548"/>
      <c r="F278" s="2629" t="s">
        <v>2027</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1"/>
      <c r="AF278" s="636"/>
      <c r="AG278" s="2473" t="s">
        <v>1364</v>
      </c>
      <c r="AH278" s="2473"/>
      <c r="AI278" s="2473"/>
      <c r="AJ278" s="2473"/>
      <c r="AK278" s="551"/>
      <c r="AL278" s="551"/>
      <c r="AM278" s="551"/>
      <c r="AO278" s="551"/>
    </row>
    <row r="279" spans="1:52" ht="13.75" customHeight="1">
      <c r="A279" s="551"/>
      <c r="B279" s="597"/>
      <c r="C279" s="637"/>
      <c r="D279" s="551"/>
      <c r="E279" s="548"/>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1"/>
      <c r="AF279" s="636"/>
      <c r="AG279" s="636"/>
      <c r="AH279" s="636"/>
      <c r="AI279" s="636"/>
      <c r="AJ279" s="551"/>
      <c r="AK279" s="551"/>
      <c r="AL279" s="551"/>
      <c r="AM279" s="551"/>
      <c r="AO279" s="551"/>
    </row>
    <row r="280" spans="1:52">
      <c r="A280" s="551"/>
      <c r="B280" s="597"/>
      <c r="C280" s="637"/>
      <c r="D280" s="551"/>
      <c r="E280" s="548"/>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1"/>
      <c r="AF280" s="636"/>
      <c r="AG280" s="636"/>
      <c r="AH280" s="636"/>
      <c r="AI280" s="636"/>
      <c r="AJ280" s="551"/>
      <c r="AK280" s="551"/>
      <c r="AL280" s="551"/>
      <c r="AM280" s="551"/>
      <c r="AO280" s="551"/>
      <c r="AP280" s="638"/>
    </row>
    <row r="281" spans="1:52">
      <c r="A281" s="551"/>
      <c r="B281" s="597"/>
      <c r="C281" s="637"/>
      <c r="D281" s="551"/>
      <c r="E281" s="548"/>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1"/>
      <c r="AF281" s="636"/>
      <c r="AG281" s="636"/>
      <c r="AH281" s="636"/>
      <c r="AI281" s="636"/>
      <c r="AJ281" s="551"/>
      <c r="AK281" s="551"/>
      <c r="AL281" s="551"/>
      <c r="AM281" s="551"/>
      <c r="AO281" s="551"/>
      <c r="AP281" s="638"/>
    </row>
    <row r="282" spans="1:52" ht="13.75" customHeight="1">
      <c r="A282" s="551"/>
      <c r="B282" s="597"/>
      <c r="C282" s="2474"/>
      <c r="D282" s="2474"/>
      <c r="E282" s="548"/>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1"/>
      <c r="AF282" s="636"/>
      <c r="AG282" s="2473"/>
      <c r="AH282" s="2473"/>
      <c r="AI282" s="2473"/>
      <c r="AJ282" s="2473"/>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0">
        <f>IF($C$278="yes",10,0)</f>
        <v>10</v>
      </c>
      <c r="AL285" s="2480"/>
      <c r="AM285" s="2481"/>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68" t="s">
        <v>546</v>
      </c>
      <c r="D292" s="2472"/>
      <c r="E292" s="548"/>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3"/>
      <c r="AF292" s="551"/>
      <c r="AG292" s="2503" t="s">
        <v>2020</v>
      </c>
      <c r="AH292" s="2503"/>
      <c r="AI292" s="2503"/>
      <c r="AJ292" s="2503"/>
      <c r="AK292" s="2503"/>
      <c r="AL292" s="551"/>
      <c r="AM292" s="551"/>
      <c r="AN292" s="73"/>
      <c r="AO292" s="14"/>
      <c r="AP292" s="30"/>
      <c r="AS292" s="571"/>
      <c r="AT292" s="571"/>
      <c r="AU292" s="571"/>
      <c r="AV292" s="32"/>
      <c r="AW292" s="32"/>
    </row>
    <row r="293" spans="1:49" ht="13">
      <c r="A293" s="641"/>
      <c r="B293" s="597"/>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94" t="s">
        <v>2028</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3"/>
      <c r="AF295" s="552"/>
      <c r="AH295" s="552"/>
      <c r="AI295" s="552"/>
      <c r="AJ295" s="551"/>
      <c r="AK295" s="551"/>
      <c r="AL295" s="551"/>
      <c r="AM295" s="551"/>
      <c r="AN295" s="73"/>
      <c r="AO295" s="14"/>
      <c r="AP295" s="612">
        <f>MAX(AP293,AP294)</f>
        <v>10</v>
      </c>
      <c r="AQ295" s="575" t="s">
        <v>1317</v>
      </c>
      <c r="AS295" s="571"/>
      <c r="AT295" s="571"/>
      <c r="AU295" s="571"/>
      <c r="AV295" s="32"/>
      <c r="AW295" s="32"/>
    </row>
    <row r="296" spans="1:49" ht="13">
      <c r="A296" s="641"/>
      <c r="B296" s="597"/>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72" t="s">
        <v>592</v>
      </c>
      <c r="D302" s="2472"/>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2" t="s">
        <v>2022</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2"/>
      <c r="AF303" s="552"/>
      <c r="AG303" s="552"/>
      <c r="AH303" s="552"/>
      <c r="AI303" s="552"/>
      <c r="AJ303" s="551"/>
      <c r="AK303" s="551"/>
      <c r="AL303" s="551"/>
      <c r="AM303" s="551"/>
      <c r="AR303" s="649"/>
    </row>
    <row r="304" spans="1:49" ht="15" customHeight="1">
      <c r="A304" s="551"/>
      <c r="B304" s="552"/>
      <c r="C304" s="551"/>
      <c r="D304" s="552"/>
      <c r="E304" s="551"/>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2"/>
      <c r="AF304" s="552"/>
      <c r="AG304" s="552"/>
      <c r="AH304" s="552"/>
      <c r="AI304" s="552"/>
      <c r="AJ304" s="551"/>
      <c r="AK304" s="551"/>
      <c r="AL304" s="551"/>
      <c r="AM304" s="551"/>
      <c r="AR304" s="649"/>
    </row>
    <row r="305" spans="1:44">
      <c r="A305" s="551"/>
      <c r="B305" s="552"/>
      <c r="C305" s="551"/>
      <c r="D305" s="552"/>
      <c r="E305" s="551"/>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7" t="s">
        <v>1390</v>
      </c>
      <c r="B310" s="1627"/>
      <c r="C310" s="2472" t="s">
        <v>592</v>
      </c>
      <c r="D310" s="2472"/>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4" t="s">
        <v>2029</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2"/>
      <c r="AF311" s="552"/>
      <c r="AG311" s="540"/>
      <c r="AH311" s="552"/>
      <c r="AI311" s="552"/>
      <c r="AJ311" s="551"/>
      <c r="AK311" s="551"/>
      <c r="AL311" s="551"/>
      <c r="AM311" s="551"/>
      <c r="AN311" s="73"/>
      <c r="AO311" s="14"/>
      <c r="AP311" s="558"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3"/>
      <c r="AF316" s="643"/>
      <c r="AG316" s="643"/>
      <c r="AH316" s="643"/>
      <c r="AI316" s="643"/>
      <c r="AJ316" s="643"/>
      <c r="AK316" s="643"/>
      <c r="AL316" s="551"/>
      <c r="AM316" s="551"/>
      <c r="AN316" s="73"/>
      <c r="AO316" s="14"/>
      <c r="AP316" s="30"/>
    </row>
    <row r="317" spans="1:44" ht="13" hidden="1">
      <c r="A317" s="551"/>
      <c r="B317" s="552"/>
      <c r="C317" s="731"/>
      <c r="D317" s="731"/>
      <c r="E317" s="548"/>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2"/>
      <c r="AF317" s="552"/>
      <c r="AG317" s="540"/>
      <c r="AH317" s="552"/>
      <c r="AI317" s="552"/>
      <c r="AJ317" s="551"/>
      <c r="AK317" s="551"/>
      <c r="AL317" s="551"/>
      <c r="AM317" s="551"/>
      <c r="AN317" s="73"/>
      <c r="AO317" s="14"/>
      <c r="AP317" s="30"/>
    </row>
    <row r="318" spans="1:44" ht="13" hidden="1">
      <c r="A318" s="551"/>
      <c r="B318" s="552"/>
      <c r="C318" s="731"/>
      <c r="D318" s="731"/>
      <c r="E318" s="548"/>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2"/>
      <c r="AF318" s="552"/>
      <c r="AG318" s="540"/>
      <c r="AH318" s="552"/>
      <c r="AI318" s="552"/>
      <c r="AJ318" s="551"/>
      <c r="AK318" s="551"/>
      <c r="AL318" s="551"/>
      <c r="AM318" s="551"/>
      <c r="AN318" s="73"/>
      <c r="AO318" s="14"/>
      <c r="AP318" s="30"/>
    </row>
    <row r="319" spans="1:44" ht="13" hidden="1">
      <c r="A319" s="551"/>
      <c r="B319" s="552"/>
      <c r="C319" s="731"/>
      <c r="D319" s="731"/>
      <c r="E319" s="548"/>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2"/>
      <c r="AF319" s="552"/>
      <c r="AG319" s="540"/>
      <c r="AH319" s="552"/>
      <c r="AI319" s="552"/>
      <c r="AJ319" s="551"/>
      <c r="AK319" s="551"/>
      <c r="AL319" s="551"/>
      <c r="AM319" s="551"/>
      <c r="AN319" s="73"/>
      <c r="AO319" s="14"/>
      <c r="AP319" s="30"/>
    </row>
    <row r="320" spans="1:44" ht="13" hidden="1">
      <c r="A320" s="551"/>
      <c r="B320" s="552"/>
      <c r="C320" s="731"/>
      <c r="D320" s="731"/>
      <c r="E320" s="548"/>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72" t="s">
        <v>592</v>
      </c>
      <c r="D333" s="2472"/>
      <c r="E333" s="548"/>
      <c r="F333" s="2396" t="s">
        <v>2030</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2"/>
      <c r="AF334" s="552"/>
      <c r="AG334" s="552"/>
      <c r="AH334" s="552"/>
      <c r="AI334" s="552"/>
      <c r="AJ334" s="551"/>
      <c r="AK334" s="551"/>
      <c r="AL334" s="551"/>
      <c r="AM334" s="551"/>
      <c r="AN334" s="73"/>
      <c r="AO334" s="14"/>
    </row>
    <row r="335" spans="1:42" ht="15" hidden="1" customHeight="1">
      <c r="A335" s="551"/>
      <c r="B335" s="552"/>
      <c r="C335" s="552"/>
      <c r="D335" s="552"/>
      <c r="E335" s="552"/>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5">
        <f>IF(NOT(OR(Application!M355="Yes",Application!M356="Yes")),0,AP295)</f>
        <v>10</v>
      </c>
      <c r="AL338" s="2476"/>
      <c r="AM338" s="247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5" t="s">
        <v>1315</v>
      </c>
      <c r="AF341" s="2405"/>
      <c r="AG341" s="2405"/>
      <c r="AH341" s="2405"/>
      <c r="AI341" s="2405"/>
      <c r="AJ341" s="2405"/>
      <c r="AK341" s="240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4"/>
      <c r="AL343" s="604"/>
      <c r="AM343" s="604"/>
      <c r="AN343" s="598"/>
    </row>
    <row r="344" spans="1:44" s="551" customFormat="1" ht="12.75" customHeight="1">
      <c r="A344" s="604"/>
      <c r="B344" s="612"/>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4"/>
      <c r="AL344" s="604"/>
      <c r="AM344" s="604"/>
      <c r="AN344" s="598"/>
    </row>
    <row r="345" spans="1:44" s="551" customFormat="1" ht="12.75" customHeight="1">
      <c r="A345" s="604"/>
      <c r="B345" s="612"/>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4"/>
      <c r="AL345" s="604"/>
      <c r="AM345" s="604"/>
      <c r="AN345" s="598"/>
      <c r="AQ345" s="571"/>
    </row>
    <row r="346" spans="1:44" s="551" customFormat="1" ht="12.75" customHeight="1">
      <c r="A346" s="604"/>
      <c r="B346" s="612"/>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4"/>
      <c r="AL346" s="604"/>
      <c r="AM346" s="604"/>
      <c r="AN346" s="598"/>
      <c r="AQ346" s="571"/>
    </row>
    <row r="347" spans="1:44" s="551" customFormat="1" ht="12.4" customHeight="1">
      <c r="A347" s="604"/>
      <c r="B347" s="612"/>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4"/>
      <c r="AL347" s="604"/>
      <c r="AM347" s="604"/>
      <c r="AN347" s="598"/>
      <c r="AQ347" s="571"/>
      <c r="AR347" s="571"/>
    </row>
    <row r="348" spans="1:44" s="551" customFormat="1" ht="45.75" customHeight="1">
      <c r="A348" s="604"/>
      <c r="B348" s="612"/>
      <c r="C348" s="2514" t="s">
        <v>2095</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4" t="s">
        <v>2210</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4"/>
      <c r="AL350" s="604"/>
      <c r="AM350" s="604"/>
      <c r="AN350" s="598"/>
      <c r="AQ350" s="571"/>
      <c r="AR350" s="571"/>
    </row>
    <row r="351" spans="1:44" s="551" customFormat="1" ht="30" customHeight="1">
      <c r="A351" s="604"/>
      <c r="B351" s="612"/>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4"/>
      <c r="AL351" s="604"/>
      <c r="AM351" s="604"/>
      <c r="AN351" s="598"/>
      <c r="AR351" s="571"/>
    </row>
    <row r="352" spans="1:44" s="551" customFormat="1" ht="12.75" customHeight="1">
      <c r="A352" s="604"/>
      <c r="B352" s="612"/>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4"/>
      <c r="AL352" s="604"/>
      <c r="AM352" s="604"/>
      <c r="AN352" s="598"/>
      <c r="AR352" s="571"/>
    </row>
    <row r="353" spans="1:46" s="551" customFormat="1" ht="12.75" customHeight="1">
      <c r="A353" s="604"/>
      <c r="B353" s="612"/>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4"/>
      <c r="AL353" s="604"/>
      <c r="AM353" s="604"/>
      <c r="AN353" s="598"/>
      <c r="AQ353" s="571"/>
      <c r="AR353" s="571"/>
    </row>
    <row r="354" spans="1:46" s="551" customFormat="1" ht="12.75" customHeight="1">
      <c r="A354" s="604"/>
      <c r="B354" s="612"/>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4"/>
      <c r="AL354" s="604"/>
      <c r="AM354" s="604"/>
      <c r="AN354" s="598"/>
      <c r="AQ354" s="571"/>
      <c r="AR354" s="571"/>
    </row>
    <row r="355" spans="1:46" s="551" customFormat="1" ht="13.15" customHeight="1">
      <c r="A355" s="604"/>
      <c r="B355" s="612"/>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4"/>
      <c r="AL355" s="604"/>
      <c r="AM355" s="604"/>
      <c r="AN355" s="598"/>
      <c r="AQ355" s="571"/>
      <c r="AR355" s="571"/>
    </row>
    <row r="356" spans="1:46" s="551" customFormat="1" ht="12.75" customHeight="1">
      <c r="A356" s="604"/>
      <c r="B356" s="612"/>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4"/>
      <c r="AL356" s="604"/>
      <c r="AM356" s="604"/>
      <c r="AN356" s="598"/>
      <c r="AO356" s="695"/>
      <c r="AP356" s="695"/>
      <c r="AQ356" s="571"/>
    </row>
    <row r="357" spans="1:46" s="551" customFormat="1" ht="11.9" customHeight="1">
      <c r="A357" s="604"/>
      <c r="B357" s="612"/>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4"/>
      <c r="AL357" s="604"/>
      <c r="AM357" s="604"/>
      <c r="AN357" s="598"/>
      <c r="AO357" s="696" t="s">
        <v>112</v>
      </c>
      <c r="AP357" s="697">
        <f>IF(C381="Yes",5,0)</f>
        <v>0</v>
      </c>
      <c r="AS357" s="540" t="s">
        <v>1457</v>
      </c>
    </row>
    <row r="358" spans="1:46" s="551" customFormat="1" ht="12.75" customHeight="1">
      <c r="A358" s="604"/>
      <c r="B358" s="612"/>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4"/>
      <c r="AL358" s="604"/>
      <c r="AM358" s="604"/>
      <c r="AN358" s="598"/>
      <c r="AO358" s="696" t="s">
        <v>113</v>
      </c>
      <c r="AP358" s="697">
        <f>IF(C389="Yes",5,0)</f>
        <v>0</v>
      </c>
      <c r="AS358" s="2535">
        <f>IF(Application!D211="Non-Targeted",(SUM(AQ366+AQ375)),AS362)</f>
        <v>10</v>
      </c>
      <c r="AT358" s="2535"/>
    </row>
    <row r="359" spans="1:46" s="551" customFormat="1" ht="12.75" customHeight="1">
      <c r="A359" s="604"/>
      <c r="B359" s="612"/>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4"/>
      <c r="AL359" s="604"/>
      <c r="AM359" s="604"/>
      <c r="AN359" s="598"/>
      <c r="AO359" s="696" t="s">
        <v>119</v>
      </c>
      <c r="AP359" s="697">
        <f>IF(C397="Yes",7,0)</f>
        <v>0</v>
      </c>
      <c r="AS359" s="540" t="s">
        <v>1458</v>
      </c>
    </row>
    <row r="360" spans="1:46" s="551" customFormat="1" ht="12.75" customHeight="1">
      <c r="A360" s="604"/>
      <c r="B360" s="612"/>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4"/>
      <c r="AL360" s="604"/>
      <c r="AM360" s="604"/>
      <c r="AN360" s="598"/>
      <c r="AO360" s="598"/>
      <c r="AP360" s="697">
        <f>IF(C399="Yes",5,0)</f>
        <v>5</v>
      </c>
      <c r="AS360" s="2535">
        <f>IF(AND(AQ366&gt;0,AQ375&gt;0),(AQ366+AQ375)/2,0)</f>
        <v>0</v>
      </c>
      <c r="AT360" s="2535"/>
    </row>
    <row r="361" spans="1:46" s="551" customFormat="1" ht="12.75" customHeight="1">
      <c r="A361" s="604"/>
      <c r="B361" s="612"/>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4"/>
      <c r="AL361" s="604"/>
      <c r="AM361" s="604"/>
      <c r="AN361" s="598"/>
      <c r="AO361" s="696" t="s">
        <v>582</v>
      </c>
      <c r="AP361" s="697">
        <f>IF(C407="Yes",5,0)</f>
        <v>0</v>
      </c>
      <c r="AS361" s="540" t="s">
        <v>1880</v>
      </c>
    </row>
    <row r="362" spans="1:46" s="551" customFormat="1" ht="12.75" customHeight="1">
      <c r="A362" s="604"/>
      <c r="B362" s="612"/>
      <c r="C362" s="2536" t="s">
        <v>2236</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4"/>
      <c r="AL362" s="604"/>
      <c r="AM362" s="604"/>
      <c r="AN362" s="598"/>
      <c r="AO362" s="598"/>
      <c r="AP362" s="697">
        <f>IF(C409="Yes",3,0)</f>
        <v>0</v>
      </c>
      <c r="AS362" s="2535">
        <f>IF(AQ366=0,AQ375,AQ366)</f>
        <v>10</v>
      </c>
      <c r="AT362" s="2535"/>
    </row>
    <row r="363" spans="1:46" s="551" customFormat="1" ht="12.75" customHeight="1">
      <c r="A363" s="604"/>
      <c r="B363" s="612"/>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4"/>
      <c r="AL363" s="604"/>
      <c r="AM363" s="604"/>
      <c r="AN363" s="598"/>
      <c r="AO363" s="696" t="s">
        <v>764</v>
      </c>
      <c r="AP363" s="697">
        <f>IF(C412="Yes",5,0)</f>
        <v>0</v>
      </c>
    </row>
    <row r="364" spans="1:46" s="551" customFormat="1" ht="12.75" customHeight="1">
      <c r="A364" s="604"/>
      <c r="B364" s="612"/>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4"/>
      <c r="AL364" s="604"/>
      <c r="AM364" s="604"/>
      <c r="AN364" s="598"/>
      <c r="AO364" s="696" t="s">
        <v>585</v>
      </c>
      <c r="AP364" s="697">
        <f>IF(C421="Yes",5,0)</f>
        <v>5</v>
      </c>
    </row>
    <row r="365" spans="1:46" s="551" customFormat="1" ht="11.9" customHeight="1">
      <c r="A365" s="604"/>
      <c r="B365" s="612"/>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4"/>
      <c r="AL365" s="604"/>
      <c r="AM365" s="604"/>
      <c r="AN365" s="598"/>
      <c r="AO365" s="698"/>
      <c r="AP365" s="699">
        <f>IF(C423="Yes",3,0)</f>
        <v>0</v>
      </c>
    </row>
    <row r="366" spans="1:46" s="551" customFormat="1" ht="12.4" customHeight="1">
      <c r="A366" s="604"/>
      <c r="B366" s="612"/>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4"/>
      <c r="AL366" s="604"/>
      <c r="AM366" s="604"/>
      <c r="AN366" s="598"/>
      <c r="AO366" s="700" t="s">
        <v>227</v>
      </c>
      <c r="AP366" s="701">
        <f>SUM(AP357:AP365)</f>
        <v>10</v>
      </c>
      <c r="AQ366" s="2537">
        <f>IF(AP366&gt;0,AP366,0)</f>
        <v>10</v>
      </c>
      <c r="AR366" s="2537"/>
    </row>
    <row r="367" spans="1:46" s="551" customFormat="1" ht="12.75" customHeight="1">
      <c r="A367" s="604"/>
      <c r="B367" s="612"/>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4"/>
      <c r="AL369" s="604"/>
      <c r="AM369" s="604"/>
      <c r="AN369" s="598"/>
      <c r="AO369" s="696" t="s">
        <v>457</v>
      </c>
      <c r="AP369" s="697">
        <f>IF(C442="Yes",5,0)</f>
        <v>0</v>
      </c>
    </row>
    <row r="370" spans="1:81" s="551" customFormat="1" ht="12.75" customHeight="1">
      <c r="A370" s="604"/>
      <c r="B370" s="612"/>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4"/>
      <c r="AL370" s="604"/>
      <c r="AM370" s="604"/>
      <c r="AN370" s="598"/>
      <c r="AO370" s="696" t="s">
        <v>462</v>
      </c>
      <c r="AP370" s="697">
        <f>IF(C449="Yes",5,0)</f>
        <v>0</v>
      </c>
    </row>
    <row r="371" spans="1:81" s="551" customFormat="1" ht="68.150000000000006" customHeight="1">
      <c r="A371" s="604"/>
      <c r="B371" s="612"/>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2">
        <f>Application!DU802-U374</f>
        <v>489</v>
      </c>
      <c r="V373" s="2622"/>
      <c r="W373" s="2622"/>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3">
        <f>IF(Application!D211="SRO",Application!DU755,Application!AG756)</f>
        <v>0</v>
      </c>
      <c r="V374" s="2623"/>
      <c r="W374" s="262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7">
        <f>IF(AP375&gt;0,AP375,0)</f>
        <v>0</v>
      </c>
      <c r="AR375" s="2537"/>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5" t="s">
        <v>592</v>
      </c>
      <c r="D381" s="2472"/>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6" t="s">
        <v>1463</v>
      </c>
      <c r="AG381" s="2516"/>
      <c r="AH381" s="2516"/>
      <c r="AI381" s="2516"/>
      <c r="AJ381" s="2516"/>
      <c r="AK381" s="2516"/>
      <c r="AL381" s="251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3"/>
      <c r="AN388" s="598"/>
      <c r="BS388" s="30"/>
      <c r="BT388" s="30"/>
      <c r="BU388" s="14"/>
      <c r="BV388" s="14"/>
      <c r="BW388" s="14"/>
      <c r="BX388" s="14"/>
      <c r="BY388" s="14"/>
      <c r="BZ388" s="14"/>
      <c r="CA388" s="14"/>
      <c r="CB388" s="14"/>
      <c r="CC388" s="14"/>
    </row>
    <row r="389" spans="1:81" s="551" customFormat="1" ht="12.75" customHeight="1">
      <c r="A389" s="537"/>
      <c r="B389" s="14"/>
      <c r="C389" s="2515" t="s">
        <v>592</v>
      </c>
      <c r="D389" s="2472"/>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6" t="s">
        <v>1463</v>
      </c>
      <c r="AG389" s="2516"/>
      <c r="AH389" s="2516"/>
      <c r="AI389" s="2516"/>
      <c r="AJ389" s="2516"/>
      <c r="AK389" s="2516"/>
      <c r="AL389" s="251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5" t="s">
        <v>592</v>
      </c>
      <c r="D397" s="2472"/>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6" t="s">
        <v>1468</v>
      </c>
      <c r="AG397" s="2516"/>
      <c r="AH397" s="2516"/>
      <c r="AI397" s="2516"/>
      <c r="AJ397" s="2516"/>
      <c r="AK397" s="2516"/>
      <c r="AL397" s="251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5" t="s">
        <v>546</v>
      </c>
      <c r="D399" s="2472"/>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6" t="s">
        <v>1463</v>
      </c>
      <c r="AG399" s="2516"/>
      <c r="AH399" s="2516"/>
      <c r="AI399" s="2516"/>
      <c r="AJ399" s="2516"/>
      <c r="AK399" s="2516"/>
      <c r="AL399" s="251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5" t="s">
        <v>592</v>
      </c>
      <c r="D407" s="2472"/>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6" t="s">
        <v>1463</v>
      </c>
      <c r="AG407" s="2516"/>
      <c r="AH407" s="2516"/>
      <c r="AI407" s="2516"/>
      <c r="AJ407" s="2516"/>
      <c r="AK407" s="2516"/>
      <c r="AL407" s="251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5" t="s">
        <v>592</v>
      </c>
      <c r="D409" s="2472"/>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6" t="s">
        <v>1475</v>
      </c>
      <c r="AG409" s="2516"/>
      <c r="AH409" s="2516"/>
      <c r="AI409" s="2516"/>
      <c r="AJ409" s="2516"/>
      <c r="AK409" s="2516"/>
      <c r="AL409" s="251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5" t="s">
        <v>592</v>
      </c>
      <c r="D412" s="2472"/>
      <c r="E412" s="716"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1"/>
      <c r="AN413" s="598"/>
      <c r="BS413" s="571"/>
      <c r="BT413" s="571"/>
      <c r="BY413" s="571"/>
      <c r="BZ413" s="571"/>
      <c r="CA413" s="571"/>
      <c r="CB413" s="571"/>
      <c r="CC413" s="571"/>
    </row>
    <row r="414" spans="1:81" s="551" customFormat="1" ht="12.75" customHeight="1">
      <c r="A414" s="537"/>
      <c r="B414" s="14"/>
      <c r="C414" s="732"/>
      <c r="D414" s="14"/>
      <c r="E414" s="692"/>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8"/>
      <c r="AG417" s="748"/>
      <c r="AH417" s="748"/>
      <c r="AI417" s="748"/>
      <c r="AJ417" s="748"/>
      <c r="AK417" s="748"/>
      <c r="AL417" s="749"/>
      <c r="AM417" s="571"/>
    </row>
    <row r="418" spans="1:55" ht="13">
      <c r="A418" s="537"/>
      <c r="C418" s="732"/>
      <c r="E418" s="692"/>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40"/>
      <c r="AG418" s="537"/>
      <c r="AH418" s="551"/>
      <c r="AI418" s="551"/>
      <c r="AJ418" s="551"/>
      <c r="AK418" s="551"/>
      <c r="AL418" s="733"/>
      <c r="AM418" s="571"/>
    </row>
    <row r="419" spans="1:55" s="551" customFormat="1" ht="12.75" customHeight="1">
      <c r="A419" s="537"/>
      <c r="B419" s="14"/>
      <c r="C419" s="732"/>
      <c r="D419" s="14"/>
      <c r="E419" s="692"/>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3"/>
      <c r="AM419" s="571"/>
      <c r="AN419" s="598"/>
    </row>
    <row r="420" spans="1:55" s="551" customFormat="1" ht="12.75" customHeight="1">
      <c r="A420" s="537"/>
      <c r="B420" s="14"/>
      <c r="C420" s="740"/>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3"/>
      <c r="AM420" s="571"/>
      <c r="AN420" s="598"/>
    </row>
    <row r="421" spans="1:55" s="551" customFormat="1" ht="12.75" customHeight="1">
      <c r="A421" s="537"/>
      <c r="B421" s="14"/>
      <c r="C421" s="2515" t="s">
        <v>546</v>
      </c>
      <c r="D421" s="2472"/>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0" t="s">
        <v>1463</v>
      </c>
      <c r="AG421" s="2440"/>
      <c r="AH421" s="2440"/>
      <c r="AI421" s="2440"/>
      <c r="AJ421" s="2440"/>
      <c r="AK421" s="2440"/>
      <c r="AL421" s="2520"/>
      <c r="AM421" s="571"/>
      <c r="AN421" s="598"/>
    </row>
    <row r="422" spans="1:55" s="551" customFormat="1" ht="12.75" customHeight="1">
      <c r="A422" s="537"/>
      <c r="B422" s="14"/>
      <c r="C422" s="740"/>
      <c r="AL422" s="733"/>
      <c r="AM422" s="571"/>
      <c r="AN422" s="598"/>
    </row>
    <row r="423" spans="1:55" s="551" customFormat="1" ht="12.75" customHeight="1">
      <c r="A423" s="537"/>
      <c r="B423" s="14"/>
      <c r="C423" s="2515" t="s">
        <v>592</v>
      </c>
      <c r="D423" s="2472"/>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0" t="s">
        <v>1475</v>
      </c>
      <c r="AG423" s="2440"/>
      <c r="AH423" s="2440"/>
      <c r="AI423" s="2440"/>
      <c r="AJ423" s="2440"/>
      <c r="AK423" s="2440"/>
      <c r="AL423" s="252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5"/>
      <c r="AG427" s="715"/>
      <c r="AH427" s="715"/>
      <c r="AI427" s="715"/>
      <c r="AJ427" s="715"/>
      <c r="AK427" s="715"/>
      <c r="AL427" s="746"/>
      <c r="AM427" s="571"/>
      <c r="AN427" s="598"/>
    </row>
    <row r="428" spans="1:55" s="551" customFormat="1" ht="12.75" customHeight="1">
      <c r="A428" s="537"/>
      <c r="B428" s="14"/>
      <c r="C428" s="732"/>
      <c r="D428" s="14"/>
      <c r="E428" s="692"/>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40"/>
      <c r="AG428" s="537"/>
      <c r="AL428" s="733"/>
      <c r="AM428" s="571"/>
      <c r="AN428" s="598"/>
    </row>
    <row r="429" spans="1:55" s="551" customFormat="1" ht="12.4" customHeight="1">
      <c r="A429" s="537"/>
      <c r="B429" s="14"/>
      <c r="C429" s="732"/>
      <c r="D429" s="14"/>
      <c r="E429" s="692"/>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3"/>
      <c r="AM429" s="571"/>
      <c r="AN429" s="598"/>
    </row>
    <row r="430" spans="1:55" s="551" customFormat="1" ht="12.75" customHeight="1">
      <c r="A430" s="537"/>
      <c r="B430" s="14"/>
      <c r="C430" s="2515" t="s">
        <v>592</v>
      </c>
      <c r="D430" s="2472"/>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0" t="s">
        <v>1463</v>
      </c>
      <c r="AG430" s="2440"/>
      <c r="AH430" s="2440"/>
      <c r="AI430" s="2440"/>
      <c r="AJ430" s="2440"/>
      <c r="AK430" s="2440"/>
      <c r="AL430" s="252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5"/>
      <c r="AG434" s="595"/>
      <c r="AH434" s="595"/>
      <c r="AI434" s="595"/>
      <c r="AJ434" s="595"/>
      <c r="AK434" s="595"/>
      <c r="AL434" s="751"/>
      <c r="AM434" s="571"/>
      <c r="AO434" s="551"/>
      <c r="AP434" s="551"/>
    </row>
    <row r="435" spans="1:60" s="551" customFormat="1" ht="12.75" customHeight="1">
      <c r="A435" s="537"/>
      <c r="B435" s="14"/>
      <c r="C435" s="732"/>
      <c r="D435" s="14"/>
      <c r="E435" s="692"/>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5"/>
      <c r="AG435" s="595"/>
      <c r="AH435" s="595"/>
      <c r="AI435" s="595"/>
      <c r="AJ435" s="595"/>
      <c r="AK435" s="595"/>
      <c r="AL435" s="751"/>
      <c r="AM435" s="571"/>
      <c r="AN435" s="598"/>
    </row>
    <row r="436" spans="1:60" s="551" customFormat="1" ht="12.75" customHeight="1">
      <c r="A436" s="537"/>
      <c r="B436" s="14"/>
      <c r="C436" s="752"/>
      <c r="D436" s="731"/>
      <c r="E436" s="720"/>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5"/>
      <c r="AG437" s="595"/>
      <c r="AH437" s="595"/>
      <c r="AI437" s="595"/>
      <c r="AJ437" s="595"/>
      <c r="AK437" s="595"/>
      <c r="AL437" s="751"/>
      <c r="AM437" s="571"/>
      <c r="AN437" s="598"/>
    </row>
    <row r="438" spans="1:60" s="551" customFormat="1" ht="12.75" customHeight="1">
      <c r="A438" s="537"/>
      <c r="B438" s="14"/>
      <c r="C438" s="752"/>
      <c r="D438" s="731"/>
      <c r="E438" s="720"/>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5"/>
      <c r="AG438" s="595"/>
      <c r="AH438" s="595"/>
      <c r="AI438" s="595"/>
      <c r="AJ438" s="595"/>
      <c r="AK438" s="595"/>
      <c r="AL438" s="751"/>
      <c r="AM438" s="571"/>
      <c r="AN438" s="598"/>
    </row>
    <row r="439" spans="1:60" s="551" customFormat="1" ht="12.75" customHeight="1">
      <c r="A439" s="537"/>
      <c r="B439" s="14"/>
      <c r="C439" s="752"/>
      <c r="D439" s="731"/>
      <c r="E439" s="720"/>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5"/>
      <c r="AG439" s="595"/>
      <c r="AH439" s="595"/>
      <c r="AI439" s="595"/>
      <c r="AJ439" s="595"/>
      <c r="AK439" s="595"/>
      <c r="AL439" s="751"/>
      <c r="AM439" s="571"/>
      <c r="AN439" s="598"/>
    </row>
    <row r="440" spans="1:60" s="551" customFormat="1" ht="12.75" customHeight="1">
      <c r="A440" s="537"/>
      <c r="B440" s="14"/>
      <c r="C440" s="752"/>
      <c r="D440" s="731"/>
      <c r="E440" s="720"/>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5"/>
      <c r="AG440" s="595"/>
      <c r="AH440" s="595"/>
      <c r="AI440" s="595"/>
      <c r="AJ440" s="595"/>
      <c r="AK440" s="595"/>
      <c r="AL440" s="751"/>
      <c r="AM440" s="571"/>
      <c r="AN440" s="598"/>
    </row>
    <row r="441" spans="1:60" s="551" customFormat="1" ht="17.25" customHeight="1">
      <c r="A441" s="537"/>
      <c r="B441" s="14"/>
      <c r="C441" s="752"/>
      <c r="D441" s="731"/>
      <c r="E441" s="720"/>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3"/>
      <c r="AM441" s="571"/>
      <c r="AN441" s="598"/>
    </row>
    <row r="442" spans="1:60" s="551" customFormat="1" ht="12.75" customHeight="1">
      <c r="A442" s="537"/>
      <c r="B442" s="14"/>
      <c r="C442" s="2515" t="s">
        <v>592</v>
      </c>
      <c r="D442" s="2472"/>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0" t="s">
        <v>1463</v>
      </c>
      <c r="AG442" s="2440"/>
      <c r="AH442" s="2440"/>
      <c r="AI442" s="2440"/>
      <c r="AJ442" s="2440"/>
      <c r="AK442" s="2440"/>
      <c r="AL442" s="252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5"/>
      <c r="AG445" s="715"/>
      <c r="AH445" s="715"/>
      <c r="AI445" s="715"/>
      <c r="AJ445" s="715"/>
      <c r="AK445" s="715"/>
      <c r="AL445" s="746"/>
      <c r="AM445" s="571"/>
      <c r="AN445" s="598"/>
    </row>
    <row r="446" spans="1:60" s="551" customFormat="1" ht="12.75" customHeight="1">
      <c r="A446" s="537"/>
      <c r="B446" s="14"/>
      <c r="C446" s="752"/>
      <c r="D446" s="731"/>
      <c r="E446" s="720"/>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2"/>
      <c r="AG446" s="592"/>
      <c r="AH446" s="592"/>
      <c r="AI446" s="592"/>
      <c r="AJ446" s="592"/>
      <c r="AK446" s="592"/>
      <c r="AL446" s="721"/>
      <c r="AM446" s="571"/>
      <c r="AN446" s="598"/>
    </row>
    <row r="447" spans="1:60" s="551" customFormat="1" ht="12.75" customHeight="1">
      <c r="A447" s="537"/>
      <c r="B447" s="14"/>
      <c r="C447" s="752"/>
      <c r="D447" s="731"/>
      <c r="E447" s="720"/>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2"/>
      <c r="AG447" s="592"/>
      <c r="AH447" s="592"/>
      <c r="AI447" s="592"/>
      <c r="AJ447" s="592"/>
      <c r="AK447" s="592"/>
      <c r="AL447" s="721"/>
      <c r="AM447" s="571"/>
      <c r="AN447" s="598"/>
    </row>
    <row r="448" spans="1:60" s="551" customFormat="1" ht="12.75" customHeight="1">
      <c r="A448" s="537"/>
      <c r="B448" s="14"/>
      <c r="C448" s="752"/>
      <c r="D448" s="731"/>
      <c r="E448" s="720"/>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3"/>
      <c r="AM448" s="571"/>
      <c r="AN448" s="598"/>
    </row>
    <row r="449" spans="1:40" s="551" customFormat="1" ht="12.75" customHeight="1">
      <c r="A449" s="537"/>
      <c r="B449" s="14"/>
      <c r="C449" s="2515" t="s">
        <v>592</v>
      </c>
      <c r="D449" s="2472"/>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0" t="s">
        <v>1463</v>
      </c>
      <c r="AG449" s="2440"/>
      <c r="AH449" s="2440"/>
      <c r="AI449" s="2440"/>
      <c r="AJ449" s="2440"/>
      <c r="AK449" s="2440"/>
      <c r="AL449" s="252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1" t="s">
        <v>592</v>
      </c>
      <c r="D453" s="2522"/>
      <c r="E453" s="716"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1"/>
      <c r="AN453" s="754"/>
    </row>
    <row r="454" spans="1:40" s="551" customFormat="1" ht="12.75" customHeight="1">
      <c r="A454" s="537"/>
      <c r="B454" s="14"/>
      <c r="C454" s="752"/>
      <c r="D454" s="731"/>
      <c r="E454" s="720"/>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2"/>
      <c r="AG454" s="592"/>
      <c r="AH454" s="592"/>
      <c r="AI454" s="592"/>
      <c r="AJ454" s="592"/>
      <c r="AK454" s="592"/>
      <c r="AL454" s="721"/>
      <c r="AM454" s="571"/>
      <c r="AN454" s="755"/>
    </row>
    <row r="455" spans="1:40" s="551" customFormat="1" ht="17.649999999999999" customHeight="1">
      <c r="A455" s="537"/>
      <c r="B455" s="14"/>
      <c r="C455" s="757"/>
      <c r="D455" s="724"/>
      <c r="E455" s="725"/>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5" t="s">
        <v>592</v>
      </c>
      <c r="D457" s="2472"/>
      <c r="E457" s="716"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1"/>
      <c r="AN457" s="536"/>
    </row>
    <row r="458" spans="1:40" s="551" customFormat="1" ht="12.75" customHeight="1">
      <c r="A458" s="537"/>
      <c r="B458" s="14"/>
      <c r="C458" s="732"/>
      <c r="D458" s="14"/>
      <c r="E458" s="692"/>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40"/>
      <c r="AG458" s="537"/>
      <c r="AL458" s="733"/>
      <c r="AM458" s="571"/>
      <c r="AN458" s="536"/>
    </row>
    <row r="459" spans="1:40" s="551" customFormat="1" ht="12.75" customHeight="1">
      <c r="A459" s="537"/>
      <c r="B459" s="14"/>
      <c r="C459" s="732"/>
      <c r="D459" s="14"/>
      <c r="E459" s="692"/>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40"/>
      <c r="AG459" s="537"/>
      <c r="AL459" s="733"/>
      <c r="AM459" s="571"/>
      <c r="AN459" s="536"/>
    </row>
    <row r="460" spans="1:40" s="551" customFormat="1" ht="12.75" customHeight="1">
      <c r="A460" s="537"/>
      <c r="B460" s="14"/>
      <c r="C460" s="757"/>
      <c r="D460" s="724"/>
      <c r="E460" s="725"/>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5"/>
      <c r="AH462" s="715"/>
      <c r="AI462" s="715"/>
      <c r="AJ462" s="715"/>
      <c r="AK462" s="715"/>
      <c r="AL462" s="746"/>
      <c r="AM462" s="571"/>
      <c r="AN462" s="598"/>
    </row>
    <row r="463" spans="1:40" s="551" customFormat="1" ht="12.75" customHeight="1">
      <c r="A463" s="537"/>
      <c r="B463" s="14"/>
      <c r="C463" s="732"/>
      <c r="D463" s="14"/>
      <c r="E463" s="692"/>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3"/>
      <c r="AM463" s="571"/>
      <c r="AN463" s="598"/>
    </row>
    <row r="464" spans="1:40" s="551" customFormat="1" ht="12.75" customHeight="1">
      <c r="A464" s="537"/>
      <c r="B464" s="14"/>
      <c r="C464" s="740"/>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3"/>
      <c r="AM464" s="571"/>
      <c r="AN464" s="598"/>
    </row>
    <row r="465" spans="1:58" s="551" customFormat="1" ht="12.75" customHeight="1">
      <c r="A465" s="537"/>
      <c r="B465" s="14"/>
      <c r="C465" s="740"/>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3"/>
      <c r="AM465" s="571"/>
      <c r="AN465" s="598"/>
    </row>
    <row r="466" spans="1:58" s="551" customFormat="1" ht="12.75" customHeight="1">
      <c r="A466" s="537"/>
      <c r="B466" s="14"/>
      <c r="C466" s="2515" t="s">
        <v>592</v>
      </c>
      <c r="D466" s="2472"/>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6" t="s">
        <v>1463</v>
      </c>
      <c r="AG466" s="2516"/>
      <c r="AH466" s="2516"/>
      <c r="AI466" s="2516"/>
      <c r="AJ466" s="2516"/>
      <c r="AK466" s="2516"/>
      <c r="AL466" s="251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5">
        <f>IF(Application!D214="N/A",AS358,AS360)</f>
        <v>10</v>
      </c>
      <c r="AL469" s="2476"/>
      <c r="AM469" s="247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6" t="s">
        <v>1512</v>
      </c>
      <c r="AF472" s="2516"/>
      <c r="AG472" s="2516"/>
      <c r="AH472" s="2516"/>
      <c r="AI472" s="2516"/>
      <c r="AJ472" s="2516"/>
      <c r="AK472" s="2516"/>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1" t="s">
        <v>592</v>
      </c>
      <c r="D478" s="2542"/>
      <c r="E478" s="762"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18" t="s">
        <v>546</v>
      </c>
      <c r="D482" s="2619"/>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6" t="s">
        <v>592</v>
      </c>
      <c r="W485" s="2616"/>
      <c r="X485" s="2616"/>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6" t="s">
        <v>592</v>
      </c>
      <c r="W487" s="2616"/>
      <c r="X487" s="2616"/>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6" t="s">
        <v>592</v>
      </c>
      <c r="W492" s="2616"/>
      <c r="X492" s="2616"/>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6"/>
      <c r="E495" s="2606"/>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6" t="s">
        <v>592</v>
      </c>
      <c r="W496" s="2616"/>
      <c r="X496" s="2616"/>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6" t="s">
        <v>592</v>
      </c>
      <c r="W498" s="2616"/>
      <c r="X498" s="2616"/>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1" t="s">
        <v>592</v>
      </c>
      <c r="D501" s="2542"/>
      <c r="E501" s="762"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1" t="s">
        <v>592</v>
      </c>
      <c r="D505" s="2542"/>
      <c r="E505" s="762"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5" t="s">
        <v>592</v>
      </c>
      <c r="G508" s="2615"/>
      <c r="H508" s="261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1" t="s">
        <v>592</v>
      </c>
      <c r="D510" s="2542"/>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5"/>
      <c r="D512" s="2606"/>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5" t="s">
        <v>592</v>
      </c>
      <c r="D515" s="2546"/>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5" t="s">
        <v>592</v>
      </c>
      <c r="D519" s="2546"/>
      <c r="F519" s="796"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7" t="s">
        <v>592</v>
      </c>
      <c r="D523" s="2548"/>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5">
        <f>SUM(AG479:AG524)</f>
        <v>0</v>
      </c>
      <c r="AL535" s="2476"/>
      <c r="AM535" s="247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5" t="s">
        <v>1561</v>
      </c>
      <c r="AF538" s="2405"/>
      <c r="AG538" s="2405"/>
      <c r="AH538" s="2405"/>
      <c r="AI538" s="2405"/>
      <c r="AJ538" s="2405"/>
      <c r="AK538" s="2405"/>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2" t="s">
        <v>592</v>
      </c>
      <c r="D541" s="2472"/>
      <c r="E541" s="552"/>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6"/>
      <c r="AN541" s="598"/>
    </row>
    <row r="542" spans="1:81" s="551" customFormat="1" ht="12.75" customHeight="1">
      <c r="A542" s="540"/>
      <c r="B542" s="540"/>
      <c r="C542" s="552"/>
      <c r="D542" s="552"/>
      <c r="E542" s="552"/>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2" t="s">
        <v>546</v>
      </c>
      <c r="D544" s="2472"/>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6"/>
      <c r="AN545" s="598"/>
      <c r="AS545" s="871"/>
      <c r="AT545" s="871"/>
      <c r="AU545" s="871"/>
      <c r="AV545" s="871"/>
      <c r="AW545" s="871"/>
    </row>
    <row r="546" spans="1:49" s="551" customFormat="1" ht="12.75" customHeight="1">
      <c r="B546" s="807"/>
      <c r="C546" s="807"/>
      <c r="D546" s="807"/>
      <c r="E546" s="807"/>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4"/>
      <c r="AM548" s="596"/>
      <c r="AN548" s="598"/>
    </row>
    <row r="549" spans="1:49" s="551" customFormat="1" ht="12.75" customHeight="1">
      <c r="B549" s="807"/>
      <c r="C549" s="807"/>
      <c r="D549" s="807"/>
      <c r="E549" s="807"/>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1">
        <f>Application!AJ992</f>
        <v>194099780</v>
      </c>
      <c r="AQ550" s="2621"/>
      <c r="AR550" s="2621"/>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8">
        <f>'Sources and Uses Budget'!S107+'Sources and Uses Budget'!T107</f>
        <v>137067061</v>
      </c>
      <c r="AG551" s="2478"/>
      <c r="AH551" s="2478"/>
      <c r="AI551" s="2478"/>
      <c r="AJ551" s="2478"/>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6">
        <f>IFERROR(AP559,0)</f>
        <v>339455217</v>
      </c>
      <c r="AG552" s="2626"/>
      <c r="AH552" s="2626"/>
      <c r="AI552" s="2626"/>
      <c r="AJ552" s="2626"/>
      <c r="AK552" s="596"/>
      <c r="AL552" s="596"/>
      <c r="AM552" s="596"/>
      <c r="AN552" s="598"/>
      <c r="AP552" s="2621">
        <f>Application!AJ1045</f>
        <v>19409978</v>
      </c>
      <c r="AQ552" s="2621"/>
      <c r="AR552" s="2621"/>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7">
        <f>IFERROR(ROUNDDOWN(IF(C544="YES",((1-(AF551/AF552))*2),(1-(AF551/AF552))),2),0)</f>
        <v>1.19</v>
      </c>
      <c r="AG553" s="2627"/>
      <c r="AH553" s="2627"/>
      <c r="AI553" s="2627"/>
      <c r="AJ553" s="2627"/>
      <c r="AK553" s="596"/>
      <c r="AL553" s="596"/>
      <c r="AM553" s="596"/>
      <c r="AN553" s="598"/>
      <c r="AP553" s="2624">
        <f>Application!AJ1049</f>
        <v>38819956</v>
      </c>
      <c r="AQ553" s="2624"/>
      <c r="AR553" s="2624"/>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0">
        <f>IF(((AP552+AP553)/AP550)&gt;0.8,0.8,((AP552+AP553)/AP550))</f>
        <v>0.3</v>
      </c>
      <c r="AQ554" s="2620"/>
      <c r="AR554" s="2620"/>
      <c r="AS554" s="551" t="s">
        <v>2174</v>
      </c>
    </row>
    <row r="555" spans="1:49" s="551" customFormat="1" ht="12.75" customHeight="1">
      <c r="A555" s="625"/>
      <c r="B555" s="2557" t="s">
        <v>2034</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6"/>
      <c r="AL555" s="596"/>
      <c r="AM555" s="596"/>
      <c r="AN555" s="598"/>
    </row>
    <row r="556" spans="1:49" s="551" customFormat="1" ht="12.75" customHeight="1">
      <c r="A556" s="625"/>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6"/>
      <c r="AL556" s="596"/>
      <c r="AM556" s="596"/>
      <c r="AN556" s="598"/>
      <c r="AP556" s="2621">
        <f>AP557-AP552-AP553</f>
        <v>281225283</v>
      </c>
      <c r="AQ556" s="2530"/>
      <c r="AR556" s="2530"/>
      <c r="AS556" s="551" t="s">
        <v>2176</v>
      </c>
    </row>
    <row r="557" spans="1:49" s="551" customFormat="1" ht="12.75" customHeight="1">
      <c r="A557" s="625"/>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6"/>
      <c r="AL557" s="596"/>
      <c r="AM557" s="596"/>
      <c r="AN557" s="598"/>
      <c r="AP557" s="2621">
        <f>Application!AJ1053</f>
        <v>339455217</v>
      </c>
      <c r="AQ557" s="2621"/>
      <c r="AR557" s="2621"/>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6">
        <f>IFERROR(IF(AND(C541="N/A",C544="N/A"),0,IF(AF553=0,0,IF((AF553*100)&gt;12,12,(AF553*100)))),0)</f>
        <v>12</v>
      </c>
      <c r="AL559" s="2566"/>
      <c r="AM559" s="2567"/>
      <c r="AN559" s="598"/>
      <c r="AP559" s="2638">
        <f>AP556+(AP550*AP554)</f>
        <v>339455217</v>
      </c>
      <c r="AQ559" s="2639"/>
      <c r="AR559" s="264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5" t="s">
        <v>1315</v>
      </c>
      <c r="AF562" s="2405"/>
      <c r="AG562" s="2405"/>
      <c r="AH562" s="2405"/>
      <c r="AI562" s="2405"/>
      <c r="AJ562" s="2405"/>
      <c r="AK562" s="240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5" t="s">
        <v>2025</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3"/>
      <c r="AL564" s="574"/>
      <c r="AM564" s="604"/>
      <c r="AN564" s="598"/>
    </row>
    <row r="565" spans="1:42" s="551" customFormat="1" ht="12.75" customHeight="1">
      <c r="A565" s="604"/>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3"/>
      <c r="AL565" s="574"/>
      <c r="AM565" s="604"/>
      <c r="AN565" s="598"/>
    </row>
    <row r="566" spans="1:42" s="551" customFormat="1" ht="12.75" customHeight="1">
      <c r="A566" s="604"/>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3"/>
      <c r="AL566" s="574"/>
      <c r="AM566" s="604"/>
      <c r="AN566" s="598"/>
    </row>
    <row r="567" spans="1:42" s="551" customFormat="1" ht="12.75" customHeight="1">
      <c r="A567" s="604"/>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3"/>
      <c r="AL567" s="574"/>
      <c r="AM567" s="604"/>
      <c r="AN567" s="598"/>
    </row>
    <row r="568" spans="1:42" s="551" customFormat="1" ht="12.75" customHeight="1">
      <c r="A568" s="604"/>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3"/>
      <c r="AL568" s="574"/>
      <c r="AM568" s="604"/>
      <c r="AN568" s="598"/>
    </row>
    <row r="569" spans="1:42" s="551" customFormat="1" ht="12.75" customHeight="1">
      <c r="A569" s="604"/>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3"/>
      <c r="AL569" s="574"/>
      <c r="AM569" s="604"/>
      <c r="AN569" s="598"/>
    </row>
    <row r="570" spans="1:42" s="551" customFormat="1" ht="12.75" customHeight="1">
      <c r="A570" s="604"/>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3"/>
      <c r="AL570" s="574"/>
      <c r="AM570" s="604"/>
      <c r="AN570" s="598"/>
    </row>
    <row r="571" spans="1:42" ht="12.75" customHeight="1">
      <c r="A571" s="604"/>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3"/>
      <c r="AL571" s="574"/>
      <c r="AM571" s="604"/>
    </row>
    <row r="572" spans="1:42" s="551"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0" t="s">
        <v>1339</v>
      </c>
      <c r="AG578" s="2440"/>
      <c r="AH578" s="2440"/>
      <c r="AI578" s="2440"/>
      <c r="AJ578" s="2440"/>
      <c r="AK578" s="2440"/>
      <c r="AL578" s="2440"/>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0" t="s">
        <v>1397</v>
      </c>
      <c r="AG585" s="2440"/>
      <c r="AH585" s="2440"/>
      <c r="AI585" s="2440"/>
      <c r="AJ585" s="2440"/>
      <c r="AK585" s="2440"/>
      <c r="AL585" s="2440"/>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0" t="s">
        <v>1379</v>
      </c>
      <c r="AG591" s="2440"/>
      <c r="AH591" s="2440"/>
      <c r="AI591" s="2440"/>
      <c r="AJ591" s="2440"/>
      <c r="AK591" s="2440"/>
      <c r="AL591" s="2440"/>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0" t="s">
        <v>1400</v>
      </c>
      <c r="AG597" s="2440"/>
      <c r="AH597" s="2440"/>
      <c r="AI597" s="2440"/>
      <c r="AJ597" s="2440"/>
      <c r="AK597" s="2440"/>
      <c r="AL597" s="2440"/>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6" t="s">
        <v>1185</v>
      </c>
      <c r="P601" s="2526"/>
      <c r="Q601" s="2526"/>
      <c r="R601" s="2526"/>
      <c r="S601" s="2526"/>
      <c r="T601" s="2526"/>
      <c r="U601" s="2526"/>
      <c r="V601" s="2526"/>
      <c r="W601" s="2526"/>
      <c r="X601" s="2526"/>
      <c r="Y601" s="2526"/>
      <c r="Z601" s="2526"/>
      <c r="AA601" s="2526"/>
      <c r="AB601" s="252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0" t="s">
        <v>1353</v>
      </c>
      <c r="AG603" s="2440"/>
      <c r="AH603" s="2440"/>
      <c r="AI603" s="2440"/>
      <c r="AJ603" s="2440"/>
      <c r="AK603" s="2440"/>
      <c r="AL603" s="2440"/>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4" t="s">
        <v>688</v>
      </c>
      <c r="I606" s="2524"/>
      <c r="J606" s="937"/>
      <c r="K606" s="937"/>
      <c r="L606" s="937"/>
      <c r="N606" s="22"/>
      <c r="O606" s="22"/>
      <c r="P606" s="22"/>
      <c r="Q606" s="1153" t="s">
        <v>2179</v>
      </c>
      <c r="R606" s="2527"/>
      <c r="S606" s="2527"/>
      <c r="T606" s="2527"/>
      <c r="U606" s="2527"/>
      <c r="V606" s="2527"/>
      <c r="W606" s="2527"/>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8"/>
      <c r="Z608" s="2528"/>
      <c r="AA608" s="2528"/>
      <c r="AB608" s="2528"/>
      <c r="AC608" s="2528"/>
      <c r="AD608" s="2528"/>
      <c r="AE608" s="2528"/>
      <c r="AF608" s="2528"/>
      <c r="AG608" s="2528"/>
      <c r="AH608" s="2528"/>
      <c r="AI608" s="2528"/>
      <c r="AJ608" s="2528"/>
      <c r="AK608" s="2528"/>
      <c r="AL608" s="2528"/>
      <c r="AM608" s="2529"/>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68" t="s">
        <v>592</v>
      </c>
      <c r="C616" s="2468"/>
      <c r="D616" s="643"/>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3"/>
      <c r="AI616" s="643"/>
      <c r="AJ616" s="643"/>
      <c r="AK616" s="643"/>
      <c r="AL616" s="643"/>
      <c r="AN616" s="598"/>
    </row>
    <row r="617" spans="1:42" s="551" customFormat="1" ht="12.75" customHeight="1">
      <c r="B617" s="537"/>
      <c r="C617" s="934"/>
      <c r="D617" s="643"/>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3"/>
      <c r="AI617" s="643"/>
      <c r="AJ617" s="643"/>
      <c r="AK617" s="643"/>
      <c r="AL617" s="643"/>
      <c r="AN617" s="598"/>
    </row>
    <row r="618" spans="1:42" s="551" customFormat="1" ht="12.75" customHeight="1">
      <c r="B618" s="537"/>
      <c r="C618" s="934"/>
      <c r="D618" s="643"/>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3"/>
      <c r="AI618" s="643"/>
      <c r="AJ618" s="643"/>
      <c r="AK618" s="643"/>
      <c r="AL618" s="643"/>
      <c r="AN618" s="598"/>
    </row>
    <row r="619" spans="1:42" s="551" customFormat="1" ht="12.75" customHeight="1">
      <c r="B619" s="537"/>
      <c r="C619" s="934"/>
      <c r="D619" s="643"/>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5">
        <f>VLOOKUP($H$606,$AO$586:$AP$591,2,FALSE)+IF(R606=AO594,0,VLOOKUP($I$614,$AO$613:$AP$615,2,FALSE))</f>
        <v>7</v>
      </c>
      <c r="AK621" s="247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40"/>
      <c r="AF625" s="2440" t="s">
        <v>1353</v>
      </c>
      <c r="AG625" s="2440"/>
      <c r="AH625" s="2440"/>
      <c r="AI625" s="2440"/>
      <c r="AJ625" s="2440"/>
      <c r="AK625" s="2440"/>
      <c r="AL625" s="2440"/>
      <c r="AM625" s="551"/>
      <c r="AN625" s="679"/>
    </row>
    <row r="626" spans="1:42" s="551" customFormat="1" ht="12.75" customHeight="1">
      <c r="A626" s="680"/>
      <c r="B626" s="537"/>
      <c r="C626" s="934"/>
      <c r="D626" s="664"/>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7"/>
      <c r="AF626" s="537"/>
      <c r="AG626" s="537"/>
      <c r="AH626" s="537"/>
      <c r="AI626" s="537"/>
      <c r="AJ626" s="537"/>
      <c r="AK626" s="537"/>
      <c r="AL626" s="537"/>
      <c r="AN626" s="598"/>
    </row>
    <row r="627" spans="1:42" s="551" customFormat="1" ht="12.75" customHeight="1">
      <c r="B627" s="537"/>
      <c r="C627" s="932"/>
      <c r="D627" s="664"/>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7"/>
      <c r="AF627" s="537"/>
      <c r="AG627" s="537"/>
      <c r="AH627" s="537"/>
      <c r="AI627" s="537"/>
      <c r="AJ627" s="537"/>
      <c r="AK627" s="537"/>
      <c r="AL627" s="537"/>
      <c r="AN627" s="598"/>
    </row>
    <row r="628" spans="1:42" s="551" customFormat="1" ht="12.75" customHeight="1">
      <c r="B628" s="537"/>
      <c r="C628" s="932"/>
      <c r="D628" s="664"/>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7"/>
      <c r="AF628" s="537"/>
      <c r="AG628" s="537"/>
      <c r="AH628" s="537"/>
      <c r="AI628" s="537"/>
      <c r="AJ628" s="537"/>
      <c r="AK628" s="537"/>
      <c r="AL628" s="537"/>
      <c r="AN628" s="598"/>
    </row>
    <row r="629" spans="1:42" s="551" customFormat="1" ht="12.75" customHeight="1">
      <c r="B629" s="537"/>
      <c r="C629" s="932"/>
      <c r="D629" s="664"/>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7"/>
      <c r="AF629" s="537"/>
      <c r="AG629" s="537"/>
      <c r="AH629" s="537"/>
      <c r="AI629" s="537"/>
      <c r="AJ629" s="537"/>
      <c r="AK629" s="537"/>
      <c r="AL629" s="537"/>
      <c r="AN629" s="598"/>
    </row>
    <row r="630" spans="1:42" s="551" customFormat="1" ht="12.75" customHeight="1">
      <c r="B630" s="537"/>
      <c r="C630" s="932"/>
      <c r="D630" s="664"/>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7"/>
      <c r="AF630" s="537"/>
      <c r="AG630" s="537"/>
      <c r="AH630" s="537"/>
      <c r="AI630" s="537"/>
      <c r="AJ630" s="537"/>
      <c r="AK630" s="537"/>
      <c r="AL630" s="537"/>
      <c r="AN630" s="598"/>
    </row>
    <row r="631" spans="1:42" s="551" customFormat="1" ht="12.75" customHeight="1">
      <c r="A631" s="638"/>
      <c r="B631" s="617"/>
      <c r="C631" s="941"/>
      <c r="D631" s="664"/>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7"/>
      <c r="AF631" s="617"/>
      <c r="AG631" s="617"/>
      <c r="AH631" s="617"/>
      <c r="AI631" s="617"/>
      <c r="AJ631" s="617"/>
      <c r="AK631" s="537"/>
      <c r="AL631" s="537"/>
      <c r="AN631" s="598"/>
    </row>
    <row r="632" spans="1:42" s="551" customFormat="1" ht="12.75" customHeight="1">
      <c r="B632" s="617"/>
      <c r="C632" s="941"/>
      <c r="D632" s="664"/>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68" t="s">
        <v>592</v>
      </c>
      <c r="Y634" s="2468"/>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0" t="s">
        <v>1409</v>
      </c>
      <c r="AG636" s="2440"/>
      <c r="AH636" s="2440"/>
      <c r="AI636" s="2440"/>
      <c r="AJ636" s="2440"/>
      <c r="AK636" s="2440"/>
      <c r="AL636" s="2440"/>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4" t="s">
        <v>688</v>
      </c>
      <c r="I638" s="252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5">
        <f>VLOOKUP($H$638,$AO$605:$AP$607,2,FALSE)</f>
        <v>3</v>
      </c>
      <c r="AK640" s="2477"/>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5" t="s">
        <v>2100</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7"/>
      <c r="AF644" s="2440" t="s">
        <v>1353</v>
      </c>
      <c r="AG644" s="2440"/>
      <c r="AH644" s="2440"/>
      <c r="AI644" s="2440"/>
      <c r="AJ644" s="2440"/>
      <c r="AK644" s="2440"/>
      <c r="AL644" s="2440"/>
      <c r="AN644" s="598"/>
    </row>
    <row r="645" spans="1:42" s="551" customFormat="1" ht="12.75" customHeight="1">
      <c r="B645" s="537"/>
      <c r="C645" s="537"/>
      <c r="D645" s="664"/>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0" t="s">
        <v>1409</v>
      </c>
      <c r="AG647" s="2440"/>
      <c r="AH647" s="2440"/>
      <c r="AI647" s="2440"/>
      <c r="AJ647" s="2440"/>
      <c r="AK647" s="2440"/>
      <c r="AL647" s="2440"/>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4" t="s">
        <v>592</v>
      </c>
      <c r="I650" s="252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5">
        <f>VLOOKUP(H650,AT605:AU607,2,FALSE)</f>
        <v>0</v>
      </c>
      <c r="AK652" s="247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7"/>
      <c r="AE657" s="537"/>
      <c r="AF657" s="2440" t="s">
        <v>1379</v>
      </c>
      <c r="AG657" s="2440"/>
      <c r="AH657" s="2440"/>
      <c r="AI657" s="2440"/>
      <c r="AJ657" s="2440"/>
      <c r="AK657" s="2440"/>
      <c r="AL657" s="2440"/>
      <c r="AN657" s="598"/>
    </row>
    <row r="658" spans="1:42" s="551" customFormat="1" ht="12.75" customHeight="1">
      <c r="B658" s="537"/>
      <c r="C658" s="540"/>
      <c r="D658" s="537"/>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7"/>
      <c r="AE658" s="537"/>
      <c r="AF658" s="537"/>
      <c r="AG658" s="537"/>
      <c r="AH658" s="537"/>
      <c r="AI658" s="537"/>
      <c r="AJ658" s="537"/>
      <c r="AK658" s="537"/>
      <c r="AL658" s="537"/>
      <c r="AN658" s="598"/>
    </row>
    <row r="659" spans="1:42" s="551" customFormat="1" ht="12.75" customHeight="1">
      <c r="B659" s="537"/>
      <c r="C659" s="540"/>
      <c r="D659" s="664"/>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7"/>
      <c r="AE661" s="537"/>
      <c r="AF661" s="2440" t="s">
        <v>1400</v>
      </c>
      <c r="AG661" s="2440"/>
      <c r="AH661" s="2440"/>
      <c r="AI661" s="2440"/>
      <c r="AJ661" s="2440"/>
      <c r="AK661" s="2440"/>
      <c r="AL661" s="2440"/>
      <c r="AN661" s="598"/>
    </row>
    <row r="662" spans="1:42" s="551" customFormat="1" ht="12.75" customHeight="1">
      <c r="B662" s="537"/>
      <c r="C662" s="540"/>
      <c r="D662" s="537"/>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7"/>
      <c r="AE662" s="537"/>
      <c r="AF662" s="537"/>
      <c r="AG662" s="537"/>
      <c r="AH662" s="537"/>
      <c r="AI662" s="537"/>
      <c r="AJ662" s="537"/>
      <c r="AK662" s="537"/>
      <c r="AL662" s="537"/>
      <c r="AN662" s="598"/>
    </row>
    <row r="663" spans="1:42" s="551" customFormat="1" ht="15" customHeight="1">
      <c r="B663" s="537"/>
      <c r="C663" s="540"/>
      <c r="D663" s="664"/>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7"/>
      <c r="AE665" s="537"/>
      <c r="AF665" s="2440" t="s">
        <v>1353</v>
      </c>
      <c r="AG665" s="2440"/>
      <c r="AH665" s="2440"/>
      <c r="AI665" s="2440"/>
      <c r="AJ665" s="2440"/>
      <c r="AK665" s="2440"/>
      <c r="AL665" s="2440"/>
      <c r="AN665" s="598"/>
    </row>
    <row r="666" spans="1:42" s="551" customFormat="1" ht="12.75" customHeight="1">
      <c r="B666" s="537"/>
      <c r="C666" s="932"/>
      <c r="D666" s="537"/>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7"/>
      <c r="AE666" s="2440"/>
      <c r="AF666" s="2440"/>
      <c r="AG666" s="2440"/>
      <c r="AH666" s="2440"/>
      <c r="AI666" s="2440"/>
      <c r="AJ666" s="2440"/>
      <c r="AK666" s="2440"/>
      <c r="AL666" s="595"/>
      <c r="AN666" s="598"/>
      <c r="AO666" s="551" t="s">
        <v>592</v>
      </c>
      <c r="AP666" s="674">
        <v>0</v>
      </c>
    </row>
    <row r="667" spans="1:42" s="551" customFormat="1" ht="12.75" customHeight="1">
      <c r="A667" s="680"/>
      <c r="B667" s="537"/>
      <c r="C667" s="537"/>
      <c r="D667" s="664"/>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7"/>
      <c r="AE669" s="537"/>
      <c r="AF669" s="2440" t="s">
        <v>1400</v>
      </c>
      <c r="AG669" s="2440"/>
      <c r="AH669" s="2440"/>
      <c r="AI669" s="2440"/>
      <c r="AJ669" s="2440"/>
      <c r="AK669" s="2440"/>
      <c r="AL669" s="2440"/>
      <c r="AN669" s="598"/>
    </row>
    <row r="670" spans="1:42" s="551" customFormat="1" ht="12.75" customHeight="1">
      <c r="A670" s="671"/>
      <c r="B670" s="537"/>
      <c r="C670" s="948"/>
      <c r="D670" s="664"/>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7"/>
      <c r="AE673" s="537"/>
      <c r="AF673" s="2440" t="s">
        <v>1353</v>
      </c>
      <c r="AG673" s="2440"/>
      <c r="AH673" s="2440"/>
      <c r="AI673" s="2440"/>
      <c r="AJ673" s="2440"/>
      <c r="AK673" s="2440"/>
      <c r="AL673" s="2440"/>
      <c r="AM673" s="597"/>
      <c r="AN673" s="598"/>
    </row>
    <row r="674" spans="1:42" s="551" customFormat="1" ht="12.75" customHeight="1">
      <c r="B674" s="537"/>
      <c r="C674" s="932"/>
      <c r="D674" s="664"/>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7"/>
      <c r="AE674" s="537"/>
      <c r="AF674" s="537"/>
      <c r="AG674" s="537"/>
      <c r="AH674" s="537"/>
      <c r="AI674" s="537"/>
      <c r="AJ674" s="537"/>
      <c r="AK674" s="537"/>
      <c r="AL674" s="537"/>
      <c r="AM674" s="597"/>
      <c r="AN674" s="598"/>
    </row>
    <row r="675" spans="1:42" s="551" customFormat="1" ht="12.75" customHeight="1">
      <c r="B675" s="537"/>
      <c r="C675" s="932"/>
      <c r="D675" s="664"/>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7"/>
      <c r="AE677" s="537"/>
      <c r="AF677" s="2440" t="s">
        <v>1409</v>
      </c>
      <c r="AG677" s="2440"/>
      <c r="AH677" s="2440"/>
      <c r="AI677" s="2440"/>
      <c r="AJ677" s="2440"/>
      <c r="AK677" s="2440"/>
      <c r="AL677" s="2440"/>
      <c r="AM677" s="597"/>
      <c r="AN677" s="598"/>
    </row>
    <row r="678" spans="1:42" s="551" customFormat="1" ht="12.75" customHeight="1">
      <c r="A678" s="680"/>
      <c r="B678" s="537"/>
      <c r="C678" s="932"/>
      <c r="D678" s="664"/>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7"/>
      <c r="AE681" s="537"/>
      <c r="AF681" s="2440" t="s">
        <v>1426</v>
      </c>
      <c r="AG681" s="2440"/>
      <c r="AH681" s="2440"/>
      <c r="AI681" s="2440"/>
      <c r="AJ681" s="2440"/>
      <c r="AK681" s="2440"/>
      <c r="AL681" s="2440"/>
      <c r="AM681" s="597"/>
      <c r="AN681" s="598"/>
      <c r="AO681" s="612" t="s">
        <v>688</v>
      </c>
      <c r="AP681" s="551">
        <v>3</v>
      </c>
    </row>
    <row r="682" spans="1:42" s="551" customFormat="1" ht="12.75" customHeight="1">
      <c r="A682" s="680"/>
      <c r="B682" s="537"/>
      <c r="C682" s="932"/>
      <c r="D682" s="664"/>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4" t="s">
        <v>688</v>
      </c>
      <c r="I685" s="252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5">
        <f>VLOOKUP($H$685,$AO$633:$AP$640,2,FALSE)</f>
        <v>5</v>
      </c>
      <c r="AK687" s="247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257</v>
      </c>
    </row>
    <row r="691" spans="1:51" s="551" customFormat="1" ht="12.75" customHeight="1">
      <c r="A691" s="680"/>
      <c r="B691" s="537"/>
      <c r="C691" s="949"/>
      <c r="D691" s="664" t="s">
        <v>688</v>
      </c>
      <c r="E691" s="2531" t="s">
        <v>2192</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7"/>
      <c r="AD691" s="537"/>
      <c r="AE691" s="537"/>
      <c r="AF691" s="2440" t="s">
        <v>1353</v>
      </c>
      <c r="AG691" s="2440"/>
      <c r="AH691" s="2440"/>
      <c r="AI691" s="2440"/>
      <c r="AJ691" s="2440"/>
      <c r="AK691" s="2440"/>
      <c r="AL691" s="2440"/>
      <c r="AN691" s="598"/>
      <c r="AW691" s="22" t="s">
        <v>2187</v>
      </c>
      <c r="AX691" s="551">
        <f>Application!DE753</f>
        <v>65</v>
      </c>
    </row>
    <row r="692" spans="1:51" s="551" customFormat="1" ht="12.75" customHeight="1">
      <c r="A692" s="680"/>
      <c r="B692" s="537"/>
      <c r="C692" s="949"/>
      <c r="D692" s="664"/>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5" t="s">
        <v>2136</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7"/>
      <c r="AD694" s="537"/>
      <c r="AE694" s="537"/>
      <c r="AF694" s="2440" t="s">
        <v>1353</v>
      </c>
      <c r="AG694" s="2440"/>
      <c r="AH694" s="2440"/>
      <c r="AI694" s="2440"/>
      <c r="AJ694" s="2440"/>
      <c r="AK694" s="2440"/>
      <c r="AL694" s="2440"/>
      <c r="AN694" s="598"/>
      <c r="AW694" s="22" t="s">
        <v>2190</v>
      </c>
      <c r="AX694" s="551">
        <f>AX691+AX692+AX693</f>
        <v>65</v>
      </c>
    </row>
    <row r="695" spans="1:51" s="551" customFormat="1" ht="12.75" customHeight="1">
      <c r="B695" s="537"/>
      <c r="C695" s="941"/>
      <c r="D695" s="664"/>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7"/>
      <c r="AD695" s="537"/>
      <c r="AE695" s="617"/>
      <c r="AF695" s="537"/>
      <c r="AG695" s="537"/>
      <c r="AH695" s="537"/>
      <c r="AI695" s="537"/>
      <c r="AJ695" s="537"/>
      <c r="AK695" s="537"/>
      <c r="AL695" s="537"/>
      <c r="AN695" s="598"/>
      <c r="AO695" s="2530" t="b">
        <f>IF(Application!D211="Special Needs",IF(AY695&gt;=0.25,TRUE,FALSE),IF(AX695&gt;=0.25,TRUE,FALSE))</f>
        <v>1</v>
      </c>
      <c r="AP695" s="2530"/>
      <c r="AW695" s="22" t="s">
        <v>2191</v>
      </c>
      <c r="AX695" s="551">
        <f>IFERROR(AX694/AX690,0)</f>
        <v>0.25291828793774318</v>
      </c>
      <c r="AY695" s="551">
        <f>IFERROR(AX694/(AX690-AX689),0)</f>
        <v>0.25291828793774318</v>
      </c>
    </row>
    <row r="696" spans="1:51" s="551" customFormat="1" ht="12.75" customHeight="1">
      <c r="B696" s="537"/>
      <c r="C696" s="941"/>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5" t="s">
        <v>2137</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7"/>
      <c r="AD699" s="537"/>
      <c r="AE699" s="537"/>
      <c r="AF699" s="2440" t="s">
        <v>1409</v>
      </c>
      <c r="AG699" s="2440"/>
      <c r="AH699" s="2440"/>
      <c r="AI699" s="2440"/>
      <c r="AJ699" s="2440"/>
      <c r="AK699" s="2440"/>
      <c r="AL699" s="2440"/>
      <c r="AN699" s="598"/>
      <c r="AO699" s="612" t="s">
        <v>510</v>
      </c>
      <c r="AP699" s="551">
        <v>1</v>
      </c>
    </row>
    <row r="700" spans="1:51" s="551" customFormat="1" ht="12" customHeight="1">
      <c r="B700" s="537"/>
      <c r="C700" s="932"/>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7"/>
      <c r="AD700" s="537"/>
      <c r="AE700" s="617"/>
      <c r="AF700" s="537"/>
      <c r="AG700" s="537"/>
      <c r="AH700" s="537"/>
      <c r="AI700" s="537"/>
      <c r="AJ700" s="537"/>
      <c r="AK700" s="537"/>
      <c r="AL700" s="537"/>
      <c r="AN700" s="598"/>
    </row>
    <row r="701" spans="1:51" s="551" customFormat="1" ht="12" customHeight="1">
      <c r="B701" s="537"/>
      <c r="C701" s="932"/>
      <c r="D701" s="537"/>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7"/>
      <c r="AD701" s="537"/>
      <c r="AE701" s="617"/>
      <c r="AF701" s="537"/>
      <c r="AG701" s="537"/>
      <c r="AH701" s="537"/>
      <c r="AI701" s="537"/>
      <c r="AJ701" s="537"/>
      <c r="AK701" s="537"/>
      <c r="AL701" s="537"/>
      <c r="AN701" s="598"/>
    </row>
    <row r="702" spans="1:51" s="551" customFormat="1" ht="12" customHeight="1">
      <c r="B702" s="537"/>
      <c r="C702" s="932"/>
      <c r="D702" s="537"/>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7"/>
      <c r="AD702" s="537"/>
      <c r="AE702" s="617"/>
      <c r="AF702" s="537"/>
      <c r="AG702" s="537"/>
      <c r="AH702" s="537"/>
      <c r="AI702" s="537"/>
      <c r="AJ702" s="537"/>
      <c r="AK702" s="537"/>
      <c r="AL702" s="537"/>
      <c r="AN702" s="598"/>
    </row>
    <row r="703" spans="1:51" s="571" customFormat="1" ht="13" customHeight="1">
      <c r="A703" s="551"/>
      <c r="B703" s="537"/>
      <c r="C703" s="932"/>
      <c r="D703" s="537"/>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4" t="s">
        <v>592</v>
      </c>
      <c r="I709" s="252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5">
        <f>VLOOKUP($H$709,$AO$703:$AP$706,2,FALSE)</f>
        <v>0</v>
      </c>
      <c r="AK711" s="2477"/>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7"/>
      <c r="AD715" s="537"/>
      <c r="AE715" s="537"/>
      <c r="AF715" s="2440" t="s">
        <v>1353</v>
      </c>
      <c r="AG715" s="2440"/>
      <c r="AH715" s="2440"/>
      <c r="AI715" s="2440"/>
      <c r="AJ715" s="2440"/>
      <c r="AK715" s="2440"/>
      <c r="AL715" s="2440"/>
      <c r="AM715" s="551"/>
      <c r="AN715" s="685"/>
      <c r="AP715" s="571" t="s">
        <v>1433</v>
      </c>
    </row>
    <row r="716" spans="1:43" s="571" customFormat="1" ht="11.9" customHeight="1">
      <c r="A716" s="551"/>
      <c r="B716" s="537"/>
      <c r="C716" s="934"/>
      <c r="D716" s="664"/>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7"/>
      <c r="AD719" s="537"/>
      <c r="AE719" s="537"/>
      <c r="AF719" s="2440" t="s">
        <v>1409</v>
      </c>
      <c r="AG719" s="2440"/>
      <c r="AH719" s="2440"/>
      <c r="AI719" s="2440"/>
      <c r="AJ719" s="2440"/>
      <c r="AK719" s="2440"/>
      <c r="AL719" s="2440"/>
      <c r="AM719" s="551"/>
      <c r="AN719" s="686"/>
    </row>
    <row r="720" spans="1:43" s="571" customFormat="1" ht="12.75" customHeight="1">
      <c r="A720" s="551"/>
      <c r="B720" s="537"/>
      <c r="C720" s="934"/>
      <c r="D720" s="537"/>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524" t="s">
        <v>592</v>
      </c>
      <c r="I723" s="252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5">
        <f>VLOOKUP($H$723,$AP$720:$AQ$722,2,FALSE)</f>
        <v>0</v>
      </c>
      <c r="AK725" s="2477"/>
      <c r="AL725" s="596"/>
      <c r="AM725" s="551"/>
      <c r="AN725" s="685"/>
      <c r="AP725" s="2475"/>
      <c r="AQ725" s="247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7"/>
      <c r="AD729" s="537"/>
      <c r="AE729" s="537"/>
      <c r="AF729" s="2440" t="s">
        <v>1353</v>
      </c>
      <c r="AG729" s="2440"/>
      <c r="AH729" s="2440"/>
      <c r="AI729" s="2440"/>
      <c r="AJ729" s="2440"/>
      <c r="AK729" s="2440"/>
      <c r="AL729" s="2440"/>
      <c r="AM729" s="551"/>
      <c r="AN729" s="685"/>
      <c r="AT729" s="14"/>
      <c r="AU729" s="14"/>
      <c r="AV729" s="14"/>
      <c r="AW729" s="14"/>
      <c r="AX729" s="14"/>
      <c r="AY729" s="14"/>
      <c r="AZ729" s="14"/>
    </row>
    <row r="730" spans="1:81" s="571" customFormat="1" ht="13">
      <c r="A730" s="551"/>
      <c r="B730" s="537"/>
      <c r="C730" s="934"/>
      <c r="D730" s="664"/>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7"/>
      <c r="AD732" s="537"/>
      <c r="AE732" s="537"/>
      <c r="AF732" s="2440" t="s">
        <v>1409</v>
      </c>
      <c r="AG732" s="2440"/>
      <c r="AH732" s="2440"/>
      <c r="AI732" s="2440"/>
      <c r="AJ732" s="2440"/>
      <c r="AK732" s="2440"/>
      <c r="AL732" s="2440"/>
      <c r="AM732" s="551"/>
      <c r="AN732" s="685"/>
      <c r="AT732" s="14"/>
      <c r="AU732" s="14"/>
      <c r="AV732" s="14"/>
      <c r="AW732" s="14"/>
      <c r="AX732" s="14"/>
      <c r="AY732" s="14"/>
      <c r="AZ732" s="14"/>
    </row>
    <row r="733" spans="1:81" s="571" customFormat="1" ht="13">
      <c r="A733" s="551"/>
      <c r="B733" s="537"/>
      <c r="C733" s="934"/>
      <c r="D733" s="537"/>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4" t="s">
        <v>592</v>
      </c>
      <c r="I735" s="252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5">
        <f>VLOOKUP($H$735,$AO$666:$AP$668,2,FALSE)</f>
        <v>0</v>
      </c>
      <c r="AK737" s="247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7"/>
      <c r="AD741" s="537"/>
      <c r="AE741" s="537"/>
      <c r="AF741" s="2440" t="s">
        <v>1353</v>
      </c>
      <c r="AG741" s="2440"/>
      <c r="AH741" s="2440"/>
      <c r="AI741" s="2440"/>
      <c r="AJ741" s="2440"/>
      <c r="AK741" s="2440"/>
      <c r="AL741" s="2440"/>
      <c r="AM741" s="551"/>
      <c r="AN741" s="685"/>
      <c r="AT741" s="14"/>
      <c r="AU741" s="14"/>
      <c r="AV741" s="14"/>
      <c r="AW741" s="14"/>
      <c r="AX741" s="14"/>
      <c r="AY741" s="14"/>
      <c r="AZ741" s="14"/>
    </row>
    <row r="742" spans="1:81" s="571" customFormat="1" ht="13">
      <c r="A742" s="551"/>
      <c r="B742" s="537"/>
      <c r="C742" s="932"/>
      <c r="D742" s="664"/>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6"/>
      <c r="AC746" s="537"/>
      <c r="AD746" s="537"/>
      <c r="AE746" s="537"/>
      <c r="AF746" s="2440" t="s">
        <v>1409</v>
      </c>
      <c r="AG746" s="2440"/>
      <c r="AH746" s="2440"/>
      <c r="AI746" s="2440"/>
      <c r="AJ746" s="2440"/>
      <c r="AK746" s="2440"/>
      <c r="AL746" s="2440"/>
      <c r="AM746" s="551"/>
      <c r="AN746" s="685"/>
      <c r="AO746" s="30"/>
      <c r="AP746" s="14"/>
    </row>
    <row r="747" spans="1:81" s="571" customFormat="1" ht="13">
      <c r="A747" s="551"/>
      <c r="B747" s="537"/>
      <c r="C747" s="932"/>
      <c r="D747" s="664"/>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4" t="s">
        <v>688</v>
      </c>
      <c r="I751" s="252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5">
        <f>VLOOKUP($H$751,$AO$680:$AP$682,2,FALSE)</f>
        <v>3</v>
      </c>
      <c r="AK753" s="247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7"/>
      <c r="AD757" s="537"/>
      <c r="AE757" s="537"/>
      <c r="AF757" s="2440" t="s">
        <v>1409</v>
      </c>
      <c r="AG757" s="2440"/>
      <c r="AH757" s="2440"/>
      <c r="AI757" s="2440"/>
      <c r="AJ757" s="2440"/>
      <c r="AK757" s="2440"/>
      <c r="AL757" s="244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7"/>
      <c r="AD760" s="537"/>
      <c r="AE760" s="537"/>
      <c r="AF760" s="2440" t="s">
        <v>1426</v>
      </c>
      <c r="AG760" s="2440"/>
      <c r="AH760" s="2440"/>
      <c r="AI760" s="2440"/>
      <c r="AJ760" s="2440"/>
      <c r="AK760" s="2440"/>
      <c r="AL760" s="244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4" t="s">
        <v>688</v>
      </c>
      <c r="I763" s="252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5">
        <f>VLOOKUP($H$763,$AO$697:$AP$699,2,FALSE)</f>
        <v>2</v>
      </c>
      <c r="AK765" s="247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7"/>
      <c r="AF769" s="2440" t="s">
        <v>1409</v>
      </c>
      <c r="AG769" s="2440"/>
      <c r="AH769" s="2440"/>
      <c r="AI769" s="2440"/>
      <c r="AJ769" s="2440"/>
      <c r="AK769" s="2440"/>
      <c r="AL769" s="2440"/>
      <c r="AM769" s="614"/>
      <c r="AN769" s="685"/>
      <c r="AO769" s="551" t="s">
        <v>592</v>
      </c>
      <c r="AP769" s="674">
        <v>0</v>
      </c>
    </row>
    <row r="770" spans="1:81" s="571" customFormat="1" ht="13.75" customHeight="1">
      <c r="A770" s="551"/>
      <c r="B770" s="617"/>
      <c r="C770" s="941"/>
      <c r="D770" s="664"/>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7"/>
      <c r="AF774" s="2440" t="s">
        <v>1353</v>
      </c>
      <c r="AG774" s="2440"/>
      <c r="AH774" s="2440"/>
      <c r="AI774" s="2440"/>
      <c r="AJ774" s="2440"/>
      <c r="AK774" s="2440"/>
      <c r="AL774" s="2440"/>
      <c r="AM774" s="614"/>
      <c r="AN774" s="598"/>
    </row>
    <row r="775" spans="1:81" s="551" customFormat="1" ht="12.75" customHeight="1">
      <c r="B775" s="617"/>
      <c r="C775" s="941"/>
      <c r="D775" s="664"/>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5"/>
      <c r="AF775" s="595"/>
      <c r="AG775" s="595"/>
      <c r="AH775" s="595"/>
      <c r="AI775" s="595"/>
      <c r="AJ775" s="595"/>
      <c r="AK775" s="595"/>
      <c r="AL775" s="595"/>
      <c r="AM775" s="614"/>
      <c r="AN775" s="598"/>
    </row>
    <row r="776" spans="1:81" s="551" customFormat="1" ht="12.75" customHeight="1">
      <c r="B776" s="617"/>
      <c r="C776" s="941"/>
      <c r="D776" s="664"/>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5"/>
      <c r="AF776" s="595"/>
      <c r="AG776" s="595"/>
      <c r="AH776" s="595"/>
      <c r="AI776" s="595"/>
      <c r="AJ776" s="595"/>
      <c r="AK776" s="595"/>
      <c r="AL776" s="595"/>
      <c r="AM776" s="614"/>
      <c r="AN776" s="598"/>
    </row>
    <row r="777" spans="1:81" s="551" customFormat="1" ht="12.75" customHeight="1">
      <c r="B777" s="617"/>
      <c r="C777" s="941"/>
      <c r="D777" s="664"/>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4" t="s">
        <v>592</v>
      </c>
      <c r="I779" s="252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5">
        <f>VLOOKUP($H$779,$AO$769:$AP$771,2,FALSE)</f>
        <v>0</v>
      </c>
      <c r="AK781" s="2477"/>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95" t="s">
        <v>2035</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7"/>
      <c r="AF785" s="2440" t="s">
        <v>1353</v>
      </c>
      <c r="AG785" s="2440"/>
      <c r="AH785" s="2440"/>
      <c r="AI785" s="2440"/>
      <c r="AJ785" s="2440"/>
      <c r="AK785" s="2440"/>
      <c r="AL785" s="2440"/>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4" t="s">
        <v>546</v>
      </c>
      <c r="I790" s="252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5">
        <f>VLOOKUP($H$790,$AO$784:$AP$785,2,FALSE)</f>
        <v>3</v>
      </c>
      <c r="AK792" s="247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5">
        <f>IF(($AJ$621+$AJ$640+$AJ$652+$AJ$687+$AJ$711+$AJ$725+$AJ$737+$AJ$753+$AJ$765+$AJ$781+AJ792)&gt;10,10,($AJ$621+$AJ$640+$AJ$652+$AJ$687+$AJ$711+$AJ$725+$AJ$737+$AJ$753+$AJ$765+$AJ$781+AJ792))</f>
        <v>10</v>
      </c>
      <c r="AL794" s="2476"/>
      <c r="AM794" s="247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7"/>
      <c r="AQ800" s="817"/>
    </row>
    <row r="801" spans="1:81" ht="13">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4"/>
      <c r="U803" s="2575"/>
      <c r="V803" s="2575"/>
      <c r="W803" s="2575"/>
      <c r="X803" s="2575"/>
      <c r="Y803" s="2576"/>
      <c r="Z803" s="2574"/>
      <c r="AA803" s="2575"/>
      <c r="AB803" s="2575"/>
      <c r="AC803" s="2575"/>
      <c r="AD803" s="2575"/>
      <c r="AE803" s="2576"/>
      <c r="AF803" s="2574"/>
      <c r="AG803" s="2575"/>
      <c r="AH803" s="2575"/>
      <c r="AI803" s="2575"/>
      <c r="AJ803" s="2575"/>
      <c r="AK803" s="2576"/>
      <c r="AL803" s="819"/>
      <c r="AM803" s="597"/>
      <c r="AO803" s="817"/>
      <c r="AP803" s="817"/>
      <c r="AQ803" s="817"/>
    </row>
    <row r="804" spans="1:81" ht="13">
      <c r="A804" s="820"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9"/>
      <c r="AM804" s="597"/>
      <c r="AO804" s="817"/>
      <c r="AP804" s="817"/>
      <c r="AQ804" s="817"/>
    </row>
    <row r="805" spans="1:81" ht="13">
      <c r="A805" s="820"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9"/>
      <c r="AM805" s="597"/>
      <c r="AO805" s="817"/>
      <c r="AP805" s="817"/>
      <c r="AQ805" s="817"/>
    </row>
    <row r="806" spans="1:81" ht="13">
      <c r="A806" s="820"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9"/>
      <c r="AM806" s="597"/>
      <c r="AO806" s="817"/>
      <c r="AP806" s="817"/>
      <c r="AQ806" s="817"/>
    </row>
    <row r="807" spans="1:81" ht="13">
      <c r="A807" s="820"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9"/>
      <c r="AM807" s="597"/>
      <c r="AO807" s="817"/>
      <c r="AP807" s="817"/>
      <c r="AQ807" s="817"/>
    </row>
    <row r="808" spans="1:81" ht="13">
      <c r="A808" s="821"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9"/>
      <c r="AM808" s="597"/>
    </row>
    <row r="809" spans="1:81" ht="13">
      <c r="A809" s="536"/>
      <c r="B809" s="602"/>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9"/>
      <c r="AM809" s="597"/>
    </row>
    <row r="810" spans="1:81" ht="13">
      <c r="A810" s="601"/>
      <c r="B810" s="602"/>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9"/>
      <c r="AM810" s="597"/>
      <c r="AO810" s="551"/>
    </row>
    <row r="811" spans="1:81" ht="13">
      <c r="A811" s="821"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9"/>
      <c r="AM811" s="597"/>
    </row>
    <row r="812" spans="1:81" ht="13">
      <c r="A812" s="820"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9"/>
      <c r="AM812" s="597"/>
    </row>
    <row r="813" spans="1:81" s="535" customFormat="1" ht="13" hidden="1">
      <c r="A813" s="821"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PZrshwIvqaXmdbxT5SdlH0TVfuv+EGB7b1ec+7ERsHj9JUXeAZ0ro1tFJMzzBXWnRZZ5cgheCz/eEobrtuOIqA==" saltValue="O32jvM3MvGf/OJYlnLIAp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2025-01-22T22:41:29Z</cp:lastPrinted>
  <dcterms:created xsi:type="dcterms:W3CDTF">2007-12-27T18:26:28Z</dcterms:created>
  <dcterms:modified xsi:type="dcterms:W3CDTF">2025-02-03T19:21:44Z</dcterms:modified>
</cp:coreProperties>
</file>